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ms-excel.controlproperties+xml" PartName="/xl/ctrlProps/ctrlProp1.xml"/>
  <Override ContentType="application/vnd.ms-excel.controlproperties+xml" PartName="/xl/ctrlProps/ctrlProp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bookViews>
    <workbookView xWindow="19155" yWindow="-15" windowWidth="19200" windowHeight="11745" firstSheet="2" activeTab="2"/>
  </bookViews>
  <sheets>
    <sheet name="MW-Cache" sheetId="77" state="veryHidden" r:id="rId1"/>
    <sheet name="__FDSCACHE__" sheetId="118" state="veryHidden" r:id="rId2"/>
    <sheet name="ImportantDisclosures" sheetId="160" r:id="rId3"/>
    <sheet name="IS" sheetId="1" r:id="rId4"/>
    <sheet name="BS" sheetId="7" r:id="rId5"/>
    <sheet name="CF" sheetId="8" r:id="rId6"/>
    <sheet name="IndexInformation" sheetId="161" r:id="rId7"/>
    <sheet name="ModPubIndex" sheetId="162" r:id="rId8"/>
  </sheets>
  <externalReferences>
    <externalReference r:id="rId9"/>
    <externalReference r:id="rId10"/>
    <externalReference r:id="rId11"/>
    <externalReference r:id="rId12"/>
    <externalReference r:id="rId13"/>
    <externalReference r:id="rId14"/>
    <externalReference r:id="rId15"/>
  </externalReferences>
  <definedNames>
    <definedName name="__FDS_HYPERLINK_TOGGLE_STATE__" hidden="1">"ON"</definedName>
    <definedName name="__FDS_UNIQUE_RANGE_ID_GENERATOR_COUNTER" hidden="1">1</definedName>
    <definedName name="_1__FDSAUDITLINK__" hidden="1">{"fdsup://Directions/FactSet Auditing Viewer?action=AUDIT_VALUE&amp;DB=129&amp;ID1=03265410&amp;VALUEID=02001&amp;SDATE=201103&amp;PERIODTYPE=QTR_STD&amp;SCFT=3&amp;window=popup_no_bar&amp;width=385&amp;height=120&amp;START_MAXIMIZED=FALSE&amp;creator=factset&amp;display_string=Audit"}</definedName>
    <definedName name="_10__FDSAUDITLINK__" hidden="1">{"fdsup://Directions/FactSet Auditing Viewer?action=AUDIT_VALUE&amp;DB=129&amp;ID1=74752510&amp;VALUEID=05194&amp;SDATE=201103&amp;PERIODTYPE=QTR_STD&amp;SCFT=3&amp;window=popup_no_bar&amp;width=385&amp;height=120&amp;START_MAXIMIZED=FALSE&amp;creator=factset&amp;display_string=Audit"}</definedName>
    <definedName name="_100__FDSAUDITLINK__" hidden="1">{"fdsup://Directions/FactSet Auditing Viewer?action=AUDIT_VALUE&amp;DB=129&amp;ID1=45814010&amp;VALUEID=02001&amp;SDATE=201101&amp;PERIODTYPE=QTR_STD&amp;SCFT=3&amp;window=popup_no_bar&amp;width=385&amp;height=120&amp;START_MAXIMIZED=FALSE&amp;creator=factset&amp;display_string=Audit"}</definedName>
    <definedName name="_1000__FDSAUDITLINK__" hidden="1">{"fdsup://Directions/FactSet Auditing Viewer?action=AUDIT_VALUE&amp;DB=129&amp;ID1=25454310&amp;VALUEID=02001&amp;SDATE=200902&amp;PERIODTYPE=QTR_STD&amp;SCFT=3&amp;window=popup_no_bar&amp;width=385&amp;height=120&amp;START_MAXIMIZED=FALSE&amp;creator=factset&amp;display_string=Audit"}</definedName>
    <definedName name="_1001__FDSAUDITLINK__" hidden="1">{"fdsup://Directions/FactSet Auditing Viewer?action=AUDIT_VALUE&amp;DB=129&amp;ID1=24702R10&amp;VALUEID=02001&amp;SDATE=200902&amp;PERIODTYPE=QTR_STD&amp;SCFT=3&amp;window=popup_no_bar&amp;width=385&amp;height=120&amp;START_MAXIMIZED=FALSE&amp;creator=factset&amp;display_string=Audit"}</definedName>
    <definedName name="_1002__FDSAUDITLINK__" hidden="1">{"fdsup://Directions/FactSet Auditing Viewer?action=AUDIT_VALUE&amp;DB=129&amp;ID1=24702R10&amp;VALUEID=02001&amp;SDATE=200902&amp;PERIODTYPE=QTR_STD&amp;SCFT=3&amp;window=popup_no_bar&amp;width=385&amp;height=120&amp;START_MAXIMIZED=FALSE&amp;creator=factset&amp;display_string=Audit"}</definedName>
    <definedName name="_1003__FDSAUDITLINK__" hidden="1">{"fdsup://Directions/FactSet Auditing Viewer?action=AUDIT_VALUE&amp;DB=129&amp;ID1=23257210&amp;VALUEID=02001&amp;SDATE=200902&amp;PERIODTYPE=QTR_STD&amp;SCFT=3&amp;window=popup_no_bar&amp;width=385&amp;height=120&amp;START_MAXIMIZED=FALSE&amp;creator=factset&amp;display_string=Audit"}</definedName>
    <definedName name="_1004__FDSAUDITLINK__" hidden="1">{"fdsup://Directions/FactSet Auditing Viewer?action=AUDIT_VALUE&amp;DB=129&amp;ID1=23257210&amp;VALUEID=02001&amp;SDATE=200902&amp;PERIODTYPE=QTR_STD&amp;SCFT=3&amp;window=popup_no_bar&amp;width=385&amp;height=120&amp;START_MAXIMIZED=FALSE&amp;creator=factset&amp;display_string=Audit"}</definedName>
    <definedName name="_1005__FDSAUDITLINK__" hidden="1">{"fdsup://Directions/FactSet Auditing Viewer?action=AUDIT_VALUE&amp;DB=129&amp;ID1=23280610&amp;VALUEID=02001&amp;SDATE=200902&amp;PERIODTYPE=QTR_STD&amp;SCFT=3&amp;window=popup_no_bar&amp;width=385&amp;height=120&amp;START_MAXIMIZED=FALSE&amp;creator=factset&amp;display_string=Audit"}</definedName>
    <definedName name="_1006__FDSAUDITLINK__" hidden="1">{"fdsup://Directions/FactSet Auditing Viewer?action=AUDIT_VALUE&amp;DB=129&amp;ID1=23280610&amp;VALUEID=02001&amp;SDATE=200902&amp;PERIODTYPE=QTR_STD&amp;SCFT=3&amp;window=popup_no_bar&amp;width=385&amp;height=120&amp;START_MAXIMIZED=FALSE&amp;creator=factset&amp;display_string=Audit"}</definedName>
    <definedName name="_1007__FDSAUDITLINK__" hidden="1">{"fdsup://Directions/FactSet Auditing Viewer?action=AUDIT_VALUE&amp;DB=129&amp;ID1=20714230&amp;VALUEID=02001&amp;SDATE=200903&amp;PERIODTYPE=QTR_STD&amp;SCFT=3&amp;window=popup_no_bar&amp;width=385&amp;height=120&amp;START_MAXIMIZED=FALSE&amp;creator=factset&amp;display_string=Audit"}</definedName>
    <definedName name="_1008__FDSAUDITLINK__" hidden="1">{"fdsup://Directions/FactSet Auditing Viewer?action=AUDIT_VALUE&amp;DB=129&amp;ID1=20714230&amp;VALUEID=02001&amp;SDATE=200903&amp;PERIODTYPE=QTR_STD&amp;SCFT=3&amp;window=popup_no_bar&amp;width=385&amp;height=120&amp;START_MAXIMIZED=FALSE&amp;creator=factset&amp;display_string=Audit"}</definedName>
    <definedName name="_1009__FDSAUDITLINK__" hidden="1">{"fdsup://Directions/FactSet Auditing Viewer?action=AUDIT_VALUE&amp;DB=129&amp;ID1=12738710&amp;VALUEID=02001&amp;SDATE=200902&amp;PERIODTYPE=QTR_STD&amp;SCFT=3&amp;window=popup_no_bar&amp;width=385&amp;height=120&amp;START_MAXIMIZED=FALSE&amp;creator=factset&amp;display_string=Audit"}</definedName>
    <definedName name="_101__FDSAUDITLINK__" hidden="1">{"fdsup://Directions/FactSet Auditing Viewer?action=AUDIT_VALUE&amp;DB=129&amp;ID1=45811810&amp;VALUEID=02001&amp;SDATE=201004&amp;PERIODTYPE=QTR_STD&amp;SCFT=3&amp;window=popup_no_bar&amp;width=385&amp;height=120&amp;START_MAXIMIZED=FALSE&amp;creator=factset&amp;display_string=Audit"}</definedName>
    <definedName name="_1010__FDSAUDITLINK__" hidden="1">{"fdsup://Directions/FactSet Auditing Viewer?action=AUDIT_VALUE&amp;DB=129&amp;ID1=12738710&amp;VALUEID=02001&amp;SDATE=200902&amp;PERIODTYPE=QTR_STD&amp;SCFT=3&amp;window=popup_no_bar&amp;width=385&amp;height=120&amp;START_MAXIMIZED=FALSE&amp;creator=factset&amp;display_string=Audit"}</definedName>
    <definedName name="_1011__FDSAUDITLINK__" hidden="1">{"fdsup://Directions/FactSet Auditing Viewer?action=AUDIT_VALUE&amp;DB=129&amp;ID1=14964U10&amp;VALUEID=02001&amp;SDATE=200902&amp;PERIODTYPE=QTR_STD&amp;SCFT=3&amp;window=popup_no_bar&amp;width=385&amp;height=120&amp;START_MAXIMIZED=FALSE&amp;creator=factset&amp;display_string=Audit"}</definedName>
    <definedName name="_1012__FDSAUDITLINK__" hidden="1">{"fdsup://Directions/FactSet Auditing Viewer?action=AUDIT_VALUE&amp;DB=129&amp;ID1=14964U10&amp;VALUEID=02001&amp;SDATE=200902&amp;PERIODTYPE=QTR_STD&amp;SCFT=3&amp;window=popup_no_bar&amp;width=385&amp;height=120&amp;START_MAXIMIZED=FALSE&amp;creator=factset&amp;display_string=Audit"}</definedName>
    <definedName name="_1013__FDSAUDITLINK__" hidden="1">{"fdsup://Directions/FactSet Auditing Viewer?action=AUDIT_VALUE&amp;DB=129&amp;ID1=11162130&amp;VALUEID=02001&amp;SDATE=200903&amp;PERIODTYPE=QTR_STD&amp;SCFT=3&amp;window=popup_no_bar&amp;width=385&amp;height=120&amp;START_MAXIMIZED=FALSE&amp;creator=factset&amp;display_string=Audit"}</definedName>
    <definedName name="_1014__FDSAUDITLINK__" hidden="1">{"fdsup://Directions/FactSet Auditing Viewer?action=AUDIT_VALUE&amp;DB=129&amp;ID1=11162130&amp;VALUEID=02001&amp;SDATE=200903&amp;PERIODTYPE=QTR_STD&amp;SCFT=3&amp;window=popup_no_bar&amp;width=385&amp;height=120&amp;START_MAXIMIZED=FALSE&amp;creator=factset&amp;display_string=Audit"}</definedName>
    <definedName name="_1015__FDSAUDITLINK__" hidden="1">{"fdsup://Directions/FactSet Auditing Viewer?action=AUDIT_VALUE&amp;DB=129&amp;ID1=Y0486S10&amp;VALUEID=02001&amp;SDATE=200903&amp;PERIODTYPE=QTR_STD&amp;SCFT=3&amp;window=popup_no_bar&amp;width=385&amp;height=120&amp;START_MAXIMIZED=FALSE&amp;creator=factset&amp;display_string=Audit"}</definedName>
    <definedName name="_1016__FDSAUDITLINK__" hidden="1">{"fdsup://Directions/FactSet Auditing Viewer?action=AUDIT_VALUE&amp;DB=129&amp;ID1=Y0486S10&amp;VALUEID=02001&amp;SDATE=200903&amp;PERIODTYPE=QTR_STD&amp;SCFT=3&amp;window=popup_no_bar&amp;width=385&amp;height=120&amp;START_MAXIMIZED=FALSE&amp;creator=factset&amp;display_string=Audit"}</definedName>
    <definedName name="_1017__FDSAUDITLINK__" hidden="1">{"fdsup://Directions/FactSet Auditing Viewer?action=AUDIT_VALUE&amp;DB=129&amp;ID1=04743P10&amp;VALUEID=02001&amp;SDATE=200902&amp;PERIODTYPE=QTR_STD&amp;SCFT=3&amp;window=popup_no_bar&amp;width=385&amp;height=120&amp;START_MAXIMIZED=FALSE&amp;creator=factset&amp;display_string=Audit"}</definedName>
    <definedName name="_1018__FDSAUDITLINK__" hidden="1">{"fdsup://Directions/FactSet Auditing Viewer?action=AUDIT_VALUE&amp;DB=129&amp;ID1=04743P10&amp;VALUEID=02001&amp;SDATE=200902&amp;PERIODTYPE=QTR_STD&amp;SCFT=3&amp;window=popup_no_bar&amp;width=385&amp;height=120&amp;START_MAXIMIZED=FALSE&amp;creator=factset&amp;display_string=Audit"}</definedName>
    <definedName name="_1019__FDSAUDITLINK__" hidden="1">{"fdsup://Directions/FactSet Auditing Viewer?action=AUDIT_VALUE&amp;DB=129&amp;ID1=03251510&amp;VALUEID=02001&amp;SDATE=200902&amp;PERIODTYPE=QTR_STD&amp;SCFT=3&amp;window=popup_no_bar&amp;width=385&amp;height=120&amp;START_MAXIMIZED=FALSE&amp;creator=factset&amp;display_string=Audit"}</definedName>
    <definedName name="_102__FDSAUDITLINK__" hidden="1">{"fdsup://Directions/FactSet Auditing Viewer?action=AUDIT_VALUE&amp;DB=129&amp;ID1=45811810&amp;VALUEID=02001&amp;SDATE=201004&amp;PERIODTYPE=QTR_STD&amp;SCFT=3&amp;window=popup_no_bar&amp;width=385&amp;height=120&amp;START_MAXIMIZED=FALSE&amp;creator=factset&amp;display_string=Audit"}</definedName>
    <definedName name="_1020__FDSAUDITLINK__" hidden="1">{"fdsup://Directions/FactSet Auditing Viewer?action=AUDIT_VALUE&amp;DB=129&amp;ID1=03251510&amp;VALUEID=02001&amp;SDATE=200902&amp;PERIODTYPE=QTR_STD&amp;SCFT=3&amp;window=popup_no_bar&amp;width=385&amp;height=120&amp;START_MAXIMIZED=FALSE&amp;creator=factset&amp;display_string=Audit"}</definedName>
    <definedName name="_1021__FDSAUDITLINK__" hidden="1">{"fdsup://Directions/FactSet Auditing Viewer?action=AUDIT_VALUE&amp;DB=129&amp;ID1=00790310&amp;VALUEID=02001&amp;SDATE=200902&amp;PERIODTYPE=QTR_STD&amp;SCFT=3&amp;window=popup_no_bar&amp;width=385&amp;height=120&amp;START_MAXIMIZED=FALSE&amp;creator=factset&amp;display_string=Audit"}</definedName>
    <definedName name="_1022__FDSAUDITLINK__" hidden="1">{"fdsup://Directions/FactSet Auditing Viewer?action=AUDIT_VALUE&amp;DB=129&amp;ID1=00790310&amp;VALUEID=02001&amp;SDATE=200902&amp;PERIODTYPE=QTR_STD&amp;SCFT=3&amp;window=popup_no_bar&amp;width=385&amp;height=120&amp;START_MAXIMIZED=FALSE&amp;creator=factset&amp;display_string=Audit"}</definedName>
    <definedName name="_1023__FDSAUDITLINK__" hidden="1">{"fdsup://Directions/FactSet Auditing Viewer?action=AUDIT_VALUE&amp;DB=129&amp;ID1=03822W40&amp;VALUEID=02001&amp;SDATE=200901&amp;PERIODTYPE=QTR_STD&amp;SCFT=3&amp;window=popup_no_bar&amp;width=385&amp;height=120&amp;START_MAXIMIZED=FALSE&amp;creator=factset&amp;display_string=Audit"}</definedName>
    <definedName name="_1024__FDSAUDITLINK__" hidden="1">{"fdsup://Directions/FactSet Auditing Viewer?action=AUDIT_VALUE&amp;DB=129&amp;ID1=03822W40&amp;VALUEID=02001&amp;SDATE=200901&amp;PERIODTYPE=QTR_STD&amp;SCFT=3&amp;window=popup_no_bar&amp;width=385&amp;height=120&amp;START_MAXIMIZED=FALSE&amp;creator=factset&amp;display_string=Audit"}</definedName>
    <definedName name="_1025__FDSAUDITLINK__" hidden="1">{"fdsup://Directions/FactSet Auditing Viewer?action=AUDIT_VALUE&amp;DB=129&amp;ID1=03822210&amp;VALUEID=02001&amp;SDATE=200903&amp;PERIODTYPE=QTR_STD&amp;SCFT=3&amp;window=popup_no_bar&amp;width=385&amp;height=120&amp;START_MAXIMIZED=FALSE&amp;creator=factset&amp;display_string=Audit"}</definedName>
    <definedName name="_1026__FDSAUDITLINK__" hidden="1">{"fdsup://Directions/FactSet Auditing Viewer?action=AUDIT_VALUE&amp;DB=129&amp;ID1=03822210&amp;VALUEID=02001&amp;SDATE=200903&amp;PERIODTYPE=QTR_STD&amp;SCFT=3&amp;window=popup_no_bar&amp;width=385&amp;height=120&amp;START_MAXIMIZED=FALSE&amp;creator=factset&amp;display_string=Audit"}</definedName>
    <definedName name="_1027__FDSAUDITLINK__" hidden="1">{"fdsup://Directions/FactSet Auditing Viewer?action=AUDIT_VALUE&amp;DB=129&amp;ID1=02144110&amp;VALUEID=02001&amp;SDATE=200902&amp;PERIODTYPE=QTR_STD&amp;SCFT=3&amp;window=popup_no_bar&amp;width=385&amp;height=120&amp;START_MAXIMIZED=FALSE&amp;creator=factset&amp;display_string=Audit"}</definedName>
    <definedName name="_1028__FDSAUDITLINK__" hidden="1">{"fdsup://Directions/FactSet Auditing Viewer?action=AUDIT_VALUE&amp;DB=129&amp;ID1=02144110&amp;VALUEID=02001&amp;SDATE=200902&amp;PERIODTYPE=QTR_STD&amp;SCFT=3&amp;window=popup_no_bar&amp;width=385&amp;height=120&amp;START_MAXIMIZED=FALSE&amp;creator=factset&amp;display_string=Audit"}</definedName>
    <definedName name="_1029__FDSAUDITLINK__" hidden="1">{"fdsup://Directions/FactSet Auditing Viewer?action=AUDIT_VALUE&amp;DB=129&amp;ID1=03265410&amp;VALUEID=02001&amp;SDATE=200903&amp;PERIODTYPE=QTR_STD&amp;SCFT=3&amp;window=popup_no_bar&amp;width=385&amp;height=120&amp;START_MAXIMIZED=FALSE&amp;creator=factset&amp;display_string=Audit"}</definedName>
    <definedName name="_103__FDSAUDITLINK__" hidden="1">{"fdsup://Directions/FactSet Auditing Viewer?action=AUDIT_VALUE&amp;DB=129&amp;ID1=42823610&amp;VALUEID=02001&amp;SDATE=201102&amp;PERIODTYPE=QTR_STD&amp;SCFT=3&amp;window=popup_no_bar&amp;width=385&amp;height=120&amp;START_MAXIMIZED=FALSE&amp;creator=factset&amp;display_string=Audit"}</definedName>
    <definedName name="_1030__FDSAUDITLINK__" hidden="1">{"fdsup://Directions/FactSet Auditing Viewer?action=AUDIT_VALUE&amp;DB=129&amp;ID1=03265410&amp;VALUEID=02001&amp;SDATE=200903&amp;PERIODTYPE=QTR_STD&amp;SCFT=3&amp;window=popup_no_bar&amp;width=385&amp;height=120&amp;START_MAXIMIZED=FALSE&amp;creator=factset&amp;display_string=Audit"}</definedName>
    <definedName name="_1031__FDSAUDITLINK__" hidden="1">{"fdsup://Directions/FactSet Auditing Viewer?action=AUDIT_VALUE&amp;DB=129&amp;ID1=00752J10&amp;VALUEID=02001&amp;SDATE=200902&amp;PERIODTYPE=QTR_STD&amp;SCFT=3&amp;window=popup_no_bar&amp;width=385&amp;height=120&amp;START_MAXIMIZED=FALSE&amp;creator=factset&amp;display_string=Audit"}</definedName>
    <definedName name="_1032__FDSAUDITLINK__" hidden="1">{"fdsup://Directions/FactSet Auditing Viewer?action=AUDIT_VALUE&amp;DB=129&amp;ID1=00752J10&amp;VALUEID=02001&amp;SDATE=200902&amp;PERIODTYPE=QTR_STD&amp;SCFT=3&amp;window=popup_no_bar&amp;width=385&amp;height=120&amp;START_MAXIMIZED=FALSE&amp;creator=factset&amp;display_string=Audit"}</definedName>
    <definedName name="_1033__FDSAUDITLINK__" hidden="1">{"fdsup://Directions/FactSet Auditing Viewer?action=AUDIT_VALUE&amp;DB=129&amp;ID1=98975F10&amp;VALUEID=02001&amp;SDATE=200901&amp;PERIODTYPE=QTR_STD&amp;SCFT=3&amp;window=popup_no_bar&amp;width=385&amp;height=120&amp;START_MAXIMIZED=FALSE&amp;creator=factset&amp;display_string=Audit"}</definedName>
    <definedName name="_1034__FDSAUDITLINK__" hidden="1">{"fdsup://Directions/FactSet Auditing Viewer?action=AUDIT_VALUE&amp;DB=129&amp;ID1=98975F10&amp;VALUEID=02001&amp;SDATE=200901&amp;PERIODTYPE=QTR_STD&amp;SCFT=3&amp;window=popup_no_bar&amp;width=385&amp;height=120&amp;START_MAXIMIZED=FALSE&amp;creator=factset&amp;display_string=Audit"}</definedName>
    <definedName name="_1035__FDSAUDITLINK__" hidden="1">{"fdsup://Directions/FactSet Auditing Viewer?action=AUDIT_VALUE&amp;DB=129&amp;ID1=95810210&amp;VALUEID=02001&amp;SDATE=200903&amp;PERIODTYPE=QTR_STD&amp;SCFT=3&amp;window=popup_no_bar&amp;width=385&amp;height=120&amp;START_MAXIMIZED=FALSE&amp;creator=factset&amp;display_string=Audit"}</definedName>
    <definedName name="_1036__FDSAUDITLINK__" hidden="1">{"fdsup://Directions/FactSet Auditing Viewer?action=AUDIT_VALUE&amp;DB=129&amp;ID1=95810210&amp;VALUEID=02001&amp;SDATE=200903&amp;PERIODTYPE=QTR_STD&amp;SCFT=3&amp;window=popup_no_bar&amp;width=385&amp;height=120&amp;START_MAXIMIZED=FALSE&amp;creator=factset&amp;display_string=Audit"}</definedName>
    <definedName name="_1037__FDSAUDITLINK__" hidden="1">{"fdsup://Directions/FactSet Auditing Viewer?action=AUDIT_VALUE&amp;DB=129&amp;ID1=92849730&amp;VALUEID=02001&amp;SDATE=200902&amp;PERIODTYPE=QTR_STD&amp;SCFT=3&amp;window=popup_no_bar&amp;width=385&amp;height=120&amp;START_MAXIMIZED=FALSE&amp;creator=factset&amp;display_string=Audit"}</definedName>
    <definedName name="_1038__FDSAUDITLINK__" hidden="1">{"fdsup://Directions/FactSet Auditing Viewer?action=AUDIT_VALUE&amp;DB=129&amp;ID1=92849730&amp;VALUEID=02001&amp;SDATE=200902&amp;PERIODTYPE=QTR_STD&amp;SCFT=3&amp;window=popup_no_bar&amp;width=385&amp;height=120&amp;START_MAXIMIZED=FALSE&amp;creator=factset&amp;display_string=Audit"}</definedName>
    <definedName name="_1039__FDSAUDITLINK__" hidden="1">{"fdsup://Directions/FactSet Auditing Viewer?action=AUDIT_VALUE&amp;DB=129&amp;ID1=92829810&amp;VALUEID=02001&amp;SDATE=200901&amp;PERIODTYPE=QTR_STD&amp;SCFT=3&amp;window=popup_no_bar&amp;width=385&amp;height=120&amp;START_MAXIMIZED=FALSE&amp;creator=factset&amp;display_string=Audit"}</definedName>
    <definedName name="_104__FDSAUDITLINK__" hidden="1">{"fdsup://Directions/FactSet Auditing Viewer?action=AUDIT_VALUE&amp;DB=129&amp;ID1=42823610&amp;VALUEID=02001&amp;SDATE=201102&amp;PERIODTYPE=QTR_STD&amp;SCFT=3&amp;window=popup_no_bar&amp;width=385&amp;height=120&amp;START_MAXIMIZED=FALSE&amp;creator=factset&amp;display_string=Audit"}</definedName>
    <definedName name="_1040__FDSAUDITLINK__" hidden="1">{"fdsup://Directions/FactSet Auditing Viewer?action=AUDIT_VALUE&amp;DB=129&amp;ID1=92829810&amp;VALUEID=02001&amp;SDATE=200901&amp;PERIODTYPE=QTR_STD&amp;SCFT=3&amp;window=popup_no_bar&amp;width=385&amp;height=120&amp;START_MAXIMIZED=FALSE&amp;creator=factset&amp;display_string=Audit"}</definedName>
    <definedName name="_1041__FDSAUDITLINK__" hidden="1">{"fdsup://Directions/FactSet Auditing Viewer?action=AUDIT_VALUE&amp;DB=129&amp;ID1=88250810&amp;VALUEID=02001&amp;SDATE=200901&amp;PERIODTYPE=QTR_STD&amp;SCFT=3&amp;window=popup_no_bar&amp;width=385&amp;height=120&amp;START_MAXIMIZED=FALSE&amp;creator=factset&amp;display_string=Audit"}</definedName>
    <definedName name="_1042__FDSAUDITLINK__" hidden="1">{"fdsup://Directions/FactSet Auditing Viewer?action=AUDIT_VALUE&amp;DB=129&amp;ID1=88250810&amp;VALUEID=02001&amp;SDATE=200901&amp;PERIODTYPE=QTR_STD&amp;SCFT=3&amp;window=popup_no_bar&amp;width=385&amp;height=120&amp;START_MAXIMIZED=FALSE&amp;creator=factset&amp;display_string=Audit"}</definedName>
    <definedName name="_1043__FDSAUDITLINK__" hidden="1">{"fdsup://Directions/FactSet Auditing Viewer?action=AUDIT_VALUE&amp;DB=129&amp;ID1=89674K10&amp;VALUEID=02001&amp;SDATE=200901&amp;PERIODTYPE=QTR_STD&amp;SCFT=3&amp;window=popup_no_bar&amp;width=385&amp;height=120&amp;START_MAXIMIZED=FALSE&amp;creator=factset&amp;display_string=Audit"}</definedName>
    <definedName name="_1044__FDSAUDITLINK__" hidden="1">{"fdsup://Directions/FactSet Auditing Viewer?action=AUDIT_VALUE&amp;DB=129&amp;ID1=89674K10&amp;VALUEID=02001&amp;SDATE=200901&amp;PERIODTYPE=QTR_STD&amp;SCFT=3&amp;window=popup_no_bar&amp;width=385&amp;height=120&amp;START_MAXIMIZED=FALSE&amp;creator=factset&amp;display_string=Audit"}</definedName>
    <definedName name="_1045__FDSAUDITLINK__" hidden="1">{"fdsup://Directions/FactSet Auditing Viewer?action=AUDIT_VALUE&amp;DB=129&amp;ID1=83088M10&amp;VALUEID=02001&amp;SDATE=200902&amp;PERIODTYPE=QTR_STD&amp;SCFT=3&amp;window=popup_no_bar&amp;width=385&amp;height=120&amp;START_MAXIMIZED=FALSE&amp;creator=factset&amp;display_string=Audit"}</definedName>
    <definedName name="_1046__FDSAUDITLINK__" hidden="1">{"fdsup://Directions/FactSet Auditing Viewer?action=AUDIT_VALUE&amp;DB=129&amp;ID1=83088M10&amp;VALUEID=02001&amp;SDATE=200902&amp;PERIODTYPE=QTR_STD&amp;SCFT=3&amp;window=popup_no_bar&amp;width=385&amp;height=120&amp;START_MAXIMIZED=FALSE&amp;creator=factset&amp;display_string=Audit"}</definedName>
    <definedName name="_1047__FDSAUDITLINK__" hidden="1">{"fdsup://Directions/FactSet Auditing Viewer?action=AUDIT_VALUE&amp;DB=129&amp;ID1=G7945M10&amp;VALUEID=02001&amp;SDATE=200903&amp;PERIODTYPE=QTR_STD&amp;SCFT=3&amp;window=popup_no_bar&amp;width=385&amp;height=120&amp;START_MAXIMIZED=FALSE&amp;creator=factset&amp;display_string=Audit"}</definedName>
    <definedName name="_1048__FDSAUDITLINK__" hidden="1">{"fdsup://Directions/FactSet Auditing Viewer?action=AUDIT_VALUE&amp;DB=129&amp;ID1=G7945M10&amp;VALUEID=02001&amp;SDATE=200903&amp;PERIODTYPE=QTR_STD&amp;SCFT=3&amp;window=popup_no_bar&amp;width=385&amp;height=120&amp;START_MAXIMIZED=FALSE&amp;creator=factset&amp;display_string=Audit"}</definedName>
    <definedName name="_1049__FDSAUDITLINK__" hidden="1">{"fdsup://Directions/FactSet Auditing Viewer?action=AUDIT_VALUE&amp;DB=129&amp;ID1=78477410&amp;VALUEID=02001&amp;SDATE=200901&amp;PERIODTYPE=QTR_STD&amp;SCFT=3&amp;window=popup_no_bar&amp;width=385&amp;height=120&amp;START_MAXIMIZED=FALSE&amp;creator=factset&amp;display_string=Audit"}</definedName>
    <definedName name="_105__FDSAUDITLINK__" hidden="1">{"fdsup://Directions/FactSet Auditing Viewer?action=AUDIT_VALUE&amp;DB=129&amp;ID1=H2906T10&amp;VALUEID=02001&amp;SDATE=201101&amp;PERIODTYPE=QTR_STD&amp;SCFT=3&amp;window=popup_no_bar&amp;width=385&amp;height=120&amp;START_MAXIMIZED=FALSE&amp;creator=factset&amp;display_string=Audit"}</definedName>
    <definedName name="_1050__FDSAUDITLINK__" hidden="1">{"fdsup://Directions/FactSet Auditing Viewer?action=AUDIT_VALUE&amp;DB=129&amp;ID1=78477410&amp;VALUEID=02001&amp;SDATE=200901&amp;PERIODTYPE=QTR_STD&amp;SCFT=3&amp;window=popup_no_bar&amp;width=385&amp;height=120&amp;START_MAXIMIZED=FALSE&amp;creator=factset&amp;display_string=Audit"}</definedName>
    <definedName name="_1051__FDSAUDITLINK__" hidden="1">{"fdsup://Directions/FactSet Auditing Viewer?action=AUDIT_VALUE&amp;DB=129&amp;ID1=82705710&amp;VALUEID=02001&amp;SDATE=200901&amp;PERIODTYPE=QTR_STD&amp;SCFT=3&amp;window=popup_no_bar&amp;width=385&amp;height=120&amp;START_MAXIMIZED=FALSE&amp;creator=factset&amp;display_string=Audit"}</definedName>
    <definedName name="_1052__FDSAUDITLINK__" hidden="1">{"fdsup://Directions/FactSet Auditing Viewer?action=AUDIT_VALUE&amp;DB=129&amp;ID1=82705710&amp;VALUEID=02001&amp;SDATE=200901&amp;PERIODTYPE=QTR_STD&amp;SCFT=3&amp;window=popup_no_bar&amp;width=385&amp;height=120&amp;START_MAXIMIZED=FALSE&amp;creator=factset&amp;display_string=Audit"}</definedName>
    <definedName name="_1053__FDSAUDITLINK__" hidden="1">{"fdsup://Directions/FactSet Auditing Viewer?action=AUDIT_VALUE&amp;DB=129&amp;ID1=83547010&amp;VALUEID=02001&amp;SDATE=200901&amp;PERIODTYPE=QTR_STD&amp;SCFT=3&amp;window=popup_no_bar&amp;width=385&amp;height=120&amp;START_MAXIMIZED=FALSE&amp;creator=factset&amp;display_string=Audit"}</definedName>
    <definedName name="_1054__FDSAUDITLINK__" hidden="1">{"fdsup://Directions/FactSet Auditing Viewer?action=AUDIT_VALUE&amp;DB=129&amp;ID1=83547010&amp;VALUEID=02001&amp;SDATE=200901&amp;PERIODTYPE=QTR_STD&amp;SCFT=3&amp;window=popup_no_bar&amp;width=385&amp;height=120&amp;START_MAXIMIZED=FALSE&amp;creator=factset&amp;display_string=Audit"}</definedName>
    <definedName name="_1055__FDSAUDITLINK__" hidden="1">{"fdsup://Directions/FactSet Auditing Viewer?action=AUDIT_VALUE&amp;DB=129&amp;ID1=80004C10&amp;VALUEID=02001&amp;SDATE=200901&amp;PERIODTYPE=QTR_STD&amp;SCFT=3&amp;window=popup_no_bar&amp;width=385&amp;height=120&amp;START_MAXIMIZED=FALSE&amp;creator=factset&amp;display_string=Audit"}</definedName>
    <definedName name="_1056__FDSAUDITLINK__" hidden="1">{"fdsup://Directions/FactSet Auditing Viewer?action=AUDIT_VALUE&amp;DB=129&amp;ID1=80004C10&amp;VALUEID=02001&amp;SDATE=200901&amp;PERIODTYPE=QTR_STD&amp;SCFT=3&amp;window=popup_no_bar&amp;width=385&amp;height=120&amp;START_MAXIMIZED=FALSE&amp;creator=factset&amp;display_string=Audit"}</definedName>
    <definedName name="_1057__FDSAUDITLINK__" hidden="1">{"fdsup://Directions/FactSet Auditing Viewer?action=AUDIT_VALUE&amp;DB=129&amp;ID1=82691910&amp;VALUEID=02001&amp;SDATE=200901&amp;PERIODTYPE=QTR_STD&amp;SCFT=3&amp;window=popup_no_bar&amp;width=385&amp;height=120&amp;START_MAXIMIZED=FALSE&amp;creator=factset&amp;display_string=Audit"}</definedName>
    <definedName name="_1058__FDSAUDITLINK__" hidden="1">{"fdsup://Directions/FactSet Auditing Viewer?action=AUDIT_VALUE&amp;DB=129&amp;ID1=82691910&amp;VALUEID=02001&amp;SDATE=200901&amp;PERIODTYPE=QTR_STD&amp;SCFT=3&amp;window=popup_no_bar&amp;width=385&amp;height=120&amp;START_MAXIMIZED=FALSE&amp;creator=factset&amp;display_string=Audit"}</definedName>
    <definedName name="_1059__FDSAUDITLINK__" hidden="1">{"fdsup://Directions/FactSet Auditing Viewer?action=AUDIT_VALUE&amp;DB=129&amp;ID1=82705T10&amp;VALUEID=02001&amp;SDATE=200901&amp;PERIODTYPE=QTR_STD&amp;SCFT=3&amp;window=popup_no_bar&amp;width=385&amp;height=120&amp;START_MAXIMIZED=FALSE&amp;creator=factset&amp;display_string=Audit"}</definedName>
    <definedName name="_106__FDSAUDITLINK__" hidden="1">{"fdsup://Directions/FactSet Auditing Viewer?action=AUDIT_VALUE&amp;DB=129&amp;ID1=H2906T10&amp;VALUEID=02001&amp;SDATE=201101&amp;PERIODTYPE=QTR_STD&amp;SCFT=3&amp;window=popup_no_bar&amp;width=385&amp;height=120&amp;START_MAXIMIZED=FALSE&amp;creator=factset&amp;display_string=Audit"}</definedName>
    <definedName name="_1060__FDSAUDITLINK__" hidden="1">{"fdsup://Directions/FactSet Auditing Viewer?action=AUDIT_VALUE&amp;DB=129&amp;ID1=82705T10&amp;VALUEID=02001&amp;SDATE=200901&amp;PERIODTYPE=QTR_STD&amp;SCFT=3&amp;window=popup_no_bar&amp;width=385&amp;height=120&amp;START_MAXIMIZED=FALSE&amp;creator=factset&amp;display_string=Audit"}</definedName>
    <definedName name="_1061__FDSAUDITLINK__" hidden="1">{"fdsup://Directions/FactSet Auditing Viewer?action=AUDIT_VALUE&amp;DB=129&amp;ID1=75091710&amp;VALUEID=02001&amp;SDATE=200901&amp;PERIODTYPE=QTR_STD&amp;SCFT=3&amp;window=popup_no_bar&amp;width=385&amp;height=120&amp;START_MAXIMIZED=FALSE&amp;creator=factset&amp;display_string=Audit"}</definedName>
    <definedName name="_1062__FDSAUDITLINK__" hidden="1">{"fdsup://Directions/FactSet Auditing Viewer?action=AUDIT_VALUE&amp;DB=129&amp;ID1=75091710&amp;VALUEID=02001&amp;SDATE=200901&amp;PERIODTYPE=QTR_STD&amp;SCFT=3&amp;window=popup_no_bar&amp;width=385&amp;height=120&amp;START_MAXIMIZED=FALSE&amp;creator=factset&amp;display_string=Audit"}</definedName>
    <definedName name="_1063__FDSAUDITLINK__" hidden="1">{"fdsup://Directions/FactSet Auditing Viewer?action=AUDIT_VALUE&amp;DB=129&amp;ID1=74752510&amp;VALUEID=02001&amp;SDATE=200902&amp;PERIODTYPE=QTR_STD&amp;SCFT=3&amp;window=popup_no_bar&amp;width=385&amp;height=120&amp;START_MAXIMIZED=FALSE&amp;creator=factset&amp;display_string=Audit"}</definedName>
    <definedName name="_1064__FDSAUDITLINK__" hidden="1">{"fdsup://Directions/FactSet Auditing Viewer?action=AUDIT_VALUE&amp;DB=129&amp;ID1=74752510&amp;VALUEID=02001&amp;SDATE=200902&amp;PERIODTYPE=QTR_STD&amp;SCFT=3&amp;window=popup_no_bar&amp;width=385&amp;height=120&amp;START_MAXIMIZED=FALSE&amp;creator=factset&amp;display_string=Audit"}</definedName>
    <definedName name="_1065__FDSAUDITLINK__" hidden="1">{"fdsup://Directions/FactSet Auditing Viewer?action=AUDIT_VALUE&amp;DB=129&amp;ID1=72581M30&amp;VALUEID=02001&amp;SDATE=200901&amp;PERIODTYPE=QTR_STD&amp;SCFT=3&amp;window=popup_no_bar&amp;width=385&amp;height=120&amp;START_MAXIMIZED=FALSE&amp;creator=factset&amp;display_string=Audit"}</definedName>
    <definedName name="_1066__FDSAUDITLINK__" hidden="1">{"fdsup://Directions/FactSet Auditing Viewer?action=AUDIT_VALUE&amp;DB=129&amp;ID1=72581M30&amp;VALUEID=02001&amp;SDATE=200901&amp;PERIODTYPE=QTR_STD&amp;SCFT=3&amp;window=popup_no_bar&amp;width=385&amp;height=120&amp;START_MAXIMIZED=FALSE&amp;creator=factset&amp;display_string=Audit"}</definedName>
    <definedName name="_1067__FDSAUDITLINK__" hidden="1">{"fdsup://Directions/FactSet Auditing Viewer?action=AUDIT_VALUE&amp;DB=129&amp;ID1=73927610&amp;VALUEID=02001&amp;SDATE=200901&amp;PERIODTYPE=QTR_STD&amp;SCFT=3&amp;window=popup_no_bar&amp;width=385&amp;height=120&amp;START_MAXIMIZED=FALSE&amp;creator=factset&amp;display_string=Audit"}</definedName>
    <definedName name="_1068__FDSAUDITLINK__" hidden="1">{"fdsup://Directions/FactSet Auditing Viewer?action=AUDIT_VALUE&amp;DB=129&amp;ID1=73927610&amp;VALUEID=02001&amp;SDATE=200901&amp;PERIODTYPE=QTR_STD&amp;SCFT=3&amp;window=popup_no_bar&amp;width=385&amp;height=120&amp;START_MAXIMIZED=FALSE&amp;creator=factset&amp;display_string=Audit"}</definedName>
    <definedName name="_1069__FDSAUDITLINK__" hidden="1">{"fdsup://Directions/FactSet Auditing Viewer?action=AUDIT_VALUE&amp;DB=129&amp;ID1=69344F10&amp;VALUEID=02001&amp;SDATE=200901&amp;PERIODTYPE=QTR_STD&amp;SCFT=3&amp;window=popup_no_bar&amp;width=385&amp;height=120&amp;START_MAXIMIZED=FALSE&amp;creator=factset&amp;display_string=Audit"}</definedName>
    <definedName name="_107__FDSAUDITLINK__" hidden="1">{"fdsup://Directions/FactSet Auditing Viewer?action=AUDIT_VALUE&amp;DB=129&amp;ID1=34637510&amp;VALUEID=02001&amp;SDATE=201101&amp;PERIODTYPE=QTR_STD&amp;SCFT=3&amp;window=popup_no_bar&amp;width=385&amp;height=120&amp;START_MAXIMIZED=FALSE&amp;creator=factset&amp;display_string=Audit"}</definedName>
    <definedName name="_1070__FDSAUDITLINK__" hidden="1">{"fdsup://Directions/FactSet Auditing Viewer?action=AUDIT_VALUE&amp;DB=129&amp;ID1=69344F10&amp;VALUEID=02001&amp;SDATE=200901&amp;PERIODTYPE=QTR_STD&amp;SCFT=3&amp;window=popup_no_bar&amp;width=385&amp;height=120&amp;START_MAXIMIZED=FALSE&amp;creator=factset&amp;display_string=Audit"}</definedName>
    <definedName name="_1071__FDSAUDITLINK__" hidden="1">{"fdsup://Directions/FactSet Auditing Viewer?action=AUDIT_VALUE&amp;DB=129&amp;ID1=69341710&amp;VALUEID=02001&amp;SDATE=200901&amp;PERIODTYPE=QTR_STD&amp;SCFT=3&amp;window=popup_no_bar&amp;width=385&amp;height=120&amp;START_MAXIMIZED=FALSE&amp;creator=factset&amp;display_string=Audit"}</definedName>
    <definedName name="_1072__FDSAUDITLINK__" hidden="1">{"fdsup://Directions/FactSet Auditing Viewer?action=AUDIT_VALUE&amp;DB=129&amp;ID1=69341710&amp;VALUEID=02001&amp;SDATE=200901&amp;PERIODTYPE=QTR_STD&amp;SCFT=3&amp;window=popup_no_bar&amp;width=385&amp;height=120&amp;START_MAXIMIZED=FALSE&amp;creator=factset&amp;display_string=Audit"}</definedName>
    <definedName name="_1073__FDSAUDITLINK__" hidden="1">{"fdsup://Directions/FactSet Auditing Viewer?action=AUDIT_VALUE&amp;DB=129&amp;ID1=68218910&amp;VALUEID=02001&amp;SDATE=200901&amp;PERIODTYPE=QTR_STD&amp;SCFT=3&amp;window=popup_no_bar&amp;width=385&amp;height=120&amp;START_MAXIMIZED=FALSE&amp;creator=factset&amp;display_string=Audit"}</definedName>
    <definedName name="_1074__FDSAUDITLINK__" hidden="1">{"fdsup://Directions/FactSet Auditing Viewer?action=AUDIT_VALUE&amp;DB=129&amp;ID1=68218910&amp;VALUEID=02001&amp;SDATE=200901&amp;PERIODTYPE=QTR_STD&amp;SCFT=3&amp;window=popup_no_bar&amp;width=385&amp;height=120&amp;START_MAXIMIZED=FALSE&amp;creator=factset&amp;display_string=Audit"}</definedName>
    <definedName name="_1075__FDSAUDITLINK__" hidden="1">{"fdsup://Directions/FactSet Auditing Viewer?action=AUDIT_VALUE&amp;DB=129&amp;ID1=B505PN&amp;VALUEID=02001&amp;SDATE=200901&amp;PERIODTYPE=QTR_STD&amp;SCFT=3&amp;window=popup_no_bar&amp;width=385&amp;height=120&amp;START_MAXIMIZED=FALSE&amp;creator=factset&amp;display_string=Audit"}</definedName>
    <definedName name="_1076__FDSAUDITLINK__" hidden="1">{"fdsup://Directions/FactSet Auditing Viewer?action=AUDIT_VALUE&amp;DB=129&amp;ID1=B505PN&amp;VALUEID=02001&amp;SDATE=200901&amp;PERIODTYPE=QTR_STD&amp;SCFT=3&amp;window=popup_no_bar&amp;width=385&amp;height=120&amp;START_MAXIMIZED=FALSE&amp;creator=factset&amp;display_string=Audit"}</definedName>
    <definedName name="_1077__FDSAUDITLINK__" hidden="1">{"fdsup://Directions/FactSet Auditing Viewer?action=AUDIT_VALUE&amp;DB=129&amp;ID1=67000810&amp;VALUEID=02001&amp;SDATE=200901&amp;PERIODTYPE=QTR_STD&amp;SCFT=3&amp;window=popup_no_bar&amp;width=385&amp;height=120&amp;START_MAXIMIZED=FALSE&amp;creator=factset&amp;display_string=Audit"}</definedName>
    <definedName name="_1078__FDSAUDITLINK__" hidden="1">{"fdsup://Directions/FactSet Auditing Viewer?action=AUDIT_VALUE&amp;DB=129&amp;ID1=67000810&amp;VALUEID=02001&amp;SDATE=200901&amp;PERIODTYPE=QTR_STD&amp;SCFT=3&amp;window=popup_no_bar&amp;width=385&amp;height=120&amp;START_MAXIMIZED=FALSE&amp;creator=factset&amp;display_string=Audit"}</definedName>
    <definedName name="_1079__FDSAUDITLINK__" hidden="1">{"fdsup://Directions/FactSet Auditing Viewer?action=AUDIT_VALUE&amp;DB=129&amp;ID1=63764010&amp;VALUEID=02001&amp;SDATE=200803&amp;PERIODTYPE=QTR_STD&amp;SCFT=3&amp;window=popup_no_bar&amp;width=385&amp;height=120&amp;START_MAXIMIZED=FALSE&amp;creator=factset&amp;display_string=Audit"}</definedName>
    <definedName name="_108__FDSAUDITLINK__" hidden="1">{"fdsup://Directions/FactSet Auditing Viewer?action=AUDIT_VALUE&amp;DB=129&amp;ID1=34637510&amp;VALUEID=02001&amp;SDATE=201101&amp;PERIODTYPE=QTR_STD&amp;SCFT=3&amp;window=popup_no_bar&amp;width=385&amp;height=120&amp;START_MAXIMIZED=FALSE&amp;creator=factset&amp;display_string=Audit"}</definedName>
    <definedName name="_1080__FDSAUDITLINK__" hidden="1">{"fdsup://Directions/FactSet Auditing Viewer?action=AUDIT_VALUE&amp;DB=129&amp;ID1=63764010&amp;VALUEID=02001&amp;SDATE=200803&amp;PERIODTYPE=QTR_STD&amp;SCFT=3&amp;window=popup_no_bar&amp;width=385&amp;height=120&amp;START_MAXIMIZED=FALSE&amp;creator=factset&amp;display_string=Audit"}</definedName>
    <definedName name="_1081__FDSAUDITLINK__" hidden="1">{"fdsup://Directions/FactSet Auditing Viewer?action=AUDIT_VALUE&amp;DB=129&amp;ID1=64118B10&amp;VALUEID=02001&amp;SDATE=200901&amp;PERIODTYPE=QTR_STD&amp;SCFT=3&amp;window=popup_no_bar&amp;width=385&amp;height=120&amp;START_MAXIMIZED=FALSE&amp;creator=factset&amp;display_string=Audit"}</definedName>
    <definedName name="_1082__FDSAUDITLINK__" hidden="1">{"fdsup://Directions/FactSet Auditing Viewer?action=AUDIT_VALUE&amp;DB=129&amp;ID1=64118B10&amp;VALUEID=02001&amp;SDATE=200901&amp;PERIODTYPE=QTR_STD&amp;SCFT=3&amp;window=popup_no_bar&amp;width=385&amp;height=120&amp;START_MAXIMIZED=FALSE&amp;creator=factset&amp;display_string=Audit"}</definedName>
    <definedName name="_1083__FDSAUDITLINK__" hidden="1">{"fdsup://Directions/FactSet Auditing Viewer?action=AUDIT_VALUE&amp;DB=129&amp;ID1=57772K10&amp;VALUEID=02001&amp;SDATE=200903&amp;PERIODTYPE=QTR_STD&amp;SCFT=3&amp;window=popup_no_bar&amp;width=385&amp;height=120&amp;START_MAXIMIZED=FALSE&amp;creator=factset&amp;display_string=Audit"}</definedName>
    <definedName name="_1084__FDSAUDITLINK__" hidden="1">{"fdsup://Directions/FactSet Auditing Viewer?action=AUDIT_VALUE&amp;DB=129&amp;ID1=57772K10&amp;VALUEID=02001&amp;SDATE=200903&amp;PERIODTYPE=QTR_STD&amp;SCFT=3&amp;window=popup_no_bar&amp;width=385&amp;height=120&amp;START_MAXIMIZED=FALSE&amp;creator=factset&amp;display_string=Audit"}</definedName>
    <definedName name="_1085__FDSAUDITLINK__" hidden="1">{"fdsup://Directions/FactSet Auditing Viewer?action=AUDIT_VALUE&amp;DB=129&amp;ID1=59511210&amp;VALUEID=02001&amp;SDATE=200902&amp;PERIODTYPE=QTR_STD&amp;SCFT=3&amp;window=popup_no_bar&amp;width=385&amp;height=120&amp;START_MAXIMIZED=FALSE&amp;creator=factset&amp;display_string=Audit"}</definedName>
    <definedName name="_1086__FDSAUDITLINK__" hidden="1">{"fdsup://Directions/FactSet Auditing Viewer?action=AUDIT_VALUE&amp;DB=129&amp;ID1=59511210&amp;VALUEID=02001&amp;SDATE=200902&amp;PERIODTYPE=QTR_STD&amp;SCFT=3&amp;window=popup_no_bar&amp;width=385&amp;height=120&amp;START_MAXIMIZED=FALSE&amp;creator=factset&amp;display_string=Audit"}</definedName>
    <definedName name="_1087__FDSAUDITLINK__" hidden="1">{"fdsup://Directions/FactSet Auditing Viewer?action=AUDIT_VALUE&amp;DB=129&amp;ID1=59513710&amp;VALUEID=02001&amp;SDATE=200902&amp;PERIODTYPE=QTR_STD&amp;SCFT=3&amp;window=popup_no_bar&amp;width=385&amp;height=120&amp;START_MAXIMIZED=FALSE&amp;creator=factset&amp;display_string=Audit"}</definedName>
    <definedName name="_1088__FDSAUDITLINK__" hidden="1">{"fdsup://Directions/FactSet Auditing Viewer?action=AUDIT_VALUE&amp;DB=129&amp;ID1=59513710&amp;VALUEID=02001&amp;SDATE=200902&amp;PERIODTYPE=QTR_STD&amp;SCFT=3&amp;window=popup_no_bar&amp;width=385&amp;height=120&amp;START_MAXIMIZED=FALSE&amp;creator=factset&amp;display_string=Audit"}</definedName>
    <definedName name="_1089__FDSAUDITLINK__" hidden="1">{"fdsup://Directions/FactSet Auditing Viewer?action=AUDIT_VALUE&amp;DB=129&amp;ID1=62007630&amp;VALUEID=02001&amp;SDATE=200901&amp;PERIODTYPE=QTR_STD&amp;SCFT=3&amp;window=popup_no_bar&amp;width=385&amp;height=120&amp;START_MAXIMIZED=FALSE&amp;creator=factset&amp;display_string=Audit"}</definedName>
    <definedName name="_109__FDSAUDITLINK__" hidden="1">{"fdsup://Directions/FactSet Auditing Viewer?action=AUDIT_VALUE&amp;DB=129&amp;ID1=31561610&amp;VALUEID=02001&amp;SDATE=201102&amp;PERIODTYPE=QTR_STD&amp;SCFT=3&amp;window=popup_no_bar&amp;width=385&amp;height=120&amp;START_MAXIMIZED=FALSE&amp;creator=factset&amp;display_string=Audit"}</definedName>
    <definedName name="_1090__FDSAUDITLINK__" hidden="1">{"fdsup://Directions/FactSet Auditing Viewer?action=AUDIT_VALUE&amp;DB=129&amp;ID1=62007630&amp;VALUEID=02001&amp;SDATE=200901&amp;PERIODTYPE=QTR_STD&amp;SCFT=3&amp;window=popup_no_bar&amp;width=385&amp;height=120&amp;START_MAXIMIZED=FALSE&amp;creator=factset&amp;display_string=Audit"}</definedName>
    <definedName name="_1091__FDSAUDITLINK__" hidden="1">{"fdsup://Directions/FactSet Auditing Viewer?action=AUDIT_VALUE&amp;DB=129&amp;ID1=59479310&amp;VALUEID=02001&amp;SDATE=200901&amp;PERIODTYPE=QTR_STD&amp;SCFT=3&amp;window=popup_no_bar&amp;width=385&amp;height=120&amp;START_MAXIMIZED=FALSE&amp;creator=factset&amp;display_string=Audit"}</definedName>
    <definedName name="_1092__FDSAUDITLINK__" hidden="1">{"fdsup://Directions/FactSet Auditing Viewer?action=AUDIT_VALUE&amp;DB=129&amp;ID1=59479310&amp;VALUEID=02001&amp;SDATE=200901&amp;PERIODTYPE=QTR_STD&amp;SCFT=3&amp;window=popup_no_bar&amp;width=385&amp;height=120&amp;START_MAXIMIZED=FALSE&amp;creator=factset&amp;display_string=Audit"}</definedName>
    <definedName name="_1093__FDSAUDITLINK__" hidden="1">{"fdsup://Directions/FactSet Auditing Viewer?action=AUDIT_VALUE&amp;DB=129&amp;ID1=50216110&amp;VALUEID=02001&amp;SDATE=200901&amp;PERIODTYPE=QTR_STD&amp;SCFT=3&amp;window=popup_no_bar&amp;width=385&amp;height=120&amp;START_MAXIMIZED=FALSE&amp;creator=factset&amp;display_string=Audit"}</definedName>
    <definedName name="_1094__FDSAUDITLINK__" hidden="1">{"fdsup://Directions/FactSet Auditing Viewer?action=AUDIT_VALUE&amp;DB=129&amp;ID1=50216110&amp;VALUEID=02001&amp;SDATE=200901&amp;PERIODTYPE=QTR_STD&amp;SCFT=3&amp;window=popup_no_bar&amp;width=385&amp;height=120&amp;START_MAXIMIZED=FALSE&amp;creator=factset&amp;display_string=Audit"}</definedName>
    <definedName name="_1095__FDSAUDITLINK__" hidden="1">{"fdsup://Directions/FactSet Auditing Viewer?action=AUDIT_VALUE&amp;DB=129&amp;ID1=51841510&amp;VALUEID=02001&amp;SDATE=200901&amp;PERIODTYPE=QTR_STD&amp;SCFT=3&amp;window=popup_no_bar&amp;width=385&amp;height=120&amp;START_MAXIMIZED=FALSE&amp;creator=factset&amp;display_string=Audit"}</definedName>
    <definedName name="_1096__FDSAUDITLINK__" hidden="1">{"fdsup://Directions/FactSet Auditing Viewer?action=AUDIT_VALUE&amp;DB=129&amp;ID1=51841510&amp;VALUEID=02001&amp;SDATE=200901&amp;PERIODTYPE=QTR_STD&amp;SCFT=3&amp;window=popup_no_bar&amp;width=385&amp;height=120&amp;START_MAXIMIZED=FALSE&amp;creator=factset&amp;display_string=Audit"}</definedName>
    <definedName name="_1097__FDSAUDITLINK__" hidden="1">{"fdsup://Directions/FactSet Auditing Viewer?action=AUDIT_VALUE&amp;DB=129&amp;ID1=51280710&amp;VALUEID=02001&amp;SDATE=200903&amp;PERIODTYPE=QTR_STD&amp;SCFT=3&amp;window=popup_no_bar&amp;width=385&amp;height=120&amp;START_MAXIMIZED=FALSE&amp;creator=factset&amp;display_string=Audit"}</definedName>
    <definedName name="_1098__FDSAUDITLINK__" hidden="1">{"fdsup://Directions/FactSet Auditing Viewer?action=AUDIT_VALUE&amp;DB=129&amp;ID1=51280710&amp;VALUEID=02001&amp;SDATE=200903&amp;PERIODTYPE=QTR_STD&amp;SCFT=3&amp;window=popup_no_bar&amp;width=385&amp;height=120&amp;START_MAXIMIZED=FALSE&amp;creator=factset&amp;display_string=Audit"}</definedName>
    <definedName name="_1099__FDSAUDITLINK__" hidden="1">{"fdsup://Directions/FactSet Auditing Viewer?action=AUDIT_VALUE&amp;DB=129&amp;ID1=53567810&amp;VALUEID=02001&amp;SDATE=200903&amp;PERIODTYPE=QTR_STD&amp;SCFT=3&amp;window=popup_no_bar&amp;width=385&amp;height=120&amp;START_MAXIMIZED=FALSE&amp;creator=factset&amp;display_string=Audit"}</definedName>
    <definedName name="_11__FDSAUDITLINK__" hidden="1">{"fdsup://Directions/FactSet Auditing Viewer?action=AUDIT_VALUE&amp;DB=129&amp;ID1=596233&amp;VALUEID=02001&amp;SDATE=201103&amp;PERIODTYPE=QTR_STD&amp;SCFT=3&amp;window=popup_no_bar&amp;width=385&amp;height=120&amp;START_MAXIMIZED=FALSE&amp;creator=factset&amp;display_string=Audit"}</definedName>
    <definedName name="_110__FDSAUDITLINK__" hidden="1">{"fdsup://Directions/FactSet Auditing Viewer?action=AUDIT_VALUE&amp;DB=129&amp;ID1=31561610&amp;VALUEID=02001&amp;SDATE=201102&amp;PERIODTYPE=QTR_STD&amp;SCFT=3&amp;window=popup_no_bar&amp;width=385&amp;height=120&amp;START_MAXIMIZED=FALSE&amp;creator=factset&amp;display_string=Audit"}</definedName>
    <definedName name="_1100__FDSAUDITLINK__" hidden="1">{"fdsup://Directions/FactSet Auditing Viewer?action=AUDIT_VALUE&amp;DB=129&amp;ID1=53567810&amp;VALUEID=02001&amp;SDATE=200903&amp;PERIODTYPE=QTR_STD&amp;SCFT=3&amp;window=popup_no_bar&amp;width=385&amp;height=120&amp;START_MAXIMIZED=FALSE&amp;creator=factset&amp;display_string=Audit"}</definedName>
    <definedName name="_1101__FDSAUDITLINK__" hidden="1">{"fdsup://Directions/FactSet Auditing Viewer?action=AUDIT_VALUE&amp;DB=129&amp;ID1=48248010&amp;VALUEID=02001&amp;SDATE=200903&amp;PERIODTYPE=QTR_STD&amp;SCFT=3&amp;window=popup_no_bar&amp;width=385&amp;height=120&amp;START_MAXIMIZED=FALSE&amp;creator=factset&amp;display_string=Audit"}</definedName>
    <definedName name="_1102__FDSAUDITLINK__" hidden="1">{"fdsup://Directions/FactSet Auditing Viewer?action=AUDIT_VALUE&amp;DB=129&amp;ID1=48248010&amp;VALUEID=02001&amp;SDATE=200903&amp;PERIODTYPE=QTR_STD&amp;SCFT=3&amp;window=popup_no_bar&amp;width=385&amp;height=120&amp;START_MAXIMIZED=FALSE&amp;creator=factset&amp;display_string=Audit"}</definedName>
    <definedName name="_1103__FDSAUDITLINK__" hidden="1">{"fdsup://Directions/FactSet Auditing Viewer?action=AUDIT_VALUE&amp;DB=129&amp;ID1=48203R10&amp;VALUEID=02001&amp;SDATE=200901&amp;PERIODTYPE=QTR_STD&amp;SCFT=3&amp;window=popup_no_bar&amp;width=385&amp;height=120&amp;START_MAXIMIZED=FALSE&amp;creator=factset&amp;display_string=Audit"}</definedName>
    <definedName name="_1104__FDSAUDITLINK__" hidden="1">{"fdsup://Directions/FactSet Auditing Viewer?action=AUDIT_VALUE&amp;DB=129&amp;ID1=48203R10&amp;VALUEID=02001&amp;SDATE=200901&amp;PERIODTYPE=QTR_STD&amp;SCFT=3&amp;window=popup_no_bar&amp;width=385&amp;height=120&amp;START_MAXIMIZED=FALSE&amp;creator=factset&amp;display_string=Audit"}</definedName>
    <definedName name="_1105__FDSAUDITLINK__" hidden="1">{"fdsup://Directions/FactSet Auditing Viewer?action=AUDIT_VALUE&amp;DB=129&amp;ID1=86681020&amp;VALUEID=02001&amp;SDATE=200903&amp;PERIODTYPE=QTR_STD&amp;SCFT=3&amp;window=popup_no_bar&amp;width=385&amp;height=120&amp;START_MAXIMIZED=FALSE&amp;creator=factset&amp;display_string=Audit"}</definedName>
    <definedName name="_1106__FDSAUDITLINK__" hidden="1">{"fdsup://Directions/FactSet Auditing Viewer?action=AUDIT_VALUE&amp;DB=129&amp;ID1=86681020&amp;VALUEID=02001&amp;SDATE=200903&amp;PERIODTYPE=QTR_STD&amp;SCFT=3&amp;window=popup_no_bar&amp;width=385&amp;height=120&amp;START_MAXIMIZED=FALSE&amp;creator=factset&amp;display_string=Audit"}</definedName>
    <definedName name="_1107__FDSAUDITLINK__" hidden="1">{"fdsup://Directions/FactSet Auditing Viewer?action=AUDIT_VALUE&amp;DB=129&amp;ID1=46069S10&amp;VALUEID=02001&amp;SDATE=200901&amp;PERIODTYPE=QTR_STD&amp;SCFT=3&amp;window=popup_no_bar&amp;width=385&amp;height=120&amp;START_MAXIMIZED=FALSE&amp;creator=factset&amp;display_string=Audit"}</definedName>
    <definedName name="_1108__FDSAUDITLINK__" hidden="1">{"fdsup://Directions/FactSet Auditing Viewer?action=AUDIT_VALUE&amp;DB=129&amp;ID1=46069S10&amp;VALUEID=02001&amp;SDATE=200901&amp;PERIODTYPE=QTR_STD&amp;SCFT=3&amp;window=popup_no_bar&amp;width=385&amp;height=120&amp;START_MAXIMIZED=FALSE&amp;creator=factset&amp;display_string=Audit"}</definedName>
    <definedName name="_1109__FDSAUDITLINK__" hidden="1">{"fdsup://Directions/FactSet Auditing Viewer?action=AUDIT_VALUE&amp;DB=129&amp;ID1=46025410&amp;VALUEID=02001&amp;SDATE=200903&amp;PERIODTYPE=QTR_STD&amp;SCFT=3&amp;window=popup_no_bar&amp;width=385&amp;height=120&amp;START_MAXIMIZED=FALSE&amp;creator=factset&amp;display_string=Audit"}</definedName>
    <definedName name="_111__FDSAUDITLINK__" hidden="1">{"fdsup://Directions/FactSet Auditing Viewer?action=AUDIT_VALUE&amp;DB=129&amp;ID1=29247520&amp;VALUEID=02001&amp;SDATE=201103&amp;PERIODTYPE=QTR_STD&amp;SCFT=3&amp;window=popup_no_bar&amp;width=385&amp;height=120&amp;START_MAXIMIZED=FALSE&amp;creator=factset&amp;display_string=Audit"}</definedName>
    <definedName name="_1110__FDSAUDITLINK__" hidden="1">{"fdsup://Directions/FactSet Auditing Viewer?action=AUDIT_VALUE&amp;DB=129&amp;ID1=46025410&amp;VALUEID=02001&amp;SDATE=200903&amp;PERIODTYPE=QTR_STD&amp;SCFT=3&amp;window=popup_no_bar&amp;width=385&amp;height=120&amp;START_MAXIMIZED=FALSE&amp;creator=factset&amp;display_string=Audit"}</definedName>
    <definedName name="_1111__FDSAUDITLINK__" hidden="1">{"fdsup://Directions/FactSet Auditing Viewer?action=AUDIT_VALUE&amp;DB=129&amp;ID1=45814010&amp;VALUEID=02001&amp;SDATE=200901&amp;PERIODTYPE=QTR_STD&amp;SCFT=3&amp;window=popup_no_bar&amp;width=385&amp;height=120&amp;START_MAXIMIZED=FALSE&amp;creator=factset&amp;display_string=Audit"}</definedName>
    <definedName name="_1112__FDSAUDITLINK__" hidden="1">{"fdsup://Directions/FactSet Auditing Viewer?action=AUDIT_VALUE&amp;DB=129&amp;ID1=45814010&amp;VALUEID=02001&amp;SDATE=200901&amp;PERIODTYPE=QTR_STD&amp;SCFT=3&amp;window=popup_no_bar&amp;width=385&amp;height=120&amp;START_MAXIMIZED=FALSE&amp;creator=factset&amp;display_string=Audit"}</definedName>
    <definedName name="_1113__FDSAUDITLINK__" hidden="1">{"fdsup://Directions/FactSet Auditing Viewer?action=AUDIT_VALUE&amp;DB=129&amp;ID1=42823610&amp;VALUEID=02001&amp;SDATE=200902&amp;PERIODTYPE=QTR_STD&amp;SCFT=3&amp;window=popup_no_bar&amp;width=385&amp;height=120&amp;START_MAXIMIZED=FALSE&amp;creator=factset&amp;display_string=Audit"}</definedName>
    <definedName name="_1114__FDSAUDITLINK__" hidden="1">{"fdsup://Directions/FactSet Auditing Viewer?action=AUDIT_VALUE&amp;DB=129&amp;ID1=42823610&amp;VALUEID=02001&amp;SDATE=200902&amp;PERIODTYPE=QTR_STD&amp;SCFT=3&amp;window=popup_no_bar&amp;width=385&amp;height=120&amp;START_MAXIMIZED=FALSE&amp;creator=factset&amp;display_string=Audit"}</definedName>
    <definedName name="_1115__FDSAUDITLINK__" hidden="1">{"fdsup://Directions/FactSet Auditing Viewer?action=AUDIT_VALUE&amp;DB=129&amp;ID1=H2906T10&amp;VALUEID=02001&amp;SDATE=200901&amp;PERIODTYPE=QTR_STD&amp;SCFT=3&amp;window=popup_no_bar&amp;width=385&amp;height=120&amp;START_MAXIMIZED=FALSE&amp;creator=factset&amp;display_string=Audit"}</definedName>
    <definedName name="_1116__FDSAUDITLINK__" hidden="1">{"fdsup://Directions/FactSet Auditing Viewer?action=AUDIT_VALUE&amp;DB=129&amp;ID1=H2906T10&amp;VALUEID=02001&amp;SDATE=200901&amp;PERIODTYPE=QTR_STD&amp;SCFT=3&amp;window=popup_no_bar&amp;width=385&amp;height=120&amp;START_MAXIMIZED=FALSE&amp;creator=factset&amp;display_string=Audit"}</definedName>
    <definedName name="_1117__FDSAUDITLINK__" hidden="1">{"fdsup://Directions/FactSet Auditing Viewer?action=AUDIT_VALUE&amp;DB=129&amp;ID1=34637510&amp;VALUEID=02001&amp;SDATE=200901&amp;PERIODTYPE=QTR_STD&amp;SCFT=3&amp;window=popup_no_bar&amp;width=385&amp;height=120&amp;START_MAXIMIZED=FALSE&amp;creator=factset&amp;display_string=Audit"}</definedName>
    <definedName name="_1118__FDSAUDITLINK__" hidden="1">{"fdsup://Directions/FactSet Auditing Viewer?action=AUDIT_VALUE&amp;DB=129&amp;ID1=34637510&amp;VALUEID=02001&amp;SDATE=200901&amp;PERIODTYPE=QTR_STD&amp;SCFT=3&amp;window=popup_no_bar&amp;width=385&amp;height=120&amp;START_MAXIMIZED=FALSE&amp;creator=factset&amp;display_string=Audit"}</definedName>
    <definedName name="_1119__FDSAUDITLINK__" hidden="1">{"fdsup://Directions/FactSet Auditing Viewer?action=AUDIT_VALUE&amp;DB=129&amp;ID1=31561610&amp;VALUEID=02001&amp;SDATE=200902&amp;PERIODTYPE=QTR_STD&amp;SCFT=3&amp;window=popup_no_bar&amp;width=385&amp;height=120&amp;START_MAXIMIZED=FALSE&amp;creator=factset&amp;display_string=Audit"}</definedName>
    <definedName name="_112__FDSAUDITLINK__" hidden="1">{"fdsup://Directions/FactSet Auditing Viewer?action=AUDIT_VALUE&amp;DB=129&amp;ID1=29247520&amp;VALUEID=02001&amp;SDATE=201103&amp;PERIODTYPE=QTR_STD&amp;SCFT=3&amp;window=popup_no_bar&amp;width=385&amp;height=120&amp;START_MAXIMIZED=FALSE&amp;creator=factset&amp;display_string=Audit"}</definedName>
    <definedName name="_1120__FDSAUDITLINK__" hidden="1">{"fdsup://Directions/FactSet Auditing Viewer?action=AUDIT_VALUE&amp;DB=129&amp;ID1=31561610&amp;VALUEID=02001&amp;SDATE=200902&amp;PERIODTYPE=QTR_STD&amp;SCFT=3&amp;window=popup_no_bar&amp;width=385&amp;height=120&amp;START_MAXIMIZED=FALSE&amp;creator=factset&amp;display_string=Audit"}</definedName>
    <definedName name="_1121__FDSAUDITLINK__" hidden="1">{"fdsup://Directions/FactSet Auditing Viewer?action=AUDIT_VALUE&amp;DB=129&amp;ID1=29247520&amp;VALUEID=02001&amp;SDATE=200903&amp;PERIODTYPE=QTR_STD&amp;SCFT=3&amp;window=popup_no_bar&amp;width=385&amp;height=120&amp;START_MAXIMIZED=FALSE&amp;creator=factset&amp;display_string=Audit"}</definedName>
    <definedName name="_1122__FDSAUDITLINK__" hidden="1">{"fdsup://Directions/FactSet Auditing Viewer?action=AUDIT_VALUE&amp;DB=129&amp;ID1=29247520&amp;VALUEID=02001&amp;SDATE=200903&amp;PERIODTYPE=QTR_STD&amp;SCFT=3&amp;window=popup_no_bar&amp;width=385&amp;height=120&amp;START_MAXIMIZED=FALSE&amp;creator=factset&amp;display_string=Audit"}</definedName>
    <definedName name="_1123__FDSAUDITLINK__" hidden="1">{"fdsup://Directions/FactSet Auditing Viewer?action=AUDIT_VALUE&amp;DB=129&amp;ID1=25454310&amp;VALUEID=02001&amp;SDATE=200901&amp;PERIODTYPE=QTR_STD&amp;SCFT=3&amp;window=popup_no_bar&amp;width=385&amp;height=120&amp;START_MAXIMIZED=FALSE&amp;creator=factset&amp;display_string=Audit"}</definedName>
    <definedName name="_1124__FDSAUDITLINK__" hidden="1">{"fdsup://Directions/FactSet Auditing Viewer?action=AUDIT_VALUE&amp;DB=129&amp;ID1=25454310&amp;VALUEID=02001&amp;SDATE=200901&amp;PERIODTYPE=QTR_STD&amp;SCFT=3&amp;window=popup_no_bar&amp;width=385&amp;height=120&amp;START_MAXIMIZED=FALSE&amp;creator=factset&amp;display_string=Audit"}</definedName>
    <definedName name="_1125__FDSAUDITLINK__" hidden="1">{"fdsup://Directions/FactSet Auditing Viewer?action=AUDIT_VALUE&amp;DB=129&amp;ID1=23257210&amp;VALUEID=02001&amp;SDATE=200901&amp;PERIODTYPE=QTR_STD&amp;SCFT=3&amp;window=popup_no_bar&amp;width=385&amp;height=120&amp;START_MAXIMIZED=FALSE&amp;creator=factset&amp;display_string=Audit"}</definedName>
    <definedName name="_1126__FDSAUDITLINK__" hidden="1">{"fdsup://Directions/FactSet Auditing Viewer?action=AUDIT_VALUE&amp;DB=129&amp;ID1=23257210&amp;VALUEID=02001&amp;SDATE=200901&amp;PERIODTYPE=QTR_STD&amp;SCFT=3&amp;window=popup_no_bar&amp;width=385&amp;height=120&amp;START_MAXIMIZED=FALSE&amp;creator=factset&amp;display_string=Audit"}</definedName>
    <definedName name="_1127__FDSAUDITLINK__" hidden="1">{"fdsup://Directions/FactSet Auditing Viewer?action=AUDIT_VALUE&amp;DB=129&amp;ID1=23280610&amp;VALUEID=02001&amp;SDATE=200901&amp;PERIODTYPE=QTR_STD&amp;SCFT=3&amp;window=popup_no_bar&amp;width=385&amp;height=120&amp;START_MAXIMIZED=FALSE&amp;creator=factset&amp;display_string=Audit"}</definedName>
    <definedName name="_1128__FDSAUDITLINK__" hidden="1">{"fdsup://Directions/FactSet Auditing Viewer?action=AUDIT_VALUE&amp;DB=129&amp;ID1=23280610&amp;VALUEID=02001&amp;SDATE=200901&amp;PERIODTYPE=QTR_STD&amp;SCFT=3&amp;window=popup_no_bar&amp;width=385&amp;height=120&amp;START_MAXIMIZED=FALSE&amp;creator=factset&amp;display_string=Audit"}</definedName>
    <definedName name="_1129__FDSAUDITLINK__" hidden="1">{"fdsup://Directions/FactSet Auditing Viewer?action=AUDIT_VALUE&amp;DB=129&amp;ID1=17275R10&amp;VALUEID=02001&amp;SDATE=200903&amp;PERIODTYPE=QTR_STD&amp;SCFT=3&amp;window=popup_no_bar&amp;width=385&amp;height=120&amp;START_MAXIMIZED=FALSE&amp;creator=factset&amp;display_string=Audit"}</definedName>
    <definedName name="_113__FDSAUDITLINK__" hidden="1">{"fdsup://Directions/FactSet Auditing Viewer?action=AUDIT_VALUE&amp;DB=129&amp;ID1=25454310&amp;VALUEID=02001&amp;SDATE=201101&amp;PERIODTYPE=QTR_STD&amp;SCFT=3&amp;window=popup_no_bar&amp;width=385&amp;height=120&amp;START_MAXIMIZED=FALSE&amp;creator=factset&amp;display_string=Audit"}</definedName>
    <definedName name="_1130__FDSAUDITLINK__" hidden="1">{"fdsup://Directions/FactSet Auditing Viewer?action=AUDIT_VALUE&amp;DB=129&amp;ID1=17275R10&amp;VALUEID=02001&amp;SDATE=200903&amp;PERIODTYPE=QTR_STD&amp;SCFT=3&amp;window=popup_no_bar&amp;width=385&amp;height=120&amp;START_MAXIMIZED=FALSE&amp;creator=factset&amp;display_string=Audit"}</definedName>
    <definedName name="_1131__FDSAUDITLINK__" hidden="1">{"fdsup://Directions/FactSet Auditing Viewer?action=AUDIT_VALUE&amp;DB=129&amp;ID1=22544710&amp;VALUEID=02001&amp;SDATE=200903&amp;PERIODTYPE=QTR_STD&amp;SCFT=3&amp;window=popup_no_bar&amp;width=385&amp;height=120&amp;START_MAXIMIZED=FALSE&amp;creator=factset&amp;display_string=Audit"}</definedName>
    <definedName name="_1132__FDSAUDITLINK__" hidden="1">{"fdsup://Directions/FactSet Auditing Viewer?action=AUDIT_VALUE&amp;DB=129&amp;ID1=22544710&amp;VALUEID=02001&amp;SDATE=200903&amp;PERIODTYPE=QTR_STD&amp;SCFT=3&amp;window=popup_no_bar&amp;width=385&amp;height=120&amp;START_MAXIMIZED=FALSE&amp;creator=factset&amp;display_string=Audit"}</definedName>
    <definedName name="_1133__FDSAUDITLINK__" hidden="1">{"fdsup://Directions/FactSet Auditing Viewer?action=AUDIT_VALUE&amp;DB=129&amp;ID1=20714230&amp;VALUEID=02001&amp;SDATE=200902&amp;PERIODTYPE=QTR_STD&amp;SCFT=3&amp;window=popup_no_bar&amp;width=385&amp;height=120&amp;START_MAXIMIZED=FALSE&amp;creator=factset&amp;display_string=Audit"}</definedName>
    <definedName name="_1134__FDSAUDITLINK__" hidden="1">{"fdsup://Directions/FactSet Auditing Viewer?action=AUDIT_VALUE&amp;DB=129&amp;ID1=20714230&amp;VALUEID=02001&amp;SDATE=200902&amp;PERIODTYPE=QTR_STD&amp;SCFT=3&amp;window=popup_no_bar&amp;width=385&amp;height=120&amp;START_MAXIMIZED=FALSE&amp;creator=factset&amp;display_string=Audit"}</definedName>
    <definedName name="_1135__FDSAUDITLINK__" hidden="1">{"fdsup://Directions/FactSet Auditing Viewer?action=AUDIT_VALUE&amp;DB=129&amp;ID1=12738710&amp;VALUEID=02001&amp;SDATE=200901&amp;PERIODTYPE=QTR_STD&amp;SCFT=3&amp;window=popup_no_bar&amp;width=385&amp;height=120&amp;START_MAXIMIZED=FALSE&amp;creator=factset&amp;display_string=Audit"}</definedName>
    <definedName name="_1136__FDSAUDITLINK__" hidden="1">{"fdsup://Directions/FactSet Auditing Viewer?action=AUDIT_VALUE&amp;DB=129&amp;ID1=12738710&amp;VALUEID=02001&amp;SDATE=200901&amp;PERIODTYPE=QTR_STD&amp;SCFT=3&amp;window=popup_no_bar&amp;width=385&amp;height=120&amp;START_MAXIMIZED=FALSE&amp;creator=factset&amp;display_string=Audit"}</definedName>
    <definedName name="_1137__FDSAUDITLINK__" hidden="1">{"fdsup://Directions/FactSet Auditing Viewer?action=AUDIT_VALUE&amp;DB=129&amp;ID1=14964U10&amp;VALUEID=02001&amp;SDATE=200901&amp;PERIODTYPE=QTR_STD&amp;SCFT=3&amp;window=popup_no_bar&amp;width=385&amp;height=120&amp;START_MAXIMIZED=FALSE&amp;creator=factset&amp;display_string=Audit"}</definedName>
    <definedName name="_1138__FDSAUDITLINK__" hidden="1">{"fdsup://Directions/FactSet Auditing Viewer?action=AUDIT_VALUE&amp;DB=129&amp;ID1=14964U10&amp;VALUEID=02001&amp;SDATE=200901&amp;PERIODTYPE=QTR_STD&amp;SCFT=3&amp;window=popup_no_bar&amp;width=385&amp;height=120&amp;START_MAXIMIZED=FALSE&amp;creator=factset&amp;display_string=Audit"}</definedName>
    <definedName name="_1139__FDSAUDITLINK__" hidden="1">{"fdsup://Directions/FactSet Auditing Viewer?action=AUDIT_VALUE&amp;DB=129&amp;ID1=11162130&amp;VALUEID=02001&amp;SDATE=200902&amp;PERIODTYPE=QTR_STD&amp;SCFT=3&amp;window=popup_no_bar&amp;width=385&amp;height=120&amp;START_MAXIMIZED=FALSE&amp;creator=factset&amp;display_string=Audit"}</definedName>
    <definedName name="_114__FDSAUDITLINK__" hidden="1">{"fdsup://Directions/FactSet Auditing Viewer?action=AUDIT_VALUE&amp;DB=129&amp;ID1=25454310&amp;VALUEID=02001&amp;SDATE=201101&amp;PERIODTYPE=QTR_STD&amp;SCFT=3&amp;window=popup_no_bar&amp;width=385&amp;height=120&amp;START_MAXIMIZED=FALSE&amp;creator=factset&amp;display_string=Audit"}</definedName>
    <definedName name="_1140__FDSAUDITLINK__" hidden="1">{"fdsup://Directions/FactSet Auditing Viewer?action=AUDIT_VALUE&amp;DB=129&amp;ID1=11162130&amp;VALUEID=02001&amp;SDATE=200902&amp;PERIODTYPE=QTR_STD&amp;SCFT=3&amp;window=popup_no_bar&amp;width=385&amp;height=120&amp;START_MAXIMIZED=FALSE&amp;creator=factset&amp;display_string=Audit"}</definedName>
    <definedName name="_1141__FDSAUDITLINK__" hidden="1">{"fdsup://Directions/FactSet Auditing Viewer?action=AUDIT_VALUE&amp;DB=129&amp;ID1=Y0486S10&amp;VALUEID=02001&amp;SDATE=200902&amp;PERIODTYPE=QTR_STD&amp;SCFT=3&amp;window=popup_no_bar&amp;width=385&amp;height=120&amp;START_MAXIMIZED=FALSE&amp;creator=factset&amp;display_string=Audit"}</definedName>
    <definedName name="_1142__FDSAUDITLINK__" hidden="1">{"fdsup://Directions/FactSet Auditing Viewer?action=AUDIT_VALUE&amp;DB=129&amp;ID1=Y0486S10&amp;VALUEID=02001&amp;SDATE=200902&amp;PERIODTYPE=QTR_STD&amp;SCFT=3&amp;window=popup_no_bar&amp;width=385&amp;height=120&amp;START_MAXIMIZED=FALSE&amp;creator=factset&amp;display_string=Audit"}</definedName>
    <definedName name="_1143__FDSAUDITLINK__" hidden="1">{"fdsup://Directions/FactSet Auditing Viewer?action=AUDIT_VALUE&amp;DB=129&amp;ID1=04743P10&amp;VALUEID=02001&amp;SDATE=200901&amp;PERIODTYPE=QTR_STD&amp;SCFT=3&amp;window=popup_no_bar&amp;width=385&amp;height=120&amp;START_MAXIMIZED=FALSE&amp;creator=factset&amp;display_string=Audit"}</definedName>
    <definedName name="_1144__FDSAUDITLINK__" hidden="1">{"fdsup://Directions/FactSet Auditing Viewer?action=AUDIT_VALUE&amp;DB=129&amp;ID1=04743P10&amp;VALUEID=02001&amp;SDATE=200901&amp;PERIODTYPE=QTR_STD&amp;SCFT=3&amp;window=popup_no_bar&amp;width=385&amp;height=120&amp;START_MAXIMIZED=FALSE&amp;creator=factset&amp;display_string=Audit"}</definedName>
    <definedName name="_1145__FDSAUDITLINK__" hidden="1">{"fdsup://Directions/FactSet Auditing Viewer?action=AUDIT_VALUE&amp;DB=129&amp;ID1=03251510&amp;VALUEID=02001&amp;SDATE=200901&amp;PERIODTYPE=QTR_STD&amp;SCFT=3&amp;window=popup_no_bar&amp;width=385&amp;height=120&amp;START_MAXIMIZED=FALSE&amp;creator=factset&amp;display_string=Audit"}</definedName>
    <definedName name="_1146__FDSAUDITLINK__" hidden="1">{"fdsup://Directions/FactSet Auditing Viewer?action=AUDIT_VALUE&amp;DB=129&amp;ID1=03251510&amp;VALUEID=02001&amp;SDATE=200901&amp;PERIODTYPE=QTR_STD&amp;SCFT=3&amp;window=popup_no_bar&amp;width=385&amp;height=120&amp;START_MAXIMIZED=FALSE&amp;creator=factset&amp;display_string=Audit"}</definedName>
    <definedName name="_1147__FDSAUDITLINK__" hidden="1">{"fdsup://Directions/FactSet Auditing Viewer?action=AUDIT_VALUE&amp;DB=129&amp;ID1=00790310&amp;VALUEID=02001&amp;SDATE=200901&amp;PERIODTYPE=QTR_STD&amp;SCFT=3&amp;window=popup_no_bar&amp;width=385&amp;height=120&amp;START_MAXIMIZED=FALSE&amp;creator=factset&amp;display_string=Audit"}</definedName>
    <definedName name="_1148__FDSAUDITLINK__" hidden="1">{"fdsup://Directions/FactSet Auditing Viewer?action=AUDIT_VALUE&amp;DB=129&amp;ID1=00790310&amp;VALUEID=02001&amp;SDATE=200901&amp;PERIODTYPE=QTR_STD&amp;SCFT=3&amp;window=popup_no_bar&amp;width=385&amp;height=120&amp;START_MAXIMIZED=FALSE&amp;creator=factset&amp;display_string=Audit"}</definedName>
    <definedName name="_1149__FDSAUDITLINK__" hidden="1">{"fdsup://Directions/FactSet Auditing Viewer?action=AUDIT_VALUE&amp;DB=129&amp;ID1=02144110&amp;VALUEID=02001&amp;SDATE=200901&amp;PERIODTYPE=QTR_STD&amp;SCFT=3&amp;window=popup_no_bar&amp;width=385&amp;height=120&amp;START_MAXIMIZED=FALSE&amp;creator=factset&amp;display_string=Audit"}</definedName>
    <definedName name="_115__FDSAUDITLINK__" hidden="1">{"fdsup://Directions/FactSet Auditing Viewer?action=AUDIT_VALUE&amp;DB=129&amp;ID1=24702R10&amp;VALUEID=02001&amp;SDATE=201101&amp;PERIODTYPE=QTR_STD&amp;SCFT=3&amp;window=popup_no_bar&amp;width=385&amp;height=120&amp;START_MAXIMIZED=FALSE&amp;creator=factset&amp;display_string=Audit"}</definedName>
    <definedName name="_1150__FDSAUDITLINK__" hidden="1">{"fdsup://Directions/FactSet Auditing Viewer?action=AUDIT_VALUE&amp;DB=129&amp;ID1=02144110&amp;VALUEID=02001&amp;SDATE=200901&amp;PERIODTYPE=QTR_STD&amp;SCFT=3&amp;window=popup_no_bar&amp;width=385&amp;height=120&amp;START_MAXIMIZED=FALSE&amp;creator=factset&amp;display_string=Audit"}</definedName>
    <definedName name="_1151__FDSAUDITLINK__" hidden="1">{"fdsup://Directions/FactSet Auditing Viewer?action=AUDIT_VALUE&amp;DB=129&amp;ID1=00752J10&amp;VALUEID=02001&amp;SDATE=200901&amp;PERIODTYPE=QTR_STD&amp;SCFT=3&amp;window=popup_no_bar&amp;width=385&amp;height=120&amp;START_MAXIMIZED=FALSE&amp;creator=factset&amp;display_string=Audit"}</definedName>
    <definedName name="_1152__FDSAUDITLINK__" hidden="1">{"fdsup://Directions/FactSet Auditing Viewer?action=AUDIT_VALUE&amp;DB=129&amp;ID1=00752J10&amp;VALUEID=02001&amp;SDATE=200901&amp;PERIODTYPE=QTR_STD&amp;SCFT=3&amp;window=popup_no_bar&amp;width=385&amp;height=120&amp;START_MAXIMIZED=FALSE&amp;creator=factset&amp;display_string=Audit"}</definedName>
    <definedName name="_1153__FDSAUDITLINK__" hidden="1">{"fdsup://Directions/FactSet Auditing Viewer?action=AUDIT_VALUE&amp;DB=129&amp;ID1=98391910&amp;VALUEID=02001&amp;SDATE=200803&amp;PERIODTYPE=QTR_STD&amp;SCFT=3&amp;window=popup_no_bar&amp;width=385&amp;height=120&amp;START_MAXIMIZED=FALSE&amp;creator=factset&amp;display_string=Audit"}</definedName>
    <definedName name="_1154__FDSAUDITLINK__" hidden="1">{"fdsup://Directions/FactSet Auditing Viewer?action=AUDIT_VALUE&amp;DB=129&amp;ID1=98391910&amp;VALUEID=02001&amp;SDATE=200803&amp;PERIODTYPE=QTR_STD&amp;SCFT=3&amp;window=popup_no_bar&amp;width=385&amp;height=120&amp;START_MAXIMIZED=FALSE&amp;creator=factset&amp;display_string=Audit"}</definedName>
    <definedName name="_1155__FDSAUDITLINK__" hidden="1">{"fdsup://Directions/FactSet Auditing Viewer?action=AUDIT_VALUE&amp;DB=129&amp;ID1=95810210&amp;VALUEID=02001&amp;SDATE=200902&amp;PERIODTYPE=QTR_STD&amp;SCFT=3&amp;window=popup_no_bar&amp;width=385&amp;height=120&amp;START_MAXIMIZED=FALSE&amp;creator=factset&amp;display_string=Audit"}</definedName>
    <definedName name="_1156__FDSAUDITLINK__" hidden="1">{"fdsup://Directions/FactSet Auditing Viewer?action=AUDIT_VALUE&amp;DB=129&amp;ID1=95810210&amp;VALUEID=02001&amp;SDATE=200902&amp;PERIODTYPE=QTR_STD&amp;SCFT=3&amp;window=popup_no_bar&amp;width=385&amp;height=120&amp;START_MAXIMIZED=FALSE&amp;creator=factset&amp;display_string=Audit"}</definedName>
    <definedName name="_1157__FDSAUDITLINK__" hidden="1">{"fdsup://Directions/FactSet Auditing Viewer?action=AUDIT_VALUE&amp;DB=129&amp;ID1=92849730&amp;VALUEID=02001&amp;SDATE=200901&amp;PERIODTYPE=QTR_STD&amp;SCFT=3&amp;window=popup_no_bar&amp;width=385&amp;height=120&amp;START_MAXIMIZED=FALSE&amp;creator=factset&amp;display_string=Audit"}</definedName>
    <definedName name="_1158__FDSAUDITLINK__" hidden="1">{"fdsup://Directions/FactSet Auditing Viewer?action=AUDIT_VALUE&amp;DB=129&amp;ID1=92849730&amp;VALUEID=02001&amp;SDATE=200901&amp;PERIODTYPE=QTR_STD&amp;SCFT=3&amp;window=popup_no_bar&amp;width=385&amp;height=120&amp;START_MAXIMIZED=FALSE&amp;creator=factset&amp;display_string=Audit"}</definedName>
    <definedName name="_1159__FDSAUDITLINK__" hidden="1">{"fdsup://Directions/FactSet Auditing Viewer?action=AUDIT_VALUE&amp;DB=129&amp;ID1=83088M10&amp;VALUEID=02001&amp;SDATE=200901&amp;PERIODTYPE=QTR_STD&amp;SCFT=3&amp;window=popup_no_bar&amp;width=385&amp;height=120&amp;START_MAXIMIZED=FALSE&amp;creator=factset&amp;display_string=Audit"}</definedName>
    <definedName name="_116__FDSAUDITLINK__" hidden="1">{"fdsup://Directions/FactSet Auditing Viewer?action=AUDIT_VALUE&amp;DB=129&amp;ID1=24702R10&amp;VALUEID=02001&amp;SDATE=201101&amp;PERIODTYPE=QTR_STD&amp;SCFT=3&amp;window=popup_no_bar&amp;width=385&amp;height=120&amp;START_MAXIMIZED=FALSE&amp;creator=factset&amp;display_string=Audit"}</definedName>
    <definedName name="_1160__FDSAUDITLINK__" hidden="1">{"fdsup://Directions/FactSet Auditing Viewer?action=AUDIT_VALUE&amp;DB=129&amp;ID1=83088M10&amp;VALUEID=02001&amp;SDATE=200901&amp;PERIODTYPE=QTR_STD&amp;SCFT=3&amp;window=popup_no_bar&amp;width=385&amp;height=120&amp;START_MAXIMIZED=FALSE&amp;creator=factset&amp;display_string=Audit"}</definedName>
    <definedName name="_1161__FDSAUDITLINK__" hidden="1">{"fdsup://Directions/FactSet Auditing Viewer?action=AUDIT_VALUE&amp;DB=129&amp;ID1=G7945M10&amp;VALUEID=02001&amp;SDATE=200902&amp;PERIODTYPE=QTR_STD&amp;SCFT=3&amp;window=popup_no_bar&amp;width=385&amp;height=120&amp;START_MAXIMIZED=FALSE&amp;creator=factset&amp;display_string=Audit"}</definedName>
    <definedName name="_1162__FDSAUDITLINK__" hidden="1">{"fdsup://Directions/FactSet Auditing Viewer?action=AUDIT_VALUE&amp;DB=129&amp;ID1=G7945M10&amp;VALUEID=02001&amp;SDATE=200902&amp;PERIODTYPE=QTR_STD&amp;SCFT=3&amp;window=popup_no_bar&amp;width=385&amp;height=120&amp;START_MAXIMIZED=FALSE&amp;creator=factset&amp;display_string=Audit"}</definedName>
    <definedName name="_1163__FDSAUDITLINK__" hidden="1">{"fdsup://Directions/FactSet Auditing Viewer?action=AUDIT_VALUE&amp;DB=129&amp;ID1=87160710&amp;VALUEID=02001&amp;SDATE=200901&amp;PERIODTYPE=QTR_STD&amp;SCFT=3&amp;window=popup_no_bar&amp;width=385&amp;height=120&amp;START_MAXIMIZED=FALSE&amp;creator=factset&amp;display_string=Audit"}</definedName>
    <definedName name="_1164__FDSAUDITLINK__" hidden="1">{"fdsup://Directions/FactSet Auditing Viewer?action=AUDIT_VALUE&amp;DB=129&amp;ID1=87160710&amp;VALUEID=02001&amp;SDATE=200901&amp;PERIODTYPE=QTR_STD&amp;SCFT=3&amp;window=popup_no_bar&amp;width=385&amp;height=120&amp;START_MAXIMIZED=FALSE&amp;creator=factset&amp;display_string=Audit"}</definedName>
    <definedName name="_1165__FDSAUDITLINK__" hidden="1">{"fdsup://Directions/FactSet Auditing Viewer?action=AUDIT_VALUE&amp;DB=129&amp;ID1=74994110&amp;VALUEID=02001&amp;SDATE=200803&amp;PERIODTYPE=QTR_STD&amp;SCFT=3&amp;window=popup_no_bar&amp;width=385&amp;height=120&amp;START_MAXIMIZED=FALSE&amp;creator=factset&amp;display_string=Audit"}</definedName>
    <definedName name="_1166__FDSAUDITLINK__" hidden="1">{"fdsup://Directions/FactSet Auditing Viewer?action=AUDIT_VALUE&amp;DB=129&amp;ID1=74994110&amp;VALUEID=02001&amp;SDATE=200803&amp;PERIODTYPE=QTR_STD&amp;SCFT=3&amp;window=popup_no_bar&amp;width=385&amp;height=120&amp;START_MAXIMIZED=FALSE&amp;creator=factset&amp;display_string=Audit"}</definedName>
    <definedName name="_1167__FDSAUDITLINK__" hidden="1">{"fdsup://Directions/FactSet Auditing Viewer?action=AUDIT_VALUE&amp;DB=129&amp;ID1=74727710&amp;VALUEID=02001&amp;SDATE=200803&amp;PERIODTYPE=QTR_STD&amp;SCFT=3&amp;window=popup_no_bar&amp;width=385&amp;height=120&amp;START_MAXIMIZED=FALSE&amp;creator=factset&amp;display_string=Audit"}</definedName>
    <definedName name="_1168__FDSAUDITLINK__" hidden="1">{"fdsup://Directions/FactSet Auditing Viewer?action=AUDIT_VALUE&amp;DB=129&amp;ID1=74727710&amp;VALUEID=02001&amp;SDATE=200803&amp;PERIODTYPE=QTR_STD&amp;SCFT=3&amp;window=popup_no_bar&amp;width=385&amp;height=120&amp;START_MAXIMIZED=FALSE&amp;creator=factset&amp;display_string=Audit"}</definedName>
    <definedName name="_1169__FDSAUDITLINK__" hidden="1">{"fdsup://Directions/FactSet Auditing Viewer?action=AUDIT_VALUE&amp;DB=129&amp;ID1=74752510&amp;VALUEID=02001&amp;SDATE=200901&amp;PERIODTYPE=QTR_STD&amp;SCFT=3&amp;window=popup_no_bar&amp;width=385&amp;height=120&amp;START_MAXIMIZED=FALSE&amp;creator=factset&amp;display_string=Audit"}</definedName>
    <definedName name="_117__FDSAUDITLINK__" hidden="1">{"fdsup://Directions/FactSet Auditing Viewer?action=AUDIT_VALUE&amp;DB=129&amp;ID1=23257210&amp;VALUEID=02001&amp;SDATE=201101&amp;PERIODTYPE=QTR_STD&amp;SCFT=3&amp;window=popup_no_bar&amp;width=385&amp;height=120&amp;START_MAXIMIZED=FALSE&amp;creator=factset&amp;display_string=Audit"}</definedName>
    <definedName name="_1170__FDSAUDITLINK__" hidden="1">{"fdsup://Directions/FactSet Auditing Viewer?action=AUDIT_VALUE&amp;DB=129&amp;ID1=74752510&amp;VALUEID=02001&amp;SDATE=200901&amp;PERIODTYPE=QTR_STD&amp;SCFT=3&amp;window=popup_no_bar&amp;width=385&amp;height=120&amp;START_MAXIMIZED=FALSE&amp;creator=factset&amp;display_string=Audit"}</definedName>
    <definedName name="_1171__FDSAUDITLINK__" hidden="1">{"fdsup://Directions/FactSet Auditing Viewer?action=AUDIT_VALUE&amp;DB=129&amp;ID1=B505PN&amp;VALUEID=02001&amp;SDATE=200804&amp;PERIODTYPE=QTR_STD&amp;SCFT=3&amp;window=popup_no_bar&amp;width=385&amp;height=120&amp;START_MAXIMIZED=FALSE&amp;creator=factset&amp;display_string=Audit"}</definedName>
    <definedName name="_1172__FDSAUDITLINK__" hidden="1">{"fdsup://Directions/FactSet Auditing Viewer?action=AUDIT_VALUE&amp;DB=129&amp;ID1=B505PN&amp;VALUEID=02001&amp;SDATE=200804&amp;PERIODTYPE=QTR_STD&amp;SCFT=3&amp;window=popup_no_bar&amp;width=385&amp;height=120&amp;START_MAXIMIZED=FALSE&amp;creator=factset&amp;display_string=Audit"}</definedName>
    <definedName name="_1173__FDSAUDITLINK__" hidden="1">{"fdsup://Directions/FactSet Auditing Viewer?action=AUDIT_VALUE&amp;DB=129&amp;ID1=63764010&amp;VALUEID=02001&amp;SDATE=200802&amp;PERIODTYPE=QTR_STD&amp;SCFT=3&amp;window=popup_no_bar&amp;width=385&amp;height=120&amp;START_MAXIMIZED=FALSE&amp;creator=factset&amp;display_string=Audit"}</definedName>
    <definedName name="_1174__FDSAUDITLINK__" hidden="1">{"fdsup://Directions/FactSet Auditing Viewer?action=AUDIT_VALUE&amp;DB=129&amp;ID1=63764010&amp;VALUEID=02001&amp;SDATE=200802&amp;PERIODTYPE=QTR_STD&amp;SCFT=3&amp;window=popup_no_bar&amp;width=385&amp;height=120&amp;START_MAXIMIZED=FALSE&amp;creator=factset&amp;display_string=Audit"}</definedName>
    <definedName name="_1175__FDSAUDITLINK__" hidden="1">{"fdsup://Directions/FactSet Auditing Viewer?action=AUDIT_VALUE&amp;DB=129&amp;ID1=57772K10&amp;VALUEID=02001&amp;SDATE=200902&amp;PERIODTYPE=QTR_STD&amp;SCFT=3&amp;window=popup_no_bar&amp;width=385&amp;height=120&amp;START_MAXIMIZED=FALSE&amp;creator=factset&amp;display_string=Audit"}</definedName>
    <definedName name="_1176__FDSAUDITLINK__" hidden="1">{"fdsup://Directions/FactSet Auditing Viewer?action=AUDIT_VALUE&amp;DB=129&amp;ID1=57772K10&amp;VALUEID=02001&amp;SDATE=200902&amp;PERIODTYPE=QTR_STD&amp;SCFT=3&amp;window=popup_no_bar&amp;width=385&amp;height=120&amp;START_MAXIMIZED=FALSE&amp;creator=factset&amp;display_string=Audit"}</definedName>
    <definedName name="_1177__FDSAUDITLINK__" hidden="1">{"fdsup://Directions/FactSet Auditing Viewer?action=AUDIT_VALUE&amp;DB=129&amp;ID1=59511210&amp;VALUEID=02001&amp;SDATE=200901&amp;PERIODTYPE=QTR_STD&amp;SCFT=3&amp;window=popup_no_bar&amp;width=385&amp;height=120&amp;START_MAXIMIZED=FALSE&amp;creator=factset&amp;display_string=Audit"}</definedName>
    <definedName name="_1178__FDSAUDITLINK__" hidden="1">{"fdsup://Directions/FactSet Auditing Viewer?action=AUDIT_VALUE&amp;DB=129&amp;ID1=59511210&amp;VALUEID=02001&amp;SDATE=200901&amp;PERIODTYPE=QTR_STD&amp;SCFT=3&amp;window=popup_no_bar&amp;width=385&amp;height=120&amp;START_MAXIMIZED=FALSE&amp;creator=factset&amp;display_string=Audit"}</definedName>
    <definedName name="_1179__FDSAUDITLINK__" hidden="1">{"fdsup://Directions/FactSet Auditing Viewer?action=AUDIT_VALUE&amp;DB=129&amp;ID1=59513710&amp;VALUEID=02001&amp;SDATE=200901&amp;PERIODTYPE=QTR_STD&amp;SCFT=3&amp;window=popup_no_bar&amp;width=385&amp;height=120&amp;START_MAXIMIZED=FALSE&amp;creator=factset&amp;display_string=Audit"}</definedName>
    <definedName name="_118__FDSAUDITLINK__" hidden="1">{"fdsup://Directions/FactSet Auditing Viewer?action=AUDIT_VALUE&amp;DB=129&amp;ID1=23257210&amp;VALUEID=02001&amp;SDATE=201101&amp;PERIODTYPE=QTR_STD&amp;SCFT=3&amp;window=popup_no_bar&amp;width=385&amp;height=120&amp;START_MAXIMIZED=FALSE&amp;creator=factset&amp;display_string=Audit"}</definedName>
    <definedName name="_1180__FDSAUDITLINK__" hidden="1">{"fdsup://Directions/FactSet Auditing Viewer?action=AUDIT_VALUE&amp;DB=129&amp;ID1=59513710&amp;VALUEID=02001&amp;SDATE=200901&amp;PERIODTYPE=QTR_STD&amp;SCFT=3&amp;window=popup_no_bar&amp;width=385&amp;height=120&amp;START_MAXIMIZED=FALSE&amp;creator=factset&amp;display_string=Audit"}</definedName>
    <definedName name="_1181__FDSAUDITLINK__" hidden="1">{"fdsup://Directions/FactSet Auditing Viewer?action=AUDIT_VALUE&amp;DB=129&amp;ID1=59501710&amp;VALUEID=02001&amp;SDATE=200803&amp;PERIODTYPE=QTR_STD&amp;SCFT=3&amp;window=popup_no_bar&amp;width=385&amp;height=120&amp;START_MAXIMIZED=FALSE&amp;creator=factset&amp;display_string=Audit"}</definedName>
    <definedName name="_1182__FDSAUDITLINK__" hidden="1">{"fdsup://Directions/FactSet Auditing Viewer?action=AUDIT_VALUE&amp;DB=129&amp;ID1=59501710&amp;VALUEID=02001&amp;SDATE=200803&amp;PERIODTYPE=QTR_STD&amp;SCFT=3&amp;window=popup_no_bar&amp;width=385&amp;height=120&amp;START_MAXIMIZED=FALSE&amp;creator=factset&amp;display_string=Audit"}</definedName>
    <definedName name="_1183__FDSAUDITLINK__" hidden="1">{"fdsup://Directions/FactSet Auditing Viewer?action=AUDIT_VALUE&amp;DB=129&amp;ID1=51280710&amp;VALUEID=02001&amp;SDATE=200902&amp;PERIODTYPE=QTR_STD&amp;SCFT=3&amp;window=popup_no_bar&amp;width=385&amp;height=120&amp;START_MAXIMIZED=FALSE&amp;creator=factset&amp;display_string=Audit"}</definedName>
    <definedName name="_1184__FDSAUDITLINK__" hidden="1">{"fdsup://Directions/FactSet Auditing Viewer?action=AUDIT_VALUE&amp;DB=129&amp;ID1=51280710&amp;VALUEID=02001&amp;SDATE=200902&amp;PERIODTYPE=QTR_STD&amp;SCFT=3&amp;window=popup_no_bar&amp;width=385&amp;height=120&amp;START_MAXIMIZED=FALSE&amp;creator=factset&amp;display_string=Audit"}</definedName>
    <definedName name="_1185__FDSAUDITLINK__" hidden="1">{"fdsup://Directions/FactSet Auditing Viewer?action=AUDIT_VALUE&amp;DB=129&amp;ID1=53567810&amp;VALUEID=02001&amp;SDATE=200902&amp;PERIODTYPE=QTR_STD&amp;SCFT=3&amp;window=popup_no_bar&amp;width=385&amp;height=120&amp;START_MAXIMIZED=FALSE&amp;creator=factset&amp;display_string=Audit"}</definedName>
    <definedName name="_1186__FDSAUDITLINK__" hidden="1">{"fdsup://Directions/FactSet Auditing Viewer?action=AUDIT_VALUE&amp;DB=129&amp;ID1=53567810&amp;VALUEID=02001&amp;SDATE=200902&amp;PERIODTYPE=QTR_STD&amp;SCFT=3&amp;window=popup_no_bar&amp;width=385&amp;height=120&amp;START_MAXIMIZED=FALSE&amp;creator=factset&amp;display_string=Audit"}</definedName>
    <definedName name="_1187__FDSAUDITLINK__" hidden="1">{"fdsup://Directions/FactSet Auditing Viewer?action=AUDIT_VALUE&amp;DB=129&amp;ID1=48248010&amp;VALUEID=02001&amp;SDATE=200902&amp;PERIODTYPE=QTR_STD&amp;SCFT=3&amp;window=popup_no_bar&amp;width=385&amp;height=120&amp;START_MAXIMIZED=FALSE&amp;creator=factset&amp;display_string=Audit"}</definedName>
    <definedName name="_1188__FDSAUDITLINK__" hidden="1">{"fdsup://Directions/FactSet Auditing Viewer?action=AUDIT_VALUE&amp;DB=129&amp;ID1=48248010&amp;VALUEID=02001&amp;SDATE=200902&amp;PERIODTYPE=QTR_STD&amp;SCFT=3&amp;window=popup_no_bar&amp;width=385&amp;height=120&amp;START_MAXIMIZED=FALSE&amp;creator=factset&amp;display_string=Audit"}</definedName>
    <definedName name="_1189__FDSAUDITLINK__" hidden="1">{"fdsup://Directions/FactSet Auditing Viewer?action=AUDIT_VALUE&amp;DB=129&amp;ID1=48836020&amp;VALUEID=02001&amp;SDATE=200803&amp;PERIODTYPE=QTR_STD&amp;SCFT=3&amp;window=popup_no_bar&amp;width=385&amp;height=120&amp;START_MAXIMIZED=FALSE&amp;creator=factset&amp;display_string=Audit"}</definedName>
    <definedName name="_119__FDSAUDITLINK__" hidden="1">{"fdsup://Directions/FactSet Auditing Viewer?action=AUDIT_VALUE&amp;DB=129&amp;ID1=23280610&amp;VALUEID=02001&amp;SDATE=201101&amp;PERIODTYPE=QTR_STD&amp;SCFT=3&amp;window=popup_no_bar&amp;width=385&amp;height=120&amp;START_MAXIMIZED=FALSE&amp;creator=factset&amp;display_string=Audit"}</definedName>
    <definedName name="_1190__FDSAUDITLINK__" hidden="1">{"fdsup://Directions/FactSet Auditing Viewer?action=AUDIT_VALUE&amp;DB=129&amp;ID1=48836020&amp;VALUEID=02001&amp;SDATE=200803&amp;PERIODTYPE=QTR_STD&amp;SCFT=3&amp;window=popup_no_bar&amp;width=385&amp;height=120&amp;START_MAXIMIZED=FALSE&amp;creator=factset&amp;display_string=Audit"}</definedName>
    <definedName name="_1191__FDSAUDITLINK__" hidden="1">{"fdsup://Directions/FactSet Auditing Viewer?action=AUDIT_VALUE&amp;DB=129&amp;ID1=86681020&amp;VALUEID=02001&amp;SDATE=200902&amp;PERIODTYPE=QTR_STD&amp;SCFT=3&amp;window=popup_no_bar&amp;width=385&amp;height=120&amp;START_MAXIMIZED=FALSE&amp;creator=factset&amp;display_string=Audit"}</definedName>
    <definedName name="_1192__FDSAUDITLINK__" hidden="1">{"fdsup://Directions/FactSet Auditing Viewer?action=AUDIT_VALUE&amp;DB=129&amp;ID1=86681020&amp;VALUEID=02001&amp;SDATE=200902&amp;PERIODTYPE=QTR_STD&amp;SCFT=3&amp;window=popup_no_bar&amp;width=385&amp;height=120&amp;START_MAXIMIZED=FALSE&amp;creator=factset&amp;display_string=Audit"}</definedName>
    <definedName name="_1193__FDSAUDITLINK__" hidden="1">{"fdsup://Directions/FactSet Auditing Viewer?action=AUDIT_VALUE&amp;DB=129&amp;ID1=46025410&amp;VALUEID=02001&amp;SDATE=200902&amp;PERIODTYPE=QTR_STD&amp;SCFT=3&amp;window=popup_no_bar&amp;width=385&amp;height=120&amp;START_MAXIMIZED=FALSE&amp;creator=factset&amp;display_string=Audit"}</definedName>
    <definedName name="_1194__FDSAUDITLINK__" hidden="1">{"fdsup://Directions/FactSet Auditing Viewer?action=AUDIT_VALUE&amp;DB=129&amp;ID1=46025410&amp;VALUEID=02001&amp;SDATE=200902&amp;PERIODTYPE=QTR_STD&amp;SCFT=3&amp;window=popup_no_bar&amp;width=385&amp;height=120&amp;START_MAXIMIZED=FALSE&amp;creator=factset&amp;display_string=Audit"}</definedName>
    <definedName name="_1195__FDSAUDITLINK__" hidden="1">{"fdsup://Directions/FactSet Auditing Viewer?action=AUDIT_VALUE&amp;DB=129&amp;ID1=45811810&amp;VALUEID=02001&amp;SDATE=200803&amp;PERIODTYPE=QTR_STD&amp;SCFT=3&amp;window=popup_no_bar&amp;width=385&amp;height=120&amp;START_MAXIMIZED=FALSE&amp;creator=factset&amp;display_string=Audit"}</definedName>
    <definedName name="_1196__FDSAUDITLINK__" hidden="1">{"fdsup://Directions/FactSet Auditing Viewer?action=AUDIT_VALUE&amp;DB=129&amp;ID1=45811810&amp;VALUEID=02001&amp;SDATE=200803&amp;PERIODTYPE=QTR_STD&amp;SCFT=3&amp;window=popup_no_bar&amp;width=385&amp;height=120&amp;START_MAXIMIZED=FALSE&amp;creator=factset&amp;display_string=Audit"}</definedName>
    <definedName name="_1197__FDSAUDITLINK__" hidden="1">{"fdsup://Directions/FactSet Auditing Viewer?action=AUDIT_VALUE&amp;DB=129&amp;ID1=42823610&amp;VALUEID=02001&amp;SDATE=200901&amp;PERIODTYPE=QTR_STD&amp;SCFT=3&amp;window=popup_no_bar&amp;width=385&amp;height=120&amp;START_MAXIMIZED=FALSE&amp;creator=factset&amp;display_string=Audit"}</definedName>
    <definedName name="_1198__FDSAUDITLINK__" hidden="1">{"fdsup://Directions/FactSet Auditing Viewer?action=AUDIT_VALUE&amp;DB=129&amp;ID1=42823610&amp;VALUEID=02001&amp;SDATE=200901&amp;PERIODTYPE=QTR_STD&amp;SCFT=3&amp;window=popup_no_bar&amp;width=385&amp;height=120&amp;START_MAXIMIZED=FALSE&amp;creator=factset&amp;display_string=Audit"}</definedName>
    <definedName name="_1199__FDSAUDITLINK__" hidden="1">{"fdsup://Directions/FactSet Auditing Viewer?action=AUDIT_VALUE&amp;DB=129&amp;ID1=31561610&amp;VALUEID=02001&amp;SDATE=200901&amp;PERIODTYPE=QTR_STD&amp;SCFT=3&amp;window=popup_no_bar&amp;width=385&amp;height=120&amp;START_MAXIMIZED=FALSE&amp;creator=factset&amp;display_string=Audit"}</definedName>
    <definedName name="_12__FDSAUDITLINK__" hidden="1">{"fdsup://Directions/FactSet Auditing Viewer?action=AUDIT_VALUE&amp;DB=129&amp;ID1=74752510&amp;VALUEID=02001&amp;SDATE=201104&amp;PERIODTYPE=QTR_STD&amp;SCFT=3&amp;window=popup_no_bar&amp;width=385&amp;height=120&amp;START_MAXIMIZED=FALSE&amp;creator=factset&amp;display_string=Audit"}</definedName>
    <definedName name="_120__FDSAUDITLINK__" hidden="1">{"fdsup://Directions/FactSet Auditing Viewer?action=AUDIT_VALUE&amp;DB=129&amp;ID1=23280610&amp;VALUEID=02001&amp;SDATE=201101&amp;PERIODTYPE=QTR_STD&amp;SCFT=3&amp;window=popup_no_bar&amp;width=385&amp;height=120&amp;START_MAXIMIZED=FALSE&amp;creator=factset&amp;display_string=Audit"}</definedName>
    <definedName name="_1200__FDSAUDITLINK__" hidden="1">{"fdsup://Directions/FactSet Auditing Viewer?action=AUDIT_VALUE&amp;DB=129&amp;ID1=31561610&amp;VALUEID=02001&amp;SDATE=200901&amp;PERIODTYPE=QTR_STD&amp;SCFT=3&amp;window=popup_no_bar&amp;width=385&amp;height=120&amp;START_MAXIMIZED=FALSE&amp;creator=factset&amp;display_string=Audit"}</definedName>
    <definedName name="_1201__FDSAUDITLINK__" hidden="1">{"fdsup://Directions/FactSet Auditing Viewer?action=AUDIT_VALUE&amp;DB=129&amp;ID1=29247520&amp;VALUEID=02001&amp;SDATE=200902&amp;PERIODTYPE=QTR_STD&amp;SCFT=3&amp;window=popup_no_bar&amp;width=385&amp;height=120&amp;START_MAXIMIZED=FALSE&amp;creator=factset&amp;display_string=Audit"}</definedName>
    <definedName name="_1202__FDSAUDITLINK__" hidden="1">{"fdsup://Directions/FactSet Auditing Viewer?action=AUDIT_VALUE&amp;DB=129&amp;ID1=29247520&amp;VALUEID=02001&amp;SDATE=200902&amp;PERIODTYPE=QTR_STD&amp;SCFT=3&amp;window=popup_no_bar&amp;width=385&amp;height=120&amp;START_MAXIMIZED=FALSE&amp;creator=factset&amp;display_string=Audit"}</definedName>
    <definedName name="_1203__FDSAUDITLINK__" hidden="1">{"fdsup://Directions/FactSet Auditing Viewer?action=AUDIT_VALUE&amp;DB=129&amp;ID1=17275R10&amp;VALUEID=02001&amp;SDATE=200902&amp;PERIODTYPE=QTR_STD&amp;SCFT=3&amp;window=popup_no_bar&amp;width=385&amp;height=120&amp;START_MAXIMIZED=FALSE&amp;creator=factset&amp;display_string=Audit"}</definedName>
    <definedName name="_1204__FDSAUDITLINK__" hidden="1">{"fdsup://Directions/FactSet Auditing Viewer?action=AUDIT_VALUE&amp;DB=129&amp;ID1=17275R10&amp;VALUEID=02001&amp;SDATE=200902&amp;PERIODTYPE=QTR_STD&amp;SCFT=3&amp;window=popup_no_bar&amp;width=385&amp;height=120&amp;START_MAXIMIZED=FALSE&amp;creator=factset&amp;display_string=Audit"}</definedName>
    <definedName name="_1205__FDSAUDITLINK__" hidden="1">{"fdsup://Directions/FactSet Auditing Viewer?action=AUDIT_VALUE&amp;DB=129&amp;ID1=22544710&amp;VALUEID=02001&amp;SDATE=200902&amp;PERIODTYPE=QTR_STD&amp;SCFT=3&amp;window=popup_no_bar&amp;width=385&amp;height=120&amp;START_MAXIMIZED=FALSE&amp;creator=factset&amp;display_string=Audit"}</definedName>
    <definedName name="_1206__FDSAUDITLINK__" hidden="1">{"fdsup://Directions/FactSet Auditing Viewer?action=AUDIT_VALUE&amp;DB=129&amp;ID1=22544710&amp;VALUEID=02001&amp;SDATE=200902&amp;PERIODTYPE=QTR_STD&amp;SCFT=3&amp;window=popup_no_bar&amp;width=385&amp;height=120&amp;START_MAXIMIZED=FALSE&amp;creator=factset&amp;display_string=Audit"}</definedName>
    <definedName name="_1207__FDSAUDITLINK__" hidden="1">{"fdsup://Directions/FactSet Auditing Viewer?action=AUDIT_VALUE&amp;DB=129&amp;ID1=20714230&amp;VALUEID=02001&amp;SDATE=200901&amp;PERIODTYPE=QTR_STD&amp;SCFT=3&amp;window=popup_no_bar&amp;width=385&amp;height=120&amp;START_MAXIMIZED=FALSE&amp;creator=factset&amp;display_string=Audit"}</definedName>
    <definedName name="_1208__FDSAUDITLINK__" hidden="1">{"fdsup://Directions/FactSet Auditing Viewer?action=AUDIT_VALUE&amp;DB=129&amp;ID1=20714230&amp;VALUEID=02001&amp;SDATE=200901&amp;PERIODTYPE=QTR_STD&amp;SCFT=3&amp;window=popup_no_bar&amp;width=385&amp;height=120&amp;START_MAXIMIZED=FALSE&amp;creator=factset&amp;display_string=Audit"}</definedName>
    <definedName name="_1209__FDSAUDITLINK__" hidden="1">{"fdsup://Directions/FactSet Auditing Viewer?action=AUDIT_VALUE&amp;DB=129&amp;ID1=11162130&amp;VALUEID=02001&amp;SDATE=200901&amp;PERIODTYPE=QTR_STD&amp;SCFT=3&amp;window=popup_no_bar&amp;width=385&amp;height=120&amp;START_MAXIMIZED=FALSE&amp;creator=factset&amp;display_string=Audit"}</definedName>
    <definedName name="_121__FDSAUDITLINK__" hidden="1">{"fdsup://Directions/FactSet Auditing Viewer?action=AUDIT_VALUE&amp;DB=129&amp;ID1=17275R10&amp;VALUEID=02001&amp;SDATE=201103&amp;PERIODTYPE=QTR_STD&amp;SCFT=3&amp;window=popup_no_bar&amp;width=385&amp;height=120&amp;START_MAXIMIZED=FALSE&amp;creator=factset&amp;display_string=Audit"}</definedName>
    <definedName name="_1210__FDSAUDITLINK__" hidden="1">{"fdsup://Directions/FactSet Auditing Viewer?action=AUDIT_VALUE&amp;DB=129&amp;ID1=11162130&amp;VALUEID=02001&amp;SDATE=200901&amp;PERIODTYPE=QTR_STD&amp;SCFT=3&amp;window=popup_no_bar&amp;width=385&amp;height=120&amp;START_MAXIMIZED=FALSE&amp;creator=factset&amp;display_string=Audit"}</definedName>
    <definedName name="_1211__FDSAUDITLINK__" hidden="1">{"fdsup://Directions/FactSet Auditing Viewer?action=AUDIT_VALUE&amp;DB=129&amp;ID1=Y0486S10&amp;VALUEID=02001&amp;SDATE=200901&amp;PERIODTYPE=QTR_STD&amp;SCFT=3&amp;window=popup_no_bar&amp;width=385&amp;height=120&amp;START_MAXIMIZED=FALSE&amp;creator=factset&amp;display_string=Audit"}</definedName>
    <definedName name="_1212__FDSAUDITLINK__" hidden="1">{"fdsup://Directions/FactSet Auditing Viewer?action=AUDIT_VALUE&amp;DB=129&amp;ID1=Y0486S10&amp;VALUEID=02001&amp;SDATE=200901&amp;PERIODTYPE=QTR_STD&amp;SCFT=3&amp;window=popup_no_bar&amp;width=385&amp;height=120&amp;START_MAXIMIZED=FALSE&amp;creator=factset&amp;display_string=Audit"}</definedName>
    <definedName name="_1213__FDSAUDITLINK__" hidden="1">{"fdsup://Directions/FactSet Auditing Viewer?action=AUDIT_VALUE&amp;DB=129&amp;ID1=03822W40&amp;VALUEID=02001&amp;SDATE=200803&amp;PERIODTYPE=QTR_STD&amp;SCFT=3&amp;window=popup_no_bar&amp;width=385&amp;height=120&amp;START_MAXIMIZED=FALSE&amp;creator=factset&amp;display_string=Audit"}</definedName>
    <definedName name="_1214__FDSAUDITLINK__" hidden="1">{"fdsup://Directions/FactSet Auditing Viewer?action=AUDIT_VALUE&amp;DB=129&amp;ID1=03822W40&amp;VALUEID=02001&amp;SDATE=200803&amp;PERIODTYPE=QTR_STD&amp;SCFT=3&amp;window=popup_no_bar&amp;width=385&amp;height=120&amp;START_MAXIMIZED=FALSE&amp;creator=factset&amp;display_string=Audit"}</definedName>
    <definedName name="_1215__FDSAUDITLINK__" hidden="1">{"fdsup://Directions/FactSet Auditing Viewer?action=AUDIT_VALUE&amp;DB=129&amp;ID1=03822210&amp;VALUEID=02001&amp;SDATE=200901&amp;PERIODTYPE=QTR_STD&amp;SCFT=3&amp;window=popup_no_bar&amp;width=385&amp;height=120&amp;START_MAXIMIZED=FALSE&amp;creator=factset&amp;display_string=Audit"}</definedName>
    <definedName name="_1216__FDSAUDITLINK__" hidden="1">{"fdsup://Directions/FactSet Auditing Viewer?action=AUDIT_VALUE&amp;DB=129&amp;ID1=03822210&amp;VALUEID=02001&amp;SDATE=200901&amp;PERIODTYPE=QTR_STD&amp;SCFT=3&amp;window=popup_no_bar&amp;width=385&amp;height=120&amp;START_MAXIMIZED=FALSE&amp;creator=factset&amp;display_string=Audit"}</definedName>
    <definedName name="_1217__FDSAUDITLINK__" hidden="1">{"fdsup://Directions/FactSet Auditing Viewer?action=AUDIT_VALUE&amp;DB=129&amp;ID1=03265410&amp;VALUEID=02001&amp;SDATE=200901&amp;PERIODTYPE=QTR_STD&amp;SCFT=3&amp;window=popup_no_bar&amp;width=385&amp;height=120&amp;START_MAXIMIZED=FALSE&amp;creator=factset&amp;display_string=Audit"}</definedName>
    <definedName name="_1218__FDSAUDITLINK__" hidden="1">{"fdsup://Directions/FactSet Auditing Viewer?action=AUDIT_VALUE&amp;DB=129&amp;ID1=03265410&amp;VALUEID=02001&amp;SDATE=200901&amp;PERIODTYPE=QTR_STD&amp;SCFT=3&amp;window=popup_no_bar&amp;width=385&amp;height=120&amp;START_MAXIMIZED=FALSE&amp;creator=factset&amp;display_string=Audit"}</definedName>
    <definedName name="_1219__FDSAUDITLINK__" hidden="1">{"fdsup://Directions/FactSet Auditing Viewer?action=AUDIT_VALUE&amp;DB=129&amp;ID1=98975F10&amp;VALUEID=02001&amp;SDATE=200803&amp;PERIODTYPE=QTR_STD&amp;SCFT=3&amp;window=popup_no_bar&amp;width=385&amp;height=120&amp;START_MAXIMIZED=FALSE&amp;creator=factset&amp;display_string=Audit"}</definedName>
    <definedName name="_122__FDSAUDITLINK__" hidden="1">{"fdsup://Directions/FactSet Auditing Viewer?action=AUDIT_VALUE&amp;DB=129&amp;ID1=17275R10&amp;VALUEID=02001&amp;SDATE=201103&amp;PERIODTYPE=QTR_STD&amp;SCFT=3&amp;window=popup_no_bar&amp;width=385&amp;height=120&amp;START_MAXIMIZED=FALSE&amp;creator=factset&amp;display_string=Audit"}</definedName>
    <definedName name="_1220__FDSAUDITLINK__" hidden="1">{"fdsup://Directions/FactSet Auditing Viewer?action=AUDIT_VALUE&amp;DB=129&amp;ID1=98975F10&amp;VALUEID=02001&amp;SDATE=200803&amp;PERIODTYPE=QTR_STD&amp;SCFT=3&amp;window=popup_no_bar&amp;width=385&amp;height=120&amp;START_MAXIMIZED=FALSE&amp;creator=factset&amp;display_string=Audit"}</definedName>
    <definedName name="_1221__FDSAUDITLINK__" hidden="1">{"fdsup://Directions/FactSet Auditing Viewer?action=AUDIT_VALUE&amp;DB=129&amp;ID1=98391910&amp;VALUEID=02001&amp;SDATE=200802&amp;PERIODTYPE=QTR_STD&amp;SCFT=3&amp;window=popup_no_bar&amp;width=385&amp;height=120&amp;START_MAXIMIZED=FALSE&amp;creator=factset&amp;display_string=Audit"}</definedName>
    <definedName name="_1222__FDSAUDITLINK__" hidden="1">{"fdsup://Directions/FactSet Auditing Viewer?action=AUDIT_VALUE&amp;DB=129&amp;ID1=98391910&amp;VALUEID=02001&amp;SDATE=200802&amp;PERIODTYPE=QTR_STD&amp;SCFT=3&amp;window=popup_no_bar&amp;width=385&amp;height=120&amp;START_MAXIMIZED=FALSE&amp;creator=factset&amp;display_string=Audit"}</definedName>
    <definedName name="_1223__FDSAUDITLINK__" hidden="1">{"fdsup://Directions/FactSet Auditing Viewer?action=AUDIT_VALUE&amp;DB=129&amp;ID1=95810210&amp;VALUEID=02001&amp;SDATE=200901&amp;PERIODTYPE=QTR_STD&amp;SCFT=3&amp;window=popup_no_bar&amp;width=385&amp;height=120&amp;START_MAXIMIZED=FALSE&amp;creator=factset&amp;display_string=Audit"}</definedName>
    <definedName name="_1224__FDSAUDITLINK__" hidden="1">{"fdsup://Directions/FactSet Auditing Viewer?action=AUDIT_VALUE&amp;DB=129&amp;ID1=95810210&amp;VALUEID=02001&amp;SDATE=200901&amp;PERIODTYPE=QTR_STD&amp;SCFT=3&amp;window=popup_no_bar&amp;width=385&amp;height=120&amp;START_MAXIMIZED=FALSE&amp;creator=factset&amp;display_string=Audit"}</definedName>
    <definedName name="_1225__FDSAUDITLINK__" hidden="1">{"fdsup://Directions/FactSet Auditing Viewer?action=AUDIT_VALUE&amp;DB=129&amp;ID1=92829810&amp;VALUEID=02001&amp;SDATE=200803&amp;PERIODTYPE=QTR_STD&amp;SCFT=3&amp;window=popup_no_bar&amp;width=385&amp;height=120&amp;START_MAXIMIZED=FALSE&amp;creator=factset&amp;display_string=Audit"}</definedName>
    <definedName name="_1226__FDSAUDITLINK__" hidden="1">{"fdsup://Directions/FactSet Auditing Viewer?action=AUDIT_VALUE&amp;DB=129&amp;ID1=92829810&amp;VALUEID=02001&amp;SDATE=200803&amp;PERIODTYPE=QTR_STD&amp;SCFT=3&amp;window=popup_no_bar&amp;width=385&amp;height=120&amp;START_MAXIMIZED=FALSE&amp;creator=factset&amp;display_string=Audit"}</definedName>
    <definedName name="_1227__FDSAUDITLINK__" hidden="1">{"fdsup://Directions/FactSet Auditing Viewer?action=AUDIT_VALUE&amp;DB=129&amp;ID1=88250810&amp;VALUEID=02001&amp;SDATE=200803&amp;PERIODTYPE=QTR_STD&amp;SCFT=3&amp;window=popup_no_bar&amp;width=385&amp;height=120&amp;START_MAXIMIZED=FALSE&amp;creator=factset&amp;display_string=Audit"}</definedName>
    <definedName name="_1228__FDSAUDITLINK__" hidden="1">{"fdsup://Directions/FactSet Auditing Viewer?action=AUDIT_VALUE&amp;DB=129&amp;ID1=88250810&amp;VALUEID=02001&amp;SDATE=200803&amp;PERIODTYPE=QTR_STD&amp;SCFT=3&amp;window=popup_no_bar&amp;width=385&amp;height=120&amp;START_MAXIMIZED=FALSE&amp;creator=factset&amp;display_string=Audit"}</definedName>
    <definedName name="_1229__FDSAUDITLINK__" hidden="1">{"fdsup://Directions/FactSet Auditing Viewer?action=AUDIT_VALUE&amp;DB=129&amp;ID1=89674K10&amp;VALUEID=02001&amp;SDATE=200803&amp;PERIODTYPE=QTR_STD&amp;SCFT=3&amp;window=popup_no_bar&amp;width=385&amp;height=120&amp;START_MAXIMIZED=FALSE&amp;creator=factset&amp;display_string=Audit"}</definedName>
    <definedName name="_123__FDSAUDITLINK__" hidden="1">{"fdsup://Directions/FactSet Auditing Viewer?action=AUDIT_VALUE&amp;DB=129&amp;ID1=22544710&amp;VALUEID=02001&amp;SDATE=201103&amp;PERIODTYPE=QTR_STD&amp;SCFT=3&amp;window=popup_no_bar&amp;width=385&amp;height=120&amp;START_MAXIMIZED=FALSE&amp;creator=factset&amp;display_string=Audit"}</definedName>
    <definedName name="_1230__FDSAUDITLINK__" hidden="1">{"fdsup://Directions/FactSet Auditing Viewer?action=AUDIT_VALUE&amp;DB=129&amp;ID1=89674K10&amp;VALUEID=02001&amp;SDATE=200803&amp;PERIODTYPE=QTR_STD&amp;SCFT=3&amp;window=popup_no_bar&amp;width=385&amp;height=120&amp;START_MAXIMIZED=FALSE&amp;creator=factset&amp;display_string=Audit"}</definedName>
    <definedName name="_1231__FDSAUDITLINK__" hidden="1">{"fdsup://Directions/FactSet Auditing Viewer?action=AUDIT_VALUE&amp;DB=129&amp;ID1=G7945M10&amp;VALUEID=02001&amp;SDATE=200901&amp;PERIODTYPE=QTR_STD&amp;SCFT=3&amp;window=popup_no_bar&amp;width=385&amp;height=120&amp;START_MAXIMIZED=FALSE&amp;creator=factset&amp;display_string=Audit"}</definedName>
    <definedName name="_1232__FDSAUDITLINK__" hidden="1">{"fdsup://Directions/FactSet Auditing Viewer?action=AUDIT_VALUE&amp;DB=129&amp;ID1=G7945M10&amp;VALUEID=02001&amp;SDATE=200901&amp;PERIODTYPE=QTR_STD&amp;SCFT=3&amp;window=popup_no_bar&amp;width=385&amp;height=120&amp;START_MAXIMIZED=FALSE&amp;creator=factset&amp;display_string=Audit"}</definedName>
    <definedName name="_1233__FDSAUDITLINK__" hidden="1">{"fdsup://Directions/FactSet Auditing Viewer?action=AUDIT_VALUE&amp;DB=129&amp;ID1=78477410&amp;VALUEID=02001&amp;SDATE=200803&amp;PERIODTYPE=QTR_STD&amp;SCFT=3&amp;window=popup_no_bar&amp;width=385&amp;height=120&amp;START_MAXIMIZED=FALSE&amp;creator=factset&amp;display_string=Audit"}</definedName>
    <definedName name="_1234__FDSAUDITLINK__" hidden="1">{"fdsup://Directions/FactSet Auditing Viewer?action=AUDIT_VALUE&amp;DB=129&amp;ID1=78477410&amp;VALUEID=02001&amp;SDATE=200803&amp;PERIODTYPE=QTR_STD&amp;SCFT=3&amp;window=popup_no_bar&amp;width=385&amp;height=120&amp;START_MAXIMIZED=FALSE&amp;creator=factset&amp;display_string=Audit"}</definedName>
    <definedName name="_1235__FDSAUDITLINK__" hidden="1">{"fdsup://Directions/FactSet Auditing Viewer?action=AUDIT_VALUE&amp;DB=129&amp;ID1=82705710&amp;VALUEID=02001&amp;SDATE=200803&amp;PERIODTYPE=QTR_STD&amp;SCFT=3&amp;window=popup_no_bar&amp;width=385&amp;height=120&amp;START_MAXIMIZED=FALSE&amp;creator=factset&amp;display_string=Audit"}</definedName>
    <definedName name="_1236__FDSAUDITLINK__" hidden="1">{"fdsup://Directions/FactSet Auditing Viewer?action=AUDIT_VALUE&amp;DB=129&amp;ID1=82705710&amp;VALUEID=02001&amp;SDATE=200803&amp;PERIODTYPE=QTR_STD&amp;SCFT=3&amp;window=popup_no_bar&amp;width=385&amp;height=120&amp;START_MAXIMIZED=FALSE&amp;creator=factset&amp;display_string=Audit"}</definedName>
    <definedName name="_1237__FDSAUDITLINK__" hidden="1">{"fdsup://Directions/FactSet Auditing Viewer?action=AUDIT_VALUE&amp;DB=129&amp;ID1=83547010&amp;VALUEID=02001&amp;SDATE=200803&amp;PERIODTYPE=QTR_STD&amp;SCFT=3&amp;window=popup_no_bar&amp;width=385&amp;height=120&amp;START_MAXIMIZED=FALSE&amp;creator=factset&amp;display_string=Audit"}</definedName>
    <definedName name="_1238__FDSAUDITLINK__" hidden="1">{"fdsup://Directions/FactSet Auditing Viewer?action=AUDIT_VALUE&amp;DB=129&amp;ID1=83547010&amp;VALUEID=02001&amp;SDATE=200803&amp;PERIODTYPE=QTR_STD&amp;SCFT=3&amp;window=popup_no_bar&amp;width=385&amp;height=120&amp;START_MAXIMIZED=FALSE&amp;creator=factset&amp;display_string=Audit"}</definedName>
    <definedName name="_1239__FDSAUDITLINK__" hidden="1">{"fdsup://Directions/FactSet Auditing Viewer?action=AUDIT_VALUE&amp;DB=129&amp;ID1=80004C10&amp;VALUEID=02001&amp;SDATE=200803&amp;PERIODTYPE=QTR_STD&amp;SCFT=3&amp;window=popup_no_bar&amp;width=385&amp;height=120&amp;START_MAXIMIZED=FALSE&amp;creator=factset&amp;display_string=Audit"}</definedName>
    <definedName name="_124__FDSAUDITLINK__" hidden="1">{"fdsup://Directions/FactSet Auditing Viewer?action=AUDIT_VALUE&amp;DB=129&amp;ID1=22544710&amp;VALUEID=02001&amp;SDATE=201103&amp;PERIODTYPE=QTR_STD&amp;SCFT=3&amp;window=popup_no_bar&amp;width=385&amp;height=120&amp;START_MAXIMIZED=FALSE&amp;creator=factset&amp;display_string=Audit"}</definedName>
    <definedName name="_1240__FDSAUDITLINK__" hidden="1">{"fdsup://Directions/FactSet Auditing Viewer?action=AUDIT_VALUE&amp;DB=129&amp;ID1=80004C10&amp;VALUEID=02001&amp;SDATE=200803&amp;PERIODTYPE=QTR_STD&amp;SCFT=3&amp;window=popup_no_bar&amp;width=385&amp;height=120&amp;START_MAXIMIZED=FALSE&amp;creator=factset&amp;display_string=Audit"}</definedName>
    <definedName name="_1241__FDSAUDITLINK__" hidden="1">{"fdsup://Directions/FactSet Auditing Viewer?action=AUDIT_VALUE&amp;DB=129&amp;ID1=81685010&amp;VALUEID=02001&amp;SDATE=200803&amp;PERIODTYPE=QTR_STD&amp;SCFT=3&amp;window=popup_no_bar&amp;width=385&amp;height=120&amp;START_MAXIMIZED=FALSE&amp;creator=factset&amp;display_string=Audit"}</definedName>
    <definedName name="_1242__FDSAUDITLINK__" hidden="1">{"fdsup://Directions/FactSet Auditing Viewer?action=AUDIT_VALUE&amp;DB=129&amp;ID1=81685010&amp;VALUEID=02001&amp;SDATE=200803&amp;PERIODTYPE=QTR_STD&amp;SCFT=3&amp;window=popup_no_bar&amp;width=385&amp;height=120&amp;START_MAXIMIZED=FALSE&amp;creator=factset&amp;display_string=Audit"}</definedName>
    <definedName name="_1243__FDSAUDITLINK__" hidden="1">{"fdsup://Directions/FactSet Auditing Viewer?action=AUDIT_VALUE&amp;DB=129&amp;ID1=82691910&amp;VALUEID=02001&amp;SDATE=200803&amp;PERIODTYPE=QTR_STD&amp;SCFT=3&amp;window=popup_no_bar&amp;width=385&amp;height=120&amp;START_MAXIMIZED=FALSE&amp;creator=factset&amp;display_string=Audit"}</definedName>
    <definedName name="_1244__FDSAUDITLINK__" hidden="1">{"fdsup://Directions/FactSet Auditing Viewer?action=AUDIT_VALUE&amp;DB=129&amp;ID1=82691910&amp;VALUEID=02001&amp;SDATE=200803&amp;PERIODTYPE=QTR_STD&amp;SCFT=3&amp;window=popup_no_bar&amp;width=385&amp;height=120&amp;START_MAXIMIZED=FALSE&amp;creator=factset&amp;display_string=Audit"}</definedName>
    <definedName name="_1245__FDSAUDITLINK__" hidden="1">{"fdsup://Directions/FactSet Auditing Viewer?action=AUDIT_VALUE&amp;DB=129&amp;ID1=82705T10&amp;VALUEID=02001&amp;SDATE=200803&amp;PERIODTYPE=QTR_STD&amp;SCFT=3&amp;window=popup_no_bar&amp;width=385&amp;height=120&amp;START_MAXIMIZED=FALSE&amp;creator=factset&amp;display_string=Audit"}</definedName>
    <definedName name="_1246__FDSAUDITLINK__" hidden="1">{"fdsup://Directions/FactSet Auditing Viewer?action=AUDIT_VALUE&amp;DB=129&amp;ID1=82705T10&amp;VALUEID=02001&amp;SDATE=200803&amp;PERIODTYPE=QTR_STD&amp;SCFT=3&amp;window=popup_no_bar&amp;width=385&amp;height=120&amp;START_MAXIMIZED=FALSE&amp;creator=factset&amp;display_string=Audit"}</definedName>
    <definedName name="_1247__FDSAUDITLINK__" hidden="1">{"fdsup://Directions/FactSet Auditing Viewer?action=AUDIT_VALUE&amp;DB=129&amp;ID1=75091710&amp;VALUEID=02001&amp;SDATE=200803&amp;PERIODTYPE=QTR_STD&amp;SCFT=3&amp;window=popup_no_bar&amp;width=385&amp;height=120&amp;START_MAXIMIZED=FALSE&amp;creator=factset&amp;display_string=Audit"}</definedName>
    <definedName name="_1248__FDSAUDITLINK__" hidden="1">{"fdsup://Directions/FactSet Auditing Viewer?action=AUDIT_VALUE&amp;DB=129&amp;ID1=75091710&amp;VALUEID=02001&amp;SDATE=200803&amp;PERIODTYPE=QTR_STD&amp;SCFT=3&amp;window=popup_no_bar&amp;width=385&amp;height=120&amp;START_MAXIMIZED=FALSE&amp;creator=factset&amp;display_string=Audit"}</definedName>
    <definedName name="_1249__FDSAUDITLINK__" hidden="1">{"fdsup://Directions/FactSet Auditing Viewer?action=AUDIT_VALUE&amp;DB=129&amp;ID1=74994110&amp;VALUEID=02001&amp;SDATE=200802&amp;PERIODTYPE=QTR_STD&amp;SCFT=3&amp;window=popup_no_bar&amp;width=385&amp;height=120&amp;START_MAXIMIZED=FALSE&amp;creator=factset&amp;display_string=Audit"}</definedName>
    <definedName name="_125__FDSAUDITLINK__" hidden="1">{"fdsup://Directions/FactSet Auditing Viewer?action=AUDIT_VALUE&amp;DB=129&amp;ID1=20714230&amp;VALUEID=02001&amp;SDATE=201102&amp;PERIODTYPE=QTR_STD&amp;SCFT=3&amp;window=popup_no_bar&amp;width=385&amp;height=120&amp;START_MAXIMIZED=FALSE&amp;creator=factset&amp;display_string=Audit"}</definedName>
    <definedName name="_1250__FDSAUDITLINK__" hidden="1">{"fdsup://Directions/FactSet Auditing Viewer?action=AUDIT_VALUE&amp;DB=129&amp;ID1=74994110&amp;VALUEID=02001&amp;SDATE=200802&amp;PERIODTYPE=QTR_STD&amp;SCFT=3&amp;window=popup_no_bar&amp;width=385&amp;height=120&amp;START_MAXIMIZED=FALSE&amp;creator=factset&amp;display_string=Audit"}</definedName>
    <definedName name="_1251__FDSAUDITLINK__" hidden="1">{"fdsup://Directions/FactSet Auditing Viewer?action=AUDIT_VALUE&amp;DB=129&amp;ID1=74727710&amp;VALUEID=02001&amp;SDATE=200802&amp;PERIODTYPE=QTR_STD&amp;SCFT=3&amp;window=popup_no_bar&amp;width=385&amp;height=120&amp;START_MAXIMIZED=FALSE&amp;creator=factset&amp;display_string=Audit"}</definedName>
    <definedName name="_1252__FDSAUDITLINK__" hidden="1">{"fdsup://Directions/FactSet Auditing Viewer?action=AUDIT_VALUE&amp;DB=129&amp;ID1=74727710&amp;VALUEID=02001&amp;SDATE=200802&amp;PERIODTYPE=QTR_STD&amp;SCFT=3&amp;window=popup_no_bar&amp;width=385&amp;height=120&amp;START_MAXIMIZED=FALSE&amp;creator=factset&amp;display_string=Audit"}</definedName>
    <definedName name="_1253__FDSAUDITLINK__" hidden="1">{"fdsup://Directions/FactSet Auditing Viewer?action=AUDIT_VALUE&amp;DB=129&amp;ID1=72581M30&amp;VALUEID=02001&amp;SDATE=200803&amp;PERIODTYPE=QTR_STD&amp;SCFT=3&amp;window=popup_no_bar&amp;width=385&amp;height=120&amp;START_MAXIMIZED=FALSE&amp;creator=factset&amp;display_string=Audit"}</definedName>
    <definedName name="_1254__FDSAUDITLINK__" hidden="1">{"fdsup://Directions/FactSet Auditing Viewer?action=AUDIT_VALUE&amp;DB=129&amp;ID1=72581M30&amp;VALUEID=02001&amp;SDATE=200803&amp;PERIODTYPE=QTR_STD&amp;SCFT=3&amp;window=popup_no_bar&amp;width=385&amp;height=120&amp;START_MAXIMIZED=FALSE&amp;creator=factset&amp;display_string=Audit"}</definedName>
    <definedName name="_1255__FDSAUDITLINK__" hidden="1">{"fdsup://Directions/FactSet Auditing Viewer?action=AUDIT_VALUE&amp;DB=129&amp;ID1=73927610&amp;VALUEID=02001&amp;SDATE=200803&amp;PERIODTYPE=QTR_STD&amp;SCFT=3&amp;window=popup_no_bar&amp;width=385&amp;height=120&amp;START_MAXIMIZED=FALSE&amp;creator=factset&amp;display_string=Audit"}</definedName>
    <definedName name="_1256__FDSAUDITLINK__" hidden="1">{"fdsup://Directions/FactSet Auditing Viewer?action=AUDIT_VALUE&amp;DB=129&amp;ID1=73927610&amp;VALUEID=02001&amp;SDATE=200803&amp;PERIODTYPE=QTR_STD&amp;SCFT=3&amp;window=popup_no_bar&amp;width=385&amp;height=120&amp;START_MAXIMIZED=FALSE&amp;creator=factset&amp;display_string=Audit"}</definedName>
    <definedName name="_1257__FDSAUDITLINK__" hidden="1">{"fdsup://Directions/FactSet Auditing Viewer?action=AUDIT_VALUE&amp;DB=129&amp;ID1=69344F10&amp;VALUEID=02001&amp;SDATE=200803&amp;PERIODTYPE=QTR_STD&amp;SCFT=3&amp;window=popup_no_bar&amp;width=385&amp;height=120&amp;START_MAXIMIZED=FALSE&amp;creator=factset&amp;display_string=Audit"}</definedName>
    <definedName name="_1258__FDSAUDITLINK__" hidden="1">{"fdsup://Directions/FactSet Auditing Viewer?action=AUDIT_VALUE&amp;DB=129&amp;ID1=69344F10&amp;VALUEID=02001&amp;SDATE=200803&amp;PERIODTYPE=QTR_STD&amp;SCFT=3&amp;window=popup_no_bar&amp;width=385&amp;height=120&amp;START_MAXIMIZED=FALSE&amp;creator=factset&amp;display_string=Audit"}</definedName>
    <definedName name="_1259__FDSAUDITLINK__" hidden="1">{"fdsup://Directions/FactSet Auditing Viewer?action=AUDIT_VALUE&amp;DB=129&amp;ID1=69341710&amp;VALUEID=02001&amp;SDATE=200803&amp;PERIODTYPE=QTR_STD&amp;SCFT=3&amp;window=popup_no_bar&amp;width=385&amp;height=120&amp;START_MAXIMIZED=FALSE&amp;creator=factset&amp;display_string=Audit"}</definedName>
    <definedName name="_126__FDSAUDITLINK__" hidden="1">{"fdsup://Directions/FactSet Auditing Viewer?action=AUDIT_VALUE&amp;DB=129&amp;ID1=20714230&amp;VALUEID=02001&amp;SDATE=201102&amp;PERIODTYPE=QTR_STD&amp;SCFT=3&amp;window=popup_no_bar&amp;width=385&amp;height=120&amp;START_MAXIMIZED=FALSE&amp;creator=factset&amp;display_string=Audit"}</definedName>
    <definedName name="_1260__FDSAUDITLINK__" hidden="1">{"fdsup://Directions/FactSet Auditing Viewer?action=AUDIT_VALUE&amp;DB=129&amp;ID1=69341710&amp;VALUEID=02001&amp;SDATE=200803&amp;PERIODTYPE=QTR_STD&amp;SCFT=3&amp;window=popup_no_bar&amp;width=385&amp;height=120&amp;START_MAXIMIZED=FALSE&amp;creator=factset&amp;display_string=Audit"}</definedName>
    <definedName name="_1261__FDSAUDITLINK__" hidden="1">{"fdsup://Directions/FactSet Auditing Viewer?action=AUDIT_VALUE&amp;DB=129&amp;ID1=68218910&amp;VALUEID=02001&amp;SDATE=200803&amp;PERIODTYPE=QTR_STD&amp;SCFT=3&amp;window=popup_no_bar&amp;width=385&amp;height=120&amp;START_MAXIMIZED=FALSE&amp;creator=factset&amp;display_string=Audit"}</definedName>
    <definedName name="_1262__FDSAUDITLINK__" hidden="1">{"fdsup://Directions/FactSet Auditing Viewer?action=AUDIT_VALUE&amp;DB=129&amp;ID1=68218910&amp;VALUEID=02001&amp;SDATE=200803&amp;PERIODTYPE=QTR_STD&amp;SCFT=3&amp;window=popup_no_bar&amp;width=385&amp;height=120&amp;START_MAXIMIZED=FALSE&amp;creator=factset&amp;display_string=Audit"}</definedName>
    <definedName name="_1263__FDSAUDITLINK__" hidden="1">{"fdsup://Directions/FactSet Auditing Viewer?action=AUDIT_VALUE&amp;DB=129&amp;ID1=B505PN&amp;VALUEID=02001&amp;SDATE=200803&amp;PERIODTYPE=QTR_STD&amp;SCFT=3&amp;window=popup_no_bar&amp;width=385&amp;height=120&amp;START_MAXIMIZED=FALSE&amp;creator=factset&amp;display_string=Audit"}</definedName>
    <definedName name="_1264__FDSAUDITLINK__" hidden="1">{"fdsup://Directions/FactSet Auditing Viewer?action=AUDIT_VALUE&amp;DB=129&amp;ID1=B505PN&amp;VALUEID=02001&amp;SDATE=200803&amp;PERIODTYPE=QTR_STD&amp;SCFT=3&amp;window=popup_no_bar&amp;width=385&amp;height=120&amp;START_MAXIMIZED=FALSE&amp;creator=factset&amp;display_string=Audit"}</definedName>
    <definedName name="_1265__FDSAUDITLINK__" hidden="1">{"fdsup://Directions/FactSet Auditing Viewer?action=AUDIT_VALUE&amp;DB=129&amp;ID1=67000810&amp;VALUEID=02001&amp;SDATE=200803&amp;PERIODTYPE=QTR_STD&amp;SCFT=3&amp;window=popup_no_bar&amp;width=385&amp;height=120&amp;START_MAXIMIZED=FALSE&amp;creator=factset&amp;display_string=Audit"}</definedName>
    <definedName name="_1266__FDSAUDITLINK__" hidden="1">{"fdsup://Directions/FactSet Auditing Viewer?action=AUDIT_VALUE&amp;DB=129&amp;ID1=67000810&amp;VALUEID=02001&amp;SDATE=200803&amp;PERIODTYPE=QTR_STD&amp;SCFT=3&amp;window=popup_no_bar&amp;width=385&amp;height=120&amp;START_MAXIMIZED=FALSE&amp;creator=factset&amp;display_string=Audit"}</definedName>
    <definedName name="_1267__FDSAUDITLINK__" hidden="1">{"fdsup://Directions/FactSet Auditing Viewer?action=AUDIT_VALUE&amp;DB=129&amp;ID1=67066G10&amp;VALUEID=02001&amp;SDATE=200803&amp;PERIODTYPE=QTR_STD&amp;SCFT=3&amp;window=popup_no_bar&amp;width=385&amp;height=120&amp;START_MAXIMIZED=FALSE&amp;creator=factset&amp;display_string=Audit"}</definedName>
    <definedName name="_1268__FDSAUDITLINK__" hidden="1">{"fdsup://Directions/FactSet Auditing Viewer?action=AUDIT_VALUE&amp;DB=129&amp;ID1=67066G10&amp;VALUEID=02001&amp;SDATE=200803&amp;PERIODTYPE=QTR_STD&amp;SCFT=3&amp;window=popup_no_bar&amp;width=385&amp;height=120&amp;START_MAXIMIZED=FALSE&amp;creator=factset&amp;display_string=Audit"}</definedName>
    <definedName name="_1269__FDSAUDITLINK__" hidden="1">{"fdsup://Directions/FactSet Auditing Viewer?action=AUDIT_VALUE&amp;DB=129&amp;ID1=63764010&amp;VALUEID=02001&amp;SDATE=200801&amp;PERIODTYPE=QTR_STD&amp;SCFT=3&amp;window=popup_no_bar&amp;width=385&amp;height=120&amp;START_MAXIMIZED=FALSE&amp;creator=factset&amp;display_string=Audit"}</definedName>
    <definedName name="_127__FDSAUDITLINK__" hidden="1">{"fdsup://Directions/FactSet Auditing Viewer?action=AUDIT_VALUE&amp;DB=129&amp;ID1=12738710&amp;VALUEID=02001&amp;SDATE=201101&amp;PERIODTYPE=QTR_STD&amp;SCFT=3&amp;window=popup_no_bar&amp;width=385&amp;height=120&amp;START_MAXIMIZED=FALSE&amp;creator=factset&amp;display_string=Audit"}</definedName>
    <definedName name="_1270__FDSAUDITLINK__" hidden="1">{"fdsup://Directions/FactSet Auditing Viewer?action=AUDIT_VALUE&amp;DB=129&amp;ID1=63764010&amp;VALUEID=02001&amp;SDATE=200801&amp;PERIODTYPE=QTR_STD&amp;SCFT=3&amp;window=popup_no_bar&amp;width=385&amp;height=120&amp;START_MAXIMIZED=FALSE&amp;creator=factset&amp;display_string=Audit"}</definedName>
    <definedName name="_1271__FDSAUDITLINK__" hidden="1">{"fdsup://Directions/FactSet Auditing Viewer?action=AUDIT_VALUE&amp;DB=129&amp;ID1=64118B10&amp;VALUEID=02001&amp;SDATE=200803&amp;PERIODTYPE=QTR_STD&amp;SCFT=3&amp;window=popup_no_bar&amp;width=385&amp;height=120&amp;START_MAXIMIZED=FALSE&amp;creator=factset&amp;display_string=Audit"}</definedName>
    <definedName name="_1272__FDSAUDITLINK__" hidden="1">{"fdsup://Directions/FactSet Auditing Viewer?action=AUDIT_VALUE&amp;DB=129&amp;ID1=64118B10&amp;VALUEID=02001&amp;SDATE=200803&amp;PERIODTYPE=QTR_STD&amp;SCFT=3&amp;window=popup_no_bar&amp;width=385&amp;height=120&amp;START_MAXIMIZED=FALSE&amp;creator=factset&amp;display_string=Audit"}</definedName>
    <definedName name="_1273__FDSAUDITLINK__" hidden="1">{"fdsup://Directions/FactSet Auditing Viewer?action=AUDIT_VALUE&amp;DB=129&amp;ID1=G5876H10&amp;VALUEID=02001&amp;SDATE=200803&amp;PERIODTYPE=QTR_STD&amp;SCFT=3&amp;window=popup_no_bar&amp;width=385&amp;height=120&amp;START_MAXIMIZED=FALSE&amp;creator=factset&amp;display_string=Audit"}</definedName>
    <definedName name="_1274__FDSAUDITLINK__" hidden="1">{"fdsup://Directions/FactSet Auditing Viewer?action=AUDIT_VALUE&amp;DB=129&amp;ID1=G5876H10&amp;VALUEID=02001&amp;SDATE=200803&amp;PERIODTYPE=QTR_STD&amp;SCFT=3&amp;window=popup_no_bar&amp;width=385&amp;height=120&amp;START_MAXIMIZED=FALSE&amp;creator=factset&amp;display_string=Audit"}</definedName>
    <definedName name="_1275__FDSAUDITLINK__" hidden="1">{"fdsup://Directions/FactSet Auditing Viewer?action=AUDIT_VALUE&amp;DB=129&amp;ID1=62007630&amp;VALUEID=02001&amp;SDATE=200803&amp;PERIODTYPE=QTR_STD&amp;SCFT=3&amp;window=popup_no_bar&amp;width=385&amp;height=120&amp;START_MAXIMIZED=FALSE&amp;creator=factset&amp;display_string=Audit"}</definedName>
    <definedName name="_1276__FDSAUDITLINK__" hidden="1">{"fdsup://Directions/FactSet Auditing Viewer?action=AUDIT_VALUE&amp;DB=129&amp;ID1=62007630&amp;VALUEID=02001&amp;SDATE=200803&amp;PERIODTYPE=QTR_STD&amp;SCFT=3&amp;window=popup_no_bar&amp;width=385&amp;height=120&amp;START_MAXIMIZED=FALSE&amp;creator=factset&amp;display_string=Audit"}</definedName>
    <definedName name="_1277__FDSAUDITLINK__" hidden="1">{"fdsup://Directions/FactSet Auditing Viewer?action=AUDIT_VALUE&amp;DB=129&amp;ID1=60456710&amp;VALUEID=02001&amp;SDATE=200901&amp;PERIODTYPE=QTR_STD&amp;SCFT=3&amp;window=popup_no_bar&amp;width=385&amp;height=120&amp;START_MAXIMIZED=FALSE&amp;creator=factset&amp;display_string=Audit"}</definedName>
    <definedName name="_1278__FDSAUDITLINK__" hidden="1">{"fdsup://Directions/FactSet Auditing Viewer?action=AUDIT_VALUE&amp;DB=129&amp;ID1=60456710&amp;VALUEID=02001&amp;SDATE=200901&amp;PERIODTYPE=QTR_STD&amp;SCFT=3&amp;window=popup_no_bar&amp;width=385&amp;height=120&amp;START_MAXIMIZED=FALSE&amp;creator=factset&amp;display_string=Audit"}</definedName>
    <definedName name="_1279__FDSAUDITLINK__" hidden="1">{"fdsup://Directions/FactSet Auditing Viewer?action=AUDIT_VALUE&amp;DB=129&amp;ID1=59479310&amp;VALUEID=02001&amp;SDATE=200803&amp;PERIODTYPE=QTR_STD&amp;SCFT=3&amp;window=popup_no_bar&amp;width=385&amp;height=120&amp;START_MAXIMIZED=FALSE&amp;creator=factset&amp;display_string=Audit"}</definedName>
    <definedName name="_128__FDSAUDITLINK__" hidden="1">{"fdsup://Directions/FactSet Auditing Viewer?action=AUDIT_VALUE&amp;DB=129&amp;ID1=12738710&amp;VALUEID=02001&amp;SDATE=201101&amp;PERIODTYPE=QTR_STD&amp;SCFT=3&amp;window=popup_no_bar&amp;width=385&amp;height=120&amp;START_MAXIMIZED=FALSE&amp;creator=factset&amp;display_string=Audit"}</definedName>
    <definedName name="_1280__FDSAUDITLINK__" hidden="1">{"fdsup://Directions/FactSet Auditing Viewer?action=AUDIT_VALUE&amp;DB=129&amp;ID1=59479310&amp;VALUEID=02001&amp;SDATE=200803&amp;PERIODTYPE=QTR_STD&amp;SCFT=3&amp;window=popup_no_bar&amp;width=385&amp;height=120&amp;START_MAXIMIZED=FALSE&amp;creator=factset&amp;display_string=Audit"}</definedName>
    <definedName name="_1281__FDSAUDITLINK__" hidden="1">{"fdsup://Directions/FactSet Auditing Viewer?action=AUDIT_VALUE&amp;DB=129&amp;ID1=59501710&amp;VALUEID=02001&amp;SDATE=200802&amp;PERIODTYPE=QTR_STD&amp;SCFT=3&amp;window=popup_no_bar&amp;width=385&amp;height=120&amp;START_MAXIMIZED=FALSE&amp;creator=factset&amp;display_string=Audit"}</definedName>
    <definedName name="_1282__FDSAUDITLINK__" hidden="1">{"fdsup://Directions/FactSet Auditing Viewer?action=AUDIT_VALUE&amp;DB=129&amp;ID1=59501710&amp;VALUEID=02001&amp;SDATE=200802&amp;PERIODTYPE=QTR_STD&amp;SCFT=3&amp;window=popup_no_bar&amp;width=385&amp;height=120&amp;START_MAXIMIZED=FALSE&amp;creator=factset&amp;display_string=Audit"}</definedName>
    <definedName name="_1283__FDSAUDITLINK__" hidden="1">{"fdsup://Directions/FactSet Auditing Viewer?action=AUDIT_VALUE&amp;DB=129&amp;ID1=50216110&amp;VALUEID=02001&amp;SDATE=200803&amp;PERIODTYPE=QTR_STD&amp;SCFT=3&amp;window=popup_no_bar&amp;width=385&amp;height=120&amp;START_MAXIMIZED=FALSE&amp;creator=factset&amp;display_string=Audit"}</definedName>
    <definedName name="_1284__FDSAUDITLINK__" hidden="1">{"fdsup://Directions/FactSet Auditing Viewer?action=AUDIT_VALUE&amp;DB=129&amp;ID1=50216110&amp;VALUEID=02001&amp;SDATE=200803&amp;PERIODTYPE=QTR_STD&amp;SCFT=3&amp;window=popup_no_bar&amp;width=385&amp;height=120&amp;START_MAXIMIZED=FALSE&amp;creator=factset&amp;display_string=Audit"}</definedName>
    <definedName name="_1285__FDSAUDITLINK__" hidden="1">{"fdsup://Directions/FactSet Auditing Viewer?action=AUDIT_VALUE&amp;DB=129&amp;ID1=51841510&amp;VALUEID=02001&amp;SDATE=200803&amp;PERIODTYPE=QTR_STD&amp;SCFT=3&amp;window=popup_no_bar&amp;width=385&amp;height=120&amp;START_MAXIMIZED=FALSE&amp;creator=factset&amp;display_string=Audit"}</definedName>
    <definedName name="_1286__FDSAUDITLINK__" hidden="1">{"fdsup://Directions/FactSet Auditing Viewer?action=AUDIT_VALUE&amp;DB=129&amp;ID1=51841510&amp;VALUEID=02001&amp;SDATE=200803&amp;PERIODTYPE=QTR_STD&amp;SCFT=3&amp;window=popup_no_bar&amp;width=385&amp;height=120&amp;START_MAXIMIZED=FALSE&amp;creator=factset&amp;display_string=Audit"}</definedName>
    <definedName name="_1287__FDSAUDITLINK__" hidden="1">{"fdsup://Directions/FactSet Auditing Viewer?action=AUDIT_VALUE&amp;DB=129&amp;ID1=51280710&amp;VALUEID=02001&amp;SDATE=200901&amp;PERIODTYPE=QTR_STD&amp;SCFT=3&amp;window=popup_no_bar&amp;width=385&amp;height=120&amp;START_MAXIMIZED=FALSE&amp;creator=factset&amp;display_string=Audit"}</definedName>
    <definedName name="_1288__FDSAUDITLINK__" hidden="1">{"fdsup://Directions/FactSet Auditing Viewer?action=AUDIT_VALUE&amp;DB=129&amp;ID1=51280710&amp;VALUEID=02001&amp;SDATE=200901&amp;PERIODTYPE=QTR_STD&amp;SCFT=3&amp;window=popup_no_bar&amp;width=385&amp;height=120&amp;START_MAXIMIZED=FALSE&amp;creator=factset&amp;display_string=Audit"}</definedName>
    <definedName name="_1289__FDSAUDITLINK__" hidden="1">{"fdsup://Directions/FactSet Auditing Viewer?action=AUDIT_VALUE&amp;DB=129&amp;ID1=53567810&amp;VALUEID=02001&amp;SDATE=200901&amp;PERIODTYPE=QTR_STD&amp;SCFT=3&amp;window=popup_no_bar&amp;width=385&amp;height=120&amp;START_MAXIMIZED=FALSE&amp;creator=factset&amp;display_string=Audit"}</definedName>
    <definedName name="_129__FDSAUDITLINK__" hidden="1">{"fdsup://Directions/FactSet Auditing Viewer?action=AUDIT_VALUE&amp;DB=129&amp;ID1=14964U10&amp;VALUEID=02001&amp;SDATE=201101&amp;PERIODTYPE=QTR_STD&amp;SCFT=3&amp;window=popup_no_bar&amp;width=385&amp;height=120&amp;START_MAXIMIZED=FALSE&amp;creator=factset&amp;display_string=Audit"}</definedName>
    <definedName name="_1290__FDSAUDITLINK__" hidden="1">{"fdsup://Directions/FactSet Auditing Viewer?action=AUDIT_VALUE&amp;DB=129&amp;ID1=53567810&amp;VALUEID=02001&amp;SDATE=200901&amp;PERIODTYPE=QTR_STD&amp;SCFT=3&amp;window=popup_no_bar&amp;width=385&amp;height=120&amp;START_MAXIMIZED=FALSE&amp;creator=factset&amp;display_string=Audit"}</definedName>
    <definedName name="_1291__FDSAUDITLINK__" hidden="1">{"fdsup://Directions/FactSet Auditing Viewer?action=AUDIT_VALUE&amp;DB=129&amp;ID1=48248010&amp;VALUEID=02001&amp;SDATE=200901&amp;PERIODTYPE=QTR_STD&amp;SCFT=3&amp;window=popup_no_bar&amp;width=385&amp;height=120&amp;START_MAXIMIZED=FALSE&amp;creator=factset&amp;display_string=Audit"}</definedName>
    <definedName name="_1292__FDSAUDITLINK__" hidden="1">{"fdsup://Directions/FactSet Auditing Viewer?action=AUDIT_VALUE&amp;DB=129&amp;ID1=48248010&amp;VALUEID=02001&amp;SDATE=200901&amp;PERIODTYPE=QTR_STD&amp;SCFT=3&amp;window=popup_no_bar&amp;width=385&amp;height=120&amp;START_MAXIMIZED=FALSE&amp;creator=factset&amp;display_string=Audit"}</definedName>
    <definedName name="_1293__FDSAUDITLINK__" hidden="1">{"fdsup://Directions/FactSet Auditing Viewer?action=AUDIT_VALUE&amp;DB=129&amp;ID1=48836020&amp;VALUEID=02001&amp;SDATE=200802&amp;PERIODTYPE=QTR_STD&amp;SCFT=3&amp;window=popup_no_bar&amp;width=385&amp;height=120&amp;START_MAXIMIZED=FALSE&amp;creator=factset&amp;display_string=Audit"}</definedName>
    <definedName name="_1294__FDSAUDITLINK__" hidden="1">{"fdsup://Directions/FactSet Auditing Viewer?action=AUDIT_VALUE&amp;DB=129&amp;ID1=48836020&amp;VALUEID=02001&amp;SDATE=200802&amp;PERIODTYPE=QTR_STD&amp;SCFT=3&amp;window=popup_no_bar&amp;width=385&amp;height=120&amp;START_MAXIMIZED=FALSE&amp;creator=factset&amp;display_string=Audit"}</definedName>
    <definedName name="_1295__FDSAUDITLINK__" hidden="1">{"fdsup://Directions/FactSet Auditing Viewer?action=AUDIT_VALUE&amp;DB=129&amp;ID1=48203R10&amp;VALUEID=02001&amp;SDATE=200803&amp;PERIODTYPE=QTR_STD&amp;SCFT=3&amp;window=popup_no_bar&amp;width=385&amp;height=120&amp;START_MAXIMIZED=FALSE&amp;creator=factset&amp;display_string=Audit"}</definedName>
    <definedName name="_1296__FDSAUDITLINK__" hidden="1">{"fdsup://Directions/FactSet Auditing Viewer?action=AUDIT_VALUE&amp;DB=129&amp;ID1=48203R10&amp;VALUEID=02001&amp;SDATE=200803&amp;PERIODTYPE=QTR_STD&amp;SCFT=3&amp;window=popup_no_bar&amp;width=385&amp;height=120&amp;START_MAXIMIZED=FALSE&amp;creator=factset&amp;display_string=Audit"}</definedName>
    <definedName name="_1297__FDSAUDITLINK__" hidden="1">{"fdsup://Directions/FactSet Auditing Viewer?action=AUDIT_VALUE&amp;DB=129&amp;ID1=86681020&amp;VALUEID=02001&amp;SDATE=200901&amp;PERIODTYPE=QTR_STD&amp;SCFT=3&amp;window=popup_no_bar&amp;width=385&amp;height=120&amp;START_MAXIMIZED=FALSE&amp;creator=factset&amp;display_string=Audit"}</definedName>
    <definedName name="_1298__FDSAUDITLINK__" hidden="1">{"fdsup://Directions/FactSet Auditing Viewer?action=AUDIT_VALUE&amp;DB=129&amp;ID1=86681020&amp;VALUEID=02001&amp;SDATE=200901&amp;PERIODTYPE=QTR_STD&amp;SCFT=3&amp;window=popup_no_bar&amp;width=385&amp;height=120&amp;START_MAXIMIZED=FALSE&amp;creator=factset&amp;display_string=Audit"}</definedName>
    <definedName name="_1299__FDSAUDITLINK__" hidden="1">{"fdsup://Directions/FactSet Auditing Viewer?action=AUDIT_VALUE&amp;DB=129&amp;ID1=46069S10&amp;VALUEID=02001&amp;SDATE=200803&amp;PERIODTYPE=QTR_STD&amp;SCFT=3&amp;window=popup_no_bar&amp;width=385&amp;height=120&amp;START_MAXIMIZED=FALSE&amp;creator=factset&amp;display_string=Audit"}</definedName>
    <definedName name="_13__FDSAUDITLINK__" hidden="1">{"fdsup://Directions/FactSet Auditing Viewer?action=AUDIT_VALUE&amp;DB=129&amp;ID1=74752510&amp;VALUEID=05194&amp;SDATE=201104&amp;PERIODTYPE=QTR_STD&amp;SCFT=3&amp;window=popup_no_bar&amp;width=385&amp;height=120&amp;START_MAXIMIZED=FALSE&amp;creator=factset&amp;display_string=Audit"}</definedName>
    <definedName name="_130__FDSAUDITLINK__" hidden="1">{"fdsup://Directions/FactSet Auditing Viewer?action=AUDIT_VALUE&amp;DB=129&amp;ID1=14964U10&amp;VALUEID=02001&amp;SDATE=201101&amp;PERIODTYPE=QTR_STD&amp;SCFT=3&amp;window=popup_no_bar&amp;width=385&amp;height=120&amp;START_MAXIMIZED=FALSE&amp;creator=factset&amp;display_string=Audit"}</definedName>
    <definedName name="_1300__FDSAUDITLINK__" hidden="1">{"fdsup://Directions/FactSet Auditing Viewer?action=AUDIT_VALUE&amp;DB=129&amp;ID1=46069S10&amp;VALUEID=02001&amp;SDATE=200803&amp;PERIODTYPE=QTR_STD&amp;SCFT=3&amp;window=popup_no_bar&amp;width=385&amp;height=120&amp;START_MAXIMIZED=FALSE&amp;creator=factset&amp;display_string=Audit"}</definedName>
    <definedName name="_1301__FDSAUDITLINK__" hidden="1">{"fdsup://Directions/FactSet Auditing Viewer?action=AUDIT_VALUE&amp;DB=129&amp;ID1=46025410&amp;VALUEID=02001&amp;SDATE=200901&amp;PERIODTYPE=QTR_STD&amp;SCFT=3&amp;window=popup_no_bar&amp;width=385&amp;height=120&amp;START_MAXIMIZED=FALSE&amp;creator=factset&amp;display_string=Audit"}</definedName>
    <definedName name="_1302__FDSAUDITLINK__" hidden="1">{"fdsup://Directions/FactSet Auditing Viewer?action=AUDIT_VALUE&amp;DB=129&amp;ID1=46025410&amp;VALUEID=02001&amp;SDATE=200901&amp;PERIODTYPE=QTR_STD&amp;SCFT=3&amp;window=popup_no_bar&amp;width=385&amp;height=120&amp;START_MAXIMIZED=FALSE&amp;creator=factset&amp;display_string=Audit"}</definedName>
    <definedName name="_1303__FDSAUDITLINK__" hidden="1">{"fdsup://Directions/FactSet Auditing Viewer?action=AUDIT_VALUE&amp;DB=129&amp;ID1=45814010&amp;VALUEID=02001&amp;SDATE=200803&amp;PERIODTYPE=QTR_STD&amp;SCFT=3&amp;window=popup_no_bar&amp;width=385&amp;height=120&amp;START_MAXIMIZED=FALSE&amp;creator=factset&amp;display_string=Audit"}</definedName>
    <definedName name="_1304__FDSAUDITLINK__" hidden="1">{"fdsup://Directions/FactSet Auditing Viewer?action=AUDIT_VALUE&amp;DB=129&amp;ID1=45814010&amp;VALUEID=02001&amp;SDATE=200803&amp;PERIODTYPE=QTR_STD&amp;SCFT=3&amp;window=popup_no_bar&amp;width=385&amp;height=120&amp;START_MAXIMIZED=FALSE&amp;creator=factset&amp;display_string=Audit"}</definedName>
    <definedName name="_1305__FDSAUDITLINK__" hidden="1">{"fdsup://Directions/FactSet Auditing Viewer?action=AUDIT_VALUE&amp;DB=129&amp;ID1=45811810&amp;VALUEID=02001&amp;SDATE=200802&amp;PERIODTYPE=QTR_STD&amp;SCFT=3&amp;window=popup_no_bar&amp;width=385&amp;height=120&amp;START_MAXIMIZED=FALSE&amp;creator=factset&amp;display_string=Audit"}</definedName>
    <definedName name="_1306__FDSAUDITLINK__" hidden="1">{"fdsup://Directions/FactSet Auditing Viewer?action=AUDIT_VALUE&amp;DB=129&amp;ID1=45811810&amp;VALUEID=02001&amp;SDATE=200802&amp;PERIODTYPE=QTR_STD&amp;SCFT=3&amp;window=popup_no_bar&amp;width=385&amp;height=120&amp;START_MAXIMIZED=FALSE&amp;creator=factset&amp;display_string=Audit"}</definedName>
    <definedName name="_1307__FDSAUDITLINK__" hidden="1">{"fdsup://Directions/FactSet Auditing Viewer?action=AUDIT_VALUE&amp;DB=129&amp;ID1=H2906T10&amp;VALUEID=02001&amp;SDATE=200803&amp;PERIODTYPE=QTR_STD&amp;SCFT=3&amp;window=popup_no_bar&amp;width=385&amp;height=120&amp;START_MAXIMIZED=FALSE&amp;creator=factset&amp;display_string=Audit"}</definedName>
    <definedName name="_1308__FDSAUDITLINK__" hidden="1">{"fdsup://Directions/FactSet Auditing Viewer?action=AUDIT_VALUE&amp;DB=129&amp;ID1=H2906T10&amp;VALUEID=02001&amp;SDATE=200803&amp;PERIODTYPE=QTR_STD&amp;SCFT=3&amp;window=popup_no_bar&amp;width=385&amp;height=120&amp;START_MAXIMIZED=FALSE&amp;creator=factset&amp;display_string=Audit"}</definedName>
    <definedName name="_1309__FDSAUDITLINK__" hidden="1">{"fdsup://Directions/FactSet Auditing Viewer?action=AUDIT_VALUE&amp;DB=129&amp;ID1=34637510&amp;VALUEID=02001&amp;SDATE=200803&amp;PERIODTYPE=QTR_STD&amp;SCFT=3&amp;window=popup_no_bar&amp;width=385&amp;height=120&amp;START_MAXIMIZED=FALSE&amp;creator=factset&amp;display_string=Audit"}</definedName>
    <definedName name="_131__FDSAUDITLINK__" hidden="1">{"fdsup://Directions/FactSet Auditing Viewer?action=AUDIT_VALUE&amp;DB=129&amp;ID1=11162130&amp;VALUEID=02001&amp;SDATE=201102&amp;PERIODTYPE=QTR_STD&amp;SCFT=3&amp;window=popup_no_bar&amp;width=385&amp;height=120&amp;START_MAXIMIZED=FALSE&amp;creator=factset&amp;display_string=Audit"}</definedName>
    <definedName name="_1310__FDSAUDITLINK__" hidden="1">{"fdsup://Directions/FactSet Auditing Viewer?action=AUDIT_VALUE&amp;DB=129&amp;ID1=34637510&amp;VALUEID=02001&amp;SDATE=200803&amp;PERIODTYPE=QTR_STD&amp;SCFT=3&amp;window=popup_no_bar&amp;width=385&amp;height=120&amp;START_MAXIMIZED=FALSE&amp;creator=factset&amp;display_string=Audit"}</definedName>
    <definedName name="_1311__FDSAUDITLINK__" hidden="1">{"fdsup://Directions/FactSet Auditing Viewer?action=AUDIT_VALUE&amp;DB=129&amp;ID1=29247520&amp;VALUEID=02001&amp;SDATE=200901&amp;PERIODTYPE=QTR_STD&amp;SCFT=3&amp;window=popup_no_bar&amp;width=385&amp;height=120&amp;START_MAXIMIZED=FALSE&amp;creator=factset&amp;display_string=Audit"}</definedName>
    <definedName name="_1312__FDSAUDITLINK__" hidden="1">{"fdsup://Directions/FactSet Auditing Viewer?action=AUDIT_VALUE&amp;DB=129&amp;ID1=29247520&amp;VALUEID=02001&amp;SDATE=200901&amp;PERIODTYPE=QTR_STD&amp;SCFT=3&amp;window=popup_no_bar&amp;width=385&amp;height=120&amp;START_MAXIMIZED=FALSE&amp;creator=factset&amp;display_string=Audit"}</definedName>
    <definedName name="_1313__FDSAUDITLINK__" hidden="1">{"fdsup://Directions/FactSet Auditing Viewer?action=AUDIT_VALUE&amp;DB=129&amp;ID1=25454310&amp;VALUEID=02001&amp;SDATE=200803&amp;PERIODTYPE=QTR_STD&amp;SCFT=3&amp;window=popup_no_bar&amp;width=385&amp;height=120&amp;START_MAXIMIZED=FALSE&amp;creator=factset&amp;display_string=Audit"}</definedName>
    <definedName name="_1314__FDSAUDITLINK__" hidden="1">{"fdsup://Directions/FactSet Auditing Viewer?action=AUDIT_VALUE&amp;DB=129&amp;ID1=25454310&amp;VALUEID=02001&amp;SDATE=200803&amp;PERIODTYPE=QTR_STD&amp;SCFT=3&amp;window=popup_no_bar&amp;width=385&amp;height=120&amp;START_MAXIMIZED=FALSE&amp;creator=factset&amp;display_string=Audit"}</definedName>
    <definedName name="_1315__FDSAUDITLINK__" hidden="1">{"fdsup://Directions/FactSet Auditing Viewer?action=AUDIT_VALUE&amp;DB=129&amp;ID1=24702R10&amp;VALUEID=02001&amp;SDATE=200803&amp;PERIODTYPE=QTR_STD&amp;SCFT=3&amp;window=popup_no_bar&amp;width=385&amp;height=120&amp;START_MAXIMIZED=FALSE&amp;creator=factset&amp;display_string=Audit"}</definedName>
    <definedName name="_1316__FDSAUDITLINK__" hidden="1">{"fdsup://Directions/FactSet Auditing Viewer?action=AUDIT_VALUE&amp;DB=129&amp;ID1=24702R10&amp;VALUEID=02001&amp;SDATE=200803&amp;PERIODTYPE=QTR_STD&amp;SCFT=3&amp;window=popup_no_bar&amp;width=385&amp;height=120&amp;START_MAXIMIZED=FALSE&amp;creator=factset&amp;display_string=Audit"}</definedName>
    <definedName name="_1317__FDSAUDITLINK__" hidden="1">{"fdsup://Directions/FactSet Auditing Viewer?action=AUDIT_VALUE&amp;DB=129&amp;ID1=23257210&amp;VALUEID=02001&amp;SDATE=200803&amp;PERIODTYPE=QTR_STD&amp;SCFT=3&amp;window=popup_no_bar&amp;width=385&amp;height=120&amp;START_MAXIMIZED=FALSE&amp;creator=factset&amp;display_string=Audit"}</definedName>
    <definedName name="_1318__FDSAUDITLINK__" hidden="1">{"fdsup://Directions/FactSet Auditing Viewer?action=AUDIT_VALUE&amp;DB=129&amp;ID1=23257210&amp;VALUEID=02001&amp;SDATE=200803&amp;PERIODTYPE=QTR_STD&amp;SCFT=3&amp;window=popup_no_bar&amp;width=385&amp;height=120&amp;START_MAXIMIZED=FALSE&amp;creator=factset&amp;display_string=Audit"}</definedName>
    <definedName name="_1319__FDSAUDITLINK__" hidden="1">{"fdsup://Directions/FactSet Auditing Viewer?action=AUDIT_VALUE&amp;DB=129&amp;ID1=23280610&amp;VALUEID=02001&amp;SDATE=200803&amp;PERIODTYPE=QTR_STD&amp;SCFT=3&amp;window=popup_no_bar&amp;width=385&amp;height=120&amp;START_MAXIMIZED=FALSE&amp;creator=factset&amp;display_string=Audit"}</definedName>
    <definedName name="_132__FDSAUDITLINK__" hidden="1">{"fdsup://Directions/FactSet Auditing Viewer?action=AUDIT_VALUE&amp;DB=129&amp;ID1=11162130&amp;VALUEID=02001&amp;SDATE=201102&amp;PERIODTYPE=QTR_STD&amp;SCFT=3&amp;window=popup_no_bar&amp;width=385&amp;height=120&amp;START_MAXIMIZED=FALSE&amp;creator=factset&amp;display_string=Audit"}</definedName>
    <definedName name="_1320__FDSAUDITLINK__" hidden="1">{"fdsup://Directions/FactSet Auditing Viewer?action=AUDIT_VALUE&amp;DB=129&amp;ID1=23280610&amp;VALUEID=02001&amp;SDATE=200803&amp;PERIODTYPE=QTR_STD&amp;SCFT=3&amp;window=popup_no_bar&amp;width=385&amp;height=120&amp;START_MAXIMIZED=FALSE&amp;creator=factset&amp;display_string=Audit"}</definedName>
    <definedName name="_1321__FDSAUDITLINK__" hidden="1">{"fdsup://Directions/FactSet Auditing Viewer?action=AUDIT_VALUE&amp;DB=129&amp;ID1=17275R10&amp;VALUEID=02001&amp;SDATE=200901&amp;PERIODTYPE=QTR_STD&amp;SCFT=3&amp;window=popup_no_bar&amp;width=385&amp;height=120&amp;START_MAXIMIZED=FALSE&amp;creator=factset&amp;display_string=Audit"}</definedName>
    <definedName name="_1322__FDSAUDITLINK__" hidden="1">{"fdsup://Directions/FactSet Auditing Viewer?action=AUDIT_VALUE&amp;DB=129&amp;ID1=17275R10&amp;VALUEID=02001&amp;SDATE=200901&amp;PERIODTYPE=QTR_STD&amp;SCFT=3&amp;window=popup_no_bar&amp;width=385&amp;height=120&amp;START_MAXIMIZED=FALSE&amp;creator=factset&amp;display_string=Audit"}</definedName>
    <definedName name="_1323__FDSAUDITLINK__" hidden="1">{"fdsup://Directions/FactSet Auditing Viewer?action=AUDIT_VALUE&amp;DB=129&amp;ID1=22544710&amp;VALUEID=02001&amp;SDATE=200901&amp;PERIODTYPE=QTR_STD&amp;SCFT=3&amp;window=popup_no_bar&amp;width=385&amp;height=120&amp;START_MAXIMIZED=FALSE&amp;creator=factset&amp;display_string=Audit"}</definedName>
    <definedName name="_1324__FDSAUDITLINK__" hidden="1">{"fdsup://Directions/FactSet Auditing Viewer?action=AUDIT_VALUE&amp;DB=129&amp;ID1=22544710&amp;VALUEID=02001&amp;SDATE=200901&amp;PERIODTYPE=QTR_STD&amp;SCFT=3&amp;window=popup_no_bar&amp;width=385&amp;height=120&amp;START_MAXIMIZED=FALSE&amp;creator=factset&amp;display_string=Audit"}</definedName>
    <definedName name="_1325__FDSAUDITLINK__" hidden="1">{"fdsup://Directions/FactSet Auditing Viewer?action=AUDIT_VALUE&amp;DB=129&amp;ID1=12738710&amp;VALUEID=02001&amp;SDATE=200803&amp;PERIODTYPE=QTR_STD&amp;SCFT=3&amp;window=popup_no_bar&amp;width=385&amp;height=120&amp;START_MAXIMIZED=FALSE&amp;creator=factset&amp;display_string=Audit"}</definedName>
    <definedName name="_1326__FDSAUDITLINK__" hidden="1">{"fdsup://Directions/FactSet Auditing Viewer?action=AUDIT_VALUE&amp;DB=129&amp;ID1=12738710&amp;VALUEID=02001&amp;SDATE=200803&amp;PERIODTYPE=QTR_STD&amp;SCFT=3&amp;window=popup_no_bar&amp;width=385&amp;height=120&amp;START_MAXIMIZED=FALSE&amp;creator=factset&amp;display_string=Audit"}</definedName>
    <definedName name="_1327__FDSAUDITLINK__" hidden="1">{"fdsup://Directions/FactSet Auditing Viewer?action=AUDIT_VALUE&amp;DB=129&amp;ID1=14964U10&amp;VALUEID=02001&amp;SDATE=200803&amp;PERIODTYPE=QTR_STD&amp;SCFT=3&amp;window=popup_no_bar&amp;width=385&amp;height=120&amp;START_MAXIMIZED=FALSE&amp;creator=factset&amp;display_string=Audit"}</definedName>
    <definedName name="_1328__FDSAUDITLINK__" hidden="1">{"fdsup://Directions/FactSet Auditing Viewer?action=AUDIT_VALUE&amp;DB=129&amp;ID1=14964U10&amp;VALUEID=02001&amp;SDATE=200803&amp;PERIODTYPE=QTR_STD&amp;SCFT=3&amp;window=popup_no_bar&amp;width=385&amp;height=120&amp;START_MAXIMIZED=FALSE&amp;creator=factset&amp;display_string=Audit"}</definedName>
    <definedName name="_1329__FDSAUDITLINK__" hidden="1">{"fdsup://Directions/FactSet Auditing Viewer?action=AUDIT_VALUE&amp;DB=129&amp;ID1=04743P10&amp;VALUEID=02001&amp;SDATE=200803&amp;PERIODTYPE=QTR_STD&amp;SCFT=3&amp;window=popup_no_bar&amp;width=385&amp;height=120&amp;START_MAXIMIZED=FALSE&amp;creator=factset&amp;display_string=Audit"}</definedName>
    <definedName name="_133__FDSAUDITLINK__" hidden="1">{"fdsup://Directions/FactSet Auditing Viewer?action=AUDIT_VALUE&amp;DB=129&amp;ID1=Y0486S10&amp;VALUEID=02001&amp;SDATE=201102&amp;PERIODTYPE=QTR_STD&amp;SCFT=3&amp;window=popup_no_bar&amp;width=385&amp;height=120&amp;START_MAXIMIZED=FALSE&amp;creator=factset&amp;display_string=Audit"}</definedName>
    <definedName name="_1330__FDSAUDITLINK__" hidden="1">{"fdsup://Directions/FactSet Auditing Viewer?action=AUDIT_VALUE&amp;DB=129&amp;ID1=04743P10&amp;VALUEID=02001&amp;SDATE=200803&amp;PERIODTYPE=QTR_STD&amp;SCFT=3&amp;window=popup_no_bar&amp;width=385&amp;height=120&amp;START_MAXIMIZED=FALSE&amp;creator=factset&amp;display_string=Audit"}</definedName>
    <definedName name="_1331__FDSAUDITLINK__" hidden="1">{"fdsup://Directions/FactSet Auditing Viewer?action=AUDIT_VALUE&amp;DB=129&amp;ID1=03251510&amp;VALUEID=02001&amp;SDATE=200803&amp;PERIODTYPE=QTR_STD&amp;SCFT=3&amp;window=popup_no_bar&amp;width=385&amp;height=120&amp;START_MAXIMIZED=FALSE&amp;creator=factset&amp;display_string=Audit"}</definedName>
    <definedName name="_1332__FDSAUDITLINK__" hidden="1">{"fdsup://Directions/FactSet Auditing Viewer?action=AUDIT_VALUE&amp;DB=129&amp;ID1=03251510&amp;VALUEID=02001&amp;SDATE=200803&amp;PERIODTYPE=QTR_STD&amp;SCFT=3&amp;window=popup_no_bar&amp;width=385&amp;height=120&amp;START_MAXIMIZED=FALSE&amp;creator=factset&amp;display_string=Audit"}</definedName>
    <definedName name="_1333__FDSAUDITLINK__" hidden="1">{"fdsup://Directions/FactSet Auditing Viewer?action=AUDIT_VALUE&amp;DB=129&amp;ID1=00790310&amp;VALUEID=02001&amp;SDATE=200803&amp;PERIODTYPE=QTR_STD&amp;SCFT=3&amp;window=popup_no_bar&amp;width=385&amp;height=120&amp;START_MAXIMIZED=FALSE&amp;creator=factset&amp;display_string=Audit"}</definedName>
    <definedName name="_1334__FDSAUDITLINK__" hidden="1">{"fdsup://Directions/FactSet Auditing Viewer?action=AUDIT_VALUE&amp;DB=129&amp;ID1=00790310&amp;VALUEID=02001&amp;SDATE=200803&amp;PERIODTYPE=QTR_STD&amp;SCFT=3&amp;window=popup_no_bar&amp;width=385&amp;height=120&amp;START_MAXIMIZED=FALSE&amp;creator=factset&amp;display_string=Audit"}</definedName>
    <definedName name="_1335__FDSAUDITLINK__" hidden="1">{"fdsup://Directions/FactSet Auditing Viewer?action=AUDIT_VALUE&amp;DB=129&amp;ID1=03822W40&amp;VALUEID=02001&amp;SDATE=200802&amp;PERIODTYPE=QTR_STD&amp;SCFT=3&amp;window=popup_no_bar&amp;width=385&amp;height=120&amp;START_MAXIMIZED=FALSE&amp;creator=factset&amp;display_string=Audit"}</definedName>
    <definedName name="_1336__FDSAUDITLINK__" hidden="1">{"fdsup://Directions/FactSet Auditing Viewer?action=AUDIT_VALUE&amp;DB=129&amp;ID1=03822W40&amp;VALUEID=02001&amp;SDATE=200802&amp;PERIODTYPE=QTR_STD&amp;SCFT=3&amp;window=popup_no_bar&amp;width=385&amp;height=120&amp;START_MAXIMIZED=FALSE&amp;creator=factset&amp;display_string=Audit"}</definedName>
    <definedName name="_1337__FDSAUDITLINK__" hidden="1">{"fdsup://Directions/FactSet Auditing Viewer?action=AUDIT_VALUE&amp;DB=129&amp;ID1=02144110&amp;VALUEID=02001&amp;SDATE=200803&amp;PERIODTYPE=QTR_STD&amp;SCFT=3&amp;window=popup_no_bar&amp;width=385&amp;height=120&amp;START_MAXIMIZED=FALSE&amp;creator=factset&amp;display_string=Audit"}</definedName>
    <definedName name="_1338__FDSAUDITLINK__" hidden="1">{"fdsup://Directions/FactSet Auditing Viewer?action=AUDIT_VALUE&amp;DB=129&amp;ID1=02144110&amp;VALUEID=02001&amp;SDATE=200803&amp;PERIODTYPE=QTR_STD&amp;SCFT=3&amp;window=popup_no_bar&amp;width=385&amp;height=120&amp;START_MAXIMIZED=FALSE&amp;creator=factset&amp;display_string=Audit"}</definedName>
    <definedName name="_1339__FDSAUDITLINK__" hidden="1">{"fdsup://Directions/FactSet Auditing Viewer?action=AUDIT_VALUE&amp;DB=129&amp;ID1=00752J10&amp;VALUEID=02001&amp;SDATE=200803&amp;PERIODTYPE=QTR_STD&amp;SCFT=3&amp;window=popup_no_bar&amp;width=385&amp;height=120&amp;START_MAXIMIZED=FALSE&amp;creator=factset&amp;display_string=Audit"}</definedName>
    <definedName name="_134__FDSAUDITLINK__" hidden="1">{"fdsup://Directions/FactSet Auditing Viewer?action=AUDIT_VALUE&amp;DB=129&amp;ID1=Y0486S10&amp;VALUEID=02001&amp;SDATE=201102&amp;PERIODTYPE=QTR_STD&amp;SCFT=3&amp;window=popup_no_bar&amp;width=385&amp;height=120&amp;START_MAXIMIZED=FALSE&amp;creator=factset&amp;display_string=Audit"}</definedName>
    <definedName name="_1340__FDSAUDITLINK__" hidden="1">{"fdsup://Directions/FactSet Auditing Viewer?action=AUDIT_VALUE&amp;DB=129&amp;ID1=00752J10&amp;VALUEID=02001&amp;SDATE=200803&amp;PERIODTYPE=QTR_STD&amp;SCFT=3&amp;window=popup_no_bar&amp;width=385&amp;height=120&amp;START_MAXIMIZED=FALSE&amp;creator=factset&amp;display_string=Audit"}</definedName>
    <definedName name="_1341__FDSAUDITLINK__" hidden="1">{"fdsup://Directions/FactSet Auditing Viewer?action=AUDIT_VALUE&amp;DB=129&amp;ID1=98975F10&amp;VALUEID=02001&amp;SDATE=200802&amp;PERIODTYPE=QTR_STD&amp;SCFT=3&amp;window=popup_no_bar&amp;width=385&amp;height=120&amp;START_MAXIMIZED=FALSE&amp;creator=factset&amp;display_string=Audit"}</definedName>
    <definedName name="_1342__FDSAUDITLINK__" hidden="1">{"fdsup://Directions/FactSet Auditing Viewer?action=AUDIT_VALUE&amp;DB=129&amp;ID1=98975F10&amp;VALUEID=02001&amp;SDATE=200802&amp;PERIODTYPE=QTR_STD&amp;SCFT=3&amp;window=popup_no_bar&amp;width=385&amp;height=120&amp;START_MAXIMIZED=FALSE&amp;creator=factset&amp;display_string=Audit"}</definedName>
    <definedName name="_1343__FDSAUDITLINK__" hidden="1">{"fdsup://Directions/FactSet Auditing Viewer?action=AUDIT_VALUE&amp;DB=129&amp;ID1=98391910&amp;VALUEID=02001&amp;SDATE=200801&amp;PERIODTYPE=QTR_STD&amp;SCFT=3&amp;window=popup_no_bar&amp;width=385&amp;height=120&amp;START_MAXIMIZED=FALSE&amp;creator=factset&amp;display_string=Audit"}</definedName>
    <definedName name="_1344__FDSAUDITLINK__" hidden="1">{"fdsup://Directions/FactSet Auditing Viewer?action=AUDIT_VALUE&amp;DB=129&amp;ID1=98391910&amp;VALUEID=02001&amp;SDATE=200801&amp;PERIODTYPE=QTR_STD&amp;SCFT=3&amp;window=popup_no_bar&amp;width=385&amp;height=120&amp;START_MAXIMIZED=FALSE&amp;creator=factset&amp;display_string=Audit"}</definedName>
    <definedName name="_1345__FDSAUDITLINK__" hidden="1">{"fdsup://Directions/FactSet Auditing Viewer?action=AUDIT_VALUE&amp;DB=129&amp;ID1=92849730&amp;VALUEID=02001&amp;SDATE=200803&amp;PERIODTYPE=QTR_STD&amp;SCFT=3&amp;window=popup_no_bar&amp;width=385&amp;height=120&amp;START_MAXIMIZED=FALSE&amp;creator=factset&amp;display_string=Audit"}</definedName>
    <definedName name="_1346__FDSAUDITLINK__" hidden="1">{"fdsup://Directions/FactSet Auditing Viewer?action=AUDIT_VALUE&amp;DB=129&amp;ID1=92849730&amp;VALUEID=02001&amp;SDATE=200803&amp;PERIODTYPE=QTR_STD&amp;SCFT=3&amp;window=popup_no_bar&amp;width=385&amp;height=120&amp;START_MAXIMIZED=FALSE&amp;creator=factset&amp;display_string=Audit"}</definedName>
    <definedName name="_1347__FDSAUDITLINK__" hidden="1">{"fdsup://Directions/FactSet Auditing Viewer?action=AUDIT_VALUE&amp;DB=129&amp;ID1=92829810&amp;VALUEID=02001&amp;SDATE=200802&amp;PERIODTYPE=QTR_STD&amp;SCFT=3&amp;window=popup_no_bar&amp;width=385&amp;height=120&amp;START_MAXIMIZED=FALSE&amp;creator=factset&amp;display_string=Audit"}</definedName>
    <definedName name="_1348__FDSAUDITLINK__" hidden="1">{"fdsup://Directions/FactSet Auditing Viewer?action=AUDIT_VALUE&amp;DB=129&amp;ID1=92829810&amp;VALUEID=02001&amp;SDATE=200802&amp;PERIODTYPE=QTR_STD&amp;SCFT=3&amp;window=popup_no_bar&amp;width=385&amp;height=120&amp;START_MAXIMIZED=FALSE&amp;creator=factset&amp;display_string=Audit"}</definedName>
    <definedName name="_1349__FDSAUDITLINK__" hidden="1">{"fdsup://Directions/FactSet Auditing Viewer?action=AUDIT_VALUE&amp;DB=129&amp;ID1=88250810&amp;VALUEID=02001&amp;SDATE=200802&amp;PERIODTYPE=QTR_STD&amp;SCFT=3&amp;window=popup_no_bar&amp;width=385&amp;height=120&amp;START_MAXIMIZED=FALSE&amp;creator=factset&amp;display_string=Audit"}</definedName>
    <definedName name="_135__FDSAUDITLINK__" hidden="1">{"fdsup://Directions/FactSet Auditing Viewer?action=AUDIT_VALUE&amp;DB=129&amp;ID1=04743P10&amp;VALUEID=02001&amp;SDATE=201101&amp;PERIODTYPE=QTR_STD&amp;SCFT=3&amp;window=popup_no_bar&amp;width=385&amp;height=120&amp;START_MAXIMIZED=FALSE&amp;creator=factset&amp;display_string=Audit"}</definedName>
    <definedName name="_1350__FDSAUDITLINK__" hidden="1">{"fdsup://Directions/FactSet Auditing Viewer?action=AUDIT_VALUE&amp;DB=129&amp;ID1=88250810&amp;VALUEID=02001&amp;SDATE=200802&amp;PERIODTYPE=QTR_STD&amp;SCFT=3&amp;window=popup_no_bar&amp;width=385&amp;height=120&amp;START_MAXIMIZED=FALSE&amp;creator=factset&amp;display_string=Audit"}</definedName>
    <definedName name="_1351__FDSAUDITLINK__" hidden="1">{"fdsup://Directions/FactSet Auditing Viewer?action=AUDIT_VALUE&amp;DB=129&amp;ID1=89674K10&amp;VALUEID=02001&amp;SDATE=200802&amp;PERIODTYPE=QTR_STD&amp;SCFT=3&amp;window=popup_no_bar&amp;width=385&amp;height=120&amp;START_MAXIMIZED=FALSE&amp;creator=factset&amp;display_string=Audit"}</definedName>
    <definedName name="_1352__FDSAUDITLINK__" hidden="1">{"fdsup://Directions/FactSet Auditing Viewer?action=AUDIT_VALUE&amp;DB=129&amp;ID1=89674K10&amp;VALUEID=02001&amp;SDATE=200802&amp;PERIODTYPE=QTR_STD&amp;SCFT=3&amp;window=popup_no_bar&amp;width=385&amp;height=120&amp;START_MAXIMIZED=FALSE&amp;creator=factset&amp;display_string=Audit"}</definedName>
    <definedName name="_1353__FDSAUDITLINK__" hidden="1">{"fdsup://Directions/FactSet Auditing Viewer?action=AUDIT_VALUE&amp;DB=129&amp;ID1=83088M10&amp;VALUEID=02001&amp;SDATE=200803&amp;PERIODTYPE=QTR_STD&amp;SCFT=3&amp;window=popup_no_bar&amp;width=385&amp;height=120&amp;START_MAXIMIZED=FALSE&amp;creator=factset&amp;display_string=Audit"}</definedName>
    <definedName name="_1354__FDSAUDITLINK__" hidden="1">{"fdsup://Directions/FactSet Auditing Viewer?action=AUDIT_VALUE&amp;DB=129&amp;ID1=83088M10&amp;VALUEID=02001&amp;SDATE=200803&amp;PERIODTYPE=QTR_STD&amp;SCFT=3&amp;window=popup_no_bar&amp;width=385&amp;height=120&amp;START_MAXIMIZED=FALSE&amp;creator=factset&amp;display_string=Audit"}</definedName>
    <definedName name="_1355__FDSAUDITLINK__" hidden="1">{"fdsup://Directions/FactSet Auditing Viewer?action=AUDIT_VALUE&amp;DB=129&amp;ID1=78477410&amp;VALUEID=02001&amp;SDATE=200802&amp;PERIODTYPE=QTR_STD&amp;SCFT=3&amp;window=popup_no_bar&amp;width=385&amp;height=120&amp;START_MAXIMIZED=FALSE&amp;creator=factset&amp;display_string=Audit"}</definedName>
    <definedName name="_1356__FDSAUDITLINK__" hidden="1">{"fdsup://Directions/FactSet Auditing Viewer?action=AUDIT_VALUE&amp;DB=129&amp;ID1=78477410&amp;VALUEID=02001&amp;SDATE=200802&amp;PERIODTYPE=QTR_STD&amp;SCFT=3&amp;window=popup_no_bar&amp;width=385&amp;height=120&amp;START_MAXIMIZED=FALSE&amp;creator=factset&amp;display_string=Audit"}</definedName>
    <definedName name="_1357__FDSAUDITLINK__" hidden="1">{"fdsup://Directions/FactSet Auditing Viewer?action=AUDIT_VALUE&amp;DB=129&amp;ID1=82705710&amp;VALUEID=02001&amp;SDATE=200802&amp;PERIODTYPE=QTR_STD&amp;SCFT=3&amp;window=popup_no_bar&amp;width=385&amp;height=120&amp;START_MAXIMIZED=FALSE&amp;creator=factset&amp;display_string=Audit"}</definedName>
    <definedName name="_1358__FDSAUDITLINK__" hidden="1">{"fdsup://Directions/FactSet Auditing Viewer?action=AUDIT_VALUE&amp;DB=129&amp;ID1=82705710&amp;VALUEID=02001&amp;SDATE=200802&amp;PERIODTYPE=QTR_STD&amp;SCFT=3&amp;window=popup_no_bar&amp;width=385&amp;height=120&amp;START_MAXIMIZED=FALSE&amp;creator=factset&amp;display_string=Audit"}</definedName>
    <definedName name="_1359__FDSAUDITLINK__" hidden="1">{"fdsup://Directions/FactSet Auditing Viewer?action=AUDIT_VALUE&amp;DB=129&amp;ID1=83547010&amp;VALUEID=02001&amp;SDATE=200802&amp;PERIODTYPE=QTR_STD&amp;SCFT=3&amp;window=popup_no_bar&amp;width=385&amp;height=120&amp;START_MAXIMIZED=FALSE&amp;creator=factset&amp;display_string=Audit"}</definedName>
    <definedName name="_136__FDSAUDITLINK__" hidden="1">{"fdsup://Directions/FactSet Auditing Viewer?action=AUDIT_VALUE&amp;DB=129&amp;ID1=04743P10&amp;VALUEID=02001&amp;SDATE=201101&amp;PERIODTYPE=QTR_STD&amp;SCFT=3&amp;window=popup_no_bar&amp;width=385&amp;height=120&amp;START_MAXIMIZED=FALSE&amp;creator=factset&amp;display_string=Audit"}</definedName>
    <definedName name="_1360__FDSAUDITLINK__" hidden="1">{"fdsup://Directions/FactSet Auditing Viewer?action=AUDIT_VALUE&amp;DB=129&amp;ID1=83547010&amp;VALUEID=02001&amp;SDATE=200802&amp;PERIODTYPE=QTR_STD&amp;SCFT=3&amp;window=popup_no_bar&amp;width=385&amp;height=120&amp;START_MAXIMIZED=FALSE&amp;creator=factset&amp;display_string=Audit"}</definedName>
    <definedName name="_1361__FDSAUDITLINK__" hidden="1">{"fdsup://Directions/FactSet Auditing Viewer?action=AUDIT_VALUE&amp;DB=129&amp;ID1=87160710&amp;VALUEID=02001&amp;SDATE=200803&amp;PERIODTYPE=QTR_STD&amp;SCFT=3&amp;window=popup_no_bar&amp;width=385&amp;height=120&amp;START_MAXIMIZED=FALSE&amp;creator=factset&amp;display_string=Audit"}</definedName>
    <definedName name="_1362__FDSAUDITLINK__" hidden="1">{"fdsup://Directions/FactSet Auditing Viewer?action=AUDIT_VALUE&amp;DB=129&amp;ID1=87160710&amp;VALUEID=02001&amp;SDATE=200803&amp;PERIODTYPE=QTR_STD&amp;SCFT=3&amp;window=popup_no_bar&amp;width=385&amp;height=120&amp;START_MAXIMIZED=FALSE&amp;creator=factset&amp;display_string=Audit"}</definedName>
    <definedName name="_1363__FDSAUDITLINK__" hidden="1">{"fdsup://Directions/FactSet Auditing Viewer?action=AUDIT_VALUE&amp;DB=129&amp;ID1=80004C10&amp;VALUEID=02001&amp;SDATE=200802&amp;PERIODTYPE=QTR_STD&amp;SCFT=3&amp;window=popup_no_bar&amp;width=385&amp;height=120&amp;START_MAXIMIZED=FALSE&amp;creator=factset&amp;display_string=Audit"}</definedName>
    <definedName name="_1364__FDSAUDITLINK__" hidden="1">{"fdsup://Directions/FactSet Auditing Viewer?action=AUDIT_VALUE&amp;DB=129&amp;ID1=80004C10&amp;VALUEID=02001&amp;SDATE=200802&amp;PERIODTYPE=QTR_STD&amp;SCFT=3&amp;window=popup_no_bar&amp;width=385&amp;height=120&amp;START_MAXIMIZED=FALSE&amp;creator=factset&amp;display_string=Audit"}</definedName>
    <definedName name="_1365__FDSAUDITLINK__" hidden="1">{"fdsup://Directions/FactSet Auditing Viewer?action=AUDIT_VALUE&amp;DB=129&amp;ID1=81685010&amp;VALUEID=02001&amp;SDATE=200802&amp;PERIODTYPE=QTR_STD&amp;SCFT=3&amp;window=popup_no_bar&amp;width=385&amp;height=120&amp;START_MAXIMIZED=FALSE&amp;creator=factset&amp;display_string=Audit"}</definedName>
    <definedName name="_1366__FDSAUDITLINK__" hidden="1">{"fdsup://Directions/FactSet Auditing Viewer?action=AUDIT_VALUE&amp;DB=129&amp;ID1=81685010&amp;VALUEID=02001&amp;SDATE=200802&amp;PERIODTYPE=QTR_STD&amp;SCFT=3&amp;window=popup_no_bar&amp;width=385&amp;height=120&amp;START_MAXIMIZED=FALSE&amp;creator=factset&amp;display_string=Audit"}</definedName>
    <definedName name="_1367__FDSAUDITLINK__" hidden="1">{"fdsup://Directions/FactSet Auditing Viewer?action=AUDIT_VALUE&amp;DB=129&amp;ID1=82691910&amp;VALUEID=02001&amp;SDATE=200802&amp;PERIODTYPE=QTR_STD&amp;SCFT=3&amp;window=popup_no_bar&amp;width=385&amp;height=120&amp;START_MAXIMIZED=FALSE&amp;creator=factset&amp;display_string=Audit"}</definedName>
    <definedName name="_1368__FDSAUDITLINK__" hidden="1">{"fdsup://Directions/FactSet Auditing Viewer?action=AUDIT_VALUE&amp;DB=129&amp;ID1=82691910&amp;VALUEID=02001&amp;SDATE=200802&amp;PERIODTYPE=QTR_STD&amp;SCFT=3&amp;window=popup_no_bar&amp;width=385&amp;height=120&amp;START_MAXIMIZED=FALSE&amp;creator=factset&amp;display_string=Audit"}</definedName>
    <definedName name="_1369__FDSAUDITLINK__" hidden="1">{"fdsup://Directions/FactSet Auditing Viewer?action=AUDIT_VALUE&amp;DB=129&amp;ID1=82705T10&amp;VALUEID=02001&amp;SDATE=200802&amp;PERIODTYPE=QTR_STD&amp;SCFT=3&amp;window=popup_no_bar&amp;width=385&amp;height=120&amp;START_MAXIMIZED=FALSE&amp;creator=factset&amp;display_string=Audit"}</definedName>
    <definedName name="_137__FDSAUDITLINK__" hidden="1">{"fdsup://Directions/FactSet Auditing Viewer?action=AUDIT_VALUE&amp;DB=129&amp;ID1=03251510&amp;VALUEID=02001&amp;SDATE=201101&amp;PERIODTYPE=QTR_STD&amp;SCFT=3&amp;window=popup_no_bar&amp;width=385&amp;height=120&amp;START_MAXIMIZED=FALSE&amp;creator=factset&amp;display_string=Audit"}</definedName>
    <definedName name="_1370__FDSAUDITLINK__" hidden="1">{"fdsup://Directions/FactSet Auditing Viewer?action=AUDIT_VALUE&amp;DB=129&amp;ID1=82705T10&amp;VALUEID=02001&amp;SDATE=200802&amp;PERIODTYPE=QTR_STD&amp;SCFT=3&amp;window=popup_no_bar&amp;width=385&amp;height=120&amp;START_MAXIMIZED=FALSE&amp;creator=factset&amp;display_string=Audit"}</definedName>
    <definedName name="_1371__FDSAUDITLINK__" hidden="1">{"fdsup://Directions/FactSet Auditing Viewer?action=AUDIT_VALUE&amp;DB=129&amp;ID1=75091710&amp;VALUEID=02001&amp;SDATE=200802&amp;PERIODTYPE=QTR_STD&amp;SCFT=3&amp;window=popup_no_bar&amp;width=385&amp;height=120&amp;START_MAXIMIZED=FALSE&amp;creator=factset&amp;display_string=Audit"}</definedName>
    <definedName name="_1372__FDSAUDITLINK__" hidden="1">{"fdsup://Directions/FactSet Auditing Viewer?action=AUDIT_VALUE&amp;DB=129&amp;ID1=75091710&amp;VALUEID=02001&amp;SDATE=200802&amp;PERIODTYPE=QTR_STD&amp;SCFT=3&amp;window=popup_no_bar&amp;width=385&amp;height=120&amp;START_MAXIMIZED=FALSE&amp;creator=factset&amp;display_string=Audit"}</definedName>
    <definedName name="_1373__FDSAUDITLINK__" hidden="1">{"fdsup://Directions/FactSet Auditing Viewer?action=AUDIT_VALUE&amp;DB=129&amp;ID1=74994110&amp;VALUEID=02001&amp;SDATE=200801&amp;PERIODTYPE=QTR_STD&amp;SCFT=3&amp;window=popup_no_bar&amp;width=385&amp;height=120&amp;START_MAXIMIZED=FALSE&amp;creator=factset&amp;display_string=Audit"}</definedName>
    <definedName name="_1374__FDSAUDITLINK__" hidden="1">{"fdsup://Directions/FactSet Auditing Viewer?action=AUDIT_VALUE&amp;DB=129&amp;ID1=74994110&amp;VALUEID=02001&amp;SDATE=200801&amp;PERIODTYPE=QTR_STD&amp;SCFT=3&amp;window=popup_no_bar&amp;width=385&amp;height=120&amp;START_MAXIMIZED=FALSE&amp;creator=factset&amp;display_string=Audit"}</definedName>
    <definedName name="_1375__FDSAUDITLINK__" hidden="1">{"fdsup://Directions/FactSet Auditing Viewer?action=AUDIT_VALUE&amp;DB=129&amp;ID1=74727710&amp;VALUEID=02001&amp;SDATE=200801&amp;PERIODTYPE=QTR_STD&amp;SCFT=3&amp;window=popup_no_bar&amp;width=385&amp;height=120&amp;START_MAXIMIZED=FALSE&amp;creator=factset&amp;display_string=Audit"}</definedName>
    <definedName name="_1376__FDSAUDITLINK__" hidden="1">{"fdsup://Directions/FactSet Auditing Viewer?action=AUDIT_VALUE&amp;DB=129&amp;ID1=74727710&amp;VALUEID=02001&amp;SDATE=200801&amp;PERIODTYPE=QTR_STD&amp;SCFT=3&amp;window=popup_no_bar&amp;width=385&amp;height=120&amp;START_MAXIMIZED=FALSE&amp;creator=factset&amp;display_string=Audit"}</definedName>
    <definedName name="_1377__FDSAUDITLINK__" hidden="1">{"fdsup://Directions/FactSet Auditing Viewer?action=AUDIT_VALUE&amp;DB=129&amp;ID1=74752510&amp;VALUEID=02001&amp;SDATE=200803&amp;PERIODTYPE=QTR_STD&amp;SCFT=3&amp;window=popup_no_bar&amp;width=385&amp;height=120&amp;START_MAXIMIZED=FALSE&amp;creator=factset&amp;display_string=Audit"}</definedName>
    <definedName name="_1378__FDSAUDITLINK__" hidden="1">{"fdsup://Directions/FactSet Auditing Viewer?action=AUDIT_VALUE&amp;DB=129&amp;ID1=74752510&amp;VALUEID=02001&amp;SDATE=200803&amp;PERIODTYPE=QTR_STD&amp;SCFT=3&amp;window=popup_no_bar&amp;width=385&amp;height=120&amp;START_MAXIMIZED=FALSE&amp;creator=factset&amp;display_string=Audit"}</definedName>
    <definedName name="_1379__FDSAUDITLINK__" hidden="1">{"fdsup://Directions/FactSet Auditing Viewer?action=AUDIT_VALUE&amp;DB=129&amp;ID1=72581M30&amp;VALUEID=02001&amp;SDATE=200802&amp;PERIODTYPE=QTR_STD&amp;SCFT=3&amp;window=popup_no_bar&amp;width=385&amp;height=120&amp;START_MAXIMIZED=FALSE&amp;creator=factset&amp;display_string=Audit"}</definedName>
    <definedName name="_138__FDSAUDITLINK__" hidden="1">{"fdsup://Directions/FactSet Auditing Viewer?action=AUDIT_VALUE&amp;DB=129&amp;ID1=03251510&amp;VALUEID=02001&amp;SDATE=201101&amp;PERIODTYPE=QTR_STD&amp;SCFT=3&amp;window=popup_no_bar&amp;width=385&amp;height=120&amp;START_MAXIMIZED=FALSE&amp;creator=factset&amp;display_string=Audit"}</definedName>
    <definedName name="_1380__FDSAUDITLINK__" hidden="1">{"fdsup://Directions/FactSet Auditing Viewer?action=AUDIT_VALUE&amp;DB=129&amp;ID1=72581M30&amp;VALUEID=02001&amp;SDATE=200802&amp;PERIODTYPE=QTR_STD&amp;SCFT=3&amp;window=popup_no_bar&amp;width=385&amp;height=120&amp;START_MAXIMIZED=FALSE&amp;creator=factset&amp;display_string=Audit"}</definedName>
    <definedName name="_1381__FDSAUDITLINK__" hidden="1">{"fdsup://Directions/FactSet Auditing Viewer?action=AUDIT_VALUE&amp;DB=129&amp;ID1=73927610&amp;VALUEID=02001&amp;SDATE=200802&amp;PERIODTYPE=QTR_STD&amp;SCFT=3&amp;window=popup_no_bar&amp;width=385&amp;height=120&amp;START_MAXIMIZED=FALSE&amp;creator=factset&amp;display_string=Audit"}</definedName>
    <definedName name="_1382__FDSAUDITLINK__" hidden="1">{"fdsup://Directions/FactSet Auditing Viewer?action=AUDIT_VALUE&amp;DB=129&amp;ID1=73927610&amp;VALUEID=02001&amp;SDATE=200802&amp;PERIODTYPE=QTR_STD&amp;SCFT=3&amp;window=popup_no_bar&amp;width=385&amp;height=120&amp;START_MAXIMIZED=FALSE&amp;creator=factset&amp;display_string=Audit"}</definedName>
    <definedName name="_1383__FDSAUDITLINK__" hidden="1">{"fdsup://Directions/FactSet Auditing Viewer?action=AUDIT_VALUE&amp;DB=129&amp;ID1=69344F10&amp;VALUEID=02001&amp;SDATE=200802&amp;PERIODTYPE=QTR_STD&amp;SCFT=3&amp;window=popup_no_bar&amp;width=385&amp;height=120&amp;START_MAXIMIZED=FALSE&amp;creator=factset&amp;display_string=Audit"}</definedName>
    <definedName name="_1384__FDSAUDITLINK__" hidden="1">{"fdsup://Directions/FactSet Auditing Viewer?action=AUDIT_VALUE&amp;DB=129&amp;ID1=69344F10&amp;VALUEID=02001&amp;SDATE=200802&amp;PERIODTYPE=QTR_STD&amp;SCFT=3&amp;window=popup_no_bar&amp;width=385&amp;height=120&amp;START_MAXIMIZED=FALSE&amp;creator=factset&amp;display_string=Audit"}</definedName>
    <definedName name="_1385__FDSAUDITLINK__" hidden="1">{"fdsup://Directions/FactSet Auditing Viewer?action=AUDIT_VALUE&amp;DB=129&amp;ID1=69341710&amp;VALUEID=02001&amp;SDATE=200802&amp;PERIODTYPE=QTR_STD&amp;SCFT=3&amp;window=popup_no_bar&amp;width=385&amp;height=120&amp;START_MAXIMIZED=FALSE&amp;creator=factset&amp;display_string=Audit"}</definedName>
    <definedName name="_1386__FDSAUDITLINK__" hidden="1">{"fdsup://Directions/FactSet Auditing Viewer?action=AUDIT_VALUE&amp;DB=129&amp;ID1=69341710&amp;VALUEID=02001&amp;SDATE=200802&amp;PERIODTYPE=QTR_STD&amp;SCFT=3&amp;window=popup_no_bar&amp;width=385&amp;height=120&amp;START_MAXIMIZED=FALSE&amp;creator=factset&amp;display_string=Audit"}</definedName>
    <definedName name="_1387__FDSAUDITLINK__" hidden="1">{"fdsup://Directions/FactSet Auditing Viewer?action=AUDIT_VALUE&amp;DB=129&amp;ID1=68218910&amp;VALUEID=02001&amp;SDATE=200802&amp;PERIODTYPE=QTR_STD&amp;SCFT=3&amp;window=popup_no_bar&amp;width=385&amp;height=120&amp;START_MAXIMIZED=FALSE&amp;creator=factset&amp;display_string=Audit"}</definedName>
    <definedName name="_1388__FDSAUDITLINK__" hidden="1">{"fdsup://Directions/FactSet Auditing Viewer?action=AUDIT_VALUE&amp;DB=129&amp;ID1=68218910&amp;VALUEID=02001&amp;SDATE=200802&amp;PERIODTYPE=QTR_STD&amp;SCFT=3&amp;window=popup_no_bar&amp;width=385&amp;height=120&amp;START_MAXIMIZED=FALSE&amp;creator=factset&amp;display_string=Audit"}</definedName>
    <definedName name="_1389__FDSAUDITLINK__" hidden="1">{"fdsup://Directions/FactSet Auditing Viewer?action=AUDIT_VALUE&amp;DB=129&amp;ID1=B505PN&amp;VALUEID=02001&amp;SDATE=200802&amp;PERIODTYPE=QTR_STD&amp;SCFT=3&amp;window=popup_no_bar&amp;width=385&amp;height=120&amp;START_MAXIMIZED=FALSE&amp;creator=factset&amp;display_string=Audit"}</definedName>
    <definedName name="_139__FDSAUDITLINK__" hidden="1">{"fdsup://Directions/FactSet Auditing Viewer?action=AUDIT_VALUE&amp;DB=129&amp;ID1=00790310&amp;VALUEID=02001&amp;SDATE=201101&amp;PERIODTYPE=QTR_STD&amp;SCFT=3&amp;window=popup_no_bar&amp;width=385&amp;height=120&amp;START_MAXIMIZED=FALSE&amp;creator=factset&amp;display_string=Audit"}</definedName>
    <definedName name="_1390__FDSAUDITLINK__" hidden="1">{"fdsup://Directions/FactSet Auditing Viewer?action=AUDIT_VALUE&amp;DB=129&amp;ID1=B505PN&amp;VALUEID=02001&amp;SDATE=200802&amp;PERIODTYPE=QTR_STD&amp;SCFT=3&amp;window=popup_no_bar&amp;width=385&amp;height=120&amp;START_MAXIMIZED=FALSE&amp;creator=factset&amp;display_string=Audit"}</definedName>
    <definedName name="_1391__FDSAUDITLINK__" hidden="1">{"fdsup://Directions/FactSet Auditing Viewer?action=AUDIT_VALUE&amp;DB=129&amp;ID1=67000810&amp;VALUEID=02001&amp;SDATE=200802&amp;PERIODTYPE=QTR_STD&amp;SCFT=3&amp;window=popup_no_bar&amp;width=385&amp;height=120&amp;START_MAXIMIZED=FALSE&amp;creator=factset&amp;display_string=Audit"}</definedName>
    <definedName name="_1392__FDSAUDITLINK__" hidden="1">{"fdsup://Directions/FactSet Auditing Viewer?action=AUDIT_VALUE&amp;DB=129&amp;ID1=67000810&amp;VALUEID=02001&amp;SDATE=200802&amp;PERIODTYPE=QTR_STD&amp;SCFT=3&amp;window=popup_no_bar&amp;width=385&amp;height=120&amp;START_MAXIMIZED=FALSE&amp;creator=factset&amp;display_string=Audit"}</definedName>
    <definedName name="_1393__FDSAUDITLINK__" hidden="1">{"fdsup://Directions/FactSet Auditing Viewer?action=AUDIT_VALUE&amp;DB=129&amp;ID1=67066G10&amp;VALUEID=02001&amp;SDATE=200802&amp;PERIODTYPE=QTR_STD&amp;SCFT=3&amp;window=popup_no_bar&amp;width=385&amp;height=120&amp;START_MAXIMIZED=FALSE&amp;creator=factset&amp;display_string=Audit"}</definedName>
    <definedName name="_1394__FDSAUDITLINK__" hidden="1">{"fdsup://Directions/FactSet Auditing Viewer?action=AUDIT_VALUE&amp;DB=129&amp;ID1=67066G10&amp;VALUEID=02001&amp;SDATE=200802&amp;PERIODTYPE=QTR_STD&amp;SCFT=3&amp;window=popup_no_bar&amp;width=385&amp;height=120&amp;START_MAXIMIZED=FALSE&amp;creator=factset&amp;display_string=Audit"}</definedName>
    <definedName name="_1395__FDSAUDITLINK__" hidden="1">{"fdsup://Directions/FactSet Auditing Viewer?action=AUDIT_VALUE&amp;DB=129&amp;ID1=64118B10&amp;VALUEID=02001&amp;SDATE=200802&amp;PERIODTYPE=QTR_STD&amp;SCFT=3&amp;window=popup_no_bar&amp;width=385&amp;height=120&amp;START_MAXIMIZED=FALSE&amp;creator=factset&amp;display_string=Audit"}</definedName>
    <definedName name="_1396__FDSAUDITLINK__" hidden="1">{"fdsup://Directions/FactSet Auditing Viewer?action=AUDIT_VALUE&amp;DB=129&amp;ID1=64118B10&amp;VALUEID=02001&amp;SDATE=200802&amp;PERIODTYPE=QTR_STD&amp;SCFT=3&amp;window=popup_no_bar&amp;width=385&amp;height=120&amp;START_MAXIMIZED=FALSE&amp;creator=factset&amp;display_string=Audit"}</definedName>
    <definedName name="_1397__FDSAUDITLINK__" hidden="1">{"fdsup://Directions/FactSet Auditing Viewer?action=AUDIT_VALUE&amp;DB=129&amp;ID1=59511210&amp;VALUEID=02001&amp;SDATE=200803&amp;PERIODTYPE=QTR_STD&amp;SCFT=3&amp;window=popup_no_bar&amp;width=385&amp;height=120&amp;START_MAXIMIZED=FALSE&amp;creator=factset&amp;display_string=Audit"}</definedName>
    <definedName name="_1398__FDSAUDITLINK__" hidden="1">{"fdsup://Directions/FactSet Auditing Viewer?action=AUDIT_VALUE&amp;DB=129&amp;ID1=59511210&amp;VALUEID=02001&amp;SDATE=200803&amp;PERIODTYPE=QTR_STD&amp;SCFT=3&amp;window=popup_no_bar&amp;width=385&amp;height=120&amp;START_MAXIMIZED=FALSE&amp;creator=factset&amp;display_string=Audit"}</definedName>
    <definedName name="_1399__FDSAUDITLINK__" hidden="1">{"fdsup://Directions/FactSet Auditing Viewer?action=AUDIT_VALUE&amp;DB=129&amp;ID1=59513710&amp;VALUEID=02001&amp;SDATE=200803&amp;PERIODTYPE=QTR_STD&amp;SCFT=3&amp;window=popup_no_bar&amp;width=385&amp;height=120&amp;START_MAXIMIZED=FALSE&amp;creator=factset&amp;display_string=Audit"}</definedName>
    <definedName name="_14__FDSAUDITLINK__" hidden="1">{"fdsup://Directions/FactSet Auditing Viewer?action=AUDIT_VALUE&amp;DB=129&amp;ID1=67066G10&amp;VALUEID=02001&amp;SDATE=201103&amp;PERIODTYPE=QTR_STD&amp;SCFT=3&amp;window=popup_no_bar&amp;width=385&amp;height=120&amp;START_MAXIMIZED=FALSE&amp;creator=factset&amp;display_string=Audit"}</definedName>
    <definedName name="_140__FDSAUDITLINK__" hidden="1">{"fdsup://Directions/FactSet Auditing Viewer?action=AUDIT_VALUE&amp;DB=129&amp;ID1=00790310&amp;VALUEID=02001&amp;SDATE=201101&amp;PERIODTYPE=QTR_STD&amp;SCFT=3&amp;window=popup_no_bar&amp;width=385&amp;height=120&amp;START_MAXIMIZED=FALSE&amp;creator=factset&amp;display_string=Audit"}</definedName>
    <definedName name="_1400__FDSAUDITLINK__" hidden="1">{"fdsup://Directions/FactSet Auditing Viewer?action=AUDIT_VALUE&amp;DB=129&amp;ID1=59513710&amp;VALUEID=02001&amp;SDATE=200803&amp;PERIODTYPE=QTR_STD&amp;SCFT=3&amp;window=popup_no_bar&amp;width=385&amp;height=120&amp;START_MAXIMIZED=FALSE&amp;creator=factset&amp;display_string=Audit"}</definedName>
    <definedName name="_1401__FDSAUDITLINK__" hidden="1">{"fdsup://Directions/FactSet Auditing Viewer?action=AUDIT_VALUE&amp;DB=129&amp;ID1=G5876H10&amp;VALUEID=02001&amp;SDATE=200802&amp;PERIODTYPE=QTR_STD&amp;SCFT=3&amp;window=popup_no_bar&amp;width=385&amp;height=120&amp;START_MAXIMIZED=FALSE&amp;creator=factset&amp;display_string=Audit"}</definedName>
    <definedName name="_1402__FDSAUDITLINK__" hidden="1">{"fdsup://Directions/FactSet Auditing Viewer?action=AUDIT_VALUE&amp;DB=129&amp;ID1=G5876H10&amp;VALUEID=02001&amp;SDATE=200802&amp;PERIODTYPE=QTR_STD&amp;SCFT=3&amp;window=popup_no_bar&amp;width=385&amp;height=120&amp;START_MAXIMIZED=FALSE&amp;creator=factset&amp;display_string=Audit"}</definedName>
    <definedName name="_1403__FDSAUDITLINK__" hidden="1">{"fdsup://Directions/FactSet Auditing Viewer?action=AUDIT_VALUE&amp;DB=129&amp;ID1=62007630&amp;VALUEID=02001&amp;SDATE=200802&amp;PERIODTYPE=QTR_STD&amp;SCFT=3&amp;window=popup_no_bar&amp;width=385&amp;height=120&amp;START_MAXIMIZED=FALSE&amp;creator=factset&amp;display_string=Audit"}</definedName>
    <definedName name="_1404__FDSAUDITLINK__" hidden="1">{"fdsup://Directions/FactSet Auditing Viewer?action=AUDIT_VALUE&amp;DB=129&amp;ID1=62007630&amp;VALUEID=02001&amp;SDATE=200802&amp;PERIODTYPE=QTR_STD&amp;SCFT=3&amp;window=popup_no_bar&amp;width=385&amp;height=120&amp;START_MAXIMIZED=FALSE&amp;creator=factset&amp;display_string=Audit"}</definedName>
    <definedName name="_1405__FDSAUDITLINK__" hidden="1">{"fdsup://Directions/FactSet Auditing Viewer?action=AUDIT_VALUE&amp;DB=129&amp;ID1=59479310&amp;VALUEID=02001&amp;SDATE=200802&amp;PERIODTYPE=QTR_STD&amp;SCFT=3&amp;window=popup_no_bar&amp;width=385&amp;height=120&amp;START_MAXIMIZED=FALSE&amp;creator=factset&amp;display_string=Audit"}</definedName>
    <definedName name="_1406__FDSAUDITLINK__" hidden="1">{"fdsup://Directions/FactSet Auditing Viewer?action=AUDIT_VALUE&amp;DB=129&amp;ID1=59479310&amp;VALUEID=02001&amp;SDATE=200802&amp;PERIODTYPE=QTR_STD&amp;SCFT=3&amp;window=popup_no_bar&amp;width=385&amp;height=120&amp;START_MAXIMIZED=FALSE&amp;creator=factset&amp;display_string=Audit"}</definedName>
    <definedName name="_1407__FDSAUDITLINK__" hidden="1">{"fdsup://Directions/FactSet Auditing Viewer?action=AUDIT_VALUE&amp;DB=129&amp;ID1=59501710&amp;VALUEID=02001&amp;SDATE=200801&amp;PERIODTYPE=QTR_STD&amp;SCFT=3&amp;window=popup_no_bar&amp;width=385&amp;height=120&amp;START_MAXIMIZED=FALSE&amp;creator=factset&amp;display_string=Audit"}</definedName>
    <definedName name="_1408__FDSAUDITLINK__" hidden="1">{"fdsup://Directions/FactSet Auditing Viewer?action=AUDIT_VALUE&amp;DB=129&amp;ID1=59501710&amp;VALUEID=02001&amp;SDATE=200801&amp;PERIODTYPE=QTR_STD&amp;SCFT=3&amp;window=popup_no_bar&amp;width=385&amp;height=120&amp;START_MAXIMIZED=FALSE&amp;creator=factset&amp;display_string=Audit"}</definedName>
    <definedName name="_1409__FDSAUDITLINK__" hidden="1">{"fdsup://Directions/FactSet Auditing Viewer?action=AUDIT_VALUE&amp;DB=129&amp;ID1=50216110&amp;VALUEID=02001&amp;SDATE=200802&amp;PERIODTYPE=QTR_STD&amp;SCFT=3&amp;window=popup_no_bar&amp;width=385&amp;height=120&amp;START_MAXIMIZED=FALSE&amp;creator=factset&amp;display_string=Audit"}</definedName>
    <definedName name="_141__FDSAUDITLINK__" hidden="1">{"fdsup://Directions/FactSet Auditing Viewer?action=AUDIT_VALUE&amp;DB=129&amp;ID1=03822W40&amp;VALUEID=02001&amp;SDATE=201004&amp;PERIODTYPE=QTR_STD&amp;SCFT=3&amp;window=popup_no_bar&amp;width=385&amp;height=120&amp;START_MAXIMIZED=FALSE&amp;creator=factset&amp;display_string=Audit"}</definedName>
    <definedName name="_1410__FDSAUDITLINK__" hidden="1">{"fdsup://Directions/FactSet Auditing Viewer?action=AUDIT_VALUE&amp;DB=129&amp;ID1=50216110&amp;VALUEID=02001&amp;SDATE=200802&amp;PERIODTYPE=QTR_STD&amp;SCFT=3&amp;window=popup_no_bar&amp;width=385&amp;height=120&amp;START_MAXIMIZED=FALSE&amp;creator=factset&amp;display_string=Audit"}</definedName>
    <definedName name="_1411__FDSAUDITLINK__" hidden="1">{"fdsup://Directions/FactSet Auditing Viewer?action=AUDIT_VALUE&amp;DB=129&amp;ID1=51841510&amp;VALUEID=02001&amp;SDATE=200802&amp;PERIODTYPE=QTR_STD&amp;SCFT=3&amp;window=popup_no_bar&amp;width=385&amp;height=120&amp;START_MAXIMIZED=FALSE&amp;creator=factset&amp;display_string=Audit"}</definedName>
    <definedName name="_1412__FDSAUDITLINK__" hidden="1">{"fdsup://Directions/FactSet Auditing Viewer?action=AUDIT_VALUE&amp;DB=129&amp;ID1=51841510&amp;VALUEID=02001&amp;SDATE=200802&amp;PERIODTYPE=QTR_STD&amp;SCFT=3&amp;window=popup_no_bar&amp;width=385&amp;height=120&amp;START_MAXIMIZED=FALSE&amp;creator=factset&amp;display_string=Audit"}</definedName>
    <definedName name="_1413__FDSAUDITLINK__" hidden="1">{"fdsup://Directions/FactSet Auditing Viewer?action=AUDIT_VALUE&amp;DB=129&amp;ID1=48836020&amp;VALUEID=02001&amp;SDATE=200801&amp;PERIODTYPE=QTR_STD&amp;SCFT=3&amp;window=popup_no_bar&amp;width=385&amp;height=120&amp;START_MAXIMIZED=FALSE&amp;creator=factset&amp;display_string=Audit"}</definedName>
    <definedName name="_1414__FDSAUDITLINK__" hidden="1">{"fdsup://Directions/FactSet Auditing Viewer?action=AUDIT_VALUE&amp;DB=129&amp;ID1=48836020&amp;VALUEID=02001&amp;SDATE=200801&amp;PERIODTYPE=QTR_STD&amp;SCFT=3&amp;window=popup_no_bar&amp;width=385&amp;height=120&amp;START_MAXIMIZED=FALSE&amp;creator=factset&amp;display_string=Audit"}</definedName>
    <definedName name="_1415__FDSAUDITLINK__" hidden="1">{"fdsup://Directions/FactSet Auditing Viewer?action=AUDIT_VALUE&amp;DB=129&amp;ID1=48203R10&amp;VALUEID=02001&amp;SDATE=200802&amp;PERIODTYPE=QTR_STD&amp;SCFT=3&amp;window=popup_no_bar&amp;width=385&amp;height=120&amp;START_MAXIMIZED=FALSE&amp;creator=factset&amp;display_string=Audit"}</definedName>
    <definedName name="_1416__FDSAUDITLINK__" hidden="1">{"fdsup://Directions/FactSet Auditing Viewer?action=AUDIT_VALUE&amp;DB=129&amp;ID1=48203R10&amp;VALUEID=02001&amp;SDATE=200802&amp;PERIODTYPE=QTR_STD&amp;SCFT=3&amp;window=popup_no_bar&amp;width=385&amp;height=120&amp;START_MAXIMIZED=FALSE&amp;creator=factset&amp;display_string=Audit"}</definedName>
    <definedName name="_1417__FDSAUDITLINK__" hidden="1">{"fdsup://Directions/FactSet Auditing Viewer?action=AUDIT_VALUE&amp;DB=129&amp;ID1=46069S10&amp;VALUEID=02001&amp;SDATE=200802&amp;PERIODTYPE=QTR_STD&amp;SCFT=3&amp;window=popup_no_bar&amp;width=385&amp;height=120&amp;START_MAXIMIZED=FALSE&amp;creator=factset&amp;display_string=Audit"}</definedName>
    <definedName name="_1418__FDSAUDITLINK__" hidden="1">{"fdsup://Directions/FactSet Auditing Viewer?action=AUDIT_VALUE&amp;DB=129&amp;ID1=46069S10&amp;VALUEID=02001&amp;SDATE=200802&amp;PERIODTYPE=QTR_STD&amp;SCFT=3&amp;window=popup_no_bar&amp;width=385&amp;height=120&amp;START_MAXIMIZED=FALSE&amp;creator=factset&amp;display_string=Audit"}</definedName>
    <definedName name="_1419__FDSAUDITLINK__" hidden="1">{"fdsup://Directions/FactSet Auditing Viewer?action=AUDIT_VALUE&amp;DB=129&amp;ID1=45814010&amp;VALUEID=02001&amp;SDATE=200802&amp;PERIODTYPE=QTR_STD&amp;SCFT=3&amp;window=popup_no_bar&amp;width=385&amp;height=120&amp;START_MAXIMIZED=FALSE&amp;creator=factset&amp;display_string=Audit"}</definedName>
    <definedName name="_142__FDSAUDITLINK__" hidden="1">{"fdsup://Directions/FactSet Auditing Viewer?action=AUDIT_VALUE&amp;DB=129&amp;ID1=03822W40&amp;VALUEID=02001&amp;SDATE=201004&amp;PERIODTYPE=QTR_STD&amp;SCFT=3&amp;window=popup_no_bar&amp;width=385&amp;height=120&amp;START_MAXIMIZED=FALSE&amp;creator=factset&amp;display_string=Audit"}</definedName>
    <definedName name="_1420__FDSAUDITLINK__" hidden="1">{"fdsup://Directions/FactSet Auditing Viewer?action=AUDIT_VALUE&amp;DB=129&amp;ID1=45814010&amp;VALUEID=02001&amp;SDATE=200802&amp;PERIODTYPE=QTR_STD&amp;SCFT=3&amp;window=popup_no_bar&amp;width=385&amp;height=120&amp;START_MAXIMIZED=FALSE&amp;creator=factset&amp;display_string=Audit"}</definedName>
    <definedName name="_1421__FDSAUDITLINK__" hidden="1">{"fdsup://Directions/FactSet Auditing Viewer?action=AUDIT_VALUE&amp;DB=129&amp;ID1=45811810&amp;VALUEID=02001&amp;SDATE=200801&amp;PERIODTYPE=QTR_STD&amp;SCFT=3&amp;window=popup_no_bar&amp;width=385&amp;height=120&amp;START_MAXIMIZED=FALSE&amp;creator=factset&amp;display_string=Audit"}</definedName>
    <definedName name="_1422__FDSAUDITLINK__" hidden="1">{"fdsup://Directions/FactSet Auditing Viewer?action=AUDIT_VALUE&amp;DB=129&amp;ID1=45811810&amp;VALUEID=02001&amp;SDATE=200801&amp;PERIODTYPE=QTR_STD&amp;SCFT=3&amp;window=popup_no_bar&amp;width=385&amp;height=120&amp;START_MAXIMIZED=FALSE&amp;creator=factset&amp;display_string=Audit"}</definedName>
    <definedName name="_1423__FDSAUDITLINK__" hidden="1">{"fdsup://Directions/FactSet Auditing Viewer?action=AUDIT_VALUE&amp;DB=129&amp;ID1=42823610&amp;VALUEID=02001&amp;SDATE=200803&amp;PERIODTYPE=QTR_STD&amp;SCFT=3&amp;window=popup_no_bar&amp;width=385&amp;height=120&amp;START_MAXIMIZED=FALSE&amp;creator=factset&amp;display_string=Audit"}</definedName>
    <definedName name="_1424__FDSAUDITLINK__" hidden="1">{"fdsup://Directions/FactSet Auditing Viewer?action=AUDIT_VALUE&amp;DB=129&amp;ID1=42823610&amp;VALUEID=02001&amp;SDATE=200803&amp;PERIODTYPE=QTR_STD&amp;SCFT=3&amp;window=popup_no_bar&amp;width=385&amp;height=120&amp;START_MAXIMIZED=FALSE&amp;creator=factset&amp;display_string=Audit"}</definedName>
    <definedName name="_1425__FDSAUDITLINK__" hidden="1">{"fdsup://Directions/FactSet Auditing Viewer?action=AUDIT_VALUE&amp;DB=129&amp;ID1=H2906T10&amp;VALUEID=02001&amp;SDATE=200802&amp;PERIODTYPE=QTR_STD&amp;SCFT=3&amp;window=popup_no_bar&amp;width=385&amp;height=120&amp;START_MAXIMIZED=FALSE&amp;creator=factset&amp;display_string=Audit"}</definedName>
    <definedName name="_1426__FDSAUDITLINK__" hidden="1">{"fdsup://Directions/FactSet Auditing Viewer?action=AUDIT_VALUE&amp;DB=129&amp;ID1=H2906T10&amp;VALUEID=02001&amp;SDATE=200802&amp;PERIODTYPE=QTR_STD&amp;SCFT=3&amp;window=popup_no_bar&amp;width=385&amp;height=120&amp;START_MAXIMIZED=FALSE&amp;creator=factset&amp;display_string=Audit"}</definedName>
    <definedName name="_1427__FDSAUDITLINK__" hidden="1">{"fdsup://Directions/FactSet Auditing Viewer?action=AUDIT_VALUE&amp;DB=129&amp;ID1=34637510&amp;VALUEID=02001&amp;SDATE=200802&amp;PERIODTYPE=QTR_STD&amp;SCFT=3&amp;window=popup_no_bar&amp;width=385&amp;height=120&amp;START_MAXIMIZED=FALSE&amp;creator=factset&amp;display_string=Audit"}</definedName>
    <definedName name="_1428__FDSAUDITLINK__" hidden="1">{"fdsup://Directions/FactSet Auditing Viewer?action=AUDIT_VALUE&amp;DB=129&amp;ID1=34637510&amp;VALUEID=02001&amp;SDATE=200802&amp;PERIODTYPE=QTR_STD&amp;SCFT=3&amp;window=popup_no_bar&amp;width=385&amp;height=120&amp;START_MAXIMIZED=FALSE&amp;creator=factset&amp;display_string=Audit"}</definedName>
    <definedName name="_1429__FDSAUDITLINK__" hidden="1">{"fdsup://Directions/FactSet Auditing Viewer?action=AUDIT_VALUE&amp;DB=129&amp;ID1=31561610&amp;VALUEID=02001&amp;SDATE=200803&amp;PERIODTYPE=QTR_STD&amp;SCFT=3&amp;window=popup_no_bar&amp;width=385&amp;height=120&amp;START_MAXIMIZED=FALSE&amp;creator=factset&amp;display_string=Audit"}</definedName>
    <definedName name="_143__FDSAUDITLINK__" hidden="1">{"fdsup://Directions/FactSet Auditing Viewer?action=AUDIT_VALUE&amp;DB=129&amp;ID1=03822210&amp;VALUEID=02001&amp;SDATE=201102&amp;PERIODTYPE=QTR_STD&amp;SCFT=3&amp;window=popup_no_bar&amp;width=385&amp;height=120&amp;START_MAXIMIZED=FALSE&amp;creator=factset&amp;display_string=Audit"}</definedName>
    <definedName name="_1430__FDSAUDITLINK__" hidden="1">{"fdsup://Directions/FactSet Auditing Viewer?action=AUDIT_VALUE&amp;DB=129&amp;ID1=31561610&amp;VALUEID=02001&amp;SDATE=200803&amp;PERIODTYPE=QTR_STD&amp;SCFT=3&amp;window=popup_no_bar&amp;width=385&amp;height=120&amp;START_MAXIMIZED=FALSE&amp;creator=factset&amp;display_string=Audit"}</definedName>
    <definedName name="_1431__FDSAUDITLINK__" hidden="1">{"fdsup://Directions/FactSet Auditing Viewer?action=AUDIT_VALUE&amp;DB=129&amp;ID1=25454310&amp;VALUEID=02001&amp;SDATE=200802&amp;PERIODTYPE=QTR_STD&amp;SCFT=3&amp;window=popup_no_bar&amp;width=385&amp;height=120&amp;START_MAXIMIZED=FALSE&amp;creator=factset&amp;display_string=Audit"}</definedName>
    <definedName name="_1432__FDSAUDITLINK__" hidden="1">{"fdsup://Directions/FactSet Auditing Viewer?action=AUDIT_VALUE&amp;DB=129&amp;ID1=25454310&amp;VALUEID=02001&amp;SDATE=200802&amp;PERIODTYPE=QTR_STD&amp;SCFT=3&amp;window=popup_no_bar&amp;width=385&amp;height=120&amp;START_MAXIMIZED=FALSE&amp;creator=factset&amp;display_string=Audit"}</definedName>
    <definedName name="_1433__FDSAUDITLINK__" hidden="1">{"fdsup://Directions/FactSet Auditing Viewer?action=AUDIT_VALUE&amp;DB=129&amp;ID1=24702R10&amp;VALUEID=02001&amp;SDATE=200802&amp;PERIODTYPE=QTR_STD&amp;SCFT=3&amp;window=popup_no_bar&amp;width=385&amp;height=120&amp;START_MAXIMIZED=FALSE&amp;creator=factset&amp;display_string=Audit"}</definedName>
    <definedName name="_1434__FDSAUDITLINK__" hidden="1">{"fdsup://Directions/FactSet Auditing Viewer?action=AUDIT_VALUE&amp;DB=129&amp;ID1=24702R10&amp;VALUEID=02001&amp;SDATE=200802&amp;PERIODTYPE=QTR_STD&amp;SCFT=3&amp;window=popup_no_bar&amp;width=385&amp;height=120&amp;START_MAXIMIZED=FALSE&amp;creator=factset&amp;display_string=Audit"}</definedName>
    <definedName name="_1435__FDSAUDITLINK__" hidden="1">{"fdsup://Directions/FactSet Auditing Viewer?action=AUDIT_VALUE&amp;DB=129&amp;ID1=23257210&amp;VALUEID=02001&amp;SDATE=200802&amp;PERIODTYPE=QTR_STD&amp;SCFT=3&amp;window=popup_no_bar&amp;width=385&amp;height=120&amp;START_MAXIMIZED=FALSE&amp;creator=factset&amp;display_string=Audit"}</definedName>
    <definedName name="_1436__FDSAUDITLINK__" hidden="1">{"fdsup://Directions/FactSet Auditing Viewer?action=AUDIT_VALUE&amp;DB=129&amp;ID1=23257210&amp;VALUEID=02001&amp;SDATE=200802&amp;PERIODTYPE=QTR_STD&amp;SCFT=3&amp;window=popup_no_bar&amp;width=385&amp;height=120&amp;START_MAXIMIZED=FALSE&amp;creator=factset&amp;display_string=Audit"}</definedName>
    <definedName name="_1437__FDSAUDITLINK__" hidden="1">{"fdsup://Directions/FactSet Auditing Viewer?action=AUDIT_VALUE&amp;DB=129&amp;ID1=23280610&amp;VALUEID=02001&amp;SDATE=200802&amp;PERIODTYPE=QTR_STD&amp;SCFT=3&amp;window=popup_no_bar&amp;width=385&amp;height=120&amp;START_MAXIMIZED=FALSE&amp;creator=factset&amp;display_string=Audit"}</definedName>
    <definedName name="_1438__FDSAUDITLINK__" hidden="1">{"fdsup://Directions/FactSet Auditing Viewer?action=AUDIT_VALUE&amp;DB=129&amp;ID1=23280610&amp;VALUEID=02001&amp;SDATE=200802&amp;PERIODTYPE=QTR_STD&amp;SCFT=3&amp;window=popup_no_bar&amp;width=385&amp;height=120&amp;START_MAXIMIZED=FALSE&amp;creator=factset&amp;display_string=Audit"}</definedName>
    <definedName name="_1439__FDSAUDITLINK__" hidden="1">{"fdsup://Directions/FactSet Auditing Viewer?action=AUDIT_VALUE&amp;DB=129&amp;ID1=20714230&amp;VALUEID=02001&amp;SDATE=200803&amp;PERIODTYPE=QTR_STD&amp;SCFT=3&amp;window=popup_no_bar&amp;width=385&amp;height=120&amp;START_MAXIMIZED=FALSE&amp;creator=factset&amp;display_string=Audit"}</definedName>
    <definedName name="_144__FDSAUDITLINK__" hidden="1">{"fdsup://Directions/FactSet Auditing Viewer?action=AUDIT_VALUE&amp;DB=129&amp;ID1=03822210&amp;VALUEID=02001&amp;SDATE=201102&amp;PERIODTYPE=QTR_STD&amp;SCFT=3&amp;window=popup_no_bar&amp;width=385&amp;height=120&amp;START_MAXIMIZED=FALSE&amp;creator=factset&amp;display_string=Audit"}</definedName>
    <definedName name="_1440__FDSAUDITLINK__" hidden="1">{"fdsup://Directions/FactSet Auditing Viewer?action=AUDIT_VALUE&amp;DB=129&amp;ID1=20714230&amp;VALUEID=02001&amp;SDATE=200803&amp;PERIODTYPE=QTR_STD&amp;SCFT=3&amp;window=popup_no_bar&amp;width=385&amp;height=120&amp;START_MAXIMIZED=FALSE&amp;creator=factset&amp;display_string=Audit"}</definedName>
    <definedName name="_1441__FDSAUDITLINK__" hidden="1">{"fdsup://Directions/FactSet Auditing Viewer?action=AUDIT_VALUE&amp;DB=129&amp;ID1=12738710&amp;VALUEID=02001&amp;SDATE=200802&amp;PERIODTYPE=QTR_STD&amp;SCFT=3&amp;window=popup_no_bar&amp;width=385&amp;height=120&amp;START_MAXIMIZED=FALSE&amp;creator=factset&amp;display_string=Audit"}</definedName>
    <definedName name="_1442__FDSAUDITLINK__" hidden="1">{"fdsup://Directions/FactSet Auditing Viewer?action=AUDIT_VALUE&amp;DB=129&amp;ID1=12738710&amp;VALUEID=02001&amp;SDATE=200802&amp;PERIODTYPE=QTR_STD&amp;SCFT=3&amp;window=popup_no_bar&amp;width=385&amp;height=120&amp;START_MAXIMIZED=FALSE&amp;creator=factset&amp;display_string=Audit"}</definedName>
    <definedName name="_1443__FDSAUDITLINK__" hidden="1">{"fdsup://Directions/FactSet Auditing Viewer?action=AUDIT_VALUE&amp;DB=129&amp;ID1=14964U10&amp;VALUEID=02001&amp;SDATE=200802&amp;PERIODTYPE=QTR_STD&amp;SCFT=3&amp;window=popup_no_bar&amp;width=385&amp;height=120&amp;START_MAXIMIZED=FALSE&amp;creator=factset&amp;display_string=Audit"}</definedName>
    <definedName name="_1444__FDSAUDITLINK__" hidden="1">{"fdsup://Directions/FactSet Auditing Viewer?action=AUDIT_VALUE&amp;DB=129&amp;ID1=14964U10&amp;VALUEID=02001&amp;SDATE=200802&amp;PERIODTYPE=QTR_STD&amp;SCFT=3&amp;window=popup_no_bar&amp;width=385&amp;height=120&amp;START_MAXIMIZED=FALSE&amp;creator=factset&amp;display_string=Audit"}</definedName>
    <definedName name="_1445__FDSAUDITLINK__" hidden="1">{"fdsup://Directions/FactSet Auditing Viewer?action=AUDIT_VALUE&amp;DB=129&amp;ID1=11162130&amp;VALUEID=02001&amp;SDATE=200803&amp;PERIODTYPE=QTR_STD&amp;SCFT=3&amp;window=popup_no_bar&amp;width=385&amp;height=120&amp;START_MAXIMIZED=FALSE&amp;creator=factset&amp;display_string=Audit"}</definedName>
    <definedName name="_1446__FDSAUDITLINK__" hidden="1">{"fdsup://Directions/FactSet Auditing Viewer?action=AUDIT_VALUE&amp;DB=129&amp;ID1=11162130&amp;VALUEID=02001&amp;SDATE=200803&amp;PERIODTYPE=QTR_STD&amp;SCFT=3&amp;window=popup_no_bar&amp;width=385&amp;height=120&amp;START_MAXIMIZED=FALSE&amp;creator=factset&amp;display_string=Audit"}</definedName>
    <definedName name="_1447__FDSAUDITLINK__" hidden="1">{"fdsup://Directions/FactSet Auditing Viewer?action=AUDIT_VALUE&amp;DB=129&amp;ID1=04743P10&amp;VALUEID=02001&amp;SDATE=200802&amp;PERIODTYPE=QTR_STD&amp;SCFT=3&amp;window=popup_no_bar&amp;width=385&amp;height=120&amp;START_MAXIMIZED=FALSE&amp;creator=factset&amp;display_string=Audit"}</definedName>
    <definedName name="_1448__FDSAUDITLINK__" hidden="1">{"fdsup://Directions/FactSet Auditing Viewer?action=AUDIT_VALUE&amp;DB=129&amp;ID1=04743P10&amp;VALUEID=02001&amp;SDATE=200802&amp;PERIODTYPE=QTR_STD&amp;SCFT=3&amp;window=popup_no_bar&amp;width=385&amp;height=120&amp;START_MAXIMIZED=FALSE&amp;creator=factset&amp;display_string=Audit"}</definedName>
    <definedName name="_1449__FDSAUDITLINK__" hidden="1">{"fdsup://Directions/FactSet Auditing Viewer?action=AUDIT_VALUE&amp;DB=129&amp;ID1=03251510&amp;VALUEID=02001&amp;SDATE=200802&amp;PERIODTYPE=QTR_STD&amp;SCFT=3&amp;window=popup_no_bar&amp;width=385&amp;height=120&amp;START_MAXIMIZED=FALSE&amp;creator=factset&amp;display_string=Audit"}</definedName>
    <definedName name="_145__FDSAUDITLINK__" hidden="1">{"fdsup://Directions/FactSet Auditing Viewer?action=AUDIT_VALUE&amp;DB=129&amp;ID1=02144110&amp;VALUEID=02001&amp;SDATE=201101&amp;PERIODTYPE=QTR_STD&amp;SCFT=3&amp;window=popup_no_bar&amp;width=385&amp;height=120&amp;START_MAXIMIZED=FALSE&amp;creator=factset&amp;display_string=Audit"}</definedName>
    <definedName name="_1450__FDSAUDITLINK__" hidden="1">{"fdsup://Directions/FactSet Auditing Viewer?action=AUDIT_VALUE&amp;DB=129&amp;ID1=03251510&amp;VALUEID=02001&amp;SDATE=200802&amp;PERIODTYPE=QTR_STD&amp;SCFT=3&amp;window=popup_no_bar&amp;width=385&amp;height=120&amp;START_MAXIMIZED=FALSE&amp;creator=factset&amp;display_string=Audit"}</definedName>
    <definedName name="_1451__FDSAUDITLINK__" hidden="1">{"fdsup://Directions/FactSet Auditing Viewer?action=AUDIT_VALUE&amp;DB=129&amp;ID1=00790310&amp;VALUEID=02001&amp;SDATE=200802&amp;PERIODTYPE=QTR_STD&amp;SCFT=3&amp;window=popup_no_bar&amp;width=385&amp;height=120&amp;START_MAXIMIZED=FALSE&amp;creator=factset&amp;display_string=Audit"}</definedName>
    <definedName name="_1452__FDSAUDITLINK__" hidden="1">{"fdsup://Directions/FactSet Auditing Viewer?action=AUDIT_VALUE&amp;DB=129&amp;ID1=00790310&amp;VALUEID=02001&amp;SDATE=200802&amp;PERIODTYPE=QTR_STD&amp;SCFT=3&amp;window=popup_no_bar&amp;width=385&amp;height=120&amp;START_MAXIMIZED=FALSE&amp;creator=factset&amp;display_string=Audit"}</definedName>
    <definedName name="_1453__FDSAUDITLINK__" hidden="1">{"fdsup://Directions/FactSet Auditing Viewer?action=AUDIT_VALUE&amp;DB=129&amp;ID1=03822W40&amp;VALUEID=02001&amp;SDATE=200801&amp;PERIODTYPE=QTR_STD&amp;SCFT=3&amp;window=popup_no_bar&amp;width=385&amp;height=120&amp;START_MAXIMIZED=FALSE&amp;creator=factset&amp;display_string=Audit"}</definedName>
    <definedName name="_1454__FDSAUDITLINK__" hidden="1">{"fdsup://Directions/FactSet Auditing Viewer?action=AUDIT_VALUE&amp;DB=129&amp;ID1=03822W40&amp;VALUEID=02001&amp;SDATE=200801&amp;PERIODTYPE=QTR_STD&amp;SCFT=3&amp;window=popup_no_bar&amp;width=385&amp;height=120&amp;START_MAXIMIZED=FALSE&amp;creator=factset&amp;display_string=Audit"}</definedName>
    <definedName name="_1455__FDSAUDITLINK__" hidden="1">{"fdsup://Directions/FactSet Auditing Viewer?action=AUDIT_VALUE&amp;DB=129&amp;ID1=03822210&amp;VALUEID=02001&amp;SDATE=200803&amp;PERIODTYPE=QTR_STD&amp;SCFT=3&amp;window=popup_no_bar&amp;width=385&amp;height=120&amp;START_MAXIMIZED=FALSE&amp;creator=factset&amp;display_string=Audit"}</definedName>
    <definedName name="_1456__FDSAUDITLINK__" hidden="1">{"fdsup://Directions/FactSet Auditing Viewer?action=AUDIT_VALUE&amp;DB=129&amp;ID1=03822210&amp;VALUEID=02001&amp;SDATE=200803&amp;PERIODTYPE=QTR_STD&amp;SCFT=3&amp;window=popup_no_bar&amp;width=385&amp;height=120&amp;START_MAXIMIZED=FALSE&amp;creator=factset&amp;display_string=Audit"}</definedName>
    <definedName name="_1457__FDSAUDITLINK__" hidden="1">{"fdsup://Directions/FactSet Auditing Viewer?action=AUDIT_VALUE&amp;DB=129&amp;ID1=02144110&amp;VALUEID=02001&amp;SDATE=200802&amp;PERIODTYPE=QTR_STD&amp;SCFT=3&amp;window=popup_no_bar&amp;width=385&amp;height=120&amp;START_MAXIMIZED=FALSE&amp;creator=factset&amp;display_string=Audit"}</definedName>
    <definedName name="_1458__FDSAUDITLINK__" hidden="1">{"fdsup://Directions/FactSet Auditing Viewer?action=AUDIT_VALUE&amp;DB=129&amp;ID1=02144110&amp;VALUEID=02001&amp;SDATE=200802&amp;PERIODTYPE=QTR_STD&amp;SCFT=3&amp;window=popup_no_bar&amp;width=385&amp;height=120&amp;START_MAXIMIZED=FALSE&amp;creator=factset&amp;display_string=Audit"}</definedName>
    <definedName name="_1459__FDSAUDITLINK__" hidden="1">{"fdsup://Directions/FactSet Auditing Viewer?action=AUDIT_VALUE&amp;DB=129&amp;ID1=03265410&amp;VALUEID=02001&amp;SDATE=200803&amp;PERIODTYPE=QTR_STD&amp;SCFT=3&amp;window=popup_no_bar&amp;width=385&amp;height=120&amp;START_MAXIMIZED=FALSE&amp;creator=factset&amp;display_string=Audit"}</definedName>
    <definedName name="_146__FDSAUDITLINK__" hidden="1">{"fdsup://Directions/FactSet Auditing Viewer?action=AUDIT_VALUE&amp;DB=129&amp;ID1=02144110&amp;VALUEID=02001&amp;SDATE=201101&amp;PERIODTYPE=QTR_STD&amp;SCFT=3&amp;window=popup_no_bar&amp;width=385&amp;height=120&amp;START_MAXIMIZED=FALSE&amp;creator=factset&amp;display_string=Audit"}</definedName>
    <definedName name="_1460__FDSAUDITLINK__" hidden="1">{"fdsup://Directions/FactSet Auditing Viewer?action=AUDIT_VALUE&amp;DB=129&amp;ID1=03265410&amp;VALUEID=02001&amp;SDATE=200803&amp;PERIODTYPE=QTR_STD&amp;SCFT=3&amp;window=popup_no_bar&amp;width=385&amp;height=120&amp;START_MAXIMIZED=FALSE&amp;creator=factset&amp;display_string=Audit"}</definedName>
    <definedName name="_1461__FDSAUDITLINK__" hidden="1">{"fdsup://Directions/FactSet Auditing Viewer?action=AUDIT_VALUE&amp;DB=129&amp;ID1=00752J10&amp;VALUEID=02001&amp;SDATE=200802&amp;PERIODTYPE=QTR_STD&amp;SCFT=3&amp;window=popup_no_bar&amp;width=385&amp;height=120&amp;START_MAXIMIZED=FALSE&amp;creator=factset&amp;display_string=Audit"}</definedName>
    <definedName name="_1462__FDSAUDITLINK__" hidden="1">{"fdsup://Directions/FactSet Auditing Viewer?action=AUDIT_VALUE&amp;DB=129&amp;ID1=00752J10&amp;VALUEID=02001&amp;SDATE=200802&amp;PERIODTYPE=QTR_STD&amp;SCFT=3&amp;window=popup_no_bar&amp;width=385&amp;height=120&amp;START_MAXIMIZED=FALSE&amp;creator=factset&amp;display_string=Audit"}</definedName>
    <definedName name="_1463__FDSAUDITLINK__" hidden="1">{"fdsup://Directions/FactSet Auditing Viewer?action=AUDIT_VALUE&amp;DB=129&amp;ID1=98975F10&amp;VALUEID=02001&amp;SDATE=200801&amp;PERIODTYPE=QTR_STD&amp;SCFT=3&amp;window=popup_no_bar&amp;width=385&amp;height=120&amp;START_MAXIMIZED=FALSE&amp;creator=factset&amp;display_string=Audit"}</definedName>
    <definedName name="_1464__FDSAUDITLINK__" hidden="1">{"fdsup://Directions/FactSet Auditing Viewer?action=AUDIT_VALUE&amp;DB=129&amp;ID1=98975F10&amp;VALUEID=02001&amp;SDATE=200801&amp;PERIODTYPE=QTR_STD&amp;SCFT=3&amp;window=popup_no_bar&amp;width=385&amp;height=120&amp;START_MAXIMIZED=FALSE&amp;creator=factset&amp;display_string=Audit"}</definedName>
    <definedName name="_1465__FDSAUDITLINK__" hidden="1">{"fdsup://Directions/FactSet Auditing Viewer?action=AUDIT_VALUE&amp;DB=129&amp;ID1=98391910&amp;VALUEID=02001&amp;SDATE=200704&amp;PERIODTYPE=QTR_STD&amp;SCFT=3&amp;window=popup_no_bar&amp;width=385&amp;height=120&amp;START_MAXIMIZED=FALSE&amp;creator=factset&amp;display_string=Audit"}</definedName>
    <definedName name="_1466__FDSAUDITLINK__" hidden="1">{"fdsup://Directions/FactSet Auditing Viewer?action=AUDIT_VALUE&amp;DB=129&amp;ID1=98391910&amp;VALUEID=02001&amp;SDATE=200704&amp;PERIODTYPE=QTR_STD&amp;SCFT=3&amp;window=popup_no_bar&amp;width=385&amp;height=120&amp;START_MAXIMIZED=FALSE&amp;creator=factset&amp;display_string=Audit"}</definedName>
    <definedName name="_1467__FDSAUDITLINK__" hidden="1">{"fdsup://Directions/FactSet Auditing Viewer?action=AUDIT_VALUE&amp;DB=129&amp;ID1=95810210&amp;VALUEID=02001&amp;SDATE=200803&amp;PERIODTYPE=QTR_STD&amp;SCFT=3&amp;window=popup_no_bar&amp;width=385&amp;height=120&amp;START_MAXIMIZED=FALSE&amp;creator=factset&amp;display_string=Audit"}</definedName>
    <definedName name="_1468__FDSAUDITLINK__" hidden="1">{"fdsup://Directions/FactSet Auditing Viewer?action=AUDIT_VALUE&amp;DB=129&amp;ID1=95810210&amp;VALUEID=02001&amp;SDATE=200803&amp;PERIODTYPE=QTR_STD&amp;SCFT=3&amp;window=popup_no_bar&amp;width=385&amp;height=120&amp;START_MAXIMIZED=FALSE&amp;creator=factset&amp;display_string=Audit"}</definedName>
    <definedName name="_1469__FDSAUDITLINK__" hidden="1">{"fdsup://Directions/FactSet Auditing Viewer?action=AUDIT_VALUE&amp;DB=129&amp;ID1=92849730&amp;VALUEID=02001&amp;SDATE=200802&amp;PERIODTYPE=QTR_STD&amp;SCFT=3&amp;window=popup_no_bar&amp;width=385&amp;height=120&amp;START_MAXIMIZED=FALSE&amp;creator=factset&amp;display_string=Audit"}</definedName>
    <definedName name="_147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1470__FDSAUDITLINK__" hidden="1">{"fdsup://Directions/FactSet Auditing Viewer?action=AUDIT_VALUE&amp;DB=129&amp;ID1=92849730&amp;VALUEID=02001&amp;SDATE=200802&amp;PERIODTYPE=QTR_STD&amp;SCFT=3&amp;window=popup_no_bar&amp;width=385&amp;height=120&amp;START_MAXIMIZED=FALSE&amp;creator=factset&amp;display_string=Audit"}</definedName>
    <definedName name="_1471__FDSAUDITLINK__" hidden="1">{"fdsup://Directions/FactSet Auditing Viewer?action=AUDIT_VALUE&amp;DB=129&amp;ID1=92829810&amp;VALUEID=02001&amp;SDATE=200801&amp;PERIODTYPE=QTR_STD&amp;SCFT=3&amp;window=popup_no_bar&amp;width=385&amp;height=120&amp;START_MAXIMIZED=FALSE&amp;creator=factset&amp;display_string=Audit"}</definedName>
    <definedName name="_1472__FDSAUDITLINK__" hidden="1">{"fdsup://Directions/FactSet Auditing Viewer?action=AUDIT_VALUE&amp;DB=129&amp;ID1=92829810&amp;VALUEID=02001&amp;SDATE=200801&amp;PERIODTYPE=QTR_STD&amp;SCFT=3&amp;window=popup_no_bar&amp;width=385&amp;height=120&amp;START_MAXIMIZED=FALSE&amp;creator=factset&amp;display_string=Audit"}</definedName>
    <definedName name="_1473__FDSAUDITLINK__" hidden="1">{"fdsup://Directions/FactSet Auditing Viewer?action=AUDIT_VALUE&amp;DB=129&amp;ID1=88250810&amp;VALUEID=02001&amp;SDATE=200801&amp;PERIODTYPE=QTR_STD&amp;SCFT=3&amp;window=popup_no_bar&amp;width=385&amp;height=120&amp;START_MAXIMIZED=FALSE&amp;creator=factset&amp;display_string=Audit"}</definedName>
    <definedName name="_1474__FDSAUDITLINK__" hidden="1">{"fdsup://Directions/FactSet Auditing Viewer?action=AUDIT_VALUE&amp;DB=129&amp;ID1=88250810&amp;VALUEID=02001&amp;SDATE=200801&amp;PERIODTYPE=QTR_STD&amp;SCFT=3&amp;window=popup_no_bar&amp;width=385&amp;height=120&amp;START_MAXIMIZED=FALSE&amp;creator=factset&amp;display_string=Audit"}</definedName>
    <definedName name="_1475__FDSAUDITLINK__" hidden="1">{"fdsup://Directions/FactSet Auditing Viewer?action=AUDIT_VALUE&amp;DB=129&amp;ID1=89674K10&amp;VALUEID=02001&amp;SDATE=200801&amp;PERIODTYPE=QTR_STD&amp;SCFT=3&amp;window=popup_no_bar&amp;width=385&amp;height=120&amp;START_MAXIMIZED=FALSE&amp;creator=factset&amp;display_string=Audit"}</definedName>
    <definedName name="_1476__FDSAUDITLINK__" hidden="1">{"fdsup://Directions/FactSet Auditing Viewer?action=AUDIT_VALUE&amp;DB=129&amp;ID1=89674K10&amp;VALUEID=02001&amp;SDATE=200801&amp;PERIODTYPE=QTR_STD&amp;SCFT=3&amp;window=popup_no_bar&amp;width=385&amp;height=120&amp;START_MAXIMIZED=FALSE&amp;creator=factset&amp;display_string=Audit"}</definedName>
    <definedName name="_1477__FDSAUDITLINK__" hidden="1">{"fdsup://Directions/FactSet Auditing Viewer?action=AUDIT_VALUE&amp;DB=129&amp;ID1=83088M10&amp;VALUEID=02001&amp;SDATE=200802&amp;PERIODTYPE=QTR_STD&amp;SCFT=3&amp;window=popup_no_bar&amp;width=385&amp;height=120&amp;START_MAXIMIZED=FALSE&amp;creator=factset&amp;display_string=Audit"}</definedName>
    <definedName name="_1478__FDSAUDITLINK__" hidden="1">{"fdsup://Directions/FactSet Auditing Viewer?action=AUDIT_VALUE&amp;DB=129&amp;ID1=83088M10&amp;VALUEID=02001&amp;SDATE=200802&amp;PERIODTYPE=QTR_STD&amp;SCFT=3&amp;window=popup_no_bar&amp;width=385&amp;height=120&amp;START_MAXIMIZED=FALSE&amp;creator=factset&amp;display_string=Audit"}</definedName>
    <definedName name="_1479__FDSAUDITLINK__" hidden="1">{"fdsup://Directions/FactSet Auditing Viewer?action=AUDIT_VALUE&amp;DB=129&amp;ID1=G7945M10&amp;VALUEID=02001&amp;SDATE=200803&amp;PERIODTYPE=QTR_STD&amp;SCFT=3&amp;window=popup_no_bar&amp;width=385&amp;height=120&amp;START_MAXIMIZED=FALSE&amp;creator=factset&amp;display_string=Audit"}</definedName>
    <definedName name="_148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1480__FDSAUDITLINK__" hidden="1">{"fdsup://Directions/FactSet Auditing Viewer?action=AUDIT_VALUE&amp;DB=129&amp;ID1=G7945M10&amp;VALUEID=02001&amp;SDATE=200803&amp;PERIODTYPE=QTR_STD&amp;SCFT=3&amp;window=popup_no_bar&amp;width=385&amp;height=120&amp;START_MAXIMIZED=FALSE&amp;creator=factset&amp;display_string=Audit"}</definedName>
    <definedName name="_1481__FDSAUDITLINK__" hidden="1">{"fdsup://Directions/FactSet Auditing Viewer?action=AUDIT_VALUE&amp;DB=129&amp;ID1=78477410&amp;VALUEID=02001&amp;SDATE=200801&amp;PERIODTYPE=QTR_STD&amp;SCFT=3&amp;window=popup_no_bar&amp;width=385&amp;height=120&amp;START_MAXIMIZED=FALSE&amp;creator=factset&amp;display_string=Audit"}</definedName>
    <definedName name="_1482__FDSAUDITLINK__" hidden="1">{"fdsup://Directions/FactSet Auditing Viewer?action=AUDIT_VALUE&amp;DB=129&amp;ID1=78477410&amp;VALUEID=02001&amp;SDATE=200801&amp;PERIODTYPE=QTR_STD&amp;SCFT=3&amp;window=popup_no_bar&amp;width=385&amp;height=120&amp;START_MAXIMIZED=FALSE&amp;creator=factset&amp;display_string=Audit"}</definedName>
    <definedName name="_1483__FDSAUDITLINK__" hidden="1">{"fdsup://Directions/FactSet Auditing Viewer?action=AUDIT_VALUE&amp;DB=129&amp;ID1=82705710&amp;VALUEID=02001&amp;SDATE=200801&amp;PERIODTYPE=QTR_STD&amp;SCFT=3&amp;window=popup_no_bar&amp;width=385&amp;height=120&amp;START_MAXIMIZED=FALSE&amp;creator=factset&amp;display_string=Audit"}</definedName>
    <definedName name="_1484__FDSAUDITLINK__" hidden="1">{"fdsup://Directions/FactSet Auditing Viewer?action=AUDIT_VALUE&amp;DB=129&amp;ID1=82705710&amp;VALUEID=02001&amp;SDATE=200801&amp;PERIODTYPE=QTR_STD&amp;SCFT=3&amp;window=popup_no_bar&amp;width=385&amp;height=120&amp;START_MAXIMIZED=FALSE&amp;creator=factset&amp;display_string=Audit"}</definedName>
    <definedName name="_1485__FDSAUDITLINK__" hidden="1">{"fdsup://Directions/FactSet Auditing Viewer?action=AUDIT_VALUE&amp;DB=129&amp;ID1=83547010&amp;VALUEID=02001&amp;SDATE=200801&amp;PERIODTYPE=QTR_STD&amp;SCFT=3&amp;window=popup_no_bar&amp;width=385&amp;height=120&amp;START_MAXIMIZED=FALSE&amp;creator=factset&amp;display_string=Audit"}</definedName>
    <definedName name="_1486__FDSAUDITLINK__" hidden="1">{"fdsup://Directions/FactSet Auditing Viewer?action=AUDIT_VALUE&amp;DB=129&amp;ID1=83547010&amp;VALUEID=02001&amp;SDATE=200801&amp;PERIODTYPE=QTR_STD&amp;SCFT=3&amp;window=popup_no_bar&amp;width=385&amp;height=120&amp;START_MAXIMIZED=FALSE&amp;creator=factset&amp;display_string=Audit"}</definedName>
    <definedName name="_1487__FDSAUDITLINK__" hidden="1">{"fdsup://Directions/FactSet Auditing Viewer?action=AUDIT_VALUE&amp;DB=129&amp;ID1=87160710&amp;VALUEID=02001&amp;SDATE=200802&amp;PERIODTYPE=QTR_STD&amp;SCFT=3&amp;window=popup_no_bar&amp;width=385&amp;height=120&amp;START_MAXIMIZED=FALSE&amp;creator=factset&amp;display_string=Audit"}</definedName>
    <definedName name="_1488__FDSAUDITLINK__" hidden="1">{"fdsup://Directions/FactSet Auditing Viewer?action=AUDIT_VALUE&amp;DB=129&amp;ID1=87160710&amp;VALUEID=02001&amp;SDATE=200802&amp;PERIODTYPE=QTR_STD&amp;SCFT=3&amp;window=popup_no_bar&amp;width=385&amp;height=120&amp;START_MAXIMIZED=FALSE&amp;creator=factset&amp;display_string=Audit"}</definedName>
    <definedName name="_1489__FDSAUDITLINK__" hidden="1">{"fdsup://Directions/FactSet Auditing Viewer?action=AUDIT_VALUE&amp;DB=129&amp;ID1=80004C10&amp;VALUEID=02001&amp;SDATE=200801&amp;PERIODTYPE=QTR_STD&amp;SCFT=3&amp;window=popup_no_bar&amp;width=385&amp;height=120&amp;START_MAXIMIZED=FALSE&amp;creator=factset&amp;display_string=Audit"}</definedName>
    <definedName name="_149__FDSAUDITLINK__" hidden="1">{"fdsup://Directions/FactSet Auditing Viewer?action=AUDIT_VALUE&amp;DB=129&amp;ID1=00752J10&amp;VALUEID=02001&amp;SDATE=201101&amp;PERIODTYPE=QTR_STD&amp;SCFT=3&amp;window=popup_no_bar&amp;width=385&amp;height=120&amp;START_MAXIMIZED=FALSE&amp;creator=factset&amp;display_string=Audit"}</definedName>
    <definedName name="_1490__FDSAUDITLINK__" hidden="1">{"fdsup://Directions/FactSet Auditing Viewer?action=AUDIT_VALUE&amp;DB=129&amp;ID1=80004C10&amp;VALUEID=02001&amp;SDATE=200801&amp;PERIODTYPE=QTR_STD&amp;SCFT=3&amp;window=popup_no_bar&amp;width=385&amp;height=120&amp;START_MAXIMIZED=FALSE&amp;creator=factset&amp;display_string=Audit"}</definedName>
    <definedName name="_1491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1492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1493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1494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1495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1496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1497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1498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1499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15__FDSAUDITLINK__" hidden="1">{"fdsup://Directions/FactSet Auditing Viewer?action=AUDIT_VALUE&amp;DB=129&amp;ID1=67066G10&amp;VALUEID=05194&amp;SDATE=201103&amp;PERIODTYPE=QTR_STD&amp;SCFT=3&amp;window=popup_no_bar&amp;width=385&amp;height=120&amp;START_MAXIMIZED=FALSE&amp;creator=factset&amp;display_string=Audit"}</definedName>
    <definedName name="_150__FDSAUDITLINK__" hidden="1">{"fdsup://Directions/FactSet Auditing Viewer?action=AUDIT_VALUE&amp;DB=129&amp;ID1=00752J10&amp;VALUEID=02001&amp;SDATE=201101&amp;PERIODTYPE=QTR_STD&amp;SCFT=3&amp;window=popup_no_bar&amp;width=385&amp;height=120&amp;START_MAXIMIZED=FALSE&amp;creator=factset&amp;display_string=Audit"}</definedName>
    <definedName name="_1500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1501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1502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1503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1504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1505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1506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1507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1508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1509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151__FDSAUDITLINK__" hidden="1">{"fdsup://Directions/FactSet Auditing Viewer?action=AUDIT_VALUE&amp;DB=129&amp;ID1=98975F10&amp;VALUEID=02001&amp;SDATE=201004&amp;PERIODTYPE=QTR_STD&amp;SCFT=3&amp;window=popup_no_bar&amp;width=385&amp;height=120&amp;START_MAXIMIZED=FALSE&amp;creator=factset&amp;display_string=Audit"}</definedName>
    <definedName name="_1510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1511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1512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1513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1514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1515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1516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1517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1518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1519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152__FDSAUDITLINK__" hidden="1">{"fdsup://Directions/FactSet Auditing Viewer?action=AUDIT_VALUE&amp;DB=129&amp;ID1=98975F10&amp;VALUEID=02001&amp;SDATE=201004&amp;PERIODTYPE=QTR_STD&amp;SCFT=3&amp;window=popup_no_bar&amp;width=385&amp;height=120&amp;START_MAXIMIZED=FALSE&amp;creator=factset&amp;display_string=Audit"}</definedName>
    <definedName name="_1520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1521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1522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1523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1524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1525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1526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1527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1528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1529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153__FDSAUDITLINK__" hidden="1">{"fdsup://Directions/FactSet Auditing Viewer?action=AUDIT_VALUE&amp;DB=129&amp;ID1=98391910&amp;VALUEID=02001&amp;SDATE=201003&amp;PERIODTYPE=QTR_STD&amp;SCFT=3&amp;window=popup_no_bar&amp;width=385&amp;height=120&amp;START_MAXIMIZED=FALSE&amp;creator=factset&amp;display_string=Audit"}</definedName>
    <definedName name="_1530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1531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1532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1533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1534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1535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1536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1537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1538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1539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154__FDSAUDITLINK__" hidden="1">{"fdsup://Directions/FactSet Auditing Viewer?action=AUDIT_VALUE&amp;DB=129&amp;ID1=98391910&amp;VALUEID=02001&amp;SDATE=201003&amp;PERIODTYPE=QTR_STD&amp;SCFT=3&amp;window=popup_no_bar&amp;width=385&amp;height=120&amp;START_MAXIMIZED=FALSE&amp;creator=factset&amp;display_string=Audit"}</definedName>
    <definedName name="_1540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1541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1542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1543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1544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1545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1546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1547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1548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1549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155__FDSAUDITLINK__" hidden="1">{"fdsup://Directions/FactSet Auditing Viewer?action=AUDIT_VALUE&amp;DB=129&amp;ID1=95810210&amp;VALUEID=02001&amp;SDATE=201102&amp;PERIODTYPE=QTR_STD&amp;SCFT=3&amp;window=popup_no_bar&amp;width=385&amp;height=120&amp;START_MAXIMIZED=FALSE&amp;creator=factset&amp;display_string=Audit"}</definedName>
    <definedName name="_1550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1551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1552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1553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1554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1555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1556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1557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1558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1559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156__FDSAUDITLINK__" hidden="1">{"fdsup://Directions/FactSet Auditing Viewer?action=AUDIT_VALUE&amp;DB=129&amp;ID1=95810210&amp;VALUEID=02001&amp;SDATE=201102&amp;PERIODTYPE=QTR_STD&amp;SCFT=3&amp;window=popup_no_bar&amp;width=385&amp;height=120&amp;START_MAXIMIZED=FALSE&amp;creator=factset&amp;display_string=Audit"}</definedName>
    <definedName name="_1560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1561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1562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1563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1564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1565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1566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1567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1568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1569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157__FDSAUDITLINK__" hidden="1">{"fdsup://Directions/FactSet Auditing Viewer?action=AUDIT_VALUE&amp;DB=129&amp;ID1=92849730&amp;VALUEID=02001&amp;SDATE=201101&amp;PERIODTYPE=QTR_STD&amp;SCFT=3&amp;window=popup_no_bar&amp;width=385&amp;height=120&amp;START_MAXIMIZED=FALSE&amp;creator=factset&amp;display_string=Audit"}</definedName>
    <definedName name="_1570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1571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1572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1573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1574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1575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1576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1577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1578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1579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158__FDSAUDITLINK__" hidden="1">{"fdsup://Directions/FactSet Auditing Viewer?action=AUDIT_VALUE&amp;DB=129&amp;ID1=92849730&amp;VALUEID=02001&amp;SDATE=201101&amp;PERIODTYPE=QTR_STD&amp;SCFT=3&amp;window=popup_no_bar&amp;width=385&amp;height=120&amp;START_MAXIMIZED=FALSE&amp;creator=factset&amp;display_string=Audit"}</definedName>
    <definedName name="_1580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1581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1582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1583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1584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1585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1586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1587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1588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1589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159__FDSAUDITLINK__" hidden="1">{"fdsup://Directions/FactSet Auditing Viewer?action=AUDIT_VALUE&amp;DB=129&amp;ID1=92829810&amp;VALUEID=02001&amp;SDATE=201004&amp;PERIODTYPE=QTR_STD&amp;SCFT=3&amp;window=popup_no_bar&amp;width=385&amp;height=120&amp;START_MAXIMIZED=FALSE&amp;creator=factset&amp;display_string=Audit"}</definedName>
    <definedName name="_1590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1591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1592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1593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1594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1595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1596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1597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1598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1599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16__FDSAUDITLINK__" hidden="1">{"fdsup://Directions/FactSet Auditing Viewer?action=AUDIT_VALUE&amp;DB=129&amp;ID1=637248&amp;VALUEID=02001&amp;SDATE=201103&amp;PERIODTYPE=QTR_STD&amp;SCFT=3&amp;window=popup_no_bar&amp;width=385&amp;height=120&amp;START_MAXIMIZED=FALSE&amp;creator=factset&amp;display_string=Audit"}</definedName>
    <definedName name="_160__FDSAUDITLINK__" hidden="1">{"fdsup://Directions/FactSet Auditing Viewer?action=AUDIT_VALUE&amp;DB=129&amp;ID1=92829810&amp;VALUEID=02001&amp;SDATE=201004&amp;PERIODTYPE=QTR_STD&amp;SCFT=3&amp;window=popup_no_bar&amp;width=385&amp;height=120&amp;START_MAXIMIZED=FALSE&amp;creator=factset&amp;display_string=Audit"}</definedName>
    <definedName name="_1600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1601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1602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1603__FDSAUDITLINK__" hidden="1">{"fdsup://Directions/FactSet Auditing Viewer?action=AUDIT_VALUE&amp;DB=129&amp;ID1=98391910&amp;VALUEID=02001&amp;SDATE=200703&amp;PERIODTYPE=QTR_STD&amp;SCFT=3&amp;window=popup_no_bar&amp;width=385&amp;height=120&amp;START_MAXIMIZED=FALSE&amp;creator=factset&amp;display_string=Audit"}</definedName>
    <definedName name="_1604__FDSAUDITLINK__" hidden="1">{"fdsup://Directions/FactSet Auditing Viewer?action=AUDIT_VALUE&amp;DB=129&amp;ID1=98391910&amp;VALUEID=02001&amp;SDATE=200703&amp;PERIODTYPE=QTR_STD&amp;SCFT=3&amp;window=popup_no_bar&amp;width=385&amp;height=120&amp;START_MAXIMIZED=FALSE&amp;creator=factset&amp;display_string=Audit"}</definedName>
    <definedName name="_1605__FDSAUDITLINK__" hidden="1">{"fdsup://Directions/FactSet Auditing Viewer?action=AUDIT_VALUE&amp;DB=129&amp;ID1=95810210&amp;VALUEID=02001&amp;SDATE=200802&amp;PERIODTYPE=QTR_STD&amp;SCFT=3&amp;window=popup_no_bar&amp;width=385&amp;height=120&amp;START_MAXIMIZED=FALSE&amp;creator=factset&amp;display_string=Audit"}</definedName>
    <definedName name="_1606__FDSAUDITLINK__" hidden="1">{"fdsup://Directions/FactSet Auditing Viewer?action=AUDIT_VALUE&amp;DB=129&amp;ID1=95810210&amp;VALUEID=02001&amp;SDATE=200802&amp;PERIODTYPE=QTR_STD&amp;SCFT=3&amp;window=popup_no_bar&amp;width=385&amp;height=120&amp;START_MAXIMIZED=FALSE&amp;creator=factset&amp;display_string=Audit"}</definedName>
    <definedName name="_1607__FDSAUDITLINK__" hidden="1">{"fdsup://Directions/FactSet Auditing Viewer?action=AUDIT_VALUE&amp;DB=129&amp;ID1=92849730&amp;VALUEID=02001&amp;SDATE=200801&amp;PERIODTYPE=QTR_STD&amp;SCFT=3&amp;window=popup_no_bar&amp;width=385&amp;height=120&amp;START_MAXIMIZED=FALSE&amp;creator=factset&amp;display_string=Audit"}</definedName>
    <definedName name="_1608__FDSAUDITLINK__" hidden="1">{"fdsup://Directions/FactSet Auditing Viewer?action=AUDIT_VALUE&amp;DB=129&amp;ID1=92849730&amp;VALUEID=02001&amp;SDATE=200801&amp;PERIODTYPE=QTR_STD&amp;SCFT=3&amp;window=popup_no_bar&amp;width=385&amp;height=120&amp;START_MAXIMIZED=FALSE&amp;creator=factset&amp;display_string=Audit"}</definedName>
    <definedName name="_1609__FDSAUDITLINK__" hidden="1">{"fdsup://Directions/FactSet Auditing Viewer?action=AUDIT_VALUE&amp;DB=129&amp;ID1=83088M10&amp;VALUEID=02001&amp;SDATE=200801&amp;PERIODTYPE=QTR_STD&amp;SCFT=3&amp;window=popup_no_bar&amp;width=385&amp;height=120&amp;START_MAXIMIZED=FALSE&amp;creator=factset&amp;display_string=Audit"}</definedName>
    <definedName name="_161__FDSAUDITLINK__" hidden="1">{"fdsup://Directions/FactSet Auditing Viewer?action=AUDIT_VALUE&amp;DB=129&amp;ID1=88250810&amp;VALUEID=02001&amp;SDATE=201004&amp;PERIODTYPE=QTR_STD&amp;SCFT=3&amp;window=popup_no_bar&amp;width=385&amp;height=120&amp;START_MAXIMIZED=FALSE&amp;creator=factset&amp;display_string=Audit"}</definedName>
    <definedName name="_1610__FDSAUDITLINK__" hidden="1">{"fdsup://Directions/FactSet Auditing Viewer?action=AUDIT_VALUE&amp;DB=129&amp;ID1=83088M10&amp;VALUEID=02001&amp;SDATE=200801&amp;PERIODTYPE=QTR_STD&amp;SCFT=3&amp;window=popup_no_bar&amp;width=385&amp;height=120&amp;START_MAXIMIZED=FALSE&amp;creator=factset&amp;display_string=Audit"}</definedName>
    <definedName name="_1611__FDSAUDITLINK__" hidden="1">{"fdsup://Directions/FactSet Auditing Viewer?action=AUDIT_VALUE&amp;DB=129&amp;ID1=G7945M10&amp;VALUEID=02001&amp;SDATE=200802&amp;PERIODTYPE=QTR_STD&amp;SCFT=3&amp;window=popup_no_bar&amp;width=385&amp;height=120&amp;START_MAXIMIZED=FALSE&amp;creator=factset&amp;display_string=Audit"}</definedName>
    <definedName name="_1612__FDSAUDITLINK__" hidden="1">{"fdsup://Directions/FactSet Auditing Viewer?action=AUDIT_VALUE&amp;DB=129&amp;ID1=G7945M10&amp;VALUEID=02001&amp;SDATE=200802&amp;PERIODTYPE=QTR_STD&amp;SCFT=3&amp;window=popup_no_bar&amp;width=385&amp;height=120&amp;START_MAXIMIZED=FALSE&amp;creator=factset&amp;display_string=Audit"}</definedName>
    <definedName name="_1613__FDSAUDITLINK__" hidden="1">{"fdsup://Directions/FactSet Auditing Viewer?action=AUDIT_VALUE&amp;DB=129&amp;ID1=87160710&amp;VALUEID=02001&amp;SDATE=200801&amp;PERIODTYPE=QTR_STD&amp;SCFT=3&amp;window=popup_no_bar&amp;width=385&amp;height=120&amp;START_MAXIMIZED=FALSE&amp;creator=factset&amp;display_string=Audit"}</definedName>
    <definedName name="_1614__FDSAUDITLINK__" hidden="1">{"fdsup://Directions/FactSet Auditing Viewer?action=AUDIT_VALUE&amp;DB=129&amp;ID1=87160710&amp;VALUEID=02001&amp;SDATE=200801&amp;PERIODTYPE=QTR_STD&amp;SCFT=3&amp;window=popup_no_bar&amp;width=385&amp;height=120&amp;START_MAXIMIZED=FALSE&amp;creator=factset&amp;display_string=Audit"}</definedName>
    <definedName name="_1615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1616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1617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1618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1619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162__FDSAUDITLINK__" hidden="1">{"fdsup://Directions/FactSet Auditing Viewer?action=AUDIT_VALUE&amp;DB=129&amp;ID1=88250810&amp;VALUEID=02001&amp;SDATE=201004&amp;PERIODTYPE=QTR_STD&amp;SCFT=3&amp;window=popup_no_bar&amp;width=385&amp;height=120&amp;START_MAXIMIZED=FALSE&amp;creator=factset&amp;display_string=Audit"}</definedName>
    <definedName name="_1620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1621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1622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1623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1624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1625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1626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1627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1628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1629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163__FDSAUDITLINK__" hidden="1">{"fdsup://Directions/FactSet Auditing Viewer?action=AUDIT_VALUE&amp;DB=129&amp;ID1=89674K10&amp;VALUEID=02001&amp;SDATE=201004&amp;PERIODTYPE=QTR_STD&amp;SCFT=3&amp;window=popup_no_bar&amp;width=385&amp;height=120&amp;START_MAXIMIZED=FALSE&amp;creator=factset&amp;display_string=Audit"}</definedName>
    <definedName name="_1630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1631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1632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1633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1634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1635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1636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1637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1638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1639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164__FDSAUDITLINK__" hidden="1">{"fdsup://Directions/FactSet Auditing Viewer?action=AUDIT_VALUE&amp;DB=129&amp;ID1=89674K10&amp;VALUEID=02001&amp;SDATE=201004&amp;PERIODTYPE=QTR_STD&amp;SCFT=3&amp;window=popup_no_bar&amp;width=385&amp;height=120&amp;START_MAXIMIZED=FALSE&amp;creator=factset&amp;display_string=Audit"}</definedName>
    <definedName name="_1640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1641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1642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1643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1644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1645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1646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1647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1648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1649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165__FDSAUDITLINK__" hidden="1">{"fdsup://Directions/FactSet Auditing Viewer?action=AUDIT_VALUE&amp;DB=129&amp;ID1=83088M10&amp;VALUEID=02001&amp;SDATE=201101&amp;PERIODTYPE=QTR_STD&amp;SCFT=3&amp;window=popup_no_bar&amp;width=385&amp;height=120&amp;START_MAXIMIZED=FALSE&amp;creator=factset&amp;display_string=Audit"}</definedName>
    <definedName name="_1650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1651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1652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1653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1654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1655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1656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1657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1658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1659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166__FDSAUDITLINK__" hidden="1">{"fdsup://Directions/FactSet Auditing Viewer?action=AUDIT_VALUE&amp;DB=129&amp;ID1=83088M10&amp;VALUEID=02001&amp;SDATE=201101&amp;PERIODTYPE=QTR_STD&amp;SCFT=3&amp;window=popup_no_bar&amp;width=385&amp;height=120&amp;START_MAXIMIZED=FALSE&amp;creator=factset&amp;display_string=Audit"}</definedName>
    <definedName name="_1660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1661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1662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1663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1664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1665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1666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1667__FDSAUDITLINK__" hidden="1">{"fdsup://Directions/FactSet Auditing Viewer?action=AUDIT_VALUE&amp;DB=129&amp;ID1=98975F10&amp;VALUEID=02001&amp;SDATE=200703&amp;PERIODTYPE=QTR_STD&amp;SCFT=3&amp;window=popup_no_bar&amp;width=385&amp;height=120&amp;START_MAXIMIZED=FALSE&amp;creator=factset&amp;display_string=Audit"}</definedName>
    <definedName name="_1668__FDSAUDITLINK__" hidden="1">{"fdsup://Directions/FactSet Auditing Viewer?action=AUDIT_VALUE&amp;DB=129&amp;ID1=98975F10&amp;VALUEID=02001&amp;SDATE=200703&amp;PERIODTYPE=QTR_STD&amp;SCFT=3&amp;window=popup_no_bar&amp;width=385&amp;height=120&amp;START_MAXIMIZED=FALSE&amp;creator=factset&amp;display_string=Audit"}</definedName>
    <definedName name="_1669__FDSAUDITLINK__" hidden="1">{"fdsup://Directions/FactSet Auditing Viewer?action=AUDIT_VALUE&amp;DB=129&amp;ID1=98391910&amp;VALUEID=02001&amp;SDATE=200702&amp;PERIODTYPE=QTR_STD&amp;SCFT=3&amp;window=popup_no_bar&amp;width=385&amp;height=120&amp;START_MAXIMIZED=FALSE&amp;creator=factset&amp;display_string=Audit"}</definedName>
    <definedName name="_167__FDSAUDITLINK__" hidden="1">{"fdsup://Directions/FactSet Auditing Viewer?action=AUDIT_VALUE&amp;DB=129&amp;ID1=G7945M10&amp;VALUEID=02001&amp;SDATE=201102&amp;PERIODTYPE=QTR_STD&amp;SCFT=3&amp;window=popup_no_bar&amp;width=385&amp;height=120&amp;START_MAXIMIZED=FALSE&amp;creator=factset&amp;display_string=Audit"}</definedName>
    <definedName name="_1670__FDSAUDITLINK__" hidden="1">{"fdsup://Directions/FactSet Auditing Viewer?action=AUDIT_VALUE&amp;DB=129&amp;ID1=98391910&amp;VALUEID=02001&amp;SDATE=200702&amp;PERIODTYPE=QTR_STD&amp;SCFT=3&amp;window=popup_no_bar&amp;width=385&amp;height=120&amp;START_MAXIMIZED=FALSE&amp;creator=factset&amp;display_string=Audit"}</definedName>
    <definedName name="_1671__FDSAUDITLINK__" hidden="1">{"fdsup://Directions/FactSet Auditing Viewer?action=AUDIT_VALUE&amp;DB=129&amp;ID1=95810210&amp;VALUEID=02001&amp;SDATE=200801&amp;PERIODTYPE=QTR_STD&amp;SCFT=3&amp;window=popup_no_bar&amp;width=385&amp;height=120&amp;START_MAXIMIZED=FALSE&amp;creator=factset&amp;display_string=Audit"}</definedName>
    <definedName name="_1672__FDSAUDITLINK__" hidden="1">{"fdsup://Directions/FactSet Auditing Viewer?action=AUDIT_VALUE&amp;DB=129&amp;ID1=95810210&amp;VALUEID=02001&amp;SDATE=200801&amp;PERIODTYPE=QTR_STD&amp;SCFT=3&amp;window=popup_no_bar&amp;width=385&amp;height=120&amp;START_MAXIMIZED=FALSE&amp;creator=factset&amp;display_string=Audit"}</definedName>
    <definedName name="_1673__FDSAUDITLINK__" hidden="1">{"fdsup://Directions/FactSet Auditing Viewer?action=AUDIT_VALUE&amp;DB=129&amp;ID1=92829810&amp;VALUEID=02001&amp;SDATE=200703&amp;PERIODTYPE=QTR_STD&amp;SCFT=3&amp;window=popup_no_bar&amp;width=385&amp;height=120&amp;START_MAXIMIZED=FALSE&amp;creator=factset&amp;display_string=Audit"}</definedName>
    <definedName name="_1674__FDSAUDITLINK__" hidden="1">{"fdsup://Directions/FactSet Auditing Viewer?action=AUDIT_VALUE&amp;DB=129&amp;ID1=92829810&amp;VALUEID=02001&amp;SDATE=200703&amp;PERIODTYPE=QTR_STD&amp;SCFT=3&amp;window=popup_no_bar&amp;width=385&amp;height=120&amp;START_MAXIMIZED=FALSE&amp;creator=factset&amp;display_string=Audit"}</definedName>
    <definedName name="_1675__FDSAUDITLINK__" hidden="1">{"fdsup://Directions/FactSet Auditing Viewer?action=AUDIT_VALUE&amp;DB=129&amp;ID1=88250810&amp;VALUEID=02001&amp;SDATE=200703&amp;PERIODTYPE=QTR_STD&amp;SCFT=3&amp;window=popup_no_bar&amp;width=385&amp;height=120&amp;START_MAXIMIZED=FALSE&amp;creator=factset&amp;display_string=Audit"}</definedName>
    <definedName name="_1676__FDSAUDITLINK__" hidden="1">{"fdsup://Directions/FactSet Auditing Viewer?action=AUDIT_VALUE&amp;DB=129&amp;ID1=88250810&amp;VALUEID=02001&amp;SDATE=200703&amp;PERIODTYPE=QTR_STD&amp;SCFT=3&amp;window=popup_no_bar&amp;width=385&amp;height=120&amp;START_MAXIMIZED=FALSE&amp;creator=factset&amp;display_string=Audit"}</definedName>
    <definedName name="_1677__FDSAUDITLINK__" hidden="1">{"fdsup://Directions/FactSet Auditing Viewer?action=AUDIT_VALUE&amp;DB=129&amp;ID1=89674K10&amp;VALUEID=02001&amp;SDATE=200703&amp;PERIODTYPE=QTR_STD&amp;SCFT=3&amp;window=popup_no_bar&amp;width=385&amp;height=120&amp;START_MAXIMIZED=FALSE&amp;creator=factset&amp;display_string=Audit"}</definedName>
    <definedName name="_1678__FDSAUDITLINK__" hidden="1">{"fdsup://Directions/FactSet Auditing Viewer?action=AUDIT_VALUE&amp;DB=129&amp;ID1=89674K10&amp;VALUEID=02001&amp;SDATE=200703&amp;PERIODTYPE=QTR_STD&amp;SCFT=3&amp;window=popup_no_bar&amp;width=385&amp;height=120&amp;START_MAXIMIZED=FALSE&amp;creator=factset&amp;display_string=Audit"}</definedName>
    <definedName name="_1679__FDSAUDITLINK__" hidden="1">{"fdsup://Directions/FactSet Auditing Viewer?action=AUDIT_VALUE&amp;DB=129&amp;ID1=G7945M10&amp;VALUEID=02001&amp;SDATE=200801&amp;PERIODTYPE=QTR_STD&amp;SCFT=3&amp;window=popup_no_bar&amp;width=385&amp;height=120&amp;START_MAXIMIZED=FALSE&amp;creator=factset&amp;display_string=Audit"}</definedName>
    <definedName name="_168__FDSAUDITLINK__" hidden="1">{"fdsup://Directions/FactSet Auditing Viewer?action=AUDIT_VALUE&amp;DB=129&amp;ID1=G7945M10&amp;VALUEID=02001&amp;SDATE=201102&amp;PERIODTYPE=QTR_STD&amp;SCFT=3&amp;window=popup_no_bar&amp;width=385&amp;height=120&amp;START_MAXIMIZED=FALSE&amp;creator=factset&amp;display_string=Audit"}</definedName>
    <definedName name="_1680__FDSAUDITLINK__" hidden="1">{"fdsup://Directions/FactSet Auditing Viewer?action=AUDIT_VALUE&amp;DB=129&amp;ID1=G7945M10&amp;VALUEID=02001&amp;SDATE=200801&amp;PERIODTYPE=QTR_STD&amp;SCFT=3&amp;window=popup_no_bar&amp;width=385&amp;height=120&amp;START_MAXIMIZED=FALSE&amp;creator=factset&amp;display_string=Audit"}</definedName>
    <definedName name="_1681__FDSAUDITLINK__" hidden="1">{"fdsup://Directions/FactSet Auditing Viewer?action=AUDIT_VALUE&amp;DB=129&amp;ID1=78477410&amp;VALUEID=02001&amp;SDATE=200703&amp;PERIODTYPE=QTR_STD&amp;SCFT=3&amp;window=popup_no_bar&amp;width=385&amp;height=120&amp;START_MAXIMIZED=FALSE&amp;creator=factset&amp;display_string=Audit"}</definedName>
    <definedName name="_1682__FDSAUDITLINK__" hidden="1">{"fdsup://Directions/FactSet Auditing Viewer?action=AUDIT_VALUE&amp;DB=129&amp;ID1=78477410&amp;VALUEID=02001&amp;SDATE=200703&amp;PERIODTYPE=QTR_STD&amp;SCFT=3&amp;window=popup_no_bar&amp;width=385&amp;height=120&amp;START_MAXIMIZED=FALSE&amp;creator=factset&amp;display_string=Audit"}</definedName>
    <definedName name="_1683__FDSAUDITLINK__" hidden="1">{"fdsup://Directions/FactSet Auditing Viewer?action=AUDIT_VALUE&amp;DB=129&amp;ID1=82705710&amp;VALUEID=02001&amp;SDATE=200703&amp;PERIODTYPE=QTR_STD&amp;SCFT=3&amp;window=popup_no_bar&amp;width=385&amp;height=120&amp;START_MAXIMIZED=FALSE&amp;creator=factset&amp;display_string=Audit"}</definedName>
    <definedName name="_1684__FDSAUDITLINK__" hidden="1">{"fdsup://Directions/FactSet Auditing Viewer?action=AUDIT_VALUE&amp;DB=129&amp;ID1=82705710&amp;VALUEID=02001&amp;SDATE=200703&amp;PERIODTYPE=QTR_STD&amp;SCFT=3&amp;window=popup_no_bar&amp;width=385&amp;height=120&amp;START_MAXIMIZED=FALSE&amp;creator=factset&amp;display_string=Audit"}</definedName>
    <definedName name="_1685__FDSAUDITLINK__" hidden="1">{"fdsup://Directions/FactSet Auditing Viewer?action=AUDIT_VALUE&amp;DB=129&amp;ID1=83547010&amp;VALUEID=02001&amp;SDATE=200703&amp;PERIODTYPE=QTR_STD&amp;SCFT=3&amp;window=popup_no_bar&amp;width=385&amp;height=120&amp;START_MAXIMIZED=FALSE&amp;creator=factset&amp;display_string=Audit"}</definedName>
    <definedName name="_1686__FDSAUDITLINK__" hidden="1">{"fdsup://Directions/FactSet Auditing Viewer?action=AUDIT_VALUE&amp;DB=129&amp;ID1=83547010&amp;VALUEID=02001&amp;SDATE=200703&amp;PERIODTYPE=QTR_STD&amp;SCFT=3&amp;window=popup_no_bar&amp;width=385&amp;height=120&amp;START_MAXIMIZED=FALSE&amp;creator=factset&amp;display_string=Audit"}</definedName>
    <definedName name="_1687__FDSAUDITLINK__" hidden="1">{"fdsup://Directions/FactSet Auditing Viewer?action=AUDIT_VALUE&amp;DB=129&amp;ID1=80004C10&amp;VALUEID=02001&amp;SDATE=200703&amp;PERIODTYPE=QTR_STD&amp;SCFT=3&amp;window=popup_no_bar&amp;width=385&amp;height=120&amp;START_MAXIMIZED=FALSE&amp;creator=factset&amp;display_string=Audit"}</definedName>
    <definedName name="_1688__FDSAUDITLINK__" hidden="1">{"fdsup://Directions/FactSet Auditing Viewer?action=AUDIT_VALUE&amp;DB=129&amp;ID1=80004C10&amp;VALUEID=02001&amp;SDATE=200703&amp;PERIODTYPE=QTR_STD&amp;SCFT=3&amp;window=popup_no_bar&amp;width=385&amp;height=120&amp;START_MAXIMIZED=FALSE&amp;creator=factset&amp;display_string=Audit"}</definedName>
    <definedName name="_1689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169__FDSAUDITLINK__" hidden="1">{"fdsup://Directions/FactSet Auditing Viewer?action=AUDIT_VALUE&amp;DB=129&amp;ID1=78477410&amp;VALUEID=02001&amp;SDATE=201004&amp;PERIODTYPE=QTR_STD&amp;SCFT=3&amp;window=popup_no_bar&amp;width=385&amp;height=120&amp;START_MAXIMIZED=FALSE&amp;creator=factset&amp;display_string=Audit"}</definedName>
    <definedName name="_1690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1691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1692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1693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1694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1695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1696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1697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1698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1699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17__FDSAUDITLINK__" hidden="1">{"fdsup://Directions/FactSet Auditing Viewer?action=AUDIT_VALUE&amp;DB=129&amp;ID1=637248&amp;VALUEID=05194&amp;SDATE=201103&amp;PERIODTYPE=QTR_STD&amp;SCFT=3&amp;window=popup_no_bar&amp;width=385&amp;height=120&amp;START_MAXIMIZED=FALSE&amp;creator=factset&amp;display_string=Audit"}</definedName>
    <definedName name="_170__FDSAUDITLINK__" hidden="1">{"fdsup://Directions/FactSet Auditing Viewer?action=AUDIT_VALUE&amp;DB=129&amp;ID1=78477410&amp;VALUEID=02001&amp;SDATE=201004&amp;PERIODTYPE=QTR_STD&amp;SCFT=3&amp;window=popup_no_bar&amp;width=385&amp;height=120&amp;START_MAXIMIZED=FALSE&amp;creator=factset&amp;display_string=Audit"}</definedName>
    <definedName name="_1700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1701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1702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1703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1704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1705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1706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1707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1708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1709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171__FDSAUDITLINK__" hidden="1">{"fdsup://Directions/FactSet Auditing Viewer?action=AUDIT_VALUE&amp;DB=129&amp;ID1=87160710&amp;VALUEID=02001&amp;SDATE=201101&amp;PERIODTYPE=QTR_STD&amp;SCFT=3&amp;window=popup_no_bar&amp;width=385&amp;height=120&amp;START_MAXIMIZED=FALSE&amp;creator=factset&amp;display_string=Audit"}</definedName>
    <definedName name="_1710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1711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1712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1713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1714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1715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1716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1717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1718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1719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172__FDSAUDITLINK__" hidden="1">{"fdsup://Directions/FactSet Auditing Viewer?action=AUDIT_VALUE&amp;DB=129&amp;ID1=87160710&amp;VALUEID=02001&amp;SDATE=201101&amp;PERIODTYPE=QTR_STD&amp;SCFT=3&amp;window=popup_no_bar&amp;width=385&amp;height=120&amp;START_MAXIMIZED=FALSE&amp;creator=factset&amp;display_string=Audit"}</definedName>
    <definedName name="_1720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1721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1722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1723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1724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1725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1726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1727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1728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1729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173__FDSAUDITLINK__" hidden="1">{"fdsup://Directions/FactSet Auditing Viewer?action=AUDIT_VALUE&amp;DB=129&amp;ID1=80004C10&amp;VALUEID=02001&amp;SDATE=201004&amp;PERIODTYPE=QTR_STD&amp;SCFT=3&amp;window=popup_no_bar&amp;width=385&amp;height=120&amp;START_MAXIMIZED=FALSE&amp;creator=factset&amp;display_string=Audit"}</definedName>
    <definedName name="_1730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1731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1732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1733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1734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1735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1736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1737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1738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1739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174__FDSAUDITLINK__" hidden="1">{"fdsup://Directions/FactSet Auditing Viewer?action=AUDIT_VALUE&amp;DB=129&amp;ID1=80004C10&amp;VALUEID=02001&amp;SDATE=201004&amp;PERIODTYPE=QTR_STD&amp;SCFT=3&amp;window=popup_no_bar&amp;width=385&amp;height=120&amp;START_MAXIMIZED=FALSE&amp;creator=factset&amp;display_string=Audit"}</definedName>
    <definedName name="_1740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1741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1742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1743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1744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1745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1746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1747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1748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1749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175__FDSAUDITLINK__" hidden="1">{"fdsup://Directions/FactSet Auditing Viewer?action=AUDIT_VALUE&amp;DB=129&amp;ID1=81685010&amp;VALUEID=02001&amp;SDATE=201004&amp;PERIODTYPE=QTR_STD&amp;SCFT=3&amp;window=popup_no_bar&amp;width=385&amp;height=120&amp;START_MAXIMIZED=FALSE&amp;creator=factset&amp;display_string=Audit"}</definedName>
    <definedName name="_1750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1751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1752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1753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1754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1755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1756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1757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1758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1759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176__FDSAUDITLINK__" hidden="1">{"fdsup://Directions/FactSet Auditing Viewer?action=AUDIT_VALUE&amp;DB=129&amp;ID1=81685010&amp;VALUEID=02001&amp;SDATE=201004&amp;PERIODTYPE=QTR_STD&amp;SCFT=3&amp;window=popup_no_bar&amp;width=385&amp;height=120&amp;START_MAXIMIZED=FALSE&amp;creator=factset&amp;display_string=Audit"}</definedName>
    <definedName name="_1760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1761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1762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1763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1764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1765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1766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1767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1768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1769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177__FDSAUDITLINK__" hidden="1">{"fdsup://Directions/FactSet Auditing Viewer?action=AUDIT_VALUE&amp;DB=129&amp;ID1=82691910&amp;VALUEID=02001&amp;SDATE=201004&amp;PERIODTYPE=QTR_STD&amp;SCFT=3&amp;window=popup_no_bar&amp;width=385&amp;height=120&amp;START_MAXIMIZED=FALSE&amp;creator=factset&amp;display_string=Audit"}</definedName>
    <definedName name="_1770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1771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1772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1773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1774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1775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1776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1777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1778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1779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178__FDSAUDITLINK__" hidden="1">{"fdsup://Directions/FactSet Auditing Viewer?action=AUDIT_VALUE&amp;DB=129&amp;ID1=82691910&amp;VALUEID=02001&amp;SDATE=201004&amp;PERIODTYPE=QTR_STD&amp;SCFT=3&amp;window=popup_no_bar&amp;width=385&amp;height=120&amp;START_MAXIMIZED=FALSE&amp;creator=factset&amp;display_string=Audit"}</definedName>
    <definedName name="_1780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1781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1782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1783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1784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1785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1786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1787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1788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1789__FDSAUDITLINK__" hidden="1">{"fdsup://Directions/FactSet Auditing Viewer?action=AUDIT_VALUE&amp;DB=129&amp;ID1=98975F10&amp;VALUEID=02001&amp;SDATE=200702&amp;PERIODTYPE=QTR_STD&amp;SCFT=3&amp;window=popup_no_bar&amp;width=385&amp;height=120&amp;START_MAXIMIZED=FALSE&amp;creator=factset&amp;display_string=Audit"}</definedName>
    <definedName name="_179__FDSAUDITLINK__" hidden="1">{"fdsup://Directions/FactSet Auditing Viewer?action=AUDIT_VALUE&amp;DB=129&amp;ID1=82705T10&amp;VALUEID=02001&amp;SDATE=201004&amp;PERIODTYPE=QTR_STD&amp;SCFT=3&amp;window=popup_no_bar&amp;width=385&amp;height=120&amp;START_MAXIMIZED=FALSE&amp;creator=factset&amp;display_string=Audit"}</definedName>
    <definedName name="_1790__FDSAUDITLINK__" hidden="1">{"fdsup://Directions/FactSet Auditing Viewer?action=AUDIT_VALUE&amp;DB=129&amp;ID1=98975F10&amp;VALUEID=02001&amp;SDATE=200702&amp;PERIODTYPE=QTR_STD&amp;SCFT=3&amp;window=popup_no_bar&amp;width=385&amp;height=120&amp;START_MAXIMIZED=FALSE&amp;creator=factset&amp;display_string=Audit"}</definedName>
    <definedName name="_1791__FDSAUDITLINK__" hidden="1">{"fdsup://Directions/FactSet Auditing Viewer?action=AUDIT_VALUE&amp;DB=129&amp;ID1=98391910&amp;VALUEID=02001&amp;SDATE=200701&amp;PERIODTYPE=QTR_STD&amp;SCFT=3&amp;window=popup_no_bar&amp;width=385&amp;height=120&amp;START_MAXIMIZED=FALSE&amp;creator=factset&amp;display_string=Audit"}</definedName>
    <definedName name="_1792__FDSAUDITLINK__" hidden="1">{"fdsup://Directions/FactSet Auditing Viewer?action=AUDIT_VALUE&amp;DB=129&amp;ID1=98391910&amp;VALUEID=02001&amp;SDATE=200701&amp;PERIODTYPE=QTR_STD&amp;SCFT=3&amp;window=popup_no_bar&amp;width=385&amp;height=120&amp;START_MAXIMIZED=FALSE&amp;creator=factset&amp;display_string=Audit"}</definedName>
    <definedName name="_1793__FDSAUDITLINK__" hidden="1">{"fdsup://Directions/FactSet Auditing Viewer?action=AUDIT_VALUE&amp;DB=129&amp;ID1=92829810&amp;VALUEID=02001&amp;SDATE=200702&amp;PERIODTYPE=QTR_STD&amp;SCFT=3&amp;window=popup_no_bar&amp;width=385&amp;height=120&amp;START_MAXIMIZED=FALSE&amp;creator=factset&amp;display_string=Audit"}</definedName>
    <definedName name="_1794__FDSAUDITLINK__" hidden="1">{"fdsup://Directions/FactSet Auditing Viewer?action=AUDIT_VALUE&amp;DB=129&amp;ID1=92829810&amp;VALUEID=02001&amp;SDATE=200702&amp;PERIODTYPE=QTR_STD&amp;SCFT=3&amp;window=popup_no_bar&amp;width=385&amp;height=120&amp;START_MAXIMIZED=FALSE&amp;creator=factset&amp;display_string=Audit"}</definedName>
    <definedName name="_1795__FDSAUDITLINK__" hidden="1">{"fdsup://Directions/FactSet Auditing Viewer?action=AUDIT_VALUE&amp;DB=129&amp;ID1=88250810&amp;VALUEID=02001&amp;SDATE=200702&amp;PERIODTYPE=QTR_STD&amp;SCFT=3&amp;window=popup_no_bar&amp;width=385&amp;height=120&amp;START_MAXIMIZED=FALSE&amp;creator=factset&amp;display_string=Audit"}</definedName>
    <definedName name="_1796__FDSAUDITLINK__" hidden="1">{"fdsup://Directions/FactSet Auditing Viewer?action=AUDIT_VALUE&amp;DB=129&amp;ID1=88250810&amp;VALUEID=02001&amp;SDATE=200702&amp;PERIODTYPE=QTR_STD&amp;SCFT=3&amp;window=popup_no_bar&amp;width=385&amp;height=120&amp;START_MAXIMIZED=FALSE&amp;creator=factset&amp;display_string=Audit"}</definedName>
    <definedName name="_1797__FDSAUDITLINK__" hidden="1">{"fdsup://Directions/FactSet Auditing Viewer?action=AUDIT_VALUE&amp;DB=129&amp;ID1=89674K10&amp;VALUEID=02001&amp;SDATE=200702&amp;PERIODTYPE=QTR_STD&amp;SCFT=3&amp;window=popup_no_bar&amp;width=385&amp;height=120&amp;START_MAXIMIZED=FALSE&amp;creator=factset&amp;display_string=Audit"}</definedName>
    <definedName name="_1798__FDSAUDITLINK__" hidden="1">{"fdsup://Directions/FactSet Auditing Viewer?action=AUDIT_VALUE&amp;DB=129&amp;ID1=89674K10&amp;VALUEID=02001&amp;SDATE=200702&amp;PERIODTYPE=QTR_STD&amp;SCFT=3&amp;window=popup_no_bar&amp;width=385&amp;height=120&amp;START_MAXIMIZED=FALSE&amp;creator=factset&amp;display_string=Audit"}</definedName>
    <definedName name="_1799__FDSAUDITLINK__" hidden="1">{"fdsup://Directions/FactSet Auditing Viewer?action=AUDIT_VALUE&amp;DB=129&amp;ID1=83088M10&amp;VALUEID=02001&amp;SDATE=200703&amp;PERIODTYPE=QTR_STD&amp;SCFT=3&amp;window=popup_no_bar&amp;width=385&amp;height=120&amp;START_MAXIMIZED=FALSE&amp;creator=factset&amp;display_string=Audit"}</definedName>
    <definedName name="_18__FDSAUDITLINK__" hidden="1">{"fdsup://Directions/FactSet Auditing Viewer?action=AUDIT_VALUE&amp;DB=129&amp;ID1=03265410&amp;VALUEID=02001&amp;SDATE=201104&amp;PERIODTYPE=QTR_STD&amp;SCFT=3&amp;window=popup_no_bar&amp;width=385&amp;height=120&amp;START_MAXIMIZED=FALSE&amp;creator=factset&amp;display_string=Audit"}</definedName>
    <definedName name="_180__FDSAUDITLINK__" hidden="1">{"fdsup://Directions/FactSet Auditing Viewer?action=AUDIT_VALUE&amp;DB=129&amp;ID1=82705T10&amp;VALUEID=02001&amp;SDATE=201004&amp;PERIODTYPE=QTR_STD&amp;SCFT=3&amp;window=popup_no_bar&amp;width=385&amp;height=120&amp;START_MAXIMIZED=FALSE&amp;creator=factset&amp;display_string=Audit"}</definedName>
    <definedName name="_1800__FDSAUDITLINK__" hidden="1">{"fdsup://Directions/FactSet Auditing Viewer?action=AUDIT_VALUE&amp;DB=129&amp;ID1=83088M10&amp;VALUEID=02001&amp;SDATE=200703&amp;PERIODTYPE=QTR_STD&amp;SCFT=3&amp;window=popup_no_bar&amp;width=385&amp;height=120&amp;START_MAXIMIZED=FALSE&amp;creator=factset&amp;display_string=Audit"}</definedName>
    <definedName name="_1801__FDSAUDITLINK__" hidden="1">{"fdsup://Directions/FactSet Auditing Viewer?action=AUDIT_VALUE&amp;DB=129&amp;ID1=78477410&amp;VALUEID=02001&amp;SDATE=200702&amp;PERIODTYPE=QTR_STD&amp;SCFT=3&amp;window=popup_no_bar&amp;width=385&amp;height=120&amp;START_MAXIMIZED=FALSE&amp;creator=factset&amp;display_string=Audit"}</definedName>
    <definedName name="_1802__FDSAUDITLINK__" hidden="1">{"fdsup://Directions/FactSet Auditing Viewer?action=AUDIT_VALUE&amp;DB=129&amp;ID1=78477410&amp;VALUEID=02001&amp;SDATE=200702&amp;PERIODTYPE=QTR_STD&amp;SCFT=3&amp;window=popup_no_bar&amp;width=385&amp;height=120&amp;START_MAXIMIZED=FALSE&amp;creator=factset&amp;display_string=Audit"}</definedName>
    <definedName name="_1803__FDSAUDITLINK__" hidden="1">{"fdsup://Directions/FactSet Auditing Viewer?action=AUDIT_VALUE&amp;DB=129&amp;ID1=82705710&amp;VALUEID=02001&amp;SDATE=200702&amp;PERIODTYPE=QTR_STD&amp;SCFT=3&amp;window=popup_no_bar&amp;width=385&amp;height=120&amp;START_MAXIMIZED=FALSE&amp;creator=factset&amp;display_string=Audit"}</definedName>
    <definedName name="_1804__FDSAUDITLINK__" hidden="1">{"fdsup://Directions/FactSet Auditing Viewer?action=AUDIT_VALUE&amp;DB=129&amp;ID1=82705710&amp;VALUEID=02001&amp;SDATE=200702&amp;PERIODTYPE=QTR_STD&amp;SCFT=3&amp;window=popup_no_bar&amp;width=385&amp;height=120&amp;START_MAXIMIZED=FALSE&amp;creator=factset&amp;display_string=Audit"}</definedName>
    <definedName name="_1805__FDSAUDITLINK__" hidden="1">{"fdsup://Directions/FactSet Auditing Viewer?action=AUDIT_VALUE&amp;DB=129&amp;ID1=83547010&amp;VALUEID=02001&amp;SDATE=200702&amp;PERIODTYPE=QTR_STD&amp;SCFT=3&amp;window=popup_no_bar&amp;width=385&amp;height=120&amp;START_MAXIMIZED=FALSE&amp;creator=factset&amp;display_string=Audit"}</definedName>
    <definedName name="_1806__FDSAUDITLINK__" hidden="1">{"fdsup://Directions/FactSet Auditing Viewer?action=AUDIT_VALUE&amp;DB=129&amp;ID1=83547010&amp;VALUEID=02001&amp;SDATE=200702&amp;PERIODTYPE=QTR_STD&amp;SCFT=3&amp;window=popup_no_bar&amp;width=385&amp;height=120&amp;START_MAXIMIZED=FALSE&amp;creator=factset&amp;display_string=Audit"}</definedName>
    <definedName name="_1807__FDSAUDITLINK__" hidden="1">{"fdsup://Directions/FactSet Auditing Viewer?action=AUDIT_VALUE&amp;DB=129&amp;ID1=87160710&amp;VALUEID=02001&amp;SDATE=200703&amp;PERIODTYPE=QTR_STD&amp;SCFT=3&amp;window=popup_no_bar&amp;width=385&amp;height=120&amp;START_MAXIMIZED=FALSE&amp;creator=factset&amp;display_string=Audit"}</definedName>
    <definedName name="_1808__FDSAUDITLINK__" hidden="1">{"fdsup://Directions/FactSet Auditing Viewer?action=AUDIT_VALUE&amp;DB=129&amp;ID1=87160710&amp;VALUEID=02001&amp;SDATE=200703&amp;PERIODTYPE=QTR_STD&amp;SCFT=3&amp;window=popup_no_bar&amp;width=385&amp;height=120&amp;START_MAXIMIZED=FALSE&amp;creator=factset&amp;display_string=Audit"}</definedName>
    <definedName name="_1809__FDSAUDITLINK__" hidden="1">{"fdsup://Directions/FactSet Auditing Viewer?action=AUDIT_VALUE&amp;DB=129&amp;ID1=80004C10&amp;VALUEID=02001&amp;SDATE=200702&amp;PERIODTYPE=QTR_STD&amp;SCFT=3&amp;window=popup_no_bar&amp;width=385&amp;height=120&amp;START_MAXIMIZED=FALSE&amp;creator=factset&amp;display_string=Audit"}</definedName>
    <definedName name="_181__FDSAUDITLINK__" hidden="1">{"fdsup://Directions/FactSet Auditing Viewer?action=AUDIT_VALUE&amp;DB=129&amp;ID1=75091710&amp;VALUEID=02001&amp;SDATE=201004&amp;PERIODTYPE=QTR_STD&amp;SCFT=3&amp;window=popup_no_bar&amp;width=385&amp;height=120&amp;START_MAXIMIZED=FALSE&amp;creator=factset&amp;display_string=Audit"}</definedName>
    <definedName name="_1810__FDSAUDITLINK__" hidden="1">{"fdsup://Directions/FactSet Auditing Viewer?action=AUDIT_VALUE&amp;DB=129&amp;ID1=80004C10&amp;VALUEID=02001&amp;SDATE=200702&amp;PERIODTYPE=QTR_STD&amp;SCFT=3&amp;window=popup_no_bar&amp;width=385&amp;height=120&amp;START_MAXIMIZED=FALSE&amp;creator=factset&amp;display_string=Audit"}</definedName>
    <definedName name="_1811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1812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1813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1814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1815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1816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1817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1818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1819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182__FDSAUDITLINK__" hidden="1">{"fdsup://Directions/FactSet Auditing Viewer?action=AUDIT_VALUE&amp;DB=129&amp;ID1=75091710&amp;VALUEID=02001&amp;SDATE=201004&amp;PERIODTYPE=QTR_STD&amp;SCFT=3&amp;window=popup_no_bar&amp;width=385&amp;height=120&amp;START_MAXIMIZED=FALSE&amp;creator=factset&amp;display_string=Audit"}</definedName>
    <definedName name="_1820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1821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1822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1823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1824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1825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1826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1827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1828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1829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183__FDSAUDITLINK__" hidden="1">{"fdsup://Directions/FactSet Auditing Viewer?action=AUDIT_VALUE&amp;DB=129&amp;ID1=74994110&amp;VALUEID=02001&amp;SDATE=201003&amp;PERIODTYPE=QTR_STD&amp;SCFT=3&amp;window=popup_no_bar&amp;width=385&amp;height=120&amp;START_MAXIMIZED=FALSE&amp;creator=factset&amp;display_string=Audit"}</definedName>
    <definedName name="_1830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1831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1832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1833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1834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1835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1836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1837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1838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1839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184__FDSAUDITLINK__" hidden="1">{"fdsup://Directions/FactSet Auditing Viewer?action=AUDIT_VALUE&amp;DB=129&amp;ID1=74994110&amp;VALUEID=02001&amp;SDATE=201003&amp;PERIODTYPE=QTR_STD&amp;SCFT=3&amp;window=popup_no_bar&amp;width=385&amp;height=120&amp;START_MAXIMIZED=FALSE&amp;creator=factset&amp;display_string=Audit"}</definedName>
    <definedName name="_1840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1841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1842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1843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1844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1845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1846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1847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1848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1849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185__FDSAUDITLINK__" hidden="1">{"fdsup://Directions/FactSet Auditing Viewer?action=AUDIT_VALUE&amp;DB=129&amp;ID1=74727710&amp;VALUEID=02001&amp;SDATE=201003&amp;PERIODTYPE=QTR_STD&amp;SCFT=3&amp;window=popup_no_bar&amp;width=385&amp;height=120&amp;START_MAXIMIZED=FALSE&amp;creator=factset&amp;display_string=Audit"}</definedName>
    <definedName name="_1850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1851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1852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1853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1854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1855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1856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1857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1858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1859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186__FDSAUDITLINK__" hidden="1">{"fdsup://Directions/FactSet Auditing Viewer?action=AUDIT_VALUE&amp;DB=129&amp;ID1=74727710&amp;VALUEID=02001&amp;SDATE=201003&amp;PERIODTYPE=QTR_STD&amp;SCFT=3&amp;window=popup_no_bar&amp;width=385&amp;height=120&amp;START_MAXIMIZED=FALSE&amp;creator=factset&amp;display_string=Audit"}</definedName>
    <definedName name="_1860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1861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1862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1863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1864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1865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1866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1867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1868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1869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187__FDSAUDITLINK__" hidden="1">{"fdsup://Directions/FactSet Auditing Viewer?action=AUDIT_VALUE&amp;DB=129&amp;ID1=74752510&amp;VALUEID=02001&amp;SDATE=201101&amp;PERIODTYPE=QTR_STD&amp;SCFT=3&amp;window=popup_no_bar&amp;width=385&amp;height=120&amp;START_MAXIMIZED=FALSE&amp;creator=factset&amp;display_string=Audit"}</definedName>
    <definedName name="_1870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1871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1872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1873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1874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1875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1876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1877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1878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1879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188__FDSAUDITLINK__" hidden="1">{"fdsup://Directions/FactSet Auditing Viewer?action=AUDIT_VALUE&amp;DB=129&amp;ID1=74752510&amp;VALUEID=02001&amp;SDATE=201101&amp;PERIODTYPE=QTR_STD&amp;SCFT=3&amp;window=popup_no_bar&amp;width=385&amp;height=120&amp;START_MAXIMIZED=FALSE&amp;creator=factset&amp;display_string=Audit"}</definedName>
    <definedName name="_1880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1881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1882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1883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1884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1885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1886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1887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1888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1889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189__FDSAUDITLINK__" hidden="1">{"fdsup://Directions/FactSet Auditing Viewer?action=AUDIT_VALUE&amp;DB=129&amp;ID1=72581M30&amp;VALUEID=02001&amp;SDATE=201004&amp;PERIODTYPE=QTR_STD&amp;SCFT=3&amp;window=popup_no_bar&amp;width=385&amp;height=120&amp;START_MAXIMIZED=FALSE&amp;creator=factset&amp;display_string=Audit"}</definedName>
    <definedName name="_1890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1891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1892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1893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1894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1895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1896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1897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1898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1899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19__FDSAUDITLINK__" hidden="1">{"fdsup://Directions/FactSet Auditing Viewer?action=AUDIT_VALUE&amp;DB=129&amp;ID1=03265410&amp;VALUEID=05194&amp;SDATE=201104&amp;PERIODTYPE=QTR_STD&amp;SCFT=3&amp;window=popup_no_bar&amp;width=385&amp;height=120&amp;START_MAXIMIZED=FALSE&amp;creator=factset&amp;display_string=Audit"}</definedName>
    <definedName name="_190__FDSAUDITLINK__" hidden="1">{"fdsup://Directions/FactSet Auditing Viewer?action=AUDIT_VALUE&amp;DB=129&amp;ID1=72581M30&amp;VALUEID=02001&amp;SDATE=201004&amp;PERIODTYPE=QTR_STD&amp;SCFT=3&amp;window=popup_no_bar&amp;width=385&amp;height=120&amp;START_MAXIMIZED=FALSE&amp;creator=factset&amp;display_string=Audit"}</definedName>
    <definedName name="_1900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1901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1902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1903__FDSAUDITLINK__" hidden="1">{"fdsup://Directions/FactSet Auditing Viewer?action=AUDIT_VALUE&amp;DB=129&amp;ID1=98975F10&amp;VALUEID=02001&amp;SDATE=200701&amp;PERIODTYPE=QTR_STD&amp;SCFT=3&amp;window=popup_no_bar&amp;width=385&amp;height=120&amp;START_MAXIMIZED=FALSE&amp;creator=factset&amp;display_string=Audit"}</definedName>
    <definedName name="_1904__FDSAUDITLINK__" hidden="1">{"fdsup://Directions/FactSet Auditing Viewer?action=AUDIT_VALUE&amp;DB=129&amp;ID1=98975F10&amp;VALUEID=02001&amp;SDATE=200701&amp;PERIODTYPE=QTR_STD&amp;SCFT=3&amp;window=popup_no_bar&amp;width=385&amp;height=120&amp;START_MAXIMIZED=FALSE&amp;creator=factset&amp;display_string=Audit"}</definedName>
    <definedName name="_1905__FDSAUDITLINK__" hidden="1">{"fdsup://Directions/FactSet Auditing Viewer?action=AUDIT_VALUE&amp;DB=129&amp;ID1=95810210&amp;VALUEID=02001&amp;SDATE=200703&amp;PERIODTYPE=QTR_STD&amp;SCFT=3&amp;window=popup_no_bar&amp;width=385&amp;height=120&amp;START_MAXIMIZED=FALSE&amp;creator=factset&amp;display_string=Audit"}</definedName>
    <definedName name="_1906__FDSAUDITLINK__" hidden="1">{"fdsup://Directions/FactSet Auditing Viewer?action=AUDIT_VALUE&amp;DB=129&amp;ID1=95810210&amp;VALUEID=02001&amp;SDATE=200703&amp;PERIODTYPE=QTR_STD&amp;SCFT=3&amp;window=popup_no_bar&amp;width=385&amp;height=120&amp;START_MAXIMIZED=FALSE&amp;creator=factset&amp;display_string=Audit"}</definedName>
    <definedName name="_1907__FDSAUDITLINK__" hidden="1">{"fdsup://Directions/FactSet Auditing Viewer?action=AUDIT_VALUE&amp;DB=129&amp;ID1=92829810&amp;VALUEID=02001&amp;SDATE=200701&amp;PERIODTYPE=QTR_STD&amp;SCFT=3&amp;window=popup_no_bar&amp;width=385&amp;height=120&amp;START_MAXIMIZED=FALSE&amp;creator=factset&amp;display_string=Audit"}</definedName>
    <definedName name="_1908__FDSAUDITLINK__" hidden="1">{"fdsup://Directions/FactSet Auditing Viewer?action=AUDIT_VALUE&amp;DB=129&amp;ID1=92829810&amp;VALUEID=02001&amp;SDATE=200701&amp;PERIODTYPE=QTR_STD&amp;SCFT=3&amp;window=popup_no_bar&amp;width=385&amp;height=120&amp;START_MAXIMIZED=FALSE&amp;creator=factset&amp;display_string=Audit"}</definedName>
    <definedName name="_1909__FDSAUDITLINK__" hidden="1">{"fdsup://Directions/FactSet Auditing Viewer?action=AUDIT_VALUE&amp;DB=129&amp;ID1=88250810&amp;VALUEID=02001&amp;SDATE=200701&amp;PERIODTYPE=QTR_STD&amp;SCFT=3&amp;window=popup_no_bar&amp;width=385&amp;height=120&amp;START_MAXIMIZED=FALSE&amp;creator=factset&amp;display_string=Audit"}</definedName>
    <definedName name="_191__FDSAUDITLINK__" hidden="1">{"fdsup://Directions/FactSet Auditing Viewer?action=AUDIT_VALUE&amp;DB=129&amp;ID1=73927610&amp;VALUEID=02001&amp;SDATE=201004&amp;PERIODTYPE=QTR_STD&amp;SCFT=3&amp;window=popup_no_bar&amp;width=385&amp;height=120&amp;START_MAXIMIZED=FALSE&amp;creator=factset&amp;display_string=Audit"}</definedName>
    <definedName name="_1910__FDSAUDITLINK__" hidden="1">{"fdsup://Directions/FactSet Auditing Viewer?action=AUDIT_VALUE&amp;DB=129&amp;ID1=88250810&amp;VALUEID=02001&amp;SDATE=200701&amp;PERIODTYPE=QTR_STD&amp;SCFT=3&amp;window=popup_no_bar&amp;width=385&amp;height=120&amp;START_MAXIMIZED=FALSE&amp;creator=factset&amp;display_string=Audit"}</definedName>
    <definedName name="_1911__FDSAUDITLINK__" hidden="1">{"fdsup://Directions/FactSet Auditing Viewer?action=AUDIT_VALUE&amp;DB=129&amp;ID1=89674K10&amp;VALUEID=02001&amp;SDATE=200701&amp;PERIODTYPE=QTR_STD&amp;SCFT=3&amp;window=popup_no_bar&amp;width=385&amp;height=120&amp;START_MAXIMIZED=FALSE&amp;creator=factset&amp;display_string=Audit"}</definedName>
    <definedName name="_1912__FDSAUDITLINK__" hidden="1">{"fdsup://Directions/FactSet Auditing Viewer?action=AUDIT_VALUE&amp;DB=129&amp;ID1=89674K10&amp;VALUEID=02001&amp;SDATE=200701&amp;PERIODTYPE=QTR_STD&amp;SCFT=3&amp;window=popup_no_bar&amp;width=385&amp;height=120&amp;START_MAXIMIZED=FALSE&amp;creator=factset&amp;display_string=Audit"}</definedName>
    <definedName name="_1913__FDSAUDITLINK__" hidden="1">{"fdsup://Directions/FactSet Auditing Viewer?action=AUDIT_VALUE&amp;DB=129&amp;ID1=83088M10&amp;VALUEID=02001&amp;SDATE=200702&amp;PERIODTYPE=QTR_STD&amp;SCFT=3&amp;window=popup_no_bar&amp;width=385&amp;height=120&amp;START_MAXIMIZED=FALSE&amp;creator=factset&amp;display_string=Audit"}</definedName>
    <definedName name="_1914__FDSAUDITLINK__" hidden="1">{"fdsup://Directions/FactSet Auditing Viewer?action=AUDIT_VALUE&amp;DB=129&amp;ID1=83088M10&amp;VALUEID=02001&amp;SDATE=200702&amp;PERIODTYPE=QTR_STD&amp;SCFT=3&amp;window=popup_no_bar&amp;width=385&amp;height=120&amp;START_MAXIMIZED=FALSE&amp;creator=factset&amp;display_string=Audit"}</definedName>
    <definedName name="_1915__FDSAUDITLINK__" hidden="1">{"fdsup://Directions/FactSet Auditing Viewer?action=AUDIT_VALUE&amp;DB=129&amp;ID1=G7945M10&amp;VALUEID=02001&amp;SDATE=200703&amp;PERIODTYPE=QTR_STD&amp;SCFT=3&amp;window=popup_no_bar&amp;width=385&amp;height=120&amp;START_MAXIMIZED=FALSE&amp;creator=factset&amp;display_string=Audit"}</definedName>
    <definedName name="_1916__FDSAUDITLINK__" hidden="1">{"fdsup://Directions/FactSet Auditing Viewer?action=AUDIT_VALUE&amp;DB=129&amp;ID1=G7945M10&amp;VALUEID=02001&amp;SDATE=200703&amp;PERIODTYPE=QTR_STD&amp;SCFT=3&amp;window=popup_no_bar&amp;width=385&amp;height=120&amp;START_MAXIMIZED=FALSE&amp;creator=factset&amp;display_string=Audit"}</definedName>
    <definedName name="_1917__FDSAUDITLINK__" hidden="1">{"fdsup://Directions/FactSet Auditing Viewer?action=AUDIT_VALUE&amp;DB=129&amp;ID1=78477410&amp;VALUEID=02001&amp;SDATE=200701&amp;PERIODTYPE=QTR_STD&amp;SCFT=3&amp;window=popup_no_bar&amp;width=385&amp;height=120&amp;START_MAXIMIZED=FALSE&amp;creator=factset&amp;display_string=Audit"}</definedName>
    <definedName name="_1918__FDSAUDITLINK__" hidden="1">{"fdsup://Directions/FactSet Auditing Viewer?action=AUDIT_VALUE&amp;DB=129&amp;ID1=78477410&amp;VALUEID=02001&amp;SDATE=200701&amp;PERIODTYPE=QTR_STD&amp;SCFT=3&amp;window=popup_no_bar&amp;width=385&amp;height=120&amp;START_MAXIMIZED=FALSE&amp;creator=factset&amp;display_string=Audit"}</definedName>
    <definedName name="_1919__FDSAUDITLINK__" hidden="1">{"fdsup://Directions/FactSet Auditing Viewer?action=AUDIT_VALUE&amp;DB=129&amp;ID1=82705710&amp;VALUEID=02001&amp;SDATE=200701&amp;PERIODTYPE=QTR_STD&amp;SCFT=3&amp;window=popup_no_bar&amp;width=385&amp;height=120&amp;START_MAXIMIZED=FALSE&amp;creator=factset&amp;display_string=Audit"}</definedName>
    <definedName name="_192__FDSAUDITLINK__" hidden="1">{"fdsup://Directions/FactSet Auditing Viewer?action=AUDIT_VALUE&amp;DB=129&amp;ID1=73927610&amp;VALUEID=02001&amp;SDATE=201004&amp;PERIODTYPE=QTR_STD&amp;SCFT=3&amp;window=popup_no_bar&amp;width=385&amp;height=120&amp;START_MAXIMIZED=FALSE&amp;creator=factset&amp;display_string=Audit"}</definedName>
    <definedName name="_1920__FDSAUDITLINK__" hidden="1">{"fdsup://Directions/FactSet Auditing Viewer?action=AUDIT_VALUE&amp;DB=129&amp;ID1=82705710&amp;VALUEID=02001&amp;SDATE=200701&amp;PERIODTYPE=QTR_STD&amp;SCFT=3&amp;window=popup_no_bar&amp;width=385&amp;height=120&amp;START_MAXIMIZED=FALSE&amp;creator=factset&amp;display_string=Audit"}</definedName>
    <definedName name="_1921__FDSAUDITLINK__" hidden="1">{"fdsup://Directions/FactSet Auditing Viewer?action=AUDIT_VALUE&amp;DB=129&amp;ID1=83547010&amp;VALUEID=02001&amp;SDATE=200701&amp;PERIODTYPE=QTR_STD&amp;SCFT=3&amp;window=popup_no_bar&amp;width=385&amp;height=120&amp;START_MAXIMIZED=FALSE&amp;creator=factset&amp;display_string=Audit"}</definedName>
    <definedName name="_1922__FDSAUDITLINK__" hidden="1">{"fdsup://Directions/FactSet Auditing Viewer?action=AUDIT_VALUE&amp;DB=129&amp;ID1=83547010&amp;VALUEID=02001&amp;SDATE=200701&amp;PERIODTYPE=QTR_STD&amp;SCFT=3&amp;window=popup_no_bar&amp;width=385&amp;height=120&amp;START_MAXIMIZED=FALSE&amp;creator=factset&amp;display_string=Audit"}</definedName>
    <definedName name="_1923__FDSAUDITLINK__" hidden="1">{"fdsup://Directions/FactSet Auditing Viewer?action=AUDIT_VALUE&amp;DB=129&amp;ID1=87160710&amp;VALUEID=02001&amp;SDATE=200702&amp;PERIODTYPE=QTR_STD&amp;SCFT=3&amp;window=popup_no_bar&amp;width=385&amp;height=120&amp;START_MAXIMIZED=FALSE&amp;creator=factset&amp;display_string=Audit"}</definedName>
    <definedName name="_1924__FDSAUDITLINK__" hidden="1">{"fdsup://Directions/FactSet Auditing Viewer?action=AUDIT_VALUE&amp;DB=129&amp;ID1=87160710&amp;VALUEID=02001&amp;SDATE=200702&amp;PERIODTYPE=QTR_STD&amp;SCFT=3&amp;window=popup_no_bar&amp;width=385&amp;height=120&amp;START_MAXIMIZED=FALSE&amp;creator=factset&amp;display_string=Audit"}</definedName>
    <definedName name="_1925__FDSAUDITLINK__" hidden="1">{"fdsup://Directions/FactSet Auditing Viewer?action=AUDIT_VALUE&amp;DB=129&amp;ID1=80004C10&amp;VALUEID=02001&amp;SDATE=200701&amp;PERIODTYPE=QTR_STD&amp;SCFT=3&amp;window=popup_no_bar&amp;width=385&amp;height=120&amp;START_MAXIMIZED=FALSE&amp;creator=factset&amp;display_string=Audit"}</definedName>
    <definedName name="_1926__FDSAUDITLINK__" hidden="1">{"fdsup://Directions/FactSet Auditing Viewer?action=AUDIT_VALUE&amp;DB=129&amp;ID1=80004C10&amp;VALUEID=02001&amp;SDATE=200701&amp;PERIODTYPE=QTR_STD&amp;SCFT=3&amp;window=popup_no_bar&amp;width=385&amp;height=120&amp;START_MAXIMIZED=FALSE&amp;creator=factset&amp;display_string=Audit"}</definedName>
    <definedName name="_1927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1928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1929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193__FDSAUDITLINK__" hidden="1">{"fdsup://Directions/FactSet Auditing Viewer?action=AUDIT_VALUE&amp;DB=129&amp;ID1=69344F10&amp;VALUEID=02001&amp;SDATE=201004&amp;PERIODTYPE=QTR_STD&amp;SCFT=3&amp;window=popup_no_bar&amp;width=385&amp;height=120&amp;START_MAXIMIZED=FALSE&amp;creator=factset&amp;display_string=Audit"}</definedName>
    <definedName name="_1930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1931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1932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1933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1934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1935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1936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1937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1938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1939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194__FDSAUDITLINK__" hidden="1">{"fdsup://Directions/FactSet Auditing Viewer?action=AUDIT_VALUE&amp;DB=129&amp;ID1=69344F10&amp;VALUEID=02001&amp;SDATE=201004&amp;PERIODTYPE=QTR_STD&amp;SCFT=3&amp;window=popup_no_bar&amp;width=385&amp;height=120&amp;START_MAXIMIZED=FALSE&amp;creator=factset&amp;display_string=Audit"}</definedName>
    <definedName name="_1940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1941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1942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1943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1944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1945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1946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1947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1948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1949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195__FDSAUDITLINK__" hidden="1">{"fdsup://Directions/FactSet Auditing Viewer?action=AUDIT_VALUE&amp;DB=129&amp;ID1=69341710&amp;VALUEID=02001&amp;SDATE=201004&amp;PERIODTYPE=QTR_STD&amp;SCFT=3&amp;window=popup_no_bar&amp;width=385&amp;height=120&amp;START_MAXIMIZED=FALSE&amp;creator=factset&amp;display_string=Audit"}</definedName>
    <definedName name="_1950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1951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1952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1953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1954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1955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1956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1957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1958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1959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196__FDSAUDITLINK__" hidden="1">{"fdsup://Directions/FactSet Auditing Viewer?action=AUDIT_VALUE&amp;DB=129&amp;ID1=69341710&amp;VALUEID=02001&amp;SDATE=201004&amp;PERIODTYPE=QTR_STD&amp;SCFT=3&amp;window=popup_no_bar&amp;width=385&amp;height=120&amp;START_MAXIMIZED=FALSE&amp;creator=factset&amp;display_string=Audit"}</definedName>
    <definedName name="_1960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1961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1962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1963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1964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1965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1966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1967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1968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1969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197__FDSAUDITLINK__" hidden="1">{"fdsup://Directions/FactSet Auditing Viewer?action=AUDIT_VALUE&amp;DB=129&amp;ID1=68218910&amp;VALUEID=02001&amp;SDATE=201004&amp;PERIODTYPE=QTR_STD&amp;SCFT=3&amp;window=popup_no_bar&amp;width=385&amp;height=120&amp;START_MAXIMIZED=FALSE&amp;creator=factset&amp;display_string=Audit"}</definedName>
    <definedName name="_1970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1971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1972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1973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1974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1975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1976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1977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1978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1979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198__FDSAUDITLINK__" hidden="1">{"fdsup://Directions/FactSet Auditing Viewer?action=AUDIT_VALUE&amp;DB=129&amp;ID1=68218910&amp;VALUEID=02001&amp;SDATE=201004&amp;PERIODTYPE=QTR_STD&amp;SCFT=3&amp;window=popup_no_bar&amp;width=385&amp;height=120&amp;START_MAXIMIZED=FALSE&amp;creator=factset&amp;display_string=Audit"}</definedName>
    <definedName name="_1980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1981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1982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1983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1984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1985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1986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1987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1988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1989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199__FDSAUDITLINK__" hidden="1">{"fdsup://Directions/FactSet Auditing Viewer?action=AUDIT_VALUE&amp;DB=129&amp;ID1=B505PN&amp;VALUEID=02001&amp;SDATE=201004&amp;PERIODTYPE=QTR_STD&amp;SCFT=3&amp;window=popup_no_bar&amp;width=385&amp;height=120&amp;START_MAXIMIZED=FALSE&amp;creator=factset&amp;display_string=Audit"}</definedName>
    <definedName name="_1990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1991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1992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1993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1994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1995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1996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1997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1998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1999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2__FDSAUDITLINK__" hidden="1">{"fdsup://Directions/FactSet Auditing Viewer?action=AUDIT_VALUE&amp;DB=129&amp;ID1=03265410&amp;VALUEID=05194&amp;SDATE=201103&amp;PERIODTYPE=QTR_STD&amp;SCFT=3&amp;window=popup_no_bar&amp;width=385&amp;height=120&amp;START_MAXIMIZED=FALSE&amp;creator=factset&amp;display_string=Audit"}</definedName>
    <definedName name="_20__FDSAUDITLINK__" hidden="1">{"fdsup://Directions/FactSet Auditing Viewer?action=AUDIT_VALUE&amp;DB=129&amp;ID1=83088M10&amp;VALUEID=02001&amp;SDATE=201102&amp;PERIODTYPE=QTR_STD&amp;SCFT=3&amp;window=popup_no_bar&amp;width=385&amp;height=120&amp;START_MAXIMIZED=FALSE&amp;creator=factset&amp;display_string=Audit"}</definedName>
    <definedName name="_200__FDSAUDITLINK__" hidden="1">{"fdsup://Directions/FactSet Auditing Viewer?action=AUDIT_VALUE&amp;DB=129&amp;ID1=B505PN&amp;VALUEID=02001&amp;SDATE=201004&amp;PERIODTYPE=QTR_STD&amp;SCFT=3&amp;window=popup_no_bar&amp;width=385&amp;height=120&amp;START_MAXIMIZED=FALSE&amp;creator=factset&amp;display_string=Audit"}</definedName>
    <definedName name="_2000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2001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2002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2003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2004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2005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2006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2007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2008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2009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201__FDSAUDITLINK__" hidden="1">{"fdsup://Directions/FactSet Auditing Viewer?action=AUDIT_VALUE&amp;DB=129&amp;ID1=67000810&amp;VALUEID=02001&amp;SDATE=201004&amp;PERIODTYPE=QTR_STD&amp;SCFT=3&amp;window=popup_no_bar&amp;width=385&amp;height=120&amp;START_MAXIMIZED=FALSE&amp;creator=factset&amp;display_string=Audit"}</definedName>
    <definedName name="_2010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2011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2012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2013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2014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2015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2016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2017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2018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2019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202__FDSAUDITLINK__" hidden="1">{"fdsup://Directions/FactSet Auditing Viewer?action=AUDIT_VALUE&amp;DB=129&amp;ID1=67000810&amp;VALUEID=02001&amp;SDATE=201004&amp;PERIODTYPE=QTR_STD&amp;SCFT=3&amp;window=popup_no_bar&amp;width=385&amp;height=120&amp;START_MAXIMIZED=FALSE&amp;creator=factset&amp;display_string=Audit"}</definedName>
    <definedName name="_2020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2021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2022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2023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2024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2025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2026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2027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2028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2029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203__FDSAUDITLINK__" hidden="1">{"fdsup://Directions/FactSet Auditing Viewer?action=AUDIT_VALUE&amp;DB=129&amp;ID1=67066G10&amp;VALUEID=02001&amp;SDATE=201004&amp;PERIODTYPE=QTR_STD&amp;SCFT=3&amp;window=popup_no_bar&amp;width=385&amp;height=120&amp;START_MAXIMIZED=FALSE&amp;creator=factset&amp;display_string=Audit"}</definedName>
    <definedName name="_2030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2031__FDSAUDITLINK__" hidden="1">{"fdsup://Directions/FactSet Auditing Viewer?action=AUDIT_VALUE&amp;DB=129&amp;ID1=98975F10&amp;VALUEID=02001&amp;SDATE=200603&amp;PERIODTYPE=QTR_STD&amp;SCFT=3&amp;window=popup_no_bar&amp;width=385&amp;height=120&amp;START_MAXIMIZED=FALSE&amp;creator=factset&amp;display_string=Audit"}</definedName>
    <definedName name="_2032__FDSAUDITLINK__" hidden="1">{"fdsup://Directions/FactSet Auditing Viewer?action=AUDIT_VALUE&amp;DB=129&amp;ID1=98975F10&amp;VALUEID=02001&amp;SDATE=200603&amp;PERIODTYPE=QTR_STD&amp;SCFT=3&amp;window=popup_no_bar&amp;width=385&amp;height=120&amp;START_MAXIMIZED=FALSE&amp;creator=factset&amp;display_string=Audit"}</definedName>
    <definedName name="_2033__FDSAUDITLINK__" hidden="1">{"fdsup://Directions/FactSet Auditing Viewer?action=AUDIT_VALUE&amp;DB=129&amp;ID1=98391910&amp;VALUEID=02001&amp;SDATE=200602&amp;PERIODTYPE=QTR_STD&amp;SCFT=3&amp;window=popup_no_bar&amp;width=385&amp;height=120&amp;START_MAXIMIZED=FALSE&amp;creator=factset&amp;display_string=Audit"}</definedName>
    <definedName name="_2034__FDSAUDITLINK__" hidden="1">{"fdsup://Directions/FactSet Auditing Viewer?action=AUDIT_VALUE&amp;DB=129&amp;ID1=98391910&amp;VALUEID=02001&amp;SDATE=200602&amp;PERIODTYPE=QTR_STD&amp;SCFT=3&amp;window=popup_no_bar&amp;width=385&amp;height=120&amp;START_MAXIMIZED=FALSE&amp;creator=factset&amp;display_string=Audit"}</definedName>
    <definedName name="_2035__FDSAUDITLINK__" hidden="1">{"fdsup://Directions/FactSet Auditing Viewer?action=AUDIT_VALUE&amp;DB=129&amp;ID1=95810210&amp;VALUEID=02001&amp;SDATE=200701&amp;PERIODTYPE=QTR_STD&amp;SCFT=3&amp;window=popup_no_bar&amp;width=385&amp;height=120&amp;START_MAXIMIZED=FALSE&amp;creator=factset&amp;display_string=Audit"}</definedName>
    <definedName name="_2036__FDSAUDITLINK__" hidden="1">{"fdsup://Directions/FactSet Auditing Viewer?action=AUDIT_VALUE&amp;DB=129&amp;ID1=95810210&amp;VALUEID=02001&amp;SDATE=200701&amp;PERIODTYPE=QTR_STD&amp;SCFT=3&amp;window=popup_no_bar&amp;width=385&amp;height=120&amp;START_MAXIMIZED=FALSE&amp;creator=factset&amp;display_string=Audit"}</definedName>
    <definedName name="_2037__FDSAUDITLINK__" hidden="1">{"fdsup://Directions/FactSet Auditing Viewer?action=AUDIT_VALUE&amp;DB=129&amp;ID1=92829810&amp;VALUEID=02001&amp;SDATE=200603&amp;PERIODTYPE=QTR_STD&amp;SCFT=3&amp;window=popup_no_bar&amp;width=385&amp;height=120&amp;START_MAXIMIZED=FALSE&amp;creator=factset&amp;display_string=Audit"}</definedName>
    <definedName name="_2038__FDSAUDITLINK__" hidden="1">{"fdsup://Directions/FactSet Auditing Viewer?action=AUDIT_VALUE&amp;DB=129&amp;ID1=92829810&amp;VALUEID=02001&amp;SDATE=200603&amp;PERIODTYPE=QTR_STD&amp;SCFT=3&amp;window=popup_no_bar&amp;width=385&amp;height=120&amp;START_MAXIMIZED=FALSE&amp;creator=factset&amp;display_string=Audit"}</definedName>
    <definedName name="_2039__FDSAUDITLINK__" hidden="1">{"fdsup://Directions/FactSet Auditing Viewer?action=AUDIT_VALUE&amp;DB=129&amp;ID1=88250810&amp;VALUEID=02001&amp;SDATE=200603&amp;PERIODTYPE=QTR_STD&amp;SCFT=3&amp;window=popup_no_bar&amp;width=385&amp;height=120&amp;START_MAXIMIZED=FALSE&amp;creator=factset&amp;display_string=Audit"}</definedName>
    <definedName name="_204__FDSAUDITLINK__" hidden="1">{"fdsup://Directions/FactSet Auditing Viewer?action=AUDIT_VALUE&amp;DB=129&amp;ID1=67066G10&amp;VALUEID=02001&amp;SDATE=201004&amp;PERIODTYPE=QTR_STD&amp;SCFT=3&amp;window=popup_no_bar&amp;width=385&amp;height=120&amp;START_MAXIMIZED=FALSE&amp;creator=factset&amp;display_string=Audit"}</definedName>
    <definedName name="_2040__FDSAUDITLINK__" hidden="1">{"fdsup://Directions/FactSet Auditing Viewer?action=AUDIT_VALUE&amp;DB=129&amp;ID1=88250810&amp;VALUEID=02001&amp;SDATE=200603&amp;PERIODTYPE=QTR_STD&amp;SCFT=3&amp;window=popup_no_bar&amp;width=385&amp;height=120&amp;START_MAXIMIZED=FALSE&amp;creator=factset&amp;display_string=Audit"}</definedName>
    <definedName name="_2041__FDSAUDITLINK__" hidden="1">{"fdsup://Directions/FactSet Auditing Viewer?action=AUDIT_VALUE&amp;DB=129&amp;ID1=89674K10&amp;VALUEID=02001&amp;SDATE=200603&amp;PERIODTYPE=QTR_STD&amp;SCFT=3&amp;window=popup_no_bar&amp;width=385&amp;height=120&amp;START_MAXIMIZED=FALSE&amp;creator=factset&amp;display_string=Audit"}</definedName>
    <definedName name="_2042__FDSAUDITLINK__" hidden="1">{"fdsup://Directions/FactSet Auditing Viewer?action=AUDIT_VALUE&amp;DB=129&amp;ID1=89674K10&amp;VALUEID=02001&amp;SDATE=200603&amp;PERIODTYPE=QTR_STD&amp;SCFT=3&amp;window=popup_no_bar&amp;width=385&amp;height=120&amp;START_MAXIMIZED=FALSE&amp;creator=factset&amp;display_string=Audit"}</definedName>
    <definedName name="_2043__FDSAUDITLINK__" hidden="1">{"fdsup://Directions/FactSet Auditing Viewer?action=AUDIT_VALUE&amp;DB=129&amp;ID1=G7945M10&amp;VALUEID=02001&amp;SDATE=200701&amp;PERIODTYPE=QTR_STD&amp;SCFT=3&amp;window=popup_no_bar&amp;width=385&amp;height=120&amp;START_MAXIMIZED=FALSE&amp;creator=factset&amp;display_string=Audit"}</definedName>
    <definedName name="_2044__FDSAUDITLINK__" hidden="1">{"fdsup://Directions/FactSet Auditing Viewer?action=AUDIT_VALUE&amp;DB=129&amp;ID1=G7945M10&amp;VALUEID=02001&amp;SDATE=200701&amp;PERIODTYPE=QTR_STD&amp;SCFT=3&amp;window=popup_no_bar&amp;width=385&amp;height=120&amp;START_MAXIMIZED=FALSE&amp;creator=factset&amp;display_string=Audit"}</definedName>
    <definedName name="_2045__FDSAUDITLINK__" hidden="1">{"fdsup://Directions/FactSet Auditing Viewer?action=AUDIT_VALUE&amp;DB=129&amp;ID1=78477410&amp;VALUEID=02001&amp;SDATE=200603&amp;PERIODTYPE=QTR_STD&amp;SCFT=3&amp;window=popup_no_bar&amp;width=385&amp;height=120&amp;START_MAXIMIZED=FALSE&amp;creator=factset&amp;display_string=Audit"}</definedName>
    <definedName name="_2046__FDSAUDITLINK__" hidden="1">{"fdsup://Directions/FactSet Auditing Viewer?action=AUDIT_VALUE&amp;DB=129&amp;ID1=78477410&amp;VALUEID=02001&amp;SDATE=200603&amp;PERIODTYPE=QTR_STD&amp;SCFT=3&amp;window=popup_no_bar&amp;width=385&amp;height=120&amp;START_MAXIMIZED=FALSE&amp;creator=factset&amp;display_string=Audit"}</definedName>
    <definedName name="_2047__FDSAUDITLINK__" hidden="1">{"fdsup://Directions/FactSet Auditing Viewer?action=AUDIT_VALUE&amp;DB=129&amp;ID1=82705710&amp;VALUEID=02001&amp;SDATE=200603&amp;PERIODTYPE=QTR_STD&amp;SCFT=3&amp;window=popup_no_bar&amp;width=385&amp;height=120&amp;START_MAXIMIZED=FALSE&amp;creator=factset&amp;display_string=Audit"}</definedName>
    <definedName name="_2048__FDSAUDITLINK__" hidden="1">{"fdsup://Directions/FactSet Auditing Viewer?action=AUDIT_VALUE&amp;DB=129&amp;ID1=82705710&amp;VALUEID=02001&amp;SDATE=200603&amp;PERIODTYPE=QTR_STD&amp;SCFT=3&amp;window=popup_no_bar&amp;width=385&amp;height=120&amp;START_MAXIMIZED=FALSE&amp;creator=factset&amp;display_string=Audit"}</definedName>
    <definedName name="_2049__FDSAUDITLINK__" hidden="1">{"fdsup://Directions/FactSet Auditing Viewer?action=AUDIT_VALUE&amp;DB=129&amp;ID1=80004C10&amp;VALUEID=02001&amp;SDATE=200603&amp;PERIODTYPE=QTR_STD&amp;SCFT=3&amp;window=popup_no_bar&amp;width=385&amp;height=120&amp;START_MAXIMIZED=FALSE&amp;creator=factset&amp;display_string=Audit"}</definedName>
    <definedName name="_205__FDSAUDITLINK__" hidden="1">{"fdsup://Directions/FactSet Auditing Viewer?action=AUDIT_VALUE&amp;DB=129&amp;ID1=63764010&amp;VALUEID=02001&amp;SDATE=201002&amp;PERIODTYPE=QTR_STD&amp;SCFT=3&amp;window=popup_no_bar&amp;width=385&amp;height=120&amp;START_MAXIMIZED=FALSE&amp;creator=factset&amp;display_string=Audit"}</definedName>
    <definedName name="_2050__FDSAUDITLINK__" hidden="1">{"fdsup://Directions/FactSet Auditing Viewer?action=AUDIT_VALUE&amp;DB=129&amp;ID1=80004C10&amp;VALUEID=02001&amp;SDATE=200603&amp;PERIODTYPE=QTR_STD&amp;SCFT=3&amp;window=popup_no_bar&amp;width=385&amp;height=120&amp;START_MAXIMIZED=FALSE&amp;creator=factset&amp;display_string=Audit"}</definedName>
    <definedName name="_2051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2052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2053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2054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2055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2056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2057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2058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2059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206__FDSAUDITLINK__" hidden="1">{"fdsup://Directions/FactSet Auditing Viewer?action=AUDIT_VALUE&amp;DB=129&amp;ID1=63764010&amp;VALUEID=02001&amp;SDATE=201002&amp;PERIODTYPE=QTR_STD&amp;SCFT=3&amp;window=popup_no_bar&amp;width=385&amp;height=120&amp;START_MAXIMIZED=FALSE&amp;creator=factset&amp;display_string=Audit"}</definedName>
    <definedName name="_2060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2061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2062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2063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2064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2065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2066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2067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2068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2069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207__FDSAUDITLINK__" hidden="1">{"fdsup://Directions/FactSet Auditing Viewer?action=AUDIT_VALUE&amp;DB=129&amp;ID1=64118B10&amp;VALUEID=02001&amp;SDATE=201004&amp;PERIODTYPE=QTR_STD&amp;SCFT=3&amp;window=popup_no_bar&amp;width=385&amp;height=120&amp;START_MAXIMIZED=FALSE&amp;creator=factset&amp;display_string=Audit"}</definedName>
    <definedName name="_2070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2071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2072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2073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2074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2075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2076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2077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2078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2079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208__FDSAUDITLINK__" hidden="1">{"fdsup://Directions/FactSet Auditing Viewer?action=AUDIT_VALUE&amp;DB=129&amp;ID1=64118B10&amp;VALUEID=02001&amp;SDATE=201004&amp;PERIODTYPE=QTR_STD&amp;SCFT=3&amp;window=popup_no_bar&amp;width=385&amp;height=120&amp;START_MAXIMIZED=FALSE&amp;creator=factset&amp;display_string=Audit"}</definedName>
    <definedName name="_2080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2081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2082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2083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2084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2085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2086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2087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2088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2089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209__FDSAUDITLINK__" hidden="1">{"fdsup://Directions/FactSet Auditing Viewer?action=AUDIT_VALUE&amp;DB=129&amp;ID1=57772K10&amp;VALUEID=02001&amp;SDATE=201102&amp;PERIODTYPE=QTR_STD&amp;SCFT=3&amp;window=popup_no_bar&amp;width=385&amp;height=120&amp;START_MAXIMIZED=FALSE&amp;creator=factset&amp;display_string=Audit"}</definedName>
    <definedName name="_2090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2091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2092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2093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2094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2095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2096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2097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2098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2099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21__FDSAUDITLINK__" hidden="1">{"fdsup://Directions/FactSet Auditing Viewer?action=AUDIT_VALUE&amp;DB=129&amp;ID1=G7945M10&amp;VALUEID=02001&amp;SDATE=201103&amp;PERIODTYPE=QTR_STD&amp;SCFT=3&amp;window=popup_no_bar&amp;width=385&amp;height=120&amp;START_MAXIMIZED=FALSE&amp;creator=factset&amp;display_string=Audit"}</definedName>
    <definedName name="_210__FDSAUDITLINK__" hidden="1">{"fdsup://Directions/FactSet Auditing Viewer?action=AUDIT_VALUE&amp;DB=129&amp;ID1=57772K10&amp;VALUEID=02001&amp;SDATE=201102&amp;PERIODTYPE=QTR_STD&amp;SCFT=3&amp;window=popup_no_bar&amp;width=385&amp;height=120&amp;START_MAXIMIZED=FALSE&amp;creator=factset&amp;display_string=Audit"}</definedName>
    <definedName name="_2100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2101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2102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2103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2104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2105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2106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2107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2108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2109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211__FDSAUDITLINK__" hidden="1">{"fdsup://Directions/FactSet Auditing Viewer?action=AUDIT_VALUE&amp;DB=129&amp;ID1=59511210&amp;VALUEID=02001&amp;SDATE=201101&amp;PERIODTYPE=QTR_STD&amp;SCFT=3&amp;window=popup_no_bar&amp;width=385&amp;height=120&amp;START_MAXIMIZED=FALSE&amp;creator=factset&amp;display_string=Audit"}</definedName>
    <definedName name="_2110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2111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2112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2113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2114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2115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2116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2117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2118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2119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212__FDSAUDITLINK__" hidden="1">{"fdsup://Directions/FactSet Auditing Viewer?action=AUDIT_VALUE&amp;DB=129&amp;ID1=59511210&amp;VALUEID=02001&amp;SDATE=201101&amp;PERIODTYPE=QTR_STD&amp;SCFT=3&amp;window=popup_no_bar&amp;width=385&amp;height=120&amp;START_MAXIMIZED=FALSE&amp;creator=factset&amp;display_string=Audit"}</definedName>
    <definedName name="_2120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2121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2122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2123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2124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2125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2126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2127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2128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2129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213__FDSAUDITLINK__" hidden="1">{"fdsup://Directions/FactSet Auditing Viewer?action=AUDIT_VALUE&amp;DB=129&amp;ID1=59513710&amp;VALUEID=02001&amp;SDATE=201101&amp;PERIODTYPE=QTR_STD&amp;SCFT=3&amp;window=popup_no_bar&amp;width=385&amp;height=120&amp;START_MAXIMIZED=FALSE&amp;creator=factset&amp;display_string=Audit"}</definedName>
    <definedName name="_2130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2131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2132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2133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2134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2135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2136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2137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2138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2139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214__FDSAUDITLINK__" hidden="1">{"fdsup://Directions/FactSet Auditing Viewer?action=AUDIT_VALUE&amp;DB=129&amp;ID1=59513710&amp;VALUEID=02001&amp;SDATE=201101&amp;PERIODTYPE=QTR_STD&amp;SCFT=3&amp;window=popup_no_bar&amp;width=385&amp;height=120&amp;START_MAXIMIZED=FALSE&amp;creator=factset&amp;display_string=Audit"}</definedName>
    <definedName name="_2140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2141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2142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2143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2144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2145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2146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2147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2148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2149__FDSAUDITLINK__" hidden="1">{"fdsup://Directions/FactSet Auditing Viewer?action=AUDIT_VALUE&amp;DB=129&amp;ID1=98975F10&amp;VALUEID=02001&amp;SDATE=200602&amp;PERIODTYPE=QTR_STD&amp;SCFT=3&amp;window=popup_no_bar&amp;width=385&amp;height=120&amp;START_MAXIMIZED=FALSE&amp;creator=factset&amp;display_string=Audit"}</definedName>
    <definedName name="_215__FDSAUDITLINK__" hidden="1">{"fdsup://Directions/FactSet Auditing Viewer?action=AUDIT_VALUE&amp;DB=129&amp;ID1=G5876H10&amp;VALUEID=02001&amp;SDATE=201004&amp;PERIODTYPE=QTR_STD&amp;SCFT=3&amp;window=popup_no_bar&amp;width=385&amp;height=120&amp;START_MAXIMIZED=FALSE&amp;creator=factset&amp;display_string=Audit"}</definedName>
    <definedName name="_2150__FDSAUDITLINK__" hidden="1">{"fdsup://Directions/FactSet Auditing Viewer?action=AUDIT_VALUE&amp;DB=129&amp;ID1=98975F10&amp;VALUEID=02001&amp;SDATE=200602&amp;PERIODTYPE=QTR_STD&amp;SCFT=3&amp;window=popup_no_bar&amp;width=385&amp;height=120&amp;START_MAXIMIZED=FALSE&amp;creator=factset&amp;display_string=Audit"}</definedName>
    <definedName name="_2151__FDSAUDITLINK__" hidden="1">{"fdsup://Directions/FactSet Auditing Viewer?action=AUDIT_VALUE&amp;DB=129&amp;ID1=98391910&amp;VALUEID=02001&amp;SDATE=200601&amp;PERIODTYPE=QTR_STD&amp;SCFT=3&amp;window=popup_no_bar&amp;width=385&amp;height=120&amp;START_MAXIMIZED=FALSE&amp;creator=factset&amp;display_string=Audit"}</definedName>
    <definedName name="_2152__FDSAUDITLINK__" hidden="1">{"fdsup://Directions/FactSet Auditing Viewer?action=AUDIT_VALUE&amp;DB=129&amp;ID1=98391910&amp;VALUEID=02001&amp;SDATE=200601&amp;PERIODTYPE=QTR_STD&amp;SCFT=3&amp;window=popup_no_bar&amp;width=385&amp;height=120&amp;START_MAXIMIZED=FALSE&amp;creator=factset&amp;display_string=Audit"}</definedName>
    <definedName name="_2153__FDSAUDITLINK__" hidden="1">{"fdsup://Directions/FactSet Auditing Viewer?action=AUDIT_VALUE&amp;DB=129&amp;ID1=92829810&amp;VALUEID=02001&amp;SDATE=200602&amp;PERIODTYPE=QTR_STD&amp;SCFT=3&amp;window=popup_no_bar&amp;width=385&amp;height=120&amp;START_MAXIMIZED=FALSE&amp;creator=factset&amp;display_string=Audit"}</definedName>
    <definedName name="_2154__FDSAUDITLINK__" hidden="1">{"fdsup://Directions/FactSet Auditing Viewer?action=AUDIT_VALUE&amp;DB=129&amp;ID1=92829810&amp;VALUEID=02001&amp;SDATE=200602&amp;PERIODTYPE=QTR_STD&amp;SCFT=3&amp;window=popup_no_bar&amp;width=385&amp;height=120&amp;START_MAXIMIZED=FALSE&amp;creator=factset&amp;display_string=Audit"}</definedName>
    <definedName name="_2155__FDSAUDITLINK__" hidden="1">{"fdsup://Directions/FactSet Auditing Viewer?action=AUDIT_VALUE&amp;DB=129&amp;ID1=88250810&amp;VALUEID=02001&amp;SDATE=200602&amp;PERIODTYPE=QTR_STD&amp;SCFT=3&amp;window=popup_no_bar&amp;width=385&amp;height=120&amp;START_MAXIMIZED=FALSE&amp;creator=factset&amp;display_string=Audit"}</definedName>
    <definedName name="_2156__FDSAUDITLINK__" hidden="1">{"fdsup://Directions/FactSet Auditing Viewer?action=AUDIT_VALUE&amp;DB=129&amp;ID1=88250810&amp;VALUEID=02001&amp;SDATE=200602&amp;PERIODTYPE=QTR_STD&amp;SCFT=3&amp;window=popup_no_bar&amp;width=385&amp;height=120&amp;START_MAXIMIZED=FALSE&amp;creator=factset&amp;display_string=Audit"}</definedName>
    <definedName name="_2157__FDSAUDITLINK__" hidden="1">{"fdsup://Directions/FactSet Auditing Viewer?action=AUDIT_VALUE&amp;DB=129&amp;ID1=89674K10&amp;VALUEID=02001&amp;SDATE=200602&amp;PERIODTYPE=QTR_STD&amp;SCFT=3&amp;window=popup_no_bar&amp;width=385&amp;height=120&amp;START_MAXIMIZED=FALSE&amp;creator=factset&amp;display_string=Audit"}</definedName>
    <definedName name="_2158__FDSAUDITLINK__" hidden="1">{"fdsup://Directions/FactSet Auditing Viewer?action=AUDIT_VALUE&amp;DB=129&amp;ID1=89674K10&amp;VALUEID=02001&amp;SDATE=200602&amp;PERIODTYPE=QTR_STD&amp;SCFT=3&amp;window=popup_no_bar&amp;width=385&amp;height=120&amp;START_MAXIMIZED=FALSE&amp;creator=factset&amp;display_string=Audit"}</definedName>
    <definedName name="_2159__FDSAUDITLINK__" hidden="1">{"fdsup://Directions/FactSet Auditing Viewer?action=AUDIT_VALUE&amp;DB=129&amp;ID1=83088M10&amp;VALUEID=02001&amp;SDATE=200603&amp;PERIODTYPE=QTR_STD&amp;SCFT=3&amp;window=popup_no_bar&amp;width=385&amp;height=120&amp;START_MAXIMIZED=FALSE&amp;creator=factset&amp;display_string=Audit"}</definedName>
    <definedName name="_216__FDSAUDITLINK__" hidden="1">{"fdsup://Directions/FactSet Auditing Viewer?action=AUDIT_VALUE&amp;DB=129&amp;ID1=G5876H10&amp;VALUEID=02001&amp;SDATE=201004&amp;PERIODTYPE=QTR_STD&amp;SCFT=3&amp;window=popup_no_bar&amp;width=385&amp;height=120&amp;START_MAXIMIZED=FALSE&amp;creator=factset&amp;display_string=Audit"}</definedName>
    <definedName name="_2160__FDSAUDITLINK__" hidden="1">{"fdsup://Directions/FactSet Auditing Viewer?action=AUDIT_VALUE&amp;DB=129&amp;ID1=83088M10&amp;VALUEID=02001&amp;SDATE=200603&amp;PERIODTYPE=QTR_STD&amp;SCFT=3&amp;window=popup_no_bar&amp;width=385&amp;height=120&amp;START_MAXIMIZED=FALSE&amp;creator=factset&amp;display_string=Audit"}</definedName>
    <definedName name="_2161__FDSAUDITLINK__" hidden="1">{"fdsup://Directions/FactSet Auditing Viewer?action=AUDIT_VALUE&amp;DB=129&amp;ID1=78477410&amp;VALUEID=02001&amp;SDATE=200602&amp;PERIODTYPE=QTR_STD&amp;SCFT=3&amp;window=popup_no_bar&amp;width=385&amp;height=120&amp;START_MAXIMIZED=FALSE&amp;creator=factset&amp;display_string=Audit"}</definedName>
    <definedName name="_2162__FDSAUDITLINK__" hidden="1">{"fdsup://Directions/FactSet Auditing Viewer?action=AUDIT_VALUE&amp;DB=129&amp;ID1=78477410&amp;VALUEID=02001&amp;SDATE=200602&amp;PERIODTYPE=QTR_STD&amp;SCFT=3&amp;window=popup_no_bar&amp;width=385&amp;height=120&amp;START_MAXIMIZED=FALSE&amp;creator=factset&amp;display_string=Audit"}</definedName>
    <definedName name="_2163__FDSAUDITLINK__" hidden="1">{"fdsup://Directions/FactSet Auditing Viewer?action=AUDIT_VALUE&amp;DB=129&amp;ID1=82705710&amp;VALUEID=02001&amp;SDATE=200602&amp;PERIODTYPE=QTR_STD&amp;SCFT=3&amp;window=popup_no_bar&amp;width=385&amp;height=120&amp;START_MAXIMIZED=FALSE&amp;creator=factset&amp;display_string=Audit"}</definedName>
    <definedName name="_2164__FDSAUDITLINK__" hidden="1">{"fdsup://Directions/FactSet Auditing Viewer?action=AUDIT_VALUE&amp;DB=129&amp;ID1=82705710&amp;VALUEID=02001&amp;SDATE=200602&amp;PERIODTYPE=QTR_STD&amp;SCFT=3&amp;window=popup_no_bar&amp;width=385&amp;height=120&amp;START_MAXIMIZED=FALSE&amp;creator=factset&amp;display_string=Audit"}</definedName>
    <definedName name="_2165__FDSAUDITLINK__" hidden="1">{"fdsup://Directions/FactSet Auditing Viewer?action=AUDIT_VALUE&amp;DB=129&amp;ID1=83547010&amp;VALUEID=02001&amp;SDATE=200602&amp;PERIODTYPE=QTR_STD&amp;SCFT=3&amp;window=popup_no_bar&amp;width=385&amp;height=120&amp;START_MAXIMIZED=FALSE&amp;creator=factset&amp;display_string=Audit"}</definedName>
    <definedName name="_2166__FDSAUDITLINK__" hidden="1">{"fdsup://Directions/FactSet Auditing Viewer?action=AUDIT_VALUE&amp;DB=129&amp;ID1=83547010&amp;VALUEID=02001&amp;SDATE=200602&amp;PERIODTYPE=QTR_STD&amp;SCFT=3&amp;window=popup_no_bar&amp;width=385&amp;height=120&amp;START_MAXIMIZED=FALSE&amp;creator=factset&amp;display_string=Audit"}</definedName>
    <definedName name="_2167__FDSAUDITLINK__" hidden="1">{"fdsup://Directions/FactSet Auditing Viewer?action=AUDIT_VALUE&amp;DB=129&amp;ID1=87160710&amp;VALUEID=02001&amp;SDATE=200603&amp;PERIODTYPE=QTR_STD&amp;SCFT=3&amp;window=popup_no_bar&amp;width=385&amp;height=120&amp;START_MAXIMIZED=FALSE&amp;creator=factset&amp;display_string=Audit"}</definedName>
    <definedName name="_2168__FDSAUDITLINK__" hidden="1">{"fdsup://Directions/FactSet Auditing Viewer?action=AUDIT_VALUE&amp;DB=129&amp;ID1=87160710&amp;VALUEID=02001&amp;SDATE=200603&amp;PERIODTYPE=QTR_STD&amp;SCFT=3&amp;window=popup_no_bar&amp;width=385&amp;height=120&amp;START_MAXIMIZED=FALSE&amp;creator=factset&amp;display_string=Audit"}</definedName>
    <definedName name="_2169__FDSAUDITLINK__" hidden="1">{"fdsup://Directions/FactSet Auditing Viewer?action=AUDIT_VALUE&amp;DB=129&amp;ID1=80004C10&amp;VALUEID=02001&amp;SDATE=200602&amp;PERIODTYPE=QTR_STD&amp;SCFT=3&amp;window=popup_no_bar&amp;width=385&amp;height=120&amp;START_MAXIMIZED=FALSE&amp;creator=factset&amp;display_string=Audit"}</definedName>
    <definedName name="_217__FDSAUDITLINK__" hidden="1">{"fdsup://Directions/FactSet Auditing Viewer?action=AUDIT_VALUE&amp;DB=129&amp;ID1=62007630&amp;VALUEID=02001&amp;SDATE=201004&amp;PERIODTYPE=QTR_STD&amp;SCFT=3&amp;window=popup_no_bar&amp;width=385&amp;height=120&amp;START_MAXIMIZED=FALSE&amp;creator=factset&amp;display_string=Audit"}</definedName>
    <definedName name="_2170__FDSAUDITLINK__" hidden="1">{"fdsup://Directions/FactSet Auditing Viewer?action=AUDIT_VALUE&amp;DB=129&amp;ID1=80004C10&amp;VALUEID=02001&amp;SDATE=200602&amp;PERIODTYPE=QTR_STD&amp;SCFT=3&amp;window=popup_no_bar&amp;width=385&amp;height=120&amp;START_MAXIMIZED=FALSE&amp;creator=factset&amp;display_string=Audit"}</definedName>
    <definedName name="_2171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2172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2173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2174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2175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2176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2177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2178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2179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218__FDSAUDITLINK__" hidden="1">{"fdsup://Directions/FactSet Auditing Viewer?action=AUDIT_VALUE&amp;DB=129&amp;ID1=62007630&amp;VALUEID=02001&amp;SDATE=201004&amp;PERIODTYPE=QTR_STD&amp;SCFT=3&amp;window=popup_no_bar&amp;width=385&amp;height=120&amp;START_MAXIMIZED=FALSE&amp;creator=factset&amp;display_string=Audit"}</definedName>
    <definedName name="_2180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2181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2182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2183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2184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2185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2186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2187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2188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2189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219__FDSAUDITLINK__" hidden="1">{"fdsup://Directions/FactSet Auditing Viewer?action=AUDIT_VALUE&amp;DB=129&amp;ID1=60456710&amp;VALUEID=02001&amp;SDATE=201102&amp;PERIODTYPE=QTR_STD&amp;SCFT=3&amp;window=popup_no_bar&amp;width=385&amp;height=120&amp;START_MAXIMIZED=FALSE&amp;creator=factset&amp;display_string=Audit"}</definedName>
    <definedName name="_2190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2191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2192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2193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2194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2195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2196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2197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2198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2199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22__FDSAUDITLINK__" hidden="1">{"fdsup://Directions/FactSet Auditing Viewer?action=AUDIT_VALUE&amp;DB=129&amp;ID1=G7945M10&amp;VALUEID=02001&amp;SDATE=201103&amp;PERIODTYPE=QTR_STD&amp;SCFT=3&amp;window=popup_no_bar&amp;width=385&amp;height=120&amp;START_MAXIMIZED=FALSE&amp;creator=factset&amp;display_string=Audit"}</definedName>
    <definedName name="_220__FDSAUDITLINK__" hidden="1">{"fdsup://Directions/FactSet Auditing Viewer?action=AUDIT_VALUE&amp;DB=129&amp;ID1=60456710&amp;VALUEID=02001&amp;SDATE=201102&amp;PERIODTYPE=QTR_STD&amp;SCFT=3&amp;window=popup_no_bar&amp;width=385&amp;height=120&amp;START_MAXIMIZED=FALSE&amp;creator=factset&amp;display_string=Audit"}</definedName>
    <definedName name="_2200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2201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2202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2203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2204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2205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2206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2207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2208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2209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221__FDSAUDITLINK__" hidden="1">{"fdsup://Directions/FactSet Auditing Viewer?action=AUDIT_VALUE&amp;DB=129&amp;ID1=59479310&amp;VALUEID=02001&amp;SDATE=201004&amp;PERIODTYPE=QTR_STD&amp;SCFT=3&amp;window=popup_no_bar&amp;width=385&amp;height=120&amp;START_MAXIMIZED=FALSE&amp;creator=factset&amp;display_string=Audit"}</definedName>
    <definedName name="_2210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2211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2212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2213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2214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2215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2216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2217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2218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2219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222__FDSAUDITLINK__" hidden="1">{"fdsup://Directions/FactSet Auditing Viewer?action=AUDIT_VALUE&amp;DB=129&amp;ID1=59479310&amp;VALUEID=02001&amp;SDATE=201004&amp;PERIODTYPE=QTR_STD&amp;SCFT=3&amp;window=popup_no_bar&amp;width=385&amp;height=120&amp;START_MAXIMIZED=FALSE&amp;creator=factset&amp;display_string=Audit"}</definedName>
    <definedName name="_2220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2221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2222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2223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2224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2225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2226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2227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2228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2229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223__FDSAUDITLINK__" hidden="1">{"fdsup://Directions/FactSet Auditing Viewer?action=AUDIT_VALUE&amp;DB=129&amp;ID1=59501710&amp;VALUEID=02001&amp;SDATE=201003&amp;PERIODTYPE=QTR_STD&amp;SCFT=3&amp;window=popup_no_bar&amp;width=385&amp;height=120&amp;START_MAXIMIZED=FALSE&amp;creator=factset&amp;display_string=Audit"}</definedName>
    <definedName name="_2230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2231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2232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2233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2234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2235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2236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2237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2238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2239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224__FDSAUDITLINK__" hidden="1">{"fdsup://Directions/FactSet Auditing Viewer?action=AUDIT_VALUE&amp;DB=129&amp;ID1=59501710&amp;VALUEID=02001&amp;SDATE=201003&amp;PERIODTYPE=QTR_STD&amp;SCFT=3&amp;window=popup_no_bar&amp;width=385&amp;height=120&amp;START_MAXIMIZED=FALSE&amp;creator=factset&amp;display_string=Audit"}</definedName>
    <definedName name="_2240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2241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2242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2243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2244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2245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2246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2247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2248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2249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225__FDSAUDITLINK__" hidden="1">{"fdsup://Directions/FactSet Auditing Viewer?action=AUDIT_VALUE&amp;DB=129&amp;ID1=50216110&amp;VALUEID=02001&amp;SDATE=201004&amp;PERIODTYPE=QTR_STD&amp;SCFT=3&amp;window=popup_no_bar&amp;width=385&amp;height=120&amp;START_MAXIMIZED=FALSE&amp;creator=factset&amp;display_string=Audit"}</definedName>
    <definedName name="_2250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2251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2252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2253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2254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2255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2256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2257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2258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2259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226__FDSAUDITLINK__" hidden="1">{"fdsup://Directions/FactSet Auditing Viewer?action=AUDIT_VALUE&amp;DB=129&amp;ID1=50216110&amp;VALUEID=02001&amp;SDATE=201004&amp;PERIODTYPE=QTR_STD&amp;SCFT=3&amp;window=popup_no_bar&amp;width=385&amp;height=120&amp;START_MAXIMIZED=FALSE&amp;creator=factset&amp;display_string=Audit"}</definedName>
    <definedName name="_2260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2261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2262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2263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2264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2265__FDSAUDITLINK__" hidden="1">{"fdsup://Directions/FactSet Auditing Viewer?action=AUDIT_VALUE&amp;DB=129&amp;ID1=98975F10&amp;VALUEID=02001&amp;SDATE=200601&amp;PERIODTYPE=QTR_STD&amp;SCFT=3&amp;window=popup_no_bar&amp;width=385&amp;height=120&amp;START_MAXIMIZED=FALSE&amp;creator=factset&amp;display_string=Audit"}</definedName>
    <definedName name="_2266__FDSAUDITLINK__" hidden="1">{"fdsup://Directions/FactSet Auditing Viewer?action=AUDIT_VALUE&amp;DB=129&amp;ID1=98975F10&amp;VALUEID=02001&amp;SDATE=200601&amp;PERIODTYPE=QTR_STD&amp;SCFT=3&amp;window=popup_no_bar&amp;width=385&amp;height=120&amp;START_MAXIMIZED=FALSE&amp;creator=factset&amp;display_string=Audit"}</definedName>
    <definedName name="_2267__FDSAUDITLINK__" hidden="1">{"fdsup://Directions/FactSet Auditing Viewer?action=AUDIT_VALUE&amp;DB=129&amp;ID1=95810210&amp;VALUEID=02001&amp;SDATE=200603&amp;PERIODTYPE=QTR_STD&amp;SCFT=3&amp;window=popup_no_bar&amp;width=385&amp;height=120&amp;START_MAXIMIZED=FALSE&amp;creator=factset&amp;display_string=Audit"}</definedName>
    <definedName name="_2268__FDSAUDITLINK__" hidden="1">{"fdsup://Directions/FactSet Auditing Viewer?action=AUDIT_VALUE&amp;DB=129&amp;ID1=95810210&amp;VALUEID=02001&amp;SDATE=200603&amp;PERIODTYPE=QTR_STD&amp;SCFT=3&amp;window=popup_no_bar&amp;width=385&amp;height=120&amp;START_MAXIMIZED=FALSE&amp;creator=factset&amp;display_string=Audit"}</definedName>
    <definedName name="_2269__FDSAUDITLINK__" hidden="1">{"fdsup://Directions/FactSet Auditing Viewer?action=AUDIT_VALUE&amp;DB=129&amp;ID1=92829810&amp;VALUEID=02001&amp;SDATE=200601&amp;PERIODTYPE=QTR_STD&amp;SCFT=3&amp;window=popup_no_bar&amp;width=385&amp;height=120&amp;START_MAXIMIZED=FALSE&amp;creator=factset&amp;display_string=Audit"}</definedName>
    <definedName name="_227__FDSAUDITLINK__" hidden="1">{"fdsup://Directions/FactSet Auditing Viewer?action=AUDIT_VALUE&amp;DB=129&amp;ID1=51841510&amp;VALUEID=02001&amp;SDATE=201004&amp;PERIODTYPE=QTR_STD&amp;SCFT=3&amp;window=popup_no_bar&amp;width=385&amp;height=120&amp;START_MAXIMIZED=FALSE&amp;creator=factset&amp;display_string=Audit"}</definedName>
    <definedName name="_2270__FDSAUDITLINK__" hidden="1">{"fdsup://Directions/FactSet Auditing Viewer?action=AUDIT_VALUE&amp;DB=129&amp;ID1=92829810&amp;VALUEID=02001&amp;SDATE=200601&amp;PERIODTYPE=QTR_STD&amp;SCFT=3&amp;window=popup_no_bar&amp;width=385&amp;height=120&amp;START_MAXIMIZED=FALSE&amp;creator=factset&amp;display_string=Audit"}</definedName>
    <definedName name="_2271__FDSAUDITLINK__" hidden="1">{"fdsup://Directions/FactSet Auditing Viewer?action=AUDIT_VALUE&amp;DB=129&amp;ID1=88250810&amp;VALUEID=02001&amp;SDATE=200601&amp;PERIODTYPE=QTR_STD&amp;SCFT=3&amp;window=popup_no_bar&amp;width=385&amp;height=120&amp;START_MAXIMIZED=FALSE&amp;creator=factset&amp;display_string=Audit"}</definedName>
    <definedName name="_2272__FDSAUDITLINK__" hidden="1">{"fdsup://Directions/FactSet Auditing Viewer?action=AUDIT_VALUE&amp;DB=129&amp;ID1=88250810&amp;VALUEID=02001&amp;SDATE=200601&amp;PERIODTYPE=QTR_STD&amp;SCFT=3&amp;window=popup_no_bar&amp;width=385&amp;height=120&amp;START_MAXIMIZED=FALSE&amp;creator=factset&amp;display_string=Audit"}</definedName>
    <definedName name="_2273__FDSAUDITLINK__" hidden="1">{"fdsup://Directions/FactSet Auditing Viewer?action=AUDIT_VALUE&amp;DB=129&amp;ID1=89674K10&amp;VALUEID=02001&amp;SDATE=200601&amp;PERIODTYPE=QTR_STD&amp;SCFT=3&amp;window=popup_no_bar&amp;width=385&amp;height=120&amp;START_MAXIMIZED=FALSE&amp;creator=factset&amp;display_string=Audit"}</definedName>
    <definedName name="_2274__FDSAUDITLINK__" hidden="1">{"fdsup://Directions/FactSet Auditing Viewer?action=AUDIT_VALUE&amp;DB=129&amp;ID1=89674K10&amp;VALUEID=02001&amp;SDATE=200601&amp;PERIODTYPE=QTR_STD&amp;SCFT=3&amp;window=popup_no_bar&amp;width=385&amp;height=120&amp;START_MAXIMIZED=FALSE&amp;creator=factset&amp;display_string=Audit"}</definedName>
    <definedName name="_2275__FDSAUDITLINK__" hidden="1">{"fdsup://Directions/FactSet Auditing Viewer?action=AUDIT_VALUE&amp;DB=129&amp;ID1=83088M10&amp;VALUEID=02001&amp;SDATE=200602&amp;PERIODTYPE=QTR_STD&amp;SCFT=3&amp;window=popup_no_bar&amp;width=385&amp;height=120&amp;START_MAXIMIZED=FALSE&amp;creator=factset&amp;display_string=Audit"}</definedName>
    <definedName name="_2276__FDSAUDITLINK__" hidden="1">{"fdsup://Directions/FactSet Auditing Viewer?action=AUDIT_VALUE&amp;DB=129&amp;ID1=83088M10&amp;VALUEID=02001&amp;SDATE=200602&amp;PERIODTYPE=QTR_STD&amp;SCFT=3&amp;window=popup_no_bar&amp;width=385&amp;height=120&amp;START_MAXIMIZED=FALSE&amp;creator=factset&amp;display_string=Audit"}</definedName>
    <definedName name="_2277__FDSAUDITLINK__" hidden="1">{"fdsup://Directions/FactSet Auditing Viewer?action=AUDIT_VALUE&amp;DB=129&amp;ID1=G7945M10&amp;VALUEID=02001&amp;SDATE=200603&amp;PERIODTYPE=QTR_STD&amp;SCFT=3&amp;window=popup_no_bar&amp;width=385&amp;height=120&amp;START_MAXIMIZED=FALSE&amp;creator=factset&amp;display_string=Audit"}</definedName>
    <definedName name="_2278__FDSAUDITLINK__" hidden="1">{"fdsup://Directions/FactSet Auditing Viewer?action=AUDIT_VALUE&amp;DB=129&amp;ID1=G7945M10&amp;VALUEID=02001&amp;SDATE=200603&amp;PERIODTYPE=QTR_STD&amp;SCFT=3&amp;window=popup_no_bar&amp;width=385&amp;height=120&amp;START_MAXIMIZED=FALSE&amp;creator=factset&amp;display_string=Audit"}</definedName>
    <definedName name="_2279__FDSAUDITLINK__" hidden="1">{"fdsup://Directions/FactSet Auditing Viewer?action=AUDIT_VALUE&amp;DB=129&amp;ID1=78477410&amp;VALUEID=02001&amp;SDATE=200601&amp;PERIODTYPE=QTR_STD&amp;SCFT=3&amp;window=popup_no_bar&amp;width=385&amp;height=120&amp;START_MAXIMIZED=FALSE&amp;creator=factset&amp;display_string=Audit"}</definedName>
    <definedName name="_228__FDSAUDITLINK__" hidden="1">{"fdsup://Directions/FactSet Auditing Viewer?action=AUDIT_VALUE&amp;DB=129&amp;ID1=51841510&amp;VALUEID=02001&amp;SDATE=201004&amp;PERIODTYPE=QTR_STD&amp;SCFT=3&amp;window=popup_no_bar&amp;width=385&amp;height=120&amp;START_MAXIMIZED=FALSE&amp;creator=factset&amp;display_string=Audit"}</definedName>
    <definedName name="_2280__FDSAUDITLINK__" hidden="1">{"fdsup://Directions/FactSet Auditing Viewer?action=AUDIT_VALUE&amp;DB=129&amp;ID1=78477410&amp;VALUEID=02001&amp;SDATE=200601&amp;PERIODTYPE=QTR_STD&amp;SCFT=3&amp;window=popup_no_bar&amp;width=385&amp;height=120&amp;START_MAXIMIZED=FALSE&amp;creator=factset&amp;display_string=Audit"}</definedName>
    <definedName name="_2281__FDSAUDITLINK__" hidden="1">{"fdsup://Directions/FactSet Auditing Viewer?action=AUDIT_VALUE&amp;DB=129&amp;ID1=83547010&amp;VALUEID=02001&amp;SDATE=200601&amp;PERIODTYPE=QTR_STD&amp;SCFT=3&amp;window=popup_no_bar&amp;width=385&amp;height=120&amp;START_MAXIMIZED=FALSE&amp;creator=factset&amp;display_string=Audit"}</definedName>
    <definedName name="_2282__FDSAUDITLINK__" hidden="1">{"fdsup://Directions/FactSet Auditing Viewer?action=AUDIT_VALUE&amp;DB=129&amp;ID1=83547010&amp;VALUEID=02001&amp;SDATE=200601&amp;PERIODTYPE=QTR_STD&amp;SCFT=3&amp;window=popup_no_bar&amp;width=385&amp;height=120&amp;START_MAXIMIZED=FALSE&amp;creator=factset&amp;display_string=Audit"}</definedName>
    <definedName name="_2283__FDSAUDITLINK__" hidden="1">{"fdsup://Directions/FactSet Auditing Viewer?action=AUDIT_VALUE&amp;DB=129&amp;ID1=87160710&amp;VALUEID=02001&amp;SDATE=200602&amp;PERIODTYPE=QTR_STD&amp;SCFT=3&amp;window=popup_no_bar&amp;width=385&amp;height=120&amp;START_MAXIMIZED=FALSE&amp;creator=factset&amp;display_string=Audit"}</definedName>
    <definedName name="_2284__FDSAUDITLINK__" hidden="1">{"fdsup://Directions/FactSet Auditing Viewer?action=AUDIT_VALUE&amp;DB=129&amp;ID1=87160710&amp;VALUEID=02001&amp;SDATE=200602&amp;PERIODTYPE=QTR_STD&amp;SCFT=3&amp;window=popup_no_bar&amp;width=385&amp;height=120&amp;START_MAXIMIZED=FALSE&amp;creator=factset&amp;display_string=Audit"}</definedName>
    <definedName name="_2285__FDSAUDITLINK__" hidden="1">{"fdsup://Directions/FactSet Auditing Viewer?action=AUDIT_VALUE&amp;DB=129&amp;ID1=80004C10&amp;VALUEID=02001&amp;SDATE=200601&amp;PERIODTYPE=QTR_STD&amp;SCFT=3&amp;window=popup_no_bar&amp;width=385&amp;height=120&amp;START_MAXIMIZED=FALSE&amp;creator=factset&amp;display_string=Audit"}</definedName>
    <definedName name="_2286__FDSAUDITLINK__" hidden="1">{"fdsup://Directions/FactSet Auditing Viewer?action=AUDIT_VALUE&amp;DB=129&amp;ID1=80004C10&amp;VALUEID=02001&amp;SDATE=200601&amp;PERIODTYPE=QTR_STD&amp;SCFT=3&amp;window=popup_no_bar&amp;width=385&amp;height=120&amp;START_MAXIMIZED=FALSE&amp;creator=factset&amp;display_string=Audit"}</definedName>
    <definedName name="_2287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2288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2289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229__FDSAUDITLINK__" hidden="1">{"fdsup://Directions/FactSet Auditing Viewer?action=AUDIT_VALUE&amp;DB=129&amp;ID1=51280710&amp;VALUEID=02001&amp;SDATE=201102&amp;PERIODTYPE=QTR_STD&amp;SCFT=3&amp;window=popup_no_bar&amp;width=385&amp;height=120&amp;START_MAXIMIZED=FALSE&amp;creator=factset&amp;display_string=Audit"}</definedName>
    <definedName name="_2290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2291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2292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2293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2294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2295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2296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2297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2298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2299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23__FDSAUDITLINK__" hidden="1">{"fdsup://Directions/FactSet Auditing Viewer?action=AUDIT_VALUE&amp;DB=129&amp;ID1=78477410&amp;VALUEID=02001&amp;SDATE=201101&amp;PERIODTYPE=QTR_STD&amp;SCFT=3&amp;window=popup_no_bar&amp;width=385&amp;height=120&amp;START_MAXIMIZED=FALSE&amp;creator=factset&amp;display_string=Audit"}</definedName>
    <definedName name="_230__FDSAUDITLINK__" hidden="1">{"fdsup://Directions/FactSet Auditing Viewer?action=AUDIT_VALUE&amp;DB=129&amp;ID1=51280710&amp;VALUEID=02001&amp;SDATE=201102&amp;PERIODTYPE=QTR_STD&amp;SCFT=3&amp;window=popup_no_bar&amp;width=385&amp;height=120&amp;START_MAXIMIZED=FALSE&amp;creator=factset&amp;display_string=Audit"}</definedName>
    <definedName name="_2300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2301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2302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2303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2304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2305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2306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2307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2308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2309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231__FDSAUDITLINK__" hidden="1">{"fdsup://Directions/FactSet Auditing Viewer?action=AUDIT_VALUE&amp;DB=129&amp;ID1=53567810&amp;VALUEID=02001&amp;SDATE=201102&amp;PERIODTYPE=QTR_STD&amp;SCFT=3&amp;window=popup_no_bar&amp;width=385&amp;height=120&amp;START_MAXIMIZED=FALSE&amp;creator=factset&amp;display_string=Audit"}</definedName>
    <definedName name="_2310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2311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2312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2313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2314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2315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2316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2317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2318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2319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232__FDSAUDITLINK__" hidden="1">{"fdsup://Directions/FactSet Auditing Viewer?action=AUDIT_VALUE&amp;DB=129&amp;ID1=53567810&amp;VALUEID=02001&amp;SDATE=201102&amp;PERIODTYPE=QTR_STD&amp;SCFT=3&amp;window=popup_no_bar&amp;width=385&amp;height=120&amp;START_MAXIMIZED=FALSE&amp;creator=factset&amp;display_string=Audit"}</definedName>
    <definedName name="_2320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2321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2322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2323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2324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2325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2326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2327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2328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2329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233__FDSAUDITLINK__" hidden="1">{"fdsup://Directions/FactSet Auditing Viewer?action=AUDIT_VALUE&amp;DB=129&amp;ID1=48248010&amp;VALUEID=02001&amp;SDATE=201102&amp;PERIODTYPE=QTR_STD&amp;SCFT=3&amp;window=popup_no_bar&amp;width=385&amp;height=120&amp;START_MAXIMIZED=FALSE&amp;creator=factset&amp;display_string=Audit"}</definedName>
    <definedName name="_2330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2331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2332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2333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2334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2335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2336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2337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2338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2339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234__FDSAUDITLINK__" hidden="1">{"fdsup://Directions/FactSet Auditing Viewer?action=AUDIT_VALUE&amp;DB=129&amp;ID1=48248010&amp;VALUEID=02001&amp;SDATE=201102&amp;PERIODTYPE=QTR_STD&amp;SCFT=3&amp;window=popup_no_bar&amp;width=385&amp;height=120&amp;START_MAXIMIZED=FALSE&amp;creator=factset&amp;display_string=Audit"}</definedName>
    <definedName name="_2340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2341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2342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2343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2344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2345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2346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2347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2348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2349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235__FDSAUDITLINK__" hidden="1">{"fdsup://Directions/FactSet Auditing Viewer?action=AUDIT_VALUE&amp;DB=129&amp;ID1=48836020&amp;VALUEID=02001&amp;SDATE=201003&amp;PERIODTYPE=QTR_STD&amp;SCFT=3&amp;window=popup_no_bar&amp;width=385&amp;height=120&amp;START_MAXIMIZED=FALSE&amp;creator=factset&amp;display_string=Audit"}</definedName>
    <definedName name="_2350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2351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2352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2353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2354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2355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2356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2357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2358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2359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236__FDSAUDITLINK__" hidden="1">{"fdsup://Directions/FactSet Auditing Viewer?action=AUDIT_VALUE&amp;DB=129&amp;ID1=48836020&amp;VALUEID=02001&amp;SDATE=201003&amp;PERIODTYPE=QTR_STD&amp;SCFT=3&amp;window=popup_no_bar&amp;width=385&amp;height=120&amp;START_MAXIMIZED=FALSE&amp;creator=factset&amp;display_string=Audit"}</definedName>
    <definedName name="_2360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2361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2362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2363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2364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2365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2366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2367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2368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2369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237__FDSAUDITLINK__" hidden="1">{"fdsup://Directions/FactSet Auditing Viewer?action=AUDIT_VALUE&amp;DB=129&amp;ID1=48203R10&amp;VALUEID=02001&amp;SDATE=201004&amp;PERIODTYPE=QTR_STD&amp;SCFT=3&amp;window=popup_no_bar&amp;width=385&amp;height=120&amp;START_MAXIMIZED=FALSE&amp;creator=factset&amp;display_string=Audit"}</definedName>
    <definedName name="_2370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2371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2372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2373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2374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2375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2376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2377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2378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2379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238__FDSAUDITLINK__" hidden="1">{"fdsup://Directions/FactSet Auditing Viewer?action=AUDIT_VALUE&amp;DB=129&amp;ID1=48203R10&amp;VALUEID=02001&amp;SDATE=201004&amp;PERIODTYPE=QTR_STD&amp;SCFT=3&amp;window=popup_no_bar&amp;width=385&amp;height=120&amp;START_MAXIMIZED=FALSE&amp;creator=factset&amp;display_string=Audit"}</definedName>
    <definedName name="_2380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2381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2382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2383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2384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2385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2386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2387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2388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2389__FDSAUDITLINK__" hidden="1">{"fdsup://Directions/FactSet Auditing Viewer?action=AUDIT_VALUE&amp;DB=129&amp;ID1=98391910&amp;VALUEID=02001&amp;SDATE=200503&amp;PERIODTYPE=QTR_STD&amp;SCFT=3&amp;window=popup_no_bar&amp;width=385&amp;height=120&amp;START_MAXIMIZED=FALSE&amp;creator=factset&amp;display_string=Audit"}</definedName>
    <definedName name="_239__FDSAUDITLINK__" hidden="1">{"fdsup://Directions/FactSet Auditing Viewer?action=AUDIT_VALUE&amp;DB=129&amp;ID1=46069S10&amp;VALUEID=02001&amp;SDATE=201004&amp;PERIODTYPE=QTR_STD&amp;SCFT=3&amp;window=popup_no_bar&amp;width=385&amp;height=120&amp;START_MAXIMIZED=FALSE&amp;creator=factset&amp;display_string=Audit"}</definedName>
    <definedName name="_2390__FDSAUDITLINK__" hidden="1">{"fdsup://Directions/FactSet Auditing Viewer?action=AUDIT_VALUE&amp;DB=129&amp;ID1=98391910&amp;VALUEID=02001&amp;SDATE=200503&amp;PERIODTYPE=QTR_STD&amp;SCFT=3&amp;window=popup_no_bar&amp;width=385&amp;height=120&amp;START_MAXIMIZED=FALSE&amp;creator=factset&amp;display_string=Audit"}</definedName>
    <definedName name="_2391__FDSAUDITLINK__" hidden="1">{"fdsup://Directions/FactSet Auditing Viewer?action=AUDIT_VALUE&amp;DB=129&amp;ID1=95810210&amp;VALUEID=02001&amp;SDATE=200602&amp;PERIODTYPE=QTR_STD&amp;SCFT=3&amp;window=popup_no_bar&amp;width=385&amp;height=120&amp;START_MAXIMIZED=FALSE&amp;creator=factset&amp;display_string=Audit"}</definedName>
    <definedName name="_2392__FDSAUDITLINK__" hidden="1">{"fdsup://Directions/FactSet Auditing Viewer?action=AUDIT_VALUE&amp;DB=129&amp;ID1=95810210&amp;VALUEID=02001&amp;SDATE=200602&amp;PERIODTYPE=QTR_STD&amp;SCFT=3&amp;window=popup_no_bar&amp;width=385&amp;height=120&amp;START_MAXIMIZED=FALSE&amp;creator=factset&amp;display_string=Audit"}</definedName>
    <definedName name="_2393__FDSAUDITLINK__" hidden="1">{"fdsup://Directions/FactSet Auditing Viewer?action=AUDIT_VALUE&amp;DB=129&amp;ID1=92849730&amp;VALUEID=02001&amp;SDATE=200601&amp;PERIODTYPE=QTR_STD&amp;SCFT=3&amp;window=popup_no_bar&amp;width=385&amp;height=120&amp;START_MAXIMIZED=FALSE&amp;creator=factset&amp;display_string=Audit"}</definedName>
    <definedName name="_2394__FDSAUDITLINK__" hidden="1">{"fdsup://Directions/FactSet Auditing Viewer?action=AUDIT_VALUE&amp;DB=129&amp;ID1=92849730&amp;VALUEID=02001&amp;SDATE=200601&amp;PERIODTYPE=QTR_STD&amp;SCFT=3&amp;window=popup_no_bar&amp;width=385&amp;height=120&amp;START_MAXIMIZED=FALSE&amp;creator=factset&amp;display_string=Audit"}</definedName>
    <definedName name="_2395__FDSAUDITLINK__" hidden="1">{"fdsup://Directions/FactSet Auditing Viewer?action=AUDIT_VALUE&amp;DB=129&amp;ID1=83088M10&amp;VALUEID=02001&amp;SDATE=200601&amp;PERIODTYPE=QTR_STD&amp;SCFT=3&amp;window=popup_no_bar&amp;width=385&amp;height=120&amp;START_MAXIMIZED=FALSE&amp;creator=factset&amp;display_string=Audit"}</definedName>
    <definedName name="_2396__FDSAUDITLINK__" hidden="1">{"fdsup://Directions/FactSet Auditing Viewer?action=AUDIT_VALUE&amp;DB=129&amp;ID1=83088M10&amp;VALUEID=02001&amp;SDATE=200601&amp;PERIODTYPE=QTR_STD&amp;SCFT=3&amp;window=popup_no_bar&amp;width=385&amp;height=120&amp;START_MAXIMIZED=FALSE&amp;creator=factset&amp;display_string=Audit"}</definedName>
    <definedName name="_2397__FDSAUDITLINK__" hidden="1">{"fdsup://Directions/FactSet Auditing Viewer?action=AUDIT_VALUE&amp;DB=129&amp;ID1=G7945M10&amp;VALUEID=02001&amp;SDATE=200602&amp;PERIODTYPE=QTR_STD&amp;SCFT=3&amp;window=popup_no_bar&amp;width=385&amp;height=120&amp;START_MAXIMIZED=FALSE&amp;creator=factset&amp;display_string=Audit"}</definedName>
    <definedName name="_2398__FDSAUDITLINK__" hidden="1">{"fdsup://Directions/FactSet Auditing Viewer?action=AUDIT_VALUE&amp;DB=129&amp;ID1=G7945M10&amp;VALUEID=02001&amp;SDATE=200602&amp;PERIODTYPE=QTR_STD&amp;SCFT=3&amp;window=popup_no_bar&amp;width=385&amp;height=120&amp;START_MAXIMIZED=FALSE&amp;creator=factset&amp;display_string=Audit"}</definedName>
    <definedName name="_2399__FDSAUDITLINK__" hidden="1">{"fdsup://Directions/FactSet Auditing Viewer?action=AUDIT_VALUE&amp;DB=129&amp;ID1=87160710&amp;VALUEID=02001&amp;SDATE=200601&amp;PERIODTYPE=QTR_STD&amp;SCFT=3&amp;window=popup_no_bar&amp;width=385&amp;height=120&amp;START_MAXIMIZED=FALSE&amp;creator=factset&amp;display_string=Audit"}</definedName>
    <definedName name="_24__FDSAUDITLINK__" hidden="1">{"fdsup://Directions/FactSet Auditing Viewer?action=AUDIT_VALUE&amp;DB=129&amp;ID1=78477410&amp;VALUEID=02001&amp;SDATE=201101&amp;PERIODTYPE=QTR_STD&amp;SCFT=3&amp;window=popup_no_bar&amp;width=385&amp;height=120&amp;START_MAXIMIZED=FALSE&amp;creator=factset&amp;display_string=Audit"}</definedName>
    <definedName name="_240__FDSAUDITLINK__" hidden="1">{"fdsup://Directions/FactSet Auditing Viewer?action=AUDIT_VALUE&amp;DB=129&amp;ID1=46069S10&amp;VALUEID=02001&amp;SDATE=201004&amp;PERIODTYPE=QTR_STD&amp;SCFT=3&amp;window=popup_no_bar&amp;width=385&amp;height=120&amp;START_MAXIMIZED=FALSE&amp;creator=factset&amp;display_string=Audit"}</definedName>
    <definedName name="_2400__FDSAUDITLINK__" hidden="1">{"fdsup://Directions/FactSet Auditing Viewer?action=AUDIT_VALUE&amp;DB=129&amp;ID1=87160710&amp;VALUEID=02001&amp;SDATE=200601&amp;PERIODTYPE=QTR_STD&amp;SCFT=3&amp;window=popup_no_bar&amp;width=385&amp;height=120&amp;START_MAXIMIZED=FALSE&amp;creator=factset&amp;display_string=Audit"}</definedName>
    <definedName name="_2401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2402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2403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2404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2405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2406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2407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2408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2409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241__FDSAUDITLINK__" hidden="1">{"fdsup://Directions/FactSet Auditing Viewer?action=AUDIT_VALUE&amp;DB=129&amp;ID1=46025410&amp;VALUEID=02001&amp;SDATE=201102&amp;PERIODTYPE=QTR_STD&amp;SCFT=3&amp;window=popup_no_bar&amp;width=385&amp;height=120&amp;START_MAXIMIZED=FALSE&amp;creator=factset&amp;display_string=Audit"}</definedName>
    <definedName name="_2410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2411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2412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2413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2414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2415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2416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2417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2418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2419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242__FDSAUDITLINK__" hidden="1">{"fdsup://Directions/FactSet Auditing Viewer?action=AUDIT_VALUE&amp;DB=129&amp;ID1=46025410&amp;VALUEID=02001&amp;SDATE=201102&amp;PERIODTYPE=QTR_STD&amp;SCFT=3&amp;window=popup_no_bar&amp;width=385&amp;height=120&amp;START_MAXIMIZED=FALSE&amp;creator=factset&amp;display_string=Audit"}</definedName>
    <definedName name="_2420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2421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2422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2423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2424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2425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2426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2427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2428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2429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243__FDSAUDITLINK__" hidden="1">{"fdsup://Directions/FactSet Auditing Viewer?action=AUDIT_VALUE&amp;DB=129&amp;ID1=45772F10&amp;VALUEID=02001&amp;SDATE=201004&amp;PERIODTYPE=QTR_STD&amp;SCFT=3&amp;window=popup_no_bar&amp;width=385&amp;height=120&amp;START_MAXIMIZED=FALSE&amp;creator=factset&amp;display_string=Audit"}</definedName>
    <definedName name="_2430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2431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2432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2433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2434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2435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2436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2437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2438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2439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244__FDSAUDITLINK__" hidden="1">{"fdsup://Directions/FactSet Auditing Viewer?action=AUDIT_VALUE&amp;DB=129&amp;ID1=45772F10&amp;VALUEID=02001&amp;SDATE=201004&amp;PERIODTYPE=QTR_STD&amp;SCFT=3&amp;window=popup_no_bar&amp;width=385&amp;height=120&amp;START_MAXIMIZED=FALSE&amp;creator=factset&amp;display_string=Audit"}</definedName>
    <definedName name="_2440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2441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2442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2443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2444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2445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2446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2447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2448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2449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245__FDSAUDITLINK__" hidden="1">{"fdsup://Directions/FactSet Auditing Viewer?action=AUDIT_VALUE&amp;DB=129&amp;ID1=45814010&amp;VALUEID=02001&amp;SDATE=201004&amp;PERIODTYPE=QTR_STD&amp;SCFT=3&amp;window=popup_no_bar&amp;width=385&amp;height=120&amp;START_MAXIMIZED=FALSE&amp;creator=factset&amp;display_string=Audit"}</definedName>
    <definedName name="_2450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2451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2452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2453__FDSAUDITLINK__" hidden="1">{"fdsup://Directions/FactSet Auditing Viewer?action=AUDIT_VALUE&amp;DB=129&amp;ID1=98975F10&amp;VALUEID=02001&amp;SDATE=200503&amp;PERIODTYPE=QTR_STD&amp;SCFT=3&amp;window=popup_no_bar&amp;width=385&amp;height=120&amp;START_MAXIMIZED=FALSE&amp;creator=factset&amp;display_string=Audit"}</definedName>
    <definedName name="_2454__FDSAUDITLINK__" hidden="1">{"fdsup://Directions/FactSet Auditing Viewer?action=AUDIT_VALUE&amp;DB=129&amp;ID1=98975F10&amp;VALUEID=02001&amp;SDATE=200503&amp;PERIODTYPE=QTR_STD&amp;SCFT=3&amp;window=popup_no_bar&amp;width=385&amp;height=120&amp;START_MAXIMIZED=FALSE&amp;creator=factset&amp;display_string=Audit"}</definedName>
    <definedName name="_2455__FDSAUDITLINK__" hidden="1">{"fdsup://Directions/FactSet Auditing Viewer?action=AUDIT_VALUE&amp;DB=129&amp;ID1=98391910&amp;VALUEID=02001&amp;SDATE=200502&amp;PERIODTYPE=QTR_STD&amp;SCFT=3&amp;window=popup_no_bar&amp;width=385&amp;height=120&amp;START_MAXIMIZED=FALSE&amp;creator=factset&amp;display_string=Audit"}</definedName>
    <definedName name="_2456__FDSAUDITLINK__" hidden="1">{"fdsup://Directions/FactSet Auditing Viewer?action=AUDIT_VALUE&amp;DB=129&amp;ID1=98391910&amp;VALUEID=02001&amp;SDATE=200502&amp;PERIODTYPE=QTR_STD&amp;SCFT=3&amp;window=popup_no_bar&amp;width=385&amp;height=120&amp;START_MAXIMIZED=FALSE&amp;creator=factset&amp;display_string=Audit"}</definedName>
    <definedName name="_2457__FDSAUDITLINK__" hidden="1">{"fdsup://Directions/FactSet Auditing Viewer?action=AUDIT_VALUE&amp;DB=129&amp;ID1=95810210&amp;VALUEID=02001&amp;SDATE=200601&amp;PERIODTYPE=QTR_STD&amp;SCFT=3&amp;window=popup_no_bar&amp;width=385&amp;height=120&amp;START_MAXIMIZED=FALSE&amp;creator=factset&amp;display_string=Audit"}</definedName>
    <definedName name="_2458__FDSAUDITLINK__" hidden="1">{"fdsup://Directions/FactSet Auditing Viewer?action=AUDIT_VALUE&amp;DB=129&amp;ID1=95810210&amp;VALUEID=02001&amp;SDATE=200601&amp;PERIODTYPE=QTR_STD&amp;SCFT=3&amp;window=popup_no_bar&amp;width=385&amp;height=120&amp;START_MAXIMIZED=FALSE&amp;creator=factset&amp;display_string=Audit"}</definedName>
    <definedName name="_2459__FDSAUDITLINK__" hidden="1">{"fdsup://Directions/FactSet Auditing Viewer?action=AUDIT_VALUE&amp;DB=129&amp;ID1=88250810&amp;VALUEID=02001&amp;SDATE=200503&amp;PERIODTYPE=QTR_STD&amp;SCFT=3&amp;window=popup_no_bar&amp;width=385&amp;height=120&amp;START_MAXIMIZED=FALSE&amp;creator=factset&amp;display_string=Audit"}</definedName>
    <definedName name="_246__FDSAUDITLINK__" hidden="1">{"fdsup://Directions/FactSet Auditing Viewer?action=AUDIT_VALUE&amp;DB=129&amp;ID1=45814010&amp;VALUEID=02001&amp;SDATE=201004&amp;PERIODTYPE=QTR_STD&amp;SCFT=3&amp;window=popup_no_bar&amp;width=385&amp;height=120&amp;START_MAXIMIZED=FALSE&amp;creator=factset&amp;display_string=Audit"}</definedName>
    <definedName name="_2460__FDSAUDITLINK__" hidden="1">{"fdsup://Directions/FactSet Auditing Viewer?action=AUDIT_VALUE&amp;DB=129&amp;ID1=88250810&amp;VALUEID=02001&amp;SDATE=200503&amp;PERIODTYPE=QTR_STD&amp;SCFT=3&amp;window=popup_no_bar&amp;width=385&amp;height=120&amp;START_MAXIMIZED=FALSE&amp;creator=factset&amp;display_string=Audit"}</definedName>
    <definedName name="_2461__FDSAUDITLINK__" hidden="1">{"fdsup://Directions/FactSet Auditing Viewer?action=AUDIT_VALUE&amp;DB=129&amp;ID1=G7945M10&amp;VALUEID=02001&amp;SDATE=200601&amp;PERIODTYPE=QTR_STD&amp;SCFT=3&amp;window=popup_no_bar&amp;width=385&amp;height=120&amp;START_MAXIMIZED=FALSE&amp;creator=factset&amp;display_string=Audit"}</definedName>
    <definedName name="_2462__FDSAUDITLINK__" hidden="1">{"fdsup://Directions/FactSet Auditing Viewer?action=AUDIT_VALUE&amp;DB=129&amp;ID1=G7945M10&amp;VALUEID=02001&amp;SDATE=200601&amp;PERIODTYPE=QTR_STD&amp;SCFT=3&amp;window=popup_no_bar&amp;width=385&amp;height=120&amp;START_MAXIMIZED=FALSE&amp;creator=factset&amp;display_string=Audit"}</definedName>
    <definedName name="_2463__FDSAUDITLINK__" hidden="1">{"fdsup://Directions/FactSet Auditing Viewer?action=AUDIT_VALUE&amp;DB=129&amp;ID1=78477410&amp;VALUEID=02001&amp;SDATE=200503&amp;PERIODTYPE=QTR_STD&amp;SCFT=3&amp;window=popup_no_bar&amp;width=385&amp;height=120&amp;START_MAXIMIZED=FALSE&amp;creator=factset&amp;display_string=Audit"}</definedName>
    <definedName name="_2464__FDSAUDITLINK__" hidden="1">{"fdsup://Directions/FactSet Auditing Viewer?action=AUDIT_VALUE&amp;DB=129&amp;ID1=78477410&amp;VALUEID=02001&amp;SDATE=200503&amp;PERIODTYPE=QTR_STD&amp;SCFT=3&amp;window=popup_no_bar&amp;width=385&amp;height=120&amp;START_MAXIMIZED=FALSE&amp;creator=factset&amp;display_string=Audit"}</definedName>
    <definedName name="_2465__FDSAUDITLINK__" hidden="1">{"fdsup://Directions/FactSet Auditing Viewer?action=AUDIT_VALUE&amp;DB=129&amp;ID1=83547010&amp;VALUEID=02001&amp;SDATE=200503&amp;PERIODTYPE=QTR_STD&amp;SCFT=3&amp;window=popup_no_bar&amp;width=385&amp;height=120&amp;START_MAXIMIZED=FALSE&amp;creator=factset&amp;display_string=Audit"}</definedName>
    <definedName name="_2466__FDSAUDITLINK__" hidden="1">{"fdsup://Directions/FactSet Auditing Viewer?action=AUDIT_VALUE&amp;DB=129&amp;ID1=83547010&amp;VALUEID=02001&amp;SDATE=200503&amp;PERIODTYPE=QTR_STD&amp;SCFT=3&amp;window=popup_no_bar&amp;width=385&amp;height=120&amp;START_MAXIMIZED=FALSE&amp;creator=factset&amp;display_string=Audit"}</definedName>
    <definedName name="_2467__FDSAUDITLINK__" hidden="1">{"fdsup://Directions/FactSet Auditing Viewer?action=AUDIT_VALUE&amp;DB=129&amp;ID1=80004C10&amp;VALUEID=02001&amp;SDATE=200503&amp;PERIODTYPE=QTR_STD&amp;SCFT=3&amp;window=popup_no_bar&amp;width=385&amp;height=120&amp;START_MAXIMIZED=FALSE&amp;creator=factset&amp;display_string=Audit"}</definedName>
    <definedName name="_2468__FDSAUDITLINK__" hidden="1">{"fdsup://Directions/FactSet Auditing Viewer?action=AUDIT_VALUE&amp;DB=129&amp;ID1=80004C10&amp;VALUEID=02001&amp;SDATE=200503&amp;PERIODTYPE=QTR_STD&amp;SCFT=3&amp;window=popup_no_bar&amp;width=385&amp;height=120&amp;START_MAXIMIZED=FALSE&amp;creator=factset&amp;display_string=Audit"}</definedName>
    <definedName name="_2469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247__FDSAUDITLINK__" hidden="1">{"fdsup://Directions/FactSet Auditing Viewer?action=AUDIT_VALUE&amp;DB=129&amp;ID1=45811810&amp;VALUEID=02001&amp;SDATE=201003&amp;PERIODTYPE=QTR_STD&amp;SCFT=3&amp;window=popup_no_bar&amp;width=385&amp;height=120&amp;START_MAXIMIZED=FALSE&amp;creator=factset&amp;display_string=Audit"}</definedName>
    <definedName name="_2470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2471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2472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2473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2474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2475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2476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2477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2478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2479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248__FDSAUDITLINK__" hidden="1">{"fdsup://Directions/FactSet Auditing Viewer?action=AUDIT_VALUE&amp;DB=129&amp;ID1=45811810&amp;VALUEID=02001&amp;SDATE=201003&amp;PERIODTYPE=QTR_STD&amp;SCFT=3&amp;window=popup_no_bar&amp;width=385&amp;height=120&amp;START_MAXIMIZED=FALSE&amp;creator=factset&amp;display_string=Audit"}</definedName>
    <definedName name="_2480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2481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2482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2483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2484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2485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2486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2487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2488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2489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249__FDSAUDITLINK__" hidden="1">{"fdsup://Directions/FactSet Auditing Viewer?action=AUDIT_VALUE&amp;DB=129&amp;ID1=42823610&amp;VALUEID=02001&amp;SDATE=201101&amp;PERIODTYPE=QTR_STD&amp;SCFT=3&amp;window=popup_no_bar&amp;width=385&amp;height=120&amp;START_MAXIMIZED=FALSE&amp;creator=factset&amp;display_string=Audit"}</definedName>
    <definedName name="_2490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2491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2492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2493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2494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2495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2496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2497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2498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2499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25__FDSAUDITLINK__" hidden="1">{"fdsup://Directions/FactSet Auditing Viewer?action=AUDIT_VALUE&amp;DB=129&amp;ID1=87160710&amp;VALUEID=02001&amp;SDATE=201102&amp;PERIODTYPE=QTR_STD&amp;SCFT=3&amp;window=popup_no_bar&amp;width=385&amp;height=120&amp;START_MAXIMIZED=FALSE&amp;creator=factset&amp;display_string=Audit"}</definedName>
    <definedName name="_250__FDSAUDITLINK__" hidden="1">{"fdsup://Directions/FactSet Auditing Viewer?action=AUDIT_VALUE&amp;DB=129&amp;ID1=42823610&amp;VALUEID=02001&amp;SDATE=201101&amp;PERIODTYPE=QTR_STD&amp;SCFT=3&amp;window=popup_no_bar&amp;width=385&amp;height=120&amp;START_MAXIMIZED=FALSE&amp;creator=factset&amp;display_string=Audit"}</definedName>
    <definedName name="_2500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2501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2502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2503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2504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2505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2506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2507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2508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2509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251__FDSAUDITLINK__" hidden="1">{"fdsup://Directions/FactSet Auditing Viewer?action=AUDIT_VALUE&amp;DB=129&amp;ID1=H2906T10&amp;VALUEID=02001&amp;SDATE=201004&amp;PERIODTYPE=QTR_STD&amp;SCFT=3&amp;window=popup_no_bar&amp;width=385&amp;height=120&amp;START_MAXIMIZED=FALSE&amp;creator=factset&amp;display_string=Audit"}</definedName>
    <definedName name="_2510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2511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2512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2513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2514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2515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2516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2517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2518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2519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252__FDSAUDITLINK__" hidden="1">{"fdsup://Directions/FactSet Auditing Viewer?action=AUDIT_VALUE&amp;DB=129&amp;ID1=H2906T10&amp;VALUEID=02001&amp;SDATE=201004&amp;PERIODTYPE=QTR_STD&amp;SCFT=3&amp;window=popup_no_bar&amp;width=385&amp;height=120&amp;START_MAXIMIZED=FALSE&amp;creator=factset&amp;display_string=Audit"}</definedName>
    <definedName name="_2520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2521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2522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2523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2524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2525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2526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2527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2528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2529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253__FDSAUDITLINK__" hidden="1">{"fdsup://Directions/FactSet Auditing Viewer?action=AUDIT_VALUE&amp;DB=129&amp;ID1=34637510&amp;VALUEID=02001&amp;SDATE=201004&amp;PERIODTYPE=QTR_STD&amp;SCFT=3&amp;window=popup_no_bar&amp;width=385&amp;height=120&amp;START_MAXIMIZED=FALSE&amp;creator=factset&amp;display_string=Audit"}</definedName>
    <definedName name="_2530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2531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2532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2533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2534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2535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2536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2537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2538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2539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254__FDSAUDITLINK__" hidden="1">{"fdsup://Directions/FactSet Auditing Viewer?action=AUDIT_VALUE&amp;DB=129&amp;ID1=34637510&amp;VALUEID=02001&amp;SDATE=201004&amp;PERIODTYPE=QTR_STD&amp;SCFT=3&amp;window=popup_no_bar&amp;width=385&amp;height=120&amp;START_MAXIMIZED=FALSE&amp;creator=factset&amp;display_string=Audit"}</definedName>
    <definedName name="_2540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2541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2542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2543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2544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2545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2546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2547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2548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2549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255__FDSAUDITLINK__" hidden="1">{"fdsup://Directions/FactSet Auditing Viewer?action=AUDIT_VALUE&amp;DB=129&amp;ID1=31561610&amp;VALUEID=02001&amp;SDATE=201101&amp;PERIODTYPE=QTR_STD&amp;SCFT=3&amp;window=popup_no_bar&amp;width=385&amp;height=120&amp;START_MAXIMIZED=FALSE&amp;creator=factset&amp;display_string=Audit"}</definedName>
    <definedName name="_2550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2551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2552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2553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2554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2555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2556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2557__FDSAUDITLINK__" hidden="1">{"fdsup://Directions/FactSet Auditing Viewer?action=AUDIT_VALUE&amp;DB=129&amp;ID1=98975F10&amp;VALUEID=02001&amp;SDATE=200502&amp;PERIODTYPE=QTR_STD&amp;SCFT=3&amp;window=popup_no_bar&amp;width=385&amp;height=120&amp;START_MAXIMIZED=FALSE&amp;creator=factset&amp;display_string=Audit"}</definedName>
    <definedName name="_2558__FDSAUDITLINK__" hidden="1">{"fdsup://Directions/FactSet Auditing Viewer?action=AUDIT_VALUE&amp;DB=129&amp;ID1=98975F10&amp;VALUEID=02001&amp;SDATE=200502&amp;PERIODTYPE=QTR_STD&amp;SCFT=3&amp;window=popup_no_bar&amp;width=385&amp;height=120&amp;START_MAXIMIZED=FALSE&amp;creator=factset&amp;display_string=Audit"}</definedName>
    <definedName name="_2559__FDSAUDITLINK__" hidden="1">{"fdsup://Directions/FactSet Auditing Viewer?action=AUDIT_VALUE&amp;DB=129&amp;ID1=98391910&amp;VALUEID=02001&amp;SDATE=200501&amp;PERIODTYPE=QTR_STD&amp;SCFT=3&amp;window=popup_no_bar&amp;width=385&amp;height=120&amp;START_MAXIMIZED=FALSE&amp;creator=factset&amp;display_string=Audit"}</definedName>
    <definedName name="_256__FDSAUDITLINK__" hidden="1">{"fdsup://Directions/FactSet Auditing Viewer?action=AUDIT_VALUE&amp;DB=129&amp;ID1=31561610&amp;VALUEID=02001&amp;SDATE=201101&amp;PERIODTYPE=QTR_STD&amp;SCFT=3&amp;window=popup_no_bar&amp;width=385&amp;height=120&amp;START_MAXIMIZED=FALSE&amp;creator=factset&amp;display_string=Audit"}</definedName>
    <definedName name="_2560__FDSAUDITLINK__" hidden="1">{"fdsup://Directions/FactSet Auditing Viewer?action=AUDIT_VALUE&amp;DB=129&amp;ID1=98391910&amp;VALUEID=02001&amp;SDATE=200501&amp;PERIODTYPE=QTR_STD&amp;SCFT=3&amp;window=popup_no_bar&amp;width=385&amp;height=120&amp;START_MAXIMIZED=FALSE&amp;creator=factset&amp;display_string=Audit"}</definedName>
    <definedName name="_2561__FDSAUDITLINK__" hidden="1">{"fdsup://Directions/FactSet Auditing Viewer?action=AUDIT_VALUE&amp;DB=129&amp;ID1=92849730&amp;VALUEID=02001&amp;SDATE=200503&amp;PERIODTYPE=QTR_STD&amp;SCFT=3&amp;window=popup_no_bar&amp;width=385&amp;height=120&amp;START_MAXIMIZED=FALSE&amp;creator=factset&amp;display_string=Audit"}</definedName>
    <definedName name="_2562__FDSAUDITLINK__" hidden="1">{"fdsup://Directions/FactSet Auditing Viewer?action=AUDIT_VALUE&amp;DB=129&amp;ID1=92849730&amp;VALUEID=02001&amp;SDATE=200503&amp;PERIODTYPE=QTR_STD&amp;SCFT=3&amp;window=popup_no_bar&amp;width=385&amp;height=120&amp;START_MAXIMIZED=FALSE&amp;creator=factset&amp;display_string=Audit"}</definedName>
    <definedName name="_2563__FDSAUDITLINK__" hidden="1">{"fdsup://Directions/FactSet Auditing Viewer?action=AUDIT_VALUE&amp;DB=129&amp;ID1=88250810&amp;VALUEID=02001&amp;SDATE=200502&amp;PERIODTYPE=QTR_STD&amp;SCFT=3&amp;window=popup_no_bar&amp;width=385&amp;height=120&amp;START_MAXIMIZED=FALSE&amp;creator=factset&amp;display_string=Audit"}</definedName>
    <definedName name="_2564__FDSAUDITLINK__" hidden="1">{"fdsup://Directions/FactSet Auditing Viewer?action=AUDIT_VALUE&amp;DB=129&amp;ID1=88250810&amp;VALUEID=02001&amp;SDATE=200502&amp;PERIODTYPE=QTR_STD&amp;SCFT=3&amp;window=popup_no_bar&amp;width=385&amp;height=120&amp;START_MAXIMIZED=FALSE&amp;creator=factset&amp;display_string=Audit"}</definedName>
    <definedName name="_2565__FDSAUDITLINK__" hidden="1">{"fdsup://Directions/FactSet Auditing Viewer?action=AUDIT_VALUE&amp;DB=129&amp;ID1=89674K10&amp;VALUEID=02001&amp;SDATE=200502&amp;PERIODTYPE=QTR_STD&amp;SCFT=3&amp;window=popup_no_bar&amp;width=385&amp;height=120&amp;START_MAXIMIZED=FALSE&amp;creator=factset&amp;display_string=Audit"}</definedName>
    <definedName name="_2566__FDSAUDITLINK__" hidden="1">{"fdsup://Directions/FactSet Auditing Viewer?action=AUDIT_VALUE&amp;DB=129&amp;ID1=89674K10&amp;VALUEID=02001&amp;SDATE=200502&amp;PERIODTYPE=QTR_STD&amp;SCFT=3&amp;window=popup_no_bar&amp;width=385&amp;height=120&amp;START_MAXIMIZED=FALSE&amp;creator=factset&amp;display_string=Audit"}</definedName>
    <definedName name="_2567__FDSAUDITLINK__" hidden="1">{"fdsup://Directions/FactSet Auditing Viewer?action=AUDIT_VALUE&amp;DB=129&amp;ID1=83088M10&amp;VALUEID=02001&amp;SDATE=200503&amp;PERIODTYPE=QTR_STD&amp;SCFT=3&amp;window=popup_no_bar&amp;width=385&amp;height=120&amp;START_MAXIMIZED=FALSE&amp;creator=factset&amp;display_string=Audit"}</definedName>
    <definedName name="_2568__FDSAUDITLINK__" hidden="1">{"fdsup://Directions/FactSet Auditing Viewer?action=AUDIT_VALUE&amp;DB=129&amp;ID1=83088M10&amp;VALUEID=02001&amp;SDATE=200503&amp;PERIODTYPE=QTR_STD&amp;SCFT=3&amp;window=popup_no_bar&amp;width=385&amp;height=120&amp;START_MAXIMIZED=FALSE&amp;creator=factset&amp;display_string=Audit"}</definedName>
    <definedName name="_2569__FDSAUDITLINK__" hidden="1">{"fdsup://Directions/FactSet Auditing Viewer?action=AUDIT_VALUE&amp;DB=129&amp;ID1=78477410&amp;VALUEID=02001&amp;SDATE=200502&amp;PERIODTYPE=QTR_STD&amp;SCFT=3&amp;window=popup_no_bar&amp;width=385&amp;height=120&amp;START_MAXIMIZED=FALSE&amp;creator=factset&amp;display_string=Audit"}</definedName>
    <definedName name="_257__FDSAUDITLINK__" hidden="1">{"fdsup://Directions/FactSet Auditing Viewer?action=AUDIT_VALUE&amp;DB=129&amp;ID1=29247520&amp;VALUEID=02001&amp;SDATE=201102&amp;PERIODTYPE=QTR_STD&amp;SCFT=3&amp;window=popup_no_bar&amp;width=385&amp;height=120&amp;START_MAXIMIZED=FALSE&amp;creator=factset&amp;display_string=Audit"}</definedName>
    <definedName name="_2570__FDSAUDITLINK__" hidden="1">{"fdsup://Directions/FactSet Auditing Viewer?action=AUDIT_VALUE&amp;DB=129&amp;ID1=78477410&amp;VALUEID=02001&amp;SDATE=200502&amp;PERIODTYPE=QTR_STD&amp;SCFT=3&amp;window=popup_no_bar&amp;width=385&amp;height=120&amp;START_MAXIMIZED=FALSE&amp;creator=factset&amp;display_string=Audit"}</definedName>
    <definedName name="_2571__FDSAUDITLINK__" hidden="1">{"fdsup://Directions/FactSet Auditing Viewer?action=AUDIT_VALUE&amp;DB=129&amp;ID1=83547010&amp;VALUEID=02001&amp;SDATE=200502&amp;PERIODTYPE=QTR_STD&amp;SCFT=3&amp;window=popup_no_bar&amp;width=385&amp;height=120&amp;START_MAXIMIZED=FALSE&amp;creator=factset&amp;display_string=Audit"}</definedName>
    <definedName name="_2572__FDSAUDITLINK__" hidden="1">{"fdsup://Directions/FactSet Auditing Viewer?action=AUDIT_VALUE&amp;DB=129&amp;ID1=83547010&amp;VALUEID=02001&amp;SDATE=200502&amp;PERIODTYPE=QTR_STD&amp;SCFT=3&amp;window=popup_no_bar&amp;width=385&amp;height=120&amp;START_MAXIMIZED=FALSE&amp;creator=factset&amp;display_string=Audit"}</definedName>
    <definedName name="_2573__FDSAUDITLINK__" hidden="1">{"fdsup://Directions/FactSet Auditing Viewer?action=AUDIT_VALUE&amp;DB=129&amp;ID1=87160710&amp;VALUEID=02001&amp;SDATE=200503&amp;PERIODTYPE=QTR_STD&amp;SCFT=3&amp;window=popup_no_bar&amp;width=385&amp;height=120&amp;START_MAXIMIZED=FALSE&amp;creator=factset&amp;display_string=Audit"}</definedName>
    <definedName name="_2574__FDSAUDITLINK__" hidden="1">{"fdsup://Directions/FactSet Auditing Viewer?action=AUDIT_VALUE&amp;DB=129&amp;ID1=87160710&amp;VALUEID=02001&amp;SDATE=200503&amp;PERIODTYPE=QTR_STD&amp;SCFT=3&amp;window=popup_no_bar&amp;width=385&amp;height=120&amp;START_MAXIMIZED=FALSE&amp;creator=factset&amp;display_string=Audit"}</definedName>
    <definedName name="_2575__FDSAUDITLINK__" hidden="1">{"fdsup://Directions/FactSet Auditing Viewer?action=AUDIT_VALUE&amp;DB=129&amp;ID1=80004C10&amp;VALUEID=02001&amp;SDATE=200502&amp;PERIODTYPE=QTR_STD&amp;SCFT=3&amp;window=popup_no_bar&amp;width=385&amp;height=120&amp;START_MAXIMIZED=FALSE&amp;creator=factset&amp;display_string=Audit"}</definedName>
    <definedName name="_2576__FDSAUDITLINK__" hidden="1">{"fdsup://Directions/FactSet Auditing Viewer?action=AUDIT_VALUE&amp;DB=129&amp;ID1=80004C10&amp;VALUEID=02001&amp;SDATE=200502&amp;PERIODTYPE=QTR_STD&amp;SCFT=3&amp;window=popup_no_bar&amp;width=385&amp;height=120&amp;START_MAXIMIZED=FALSE&amp;creator=factset&amp;display_string=Audit"}</definedName>
    <definedName name="_2577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2578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2579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258__FDSAUDITLINK__" hidden="1">{"fdsup://Directions/FactSet Auditing Viewer?action=AUDIT_VALUE&amp;DB=129&amp;ID1=29247520&amp;VALUEID=02001&amp;SDATE=201102&amp;PERIODTYPE=QTR_STD&amp;SCFT=3&amp;window=popup_no_bar&amp;width=385&amp;height=120&amp;START_MAXIMIZED=FALSE&amp;creator=factset&amp;display_string=Audit"}</definedName>
    <definedName name="_2580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2581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2582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2583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2584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2585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2586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2587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2588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2589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259__FDSAUDITLINK__" hidden="1">{"fdsup://Directions/FactSet Auditing Viewer?action=AUDIT_VALUE&amp;DB=129&amp;ID1=25454310&amp;VALUEID=02001&amp;SDATE=201004&amp;PERIODTYPE=QTR_STD&amp;SCFT=3&amp;window=popup_no_bar&amp;width=385&amp;height=120&amp;START_MAXIMIZED=FALSE&amp;creator=factset&amp;display_string=Audit"}</definedName>
    <definedName name="_2590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2591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2592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2593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2594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2595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2596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2597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2598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2599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26__FDSAUDITLINK__" hidden="1">{"fdsup://Directions/FactSet Auditing Viewer?action=AUDIT_VALUE&amp;DB=129&amp;ID1=87160710&amp;VALUEID=02001&amp;SDATE=201102&amp;PERIODTYPE=QTR_STD&amp;SCFT=3&amp;window=popup_no_bar&amp;width=385&amp;height=120&amp;START_MAXIMIZED=FALSE&amp;creator=factset&amp;display_string=Audit"}</definedName>
    <definedName name="_260__FDSAUDITLINK__" hidden="1">{"fdsup://Directions/FactSet Auditing Viewer?action=AUDIT_VALUE&amp;DB=129&amp;ID1=25454310&amp;VALUEID=02001&amp;SDATE=201004&amp;PERIODTYPE=QTR_STD&amp;SCFT=3&amp;window=popup_no_bar&amp;width=385&amp;height=120&amp;START_MAXIMIZED=FALSE&amp;creator=factset&amp;display_string=Audit"}</definedName>
    <definedName name="_2600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2601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2602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2603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2604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2605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2606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2607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2608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2609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261__FDSAUDITLINK__" hidden="1">{"fdsup://Directions/FactSet Auditing Viewer?action=AUDIT_VALUE&amp;DB=129&amp;ID1=24702R10&amp;VALUEID=02001&amp;SDATE=201004&amp;PERIODTYPE=QTR_STD&amp;SCFT=3&amp;window=popup_no_bar&amp;width=385&amp;height=120&amp;START_MAXIMIZED=FALSE&amp;creator=factset&amp;display_string=Audit"}</definedName>
    <definedName name="_2610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2611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2612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2613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2614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2615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2616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2617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2618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2619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262__FDSAUDITLINK__" hidden="1">{"fdsup://Directions/FactSet Auditing Viewer?action=AUDIT_VALUE&amp;DB=129&amp;ID1=24702R10&amp;VALUEID=02001&amp;SDATE=201004&amp;PERIODTYPE=QTR_STD&amp;SCFT=3&amp;window=popup_no_bar&amp;width=385&amp;height=120&amp;START_MAXIMIZED=FALSE&amp;creator=factset&amp;display_string=Audit"}</definedName>
    <definedName name="_2620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2621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2622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2623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2624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2625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2626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2627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2628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2629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263__FDSAUDITLINK__" hidden="1">{"fdsup://Directions/FactSet Auditing Viewer?action=AUDIT_VALUE&amp;DB=129&amp;ID1=23257210&amp;VALUEID=02001&amp;SDATE=201004&amp;PERIODTYPE=QTR_STD&amp;SCFT=3&amp;window=popup_no_bar&amp;width=385&amp;height=120&amp;START_MAXIMIZED=FALSE&amp;creator=factset&amp;display_string=Audit"}</definedName>
    <definedName name="_2630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2631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2632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2633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2634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2635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2636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2637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2638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2639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264__FDSAUDITLINK__" hidden="1">{"fdsup://Directions/FactSet Auditing Viewer?action=AUDIT_VALUE&amp;DB=129&amp;ID1=23257210&amp;VALUEID=02001&amp;SDATE=201004&amp;PERIODTYPE=QTR_STD&amp;SCFT=3&amp;window=popup_no_bar&amp;width=385&amp;height=120&amp;START_MAXIMIZED=FALSE&amp;creator=factset&amp;display_string=Audit"}</definedName>
    <definedName name="_2640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2641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2642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2643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2644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2645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2646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2647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2648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2649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265__FDSAUDITLINK__" hidden="1">{"fdsup://Directions/FactSet Auditing Viewer?action=AUDIT_VALUE&amp;DB=129&amp;ID1=23280610&amp;VALUEID=02001&amp;SDATE=201004&amp;PERIODTYPE=QTR_STD&amp;SCFT=3&amp;window=popup_no_bar&amp;width=385&amp;height=120&amp;START_MAXIMIZED=FALSE&amp;creator=factset&amp;display_string=Audit"}</definedName>
    <definedName name="_2650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2651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2652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2653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2654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2655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2656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2657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2658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2659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266__FDSAUDITLINK__" hidden="1">{"fdsup://Directions/FactSet Auditing Viewer?action=AUDIT_VALUE&amp;DB=129&amp;ID1=23280610&amp;VALUEID=02001&amp;SDATE=201004&amp;PERIODTYPE=QTR_STD&amp;SCFT=3&amp;window=popup_no_bar&amp;width=385&amp;height=120&amp;START_MAXIMIZED=FALSE&amp;creator=factset&amp;display_string=Audit"}</definedName>
    <definedName name="_2660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2661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2662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2663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2664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2665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2666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2667__FDSAUDITLINK__" hidden="1">{"fdsup://Directions/FactSet Auditing Viewer?action=AUDIT_VALUE&amp;DB=129&amp;ID1=98975F10&amp;VALUEID=02001&amp;SDATE=200501&amp;PERIODTYPE=QTR_STD&amp;SCFT=3&amp;window=popup_no_bar&amp;width=385&amp;height=120&amp;START_MAXIMIZED=FALSE&amp;creator=factset&amp;display_string=Audit"}</definedName>
    <definedName name="_2668__FDSAUDITLINK__" hidden="1">{"fdsup://Directions/FactSet Auditing Viewer?action=AUDIT_VALUE&amp;DB=129&amp;ID1=98975F10&amp;VALUEID=02001&amp;SDATE=200501&amp;PERIODTYPE=QTR_STD&amp;SCFT=3&amp;window=popup_no_bar&amp;width=385&amp;height=120&amp;START_MAXIMIZED=FALSE&amp;creator=factset&amp;display_string=Audit"}</definedName>
    <definedName name="_2669__FDSAUDITLINK__" hidden="1">{"fdsup://Directions/FactSet Auditing Viewer?action=AUDIT_VALUE&amp;DB=129&amp;ID1=95810210&amp;VALUEID=02001&amp;SDATE=200503&amp;PERIODTYPE=QTR_STD&amp;SCFT=3&amp;window=popup_no_bar&amp;width=385&amp;height=120&amp;START_MAXIMIZED=FALSE&amp;creator=factset&amp;display_string=Audit"}</definedName>
    <definedName name="_267__FDSAUDITLINK__" hidden="1">{"fdsup://Directions/FactSet Auditing Viewer?action=AUDIT_VALUE&amp;DB=129&amp;ID1=17275R10&amp;VALUEID=02001&amp;SDATE=201102&amp;PERIODTYPE=QTR_STD&amp;SCFT=3&amp;window=popup_no_bar&amp;width=385&amp;height=120&amp;START_MAXIMIZED=FALSE&amp;creator=factset&amp;display_string=Audit"}</definedName>
    <definedName name="_2670__FDSAUDITLINK__" hidden="1">{"fdsup://Directions/FactSet Auditing Viewer?action=AUDIT_VALUE&amp;DB=129&amp;ID1=95810210&amp;VALUEID=02001&amp;SDATE=200503&amp;PERIODTYPE=QTR_STD&amp;SCFT=3&amp;window=popup_no_bar&amp;width=385&amp;height=120&amp;START_MAXIMIZED=FALSE&amp;creator=factset&amp;display_string=Audit"}</definedName>
    <definedName name="_2671__FDSAUDITLINK__" hidden="1">{"fdsup://Directions/FactSet Auditing Viewer?action=AUDIT_VALUE&amp;DB=129&amp;ID1=88250810&amp;VALUEID=02001&amp;SDATE=200501&amp;PERIODTYPE=QTR_STD&amp;SCFT=3&amp;window=popup_no_bar&amp;width=385&amp;height=120&amp;START_MAXIMIZED=FALSE&amp;creator=factset&amp;display_string=Audit"}</definedName>
    <definedName name="_2672__FDSAUDITLINK__" hidden="1">{"fdsup://Directions/FactSet Auditing Viewer?action=AUDIT_VALUE&amp;DB=129&amp;ID1=88250810&amp;VALUEID=02001&amp;SDATE=200501&amp;PERIODTYPE=QTR_STD&amp;SCFT=3&amp;window=popup_no_bar&amp;width=385&amp;height=120&amp;START_MAXIMIZED=FALSE&amp;creator=factset&amp;display_string=Audit"}</definedName>
    <definedName name="_2673__FDSAUDITLINK__" hidden="1">{"fdsup://Directions/FactSet Auditing Viewer?action=AUDIT_VALUE&amp;DB=129&amp;ID1=89674K10&amp;VALUEID=02001&amp;SDATE=200501&amp;PERIODTYPE=QTR_STD&amp;SCFT=3&amp;window=popup_no_bar&amp;width=385&amp;height=120&amp;START_MAXIMIZED=FALSE&amp;creator=factset&amp;display_string=Audit"}</definedName>
    <definedName name="_2674__FDSAUDITLINK__" hidden="1">{"fdsup://Directions/FactSet Auditing Viewer?action=AUDIT_VALUE&amp;DB=129&amp;ID1=89674K10&amp;VALUEID=02001&amp;SDATE=200501&amp;PERIODTYPE=QTR_STD&amp;SCFT=3&amp;window=popup_no_bar&amp;width=385&amp;height=120&amp;START_MAXIMIZED=FALSE&amp;creator=factset&amp;display_string=Audit"}</definedName>
    <definedName name="_2675__FDSAUDITLINK__" hidden="1">{"fdsup://Directions/FactSet Auditing Viewer?action=AUDIT_VALUE&amp;DB=129&amp;ID1=83088M10&amp;VALUEID=02001&amp;SDATE=200502&amp;PERIODTYPE=QTR_STD&amp;SCFT=3&amp;window=popup_no_bar&amp;width=385&amp;height=120&amp;START_MAXIMIZED=FALSE&amp;creator=factset&amp;display_string=Audit"}</definedName>
    <definedName name="_2676__FDSAUDITLINK__" hidden="1">{"fdsup://Directions/FactSet Auditing Viewer?action=AUDIT_VALUE&amp;DB=129&amp;ID1=83088M10&amp;VALUEID=02001&amp;SDATE=200502&amp;PERIODTYPE=QTR_STD&amp;SCFT=3&amp;window=popup_no_bar&amp;width=385&amp;height=120&amp;START_MAXIMIZED=FALSE&amp;creator=factset&amp;display_string=Audit"}</definedName>
    <definedName name="_2677__FDSAUDITLINK__" hidden="1">{"fdsup://Directions/FactSet Auditing Viewer?action=AUDIT_VALUE&amp;DB=129&amp;ID1=G7945M10&amp;VALUEID=02001&amp;SDATE=200503&amp;PERIODTYPE=QTR_STD&amp;SCFT=3&amp;window=popup_no_bar&amp;width=385&amp;height=120&amp;START_MAXIMIZED=FALSE&amp;creator=factset&amp;display_string=Audit"}</definedName>
    <definedName name="_2678__FDSAUDITLINK__" hidden="1">{"fdsup://Directions/FactSet Auditing Viewer?action=AUDIT_VALUE&amp;DB=129&amp;ID1=G7945M10&amp;VALUEID=02001&amp;SDATE=200503&amp;PERIODTYPE=QTR_STD&amp;SCFT=3&amp;window=popup_no_bar&amp;width=385&amp;height=120&amp;START_MAXIMIZED=FALSE&amp;creator=factset&amp;display_string=Audit"}</definedName>
    <definedName name="_2679__FDSAUDITLINK__" hidden="1">{"fdsup://Directions/FactSet Auditing Viewer?action=AUDIT_VALUE&amp;DB=129&amp;ID1=78477410&amp;VALUEID=02001&amp;SDATE=200501&amp;PERIODTYPE=QTR_STD&amp;SCFT=3&amp;window=popup_no_bar&amp;width=385&amp;height=120&amp;START_MAXIMIZED=FALSE&amp;creator=factset&amp;display_string=Audit"}</definedName>
    <definedName name="_268__FDSAUDITLINK__" hidden="1">{"fdsup://Directions/FactSet Auditing Viewer?action=AUDIT_VALUE&amp;DB=129&amp;ID1=17275R10&amp;VALUEID=02001&amp;SDATE=201102&amp;PERIODTYPE=QTR_STD&amp;SCFT=3&amp;window=popup_no_bar&amp;width=385&amp;height=120&amp;START_MAXIMIZED=FALSE&amp;creator=factset&amp;display_string=Audit"}</definedName>
    <definedName name="_2680__FDSAUDITLINK__" hidden="1">{"fdsup://Directions/FactSet Auditing Viewer?action=AUDIT_VALUE&amp;DB=129&amp;ID1=78477410&amp;VALUEID=02001&amp;SDATE=200501&amp;PERIODTYPE=QTR_STD&amp;SCFT=3&amp;window=popup_no_bar&amp;width=385&amp;height=120&amp;START_MAXIMIZED=FALSE&amp;creator=factset&amp;display_string=Audit"}</definedName>
    <definedName name="_2681__FDSAUDITLINK__" hidden="1">{"fdsup://Directions/FactSet Auditing Viewer?action=AUDIT_VALUE&amp;DB=129&amp;ID1=83547010&amp;VALUEID=02001&amp;SDATE=200501&amp;PERIODTYPE=QTR_STD&amp;SCFT=3&amp;window=popup_no_bar&amp;width=385&amp;height=120&amp;START_MAXIMIZED=FALSE&amp;creator=factset&amp;display_string=Audit"}</definedName>
    <definedName name="_2682__FDSAUDITLINK__" hidden="1">{"fdsup://Directions/FactSet Auditing Viewer?action=AUDIT_VALUE&amp;DB=129&amp;ID1=83547010&amp;VALUEID=02001&amp;SDATE=200501&amp;PERIODTYPE=QTR_STD&amp;SCFT=3&amp;window=popup_no_bar&amp;width=385&amp;height=120&amp;START_MAXIMIZED=FALSE&amp;creator=factset&amp;display_string=Audit"}</definedName>
    <definedName name="_2683__FDSAUDITLINK__" hidden="1">{"fdsup://Directions/FactSet Auditing Viewer?action=AUDIT_VALUE&amp;DB=129&amp;ID1=87160710&amp;VALUEID=02001&amp;SDATE=200502&amp;PERIODTYPE=QTR_STD&amp;SCFT=3&amp;window=popup_no_bar&amp;width=385&amp;height=120&amp;START_MAXIMIZED=FALSE&amp;creator=factset&amp;display_string=Audit"}</definedName>
    <definedName name="_2684__FDSAUDITLINK__" hidden="1">{"fdsup://Directions/FactSet Auditing Viewer?action=AUDIT_VALUE&amp;DB=129&amp;ID1=87160710&amp;VALUEID=02001&amp;SDATE=200502&amp;PERIODTYPE=QTR_STD&amp;SCFT=3&amp;window=popup_no_bar&amp;width=385&amp;height=120&amp;START_MAXIMIZED=FALSE&amp;creator=factset&amp;display_string=Audit"}</definedName>
    <definedName name="_2685__FDSAUDITLINK__" hidden="1">{"fdsup://Directions/FactSet Auditing Viewer?action=AUDIT_VALUE&amp;DB=129&amp;ID1=80004C10&amp;VALUEID=02001&amp;SDATE=200501&amp;PERIODTYPE=QTR_STD&amp;SCFT=3&amp;window=popup_no_bar&amp;width=385&amp;height=120&amp;START_MAXIMIZED=FALSE&amp;creator=factset&amp;display_string=Audit"}</definedName>
    <definedName name="_2686__FDSAUDITLINK__" hidden="1">{"fdsup://Directions/FactSet Auditing Viewer?action=AUDIT_VALUE&amp;DB=129&amp;ID1=80004C10&amp;VALUEID=02001&amp;SDATE=200501&amp;PERIODTYPE=QTR_STD&amp;SCFT=3&amp;window=popup_no_bar&amp;width=385&amp;height=120&amp;START_MAXIMIZED=FALSE&amp;creator=factset&amp;display_string=Audit"}</definedName>
    <definedName name="_2687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2688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2689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269__FDSAUDITLINK__" hidden="1">{"fdsup://Directions/FactSet Auditing Viewer?action=AUDIT_VALUE&amp;DB=129&amp;ID1=22544710&amp;VALUEID=02001&amp;SDATE=201102&amp;PERIODTYPE=QTR_STD&amp;SCFT=3&amp;window=popup_no_bar&amp;width=385&amp;height=120&amp;START_MAXIMIZED=FALSE&amp;creator=factset&amp;display_string=Audit"}</definedName>
    <definedName name="_2690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2691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2692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2693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2694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2695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2696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2697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2698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2699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27__FDSAUDITLINK__" hidden="1">{"fdsup://Directions/FactSet Auditing Viewer?action=AUDIT_VALUE&amp;DB=129&amp;ID1=80004C10&amp;VALUEID=02001&amp;SDATE=201101&amp;PERIODTYPE=QTR_STD&amp;SCFT=3&amp;window=popup_no_bar&amp;width=385&amp;height=120&amp;START_MAXIMIZED=FALSE&amp;creator=factset&amp;display_string=Audit"}</definedName>
    <definedName name="_270__FDSAUDITLINK__" hidden="1">{"fdsup://Directions/FactSet Auditing Viewer?action=AUDIT_VALUE&amp;DB=129&amp;ID1=22544710&amp;VALUEID=02001&amp;SDATE=201102&amp;PERIODTYPE=QTR_STD&amp;SCFT=3&amp;window=popup_no_bar&amp;width=385&amp;height=120&amp;START_MAXIMIZED=FALSE&amp;creator=factset&amp;display_string=Audit"}</definedName>
    <definedName name="_2700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2701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2702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2703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2704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2705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2706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2707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2708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2709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271__FDSAUDITLINK__" hidden="1">{"fdsup://Directions/FactSet Auditing Viewer?action=AUDIT_VALUE&amp;DB=129&amp;ID1=20714230&amp;VALUEID=02001&amp;SDATE=201101&amp;PERIODTYPE=QTR_STD&amp;SCFT=3&amp;window=popup_no_bar&amp;width=385&amp;height=120&amp;START_MAXIMIZED=FALSE&amp;creator=factset&amp;display_string=Audit"}</definedName>
    <definedName name="_2710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2711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2712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2713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2714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2715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2716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2717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2718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2719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272__FDSAUDITLINK__" hidden="1">{"fdsup://Directions/FactSet Auditing Viewer?action=AUDIT_VALUE&amp;DB=129&amp;ID1=20714230&amp;VALUEID=02001&amp;SDATE=201101&amp;PERIODTYPE=QTR_STD&amp;SCFT=3&amp;window=popup_no_bar&amp;width=385&amp;height=120&amp;START_MAXIMIZED=FALSE&amp;creator=factset&amp;display_string=Audit"}</definedName>
    <definedName name="_2720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2721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2722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2723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2724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2725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2726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2727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2728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2729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273__FDSAUDITLINK__" hidden="1">{"fdsup://Directions/FactSet Auditing Viewer?action=AUDIT_VALUE&amp;DB=129&amp;ID1=12738710&amp;VALUEID=02001&amp;SDATE=201004&amp;PERIODTYPE=QTR_STD&amp;SCFT=3&amp;window=popup_no_bar&amp;width=385&amp;height=120&amp;START_MAXIMIZED=FALSE&amp;creator=factset&amp;display_string=Audit"}</definedName>
    <definedName name="_2730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2731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2732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2733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2734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2735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2736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2737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2738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2739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274__FDSAUDITLINK__" hidden="1">{"fdsup://Directions/FactSet Auditing Viewer?action=AUDIT_VALUE&amp;DB=129&amp;ID1=12738710&amp;VALUEID=02001&amp;SDATE=201004&amp;PERIODTYPE=QTR_STD&amp;SCFT=3&amp;window=popup_no_bar&amp;width=385&amp;height=120&amp;START_MAXIMIZED=FALSE&amp;creator=factset&amp;display_string=Audit"}</definedName>
    <definedName name="_2740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2741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2742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2743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2744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2745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2746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2747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2748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2749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275__FDSAUDITLINK__" hidden="1">{"fdsup://Directions/FactSet Auditing Viewer?action=AUDIT_VALUE&amp;DB=129&amp;ID1=14964U10&amp;VALUEID=02001&amp;SDATE=201004&amp;PERIODTYPE=QTR_STD&amp;SCFT=3&amp;window=popup_no_bar&amp;width=385&amp;height=120&amp;START_MAXIMIZED=FALSE&amp;creator=factset&amp;display_string=Audit"}</definedName>
    <definedName name="_2750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2751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2752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2753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2754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2755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2756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2757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2758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2759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276__FDSAUDITLINK__" hidden="1">{"fdsup://Directions/FactSet Auditing Viewer?action=AUDIT_VALUE&amp;DB=129&amp;ID1=14964U10&amp;VALUEID=02001&amp;SDATE=201004&amp;PERIODTYPE=QTR_STD&amp;SCFT=3&amp;window=popup_no_bar&amp;width=385&amp;height=120&amp;START_MAXIMIZED=FALSE&amp;creator=factset&amp;display_string=Audit"}</definedName>
    <definedName name="_2760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2761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2762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2763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2764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2765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2766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2767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2768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2769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277__FDSAUDITLINK__" hidden="1">{"fdsup://Directions/FactSet Auditing Viewer?action=AUDIT_VALUE&amp;DB=129&amp;ID1=11162130&amp;VALUEID=02001&amp;SDATE=201101&amp;PERIODTYPE=QTR_STD&amp;SCFT=3&amp;window=popup_no_bar&amp;width=385&amp;height=120&amp;START_MAXIMIZED=FALSE&amp;creator=factset&amp;display_string=Audit"}</definedName>
    <definedName name="_2770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2771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2772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2773__FDSAUDITLINK__" hidden="1">{"fdsup://Directions/FactSet Auditing Viewer?action=AUDIT_VALUE&amp;DB=129&amp;ID1=95810210&amp;VALUEID=02001&amp;SDATE=200502&amp;PERIODTYPE=QTR_STD&amp;SCFT=3&amp;window=popup_no_bar&amp;width=385&amp;height=120&amp;START_MAXIMIZED=FALSE&amp;creator=factset&amp;display_string=Audit"}</definedName>
    <definedName name="_2774__FDSAUDITLINK__" hidden="1">{"fdsup://Directions/FactSet Auditing Viewer?action=AUDIT_VALUE&amp;DB=129&amp;ID1=95810210&amp;VALUEID=02001&amp;SDATE=200502&amp;PERIODTYPE=QTR_STD&amp;SCFT=3&amp;window=popup_no_bar&amp;width=385&amp;height=120&amp;START_MAXIMIZED=FALSE&amp;creator=factset&amp;display_string=Audit"}</definedName>
    <definedName name="_2775__FDSAUDITLINK__" hidden="1">{"fdsup://Directions/FactSet Auditing Viewer?action=AUDIT_VALUE&amp;DB=129&amp;ID1=92849730&amp;VALUEID=02001&amp;SDATE=200501&amp;PERIODTYPE=QTR_STD&amp;SCFT=3&amp;window=popup_no_bar&amp;width=385&amp;height=120&amp;START_MAXIMIZED=FALSE&amp;creator=factset&amp;display_string=Audit"}</definedName>
    <definedName name="_2776__FDSAUDITLINK__" hidden="1">{"fdsup://Directions/FactSet Auditing Viewer?action=AUDIT_VALUE&amp;DB=129&amp;ID1=92849730&amp;VALUEID=02001&amp;SDATE=200501&amp;PERIODTYPE=QTR_STD&amp;SCFT=3&amp;window=popup_no_bar&amp;width=385&amp;height=120&amp;START_MAXIMIZED=FALSE&amp;creator=factset&amp;display_string=Audit"}</definedName>
    <definedName name="_2777__FDSAUDITLINK__" hidden="1">{"fdsup://Directions/FactSet Auditing Viewer?action=AUDIT_VALUE&amp;DB=129&amp;ID1=83088M10&amp;VALUEID=02001&amp;SDATE=200501&amp;PERIODTYPE=QTR_STD&amp;SCFT=3&amp;window=popup_no_bar&amp;width=385&amp;height=120&amp;START_MAXIMIZED=FALSE&amp;creator=factset&amp;display_string=Audit"}</definedName>
    <definedName name="_2778__FDSAUDITLINK__" hidden="1">{"fdsup://Directions/FactSet Auditing Viewer?action=AUDIT_VALUE&amp;DB=129&amp;ID1=83088M10&amp;VALUEID=02001&amp;SDATE=200501&amp;PERIODTYPE=QTR_STD&amp;SCFT=3&amp;window=popup_no_bar&amp;width=385&amp;height=120&amp;START_MAXIMIZED=FALSE&amp;creator=factset&amp;display_string=Audit"}</definedName>
    <definedName name="_2779__FDSAUDITLINK__" hidden="1">{"fdsup://Directions/FactSet Auditing Viewer?action=AUDIT_VALUE&amp;DB=129&amp;ID1=G7945M10&amp;VALUEID=02001&amp;SDATE=200502&amp;PERIODTYPE=QTR_STD&amp;SCFT=3&amp;window=popup_no_bar&amp;width=385&amp;height=120&amp;START_MAXIMIZED=FALSE&amp;creator=factset&amp;display_string=Audit"}</definedName>
    <definedName name="_278__FDSAUDITLINK__" hidden="1">{"fdsup://Directions/FactSet Auditing Viewer?action=AUDIT_VALUE&amp;DB=129&amp;ID1=11162130&amp;VALUEID=02001&amp;SDATE=201101&amp;PERIODTYPE=QTR_STD&amp;SCFT=3&amp;window=popup_no_bar&amp;width=385&amp;height=120&amp;START_MAXIMIZED=FALSE&amp;creator=factset&amp;display_string=Audit"}</definedName>
    <definedName name="_2780__FDSAUDITLINK__" hidden="1">{"fdsup://Directions/FactSet Auditing Viewer?action=AUDIT_VALUE&amp;DB=129&amp;ID1=G7945M10&amp;VALUEID=02001&amp;SDATE=200502&amp;PERIODTYPE=QTR_STD&amp;SCFT=3&amp;window=popup_no_bar&amp;width=385&amp;height=120&amp;START_MAXIMIZED=FALSE&amp;creator=factset&amp;display_string=Audit"}</definedName>
    <definedName name="_2781__FDSAUDITLINK__" hidden="1">{"fdsup://Directions/FactSet Auditing Viewer?action=AUDIT_VALUE&amp;DB=129&amp;ID1=87160710&amp;VALUEID=02001&amp;SDATE=200501&amp;PERIODTYPE=QTR_STD&amp;SCFT=3&amp;window=popup_no_bar&amp;width=385&amp;height=120&amp;START_MAXIMIZED=FALSE&amp;creator=factset&amp;display_string=Audit"}</definedName>
    <definedName name="_2782__FDSAUDITLINK__" hidden="1">{"fdsup://Directions/FactSet Auditing Viewer?action=AUDIT_VALUE&amp;DB=129&amp;ID1=87160710&amp;VALUEID=02001&amp;SDATE=200501&amp;PERIODTYPE=QTR_STD&amp;SCFT=3&amp;window=popup_no_bar&amp;width=385&amp;height=120&amp;START_MAXIMIZED=FALSE&amp;creator=factset&amp;display_string=Audit"}</definedName>
    <definedName name="_2783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2784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2785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2786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2787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2788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2789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279__FDSAUDITLINK__" hidden="1">{"fdsup://Directions/FactSet Auditing Viewer?action=AUDIT_VALUE&amp;DB=129&amp;ID1=Y0486S10&amp;VALUEID=02001&amp;SDATE=201101&amp;PERIODTYPE=QTR_STD&amp;SCFT=3&amp;window=popup_no_bar&amp;width=385&amp;height=120&amp;START_MAXIMIZED=FALSE&amp;creator=factset&amp;display_string=Audit"}</definedName>
    <definedName name="_2790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2791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2792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2793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2794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2795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2796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2797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2798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2799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28__FDSAUDITLINK__" hidden="1">{"fdsup://Directions/FactSet Auditing Viewer?action=AUDIT_VALUE&amp;DB=129&amp;ID1=80004C10&amp;VALUEID=02001&amp;SDATE=201101&amp;PERIODTYPE=QTR_STD&amp;SCFT=3&amp;window=popup_no_bar&amp;width=385&amp;height=120&amp;START_MAXIMIZED=FALSE&amp;creator=factset&amp;display_string=Audit"}</definedName>
    <definedName name="_280__FDSAUDITLINK__" hidden="1">{"fdsup://Directions/FactSet Auditing Viewer?action=AUDIT_VALUE&amp;DB=129&amp;ID1=Y0486S10&amp;VALUEID=02001&amp;SDATE=201101&amp;PERIODTYPE=QTR_STD&amp;SCFT=3&amp;window=popup_no_bar&amp;width=385&amp;height=120&amp;START_MAXIMIZED=FALSE&amp;creator=factset&amp;display_string=Audit"}</definedName>
    <definedName name="_2800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2801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2802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2803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2804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2805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2806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2807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2808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2809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281__FDSAUDITLINK__" hidden="1">{"fdsup://Directions/FactSet Auditing Viewer?action=AUDIT_VALUE&amp;DB=129&amp;ID1=04743P10&amp;VALUEID=02001&amp;SDATE=201004&amp;PERIODTYPE=QTR_STD&amp;SCFT=3&amp;window=popup_no_bar&amp;width=385&amp;height=120&amp;START_MAXIMIZED=FALSE&amp;creator=factset&amp;display_string=Audit"}</definedName>
    <definedName name="_2810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2811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2812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2813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2814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2815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2816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2817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2818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2819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282__FDSAUDITLINK__" hidden="1">{"fdsup://Directions/FactSet Auditing Viewer?action=AUDIT_VALUE&amp;DB=129&amp;ID1=04743P10&amp;VALUEID=02001&amp;SDATE=201004&amp;PERIODTYPE=QTR_STD&amp;SCFT=3&amp;window=popup_no_bar&amp;width=385&amp;height=120&amp;START_MAXIMIZED=FALSE&amp;creator=factset&amp;display_string=Audit"}</definedName>
    <definedName name="_2820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2821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2822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2823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2824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2825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2826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2827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2828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2829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283__FDSAUDITLINK__" hidden="1">{"fdsup://Directions/FactSet Auditing Viewer?action=AUDIT_VALUE&amp;DB=129&amp;ID1=03251510&amp;VALUEID=02001&amp;SDATE=201004&amp;PERIODTYPE=QTR_STD&amp;SCFT=3&amp;window=popup_no_bar&amp;width=385&amp;height=120&amp;START_MAXIMIZED=FALSE&amp;creator=factset&amp;display_string=Audit"}</definedName>
    <definedName name="_2830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2831__FDSAUDITLINK__" hidden="1">{"fdsup://Directions/FactSet Auditing Viewer?action=AUDIT_VALUE&amp;DB=129&amp;ID1=98975F10&amp;VALUEID=02001&amp;SDATE=200403&amp;PERIODTYPE=QTR_STD&amp;SCFT=3&amp;window=popup_no_bar&amp;width=385&amp;height=120&amp;START_MAXIMIZED=FALSE&amp;creator=factset&amp;display_string=Audit"}</definedName>
    <definedName name="_2832__FDSAUDITLINK__" hidden="1">{"fdsup://Directions/FactSet Auditing Viewer?action=AUDIT_VALUE&amp;DB=129&amp;ID1=98975F10&amp;VALUEID=02001&amp;SDATE=200403&amp;PERIODTYPE=QTR_STD&amp;SCFT=3&amp;window=popup_no_bar&amp;width=385&amp;height=120&amp;START_MAXIMIZED=FALSE&amp;creator=factset&amp;display_string=Audit"}</definedName>
    <definedName name="_2833__FDSAUDITLINK__" hidden="1">{"fdsup://Directions/FactSet Auditing Viewer?action=AUDIT_VALUE&amp;DB=129&amp;ID1=98391910&amp;VALUEID=02001&amp;SDATE=200402&amp;PERIODTYPE=QTR_STD&amp;SCFT=3&amp;window=popup_no_bar&amp;width=385&amp;height=120&amp;START_MAXIMIZED=FALSE&amp;creator=factset&amp;display_string=Audit"}</definedName>
    <definedName name="_2834__FDSAUDITLINK__" hidden="1">{"fdsup://Directions/FactSet Auditing Viewer?action=AUDIT_VALUE&amp;DB=129&amp;ID1=98391910&amp;VALUEID=02001&amp;SDATE=200402&amp;PERIODTYPE=QTR_STD&amp;SCFT=3&amp;window=popup_no_bar&amp;width=385&amp;height=120&amp;START_MAXIMIZED=FALSE&amp;creator=factset&amp;display_string=Audit"}</definedName>
    <definedName name="_2835__FDSAUDITLINK__" hidden="1">{"fdsup://Directions/FactSet Auditing Viewer?action=AUDIT_VALUE&amp;DB=129&amp;ID1=95810210&amp;VALUEID=02001&amp;SDATE=200501&amp;PERIODTYPE=QTR_STD&amp;SCFT=3&amp;window=popup_no_bar&amp;width=385&amp;height=120&amp;START_MAXIMIZED=FALSE&amp;creator=factset&amp;display_string=Audit"}</definedName>
    <definedName name="_2836__FDSAUDITLINK__" hidden="1">{"fdsup://Directions/FactSet Auditing Viewer?action=AUDIT_VALUE&amp;DB=129&amp;ID1=95810210&amp;VALUEID=02001&amp;SDATE=200501&amp;PERIODTYPE=QTR_STD&amp;SCFT=3&amp;window=popup_no_bar&amp;width=385&amp;height=120&amp;START_MAXIMIZED=FALSE&amp;creator=factset&amp;display_string=Audit"}</definedName>
    <definedName name="_2837__FDSAUDITLINK__" hidden="1">{"fdsup://Directions/FactSet Auditing Viewer?action=AUDIT_VALUE&amp;DB=129&amp;ID1=88250810&amp;VALUEID=02001&amp;SDATE=200403&amp;PERIODTYPE=QTR_STD&amp;SCFT=3&amp;window=popup_no_bar&amp;width=385&amp;height=120&amp;START_MAXIMIZED=FALSE&amp;creator=factset&amp;display_string=Audit"}</definedName>
    <definedName name="_2838__FDSAUDITLINK__" hidden="1">{"fdsup://Directions/FactSet Auditing Viewer?action=AUDIT_VALUE&amp;DB=129&amp;ID1=88250810&amp;VALUEID=02001&amp;SDATE=200403&amp;PERIODTYPE=QTR_STD&amp;SCFT=3&amp;window=popup_no_bar&amp;width=385&amp;height=120&amp;START_MAXIMIZED=FALSE&amp;creator=factset&amp;display_string=Audit"}</definedName>
    <definedName name="_2839__FDSAUDITLINK__" hidden="1">{"fdsup://Directions/FactSet Auditing Viewer?action=AUDIT_VALUE&amp;DB=129&amp;ID1=89674K10&amp;VALUEID=02001&amp;SDATE=200403&amp;PERIODTYPE=QTR_STD&amp;SCFT=3&amp;window=popup_no_bar&amp;width=385&amp;height=120&amp;START_MAXIMIZED=FALSE&amp;creator=factset&amp;display_string=Audit"}</definedName>
    <definedName name="_284__FDSAUDITLINK__" hidden="1">{"fdsup://Directions/FactSet Auditing Viewer?action=AUDIT_VALUE&amp;DB=129&amp;ID1=03251510&amp;VALUEID=02001&amp;SDATE=201004&amp;PERIODTYPE=QTR_STD&amp;SCFT=3&amp;window=popup_no_bar&amp;width=385&amp;height=120&amp;START_MAXIMIZED=FALSE&amp;creator=factset&amp;display_string=Audit"}</definedName>
    <definedName name="_2840__FDSAUDITLINK__" hidden="1">{"fdsup://Directions/FactSet Auditing Viewer?action=AUDIT_VALUE&amp;DB=129&amp;ID1=89674K10&amp;VALUEID=02001&amp;SDATE=200403&amp;PERIODTYPE=QTR_STD&amp;SCFT=3&amp;window=popup_no_bar&amp;width=385&amp;height=120&amp;START_MAXIMIZED=FALSE&amp;creator=factset&amp;display_string=Audit"}</definedName>
    <definedName name="_2841__FDSAUDITLINK__" hidden="1">{"fdsup://Directions/FactSet Auditing Viewer?action=AUDIT_VALUE&amp;DB=129&amp;ID1=G7945M10&amp;VALUEID=02001&amp;SDATE=200501&amp;PERIODTYPE=QTR_STD&amp;SCFT=3&amp;window=popup_no_bar&amp;width=385&amp;height=120&amp;START_MAXIMIZED=FALSE&amp;creator=factset&amp;display_string=Audit"}</definedName>
    <definedName name="_2842__FDSAUDITLINK__" hidden="1">{"fdsup://Directions/FactSet Auditing Viewer?action=AUDIT_VALUE&amp;DB=129&amp;ID1=G7945M10&amp;VALUEID=02001&amp;SDATE=200501&amp;PERIODTYPE=QTR_STD&amp;SCFT=3&amp;window=popup_no_bar&amp;width=385&amp;height=120&amp;START_MAXIMIZED=FALSE&amp;creator=factset&amp;display_string=Audit"}</definedName>
    <definedName name="_2843__FDSAUDITLINK__" hidden="1">{"fdsup://Directions/FactSet Auditing Viewer?action=AUDIT_VALUE&amp;DB=129&amp;ID1=78477410&amp;VALUEID=02001&amp;SDATE=200403&amp;PERIODTYPE=QTR_STD&amp;SCFT=3&amp;window=popup_no_bar&amp;width=385&amp;height=120&amp;START_MAXIMIZED=FALSE&amp;creator=factset&amp;display_string=Audit"}</definedName>
    <definedName name="_2844__FDSAUDITLINK__" hidden="1">{"fdsup://Directions/FactSet Auditing Viewer?action=AUDIT_VALUE&amp;DB=129&amp;ID1=78477410&amp;VALUEID=02001&amp;SDATE=200403&amp;PERIODTYPE=QTR_STD&amp;SCFT=3&amp;window=popup_no_bar&amp;width=385&amp;height=120&amp;START_MAXIMIZED=FALSE&amp;creator=factset&amp;display_string=Audit"}</definedName>
    <definedName name="_2845__FDSAUDITLINK__" hidden="1">{"fdsup://Directions/FactSet Auditing Viewer?action=AUDIT_VALUE&amp;DB=129&amp;ID1=83547010&amp;VALUEID=02001&amp;SDATE=200403&amp;PERIODTYPE=QTR_STD&amp;SCFT=3&amp;window=popup_no_bar&amp;width=385&amp;height=120&amp;START_MAXIMIZED=FALSE&amp;creator=factset&amp;display_string=Audit"}</definedName>
    <definedName name="_2846__FDSAUDITLINK__" hidden="1">{"fdsup://Directions/FactSet Auditing Viewer?action=AUDIT_VALUE&amp;DB=129&amp;ID1=83547010&amp;VALUEID=02001&amp;SDATE=200403&amp;PERIODTYPE=QTR_STD&amp;SCFT=3&amp;window=popup_no_bar&amp;width=385&amp;height=120&amp;START_MAXIMIZED=FALSE&amp;creator=factset&amp;display_string=Audit"}</definedName>
    <definedName name="_2847__FDSAUDITLINK__" hidden="1">{"fdsup://Directions/FactSet Auditing Viewer?action=AUDIT_VALUE&amp;DB=129&amp;ID1=80004C10&amp;VALUEID=02001&amp;SDATE=200403&amp;PERIODTYPE=QTR_STD&amp;SCFT=3&amp;window=popup_no_bar&amp;width=385&amp;height=120&amp;START_MAXIMIZED=FALSE&amp;creator=factset&amp;display_string=Audit"}</definedName>
    <definedName name="_2848__FDSAUDITLINK__" hidden="1">{"fdsup://Directions/FactSet Auditing Viewer?action=AUDIT_VALUE&amp;DB=129&amp;ID1=80004C10&amp;VALUEID=02001&amp;SDATE=200403&amp;PERIODTYPE=QTR_STD&amp;SCFT=3&amp;window=popup_no_bar&amp;width=385&amp;height=120&amp;START_MAXIMIZED=FALSE&amp;creator=factset&amp;display_string=Audit"}</definedName>
    <definedName name="_2849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285__FDSAUDITLINK__" hidden="1">{"fdsup://Directions/FactSet Auditing Viewer?action=AUDIT_VALUE&amp;DB=129&amp;ID1=00790310&amp;VALUEID=02001&amp;SDATE=201004&amp;PERIODTYPE=QTR_STD&amp;SCFT=3&amp;window=popup_no_bar&amp;width=385&amp;height=120&amp;START_MAXIMIZED=FALSE&amp;creator=factset&amp;display_string=Audit"}</definedName>
    <definedName name="_2850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2851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2852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2853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2854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2855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2856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2857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2858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2859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286__FDSAUDITLINK__" hidden="1">{"fdsup://Directions/FactSet Auditing Viewer?action=AUDIT_VALUE&amp;DB=129&amp;ID1=00790310&amp;VALUEID=02001&amp;SDATE=201004&amp;PERIODTYPE=QTR_STD&amp;SCFT=3&amp;window=popup_no_bar&amp;width=385&amp;height=120&amp;START_MAXIMIZED=FALSE&amp;creator=factset&amp;display_string=Audit"}</definedName>
    <definedName name="_2860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2861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2862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2863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2864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2865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2866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2867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2868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2869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287__FDSAUDITLINK__" hidden="1">{"fdsup://Directions/FactSet Auditing Viewer?action=AUDIT_VALUE&amp;DB=129&amp;ID1=03822W40&amp;VALUEID=02001&amp;SDATE=201003&amp;PERIODTYPE=QTR_STD&amp;SCFT=3&amp;window=popup_no_bar&amp;width=385&amp;height=120&amp;START_MAXIMIZED=FALSE&amp;creator=factset&amp;display_string=Audit"}</definedName>
    <definedName name="_2870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2871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2872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2873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2874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2875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2876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2877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2878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2879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288__FDSAUDITLINK__" hidden="1">{"fdsup://Directions/FactSet Auditing Viewer?action=AUDIT_VALUE&amp;DB=129&amp;ID1=03822W40&amp;VALUEID=02001&amp;SDATE=201003&amp;PERIODTYPE=QTR_STD&amp;SCFT=3&amp;window=popup_no_bar&amp;width=385&amp;height=120&amp;START_MAXIMIZED=FALSE&amp;creator=factset&amp;display_string=Audit"}</definedName>
    <definedName name="_2880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2881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2882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2883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2884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2885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2886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2887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2888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2889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289__FDSAUDITLINK__" hidden="1">{"fdsup://Directions/FactSet Auditing Viewer?action=AUDIT_VALUE&amp;DB=129&amp;ID1=03822210&amp;VALUEID=02001&amp;SDATE=201101&amp;PERIODTYPE=QTR_STD&amp;SCFT=3&amp;window=popup_no_bar&amp;width=385&amp;height=120&amp;START_MAXIMIZED=FALSE&amp;creator=factset&amp;display_string=Audit"}</definedName>
    <definedName name="_2890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2891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2892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2893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2894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2895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2896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2897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2898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2899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29__FDSAUDITLINK__" hidden="1">{"fdsup://Directions/FactSet Auditing Viewer?action=AUDIT_VALUE&amp;DB=129&amp;ID1=81685010&amp;VALUEID=02001&amp;SDATE=201101&amp;PERIODTYPE=QTR_STD&amp;SCFT=3&amp;window=popup_no_bar&amp;width=385&amp;height=120&amp;START_MAXIMIZED=FALSE&amp;creator=factset&amp;display_string=Audit"}</definedName>
    <definedName name="_290__FDSAUDITLINK__" hidden="1">{"fdsup://Directions/FactSet Auditing Viewer?action=AUDIT_VALUE&amp;DB=129&amp;ID1=03822210&amp;VALUEID=02001&amp;SDATE=201101&amp;PERIODTYPE=QTR_STD&amp;SCFT=3&amp;window=popup_no_bar&amp;width=385&amp;height=120&amp;START_MAXIMIZED=FALSE&amp;creator=factset&amp;display_string=Audit"}</definedName>
    <definedName name="_2900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2901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2902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2903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2904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2905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2906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2907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2908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2909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291__FDSAUDITLINK__" hidden="1">{"fdsup://Directions/FactSet Auditing Viewer?action=AUDIT_VALUE&amp;DB=129&amp;ID1=02144110&amp;VALUEID=02001&amp;SDATE=201004&amp;PERIODTYPE=QTR_STD&amp;SCFT=3&amp;window=popup_no_bar&amp;width=385&amp;height=120&amp;START_MAXIMIZED=FALSE&amp;creator=factset&amp;display_string=Audit"}</definedName>
    <definedName name="_2910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2911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2912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2913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2914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2915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2916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2917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2918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2919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292__FDSAUDITLINK__" hidden="1">{"fdsup://Directions/FactSet Auditing Viewer?action=AUDIT_VALUE&amp;DB=129&amp;ID1=02144110&amp;VALUEID=02001&amp;SDATE=201004&amp;PERIODTYPE=QTR_STD&amp;SCFT=3&amp;window=popup_no_bar&amp;width=385&amp;height=120&amp;START_MAXIMIZED=FALSE&amp;creator=factset&amp;display_string=Audit"}</definedName>
    <definedName name="_2920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2921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2922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2923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2924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2925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2926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2927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2928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2929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293__FDSAUDITLINK__" hidden="1">{"fdsup://Directions/FactSet Auditing Viewer?action=AUDIT_VALUE&amp;DB=129&amp;ID1=03265410&amp;VALUEID=02001&amp;SDATE=201101&amp;PERIODTYPE=QTR_STD&amp;SCFT=3&amp;window=popup_no_bar&amp;width=385&amp;height=120&amp;START_MAXIMIZED=FALSE&amp;creator=factset&amp;display_string=Audit"}</definedName>
    <definedName name="_2930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2931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2932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2933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2934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2935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2936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2937__FDSAUDITLINK__" hidden="1">{"fdsup://Directions/FactSet Auditing Viewer?action=AUDIT_VALUE&amp;DB=129&amp;ID1=98975F10&amp;VALUEID=02001&amp;SDATE=200402&amp;PERIODTYPE=QTR_STD&amp;SCFT=3&amp;window=popup_no_bar&amp;width=385&amp;height=120&amp;START_MAXIMIZED=FALSE&amp;creator=factset&amp;display_string=Audit"}</definedName>
    <definedName name="_2938__FDSAUDITLINK__" hidden="1">{"fdsup://Directions/FactSet Auditing Viewer?action=AUDIT_VALUE&amp;DB=129&amp;ID1=98975F10&amp;VALUEID=02001&amp;SDATE=200402&amp;PERIODTYPE=QTR_STD&amp;SCFT=3&amp;window=popup_no_bar&amp;width=385&amp;height=120&amp;START_MAXIMIZED=FALSE&amp;creator=factset&amp;display_string=Audit"}</definedName>
    <definedName name="_2939__FDSAUDITLINK__" hidden="1">{"fdsup://Directions/FactSet Auditing Viewer?action=AUDIT_VALUE&amp;DB=129&amp;ID1=98391910&amp;VALUEID=02001&amp;SDATE=200401&amp;PERIODTYPE=QTR_STD&amp;SCFT=3&amp;window=popup_no_bar&amp;width=385&amp;height=120&amp;START_MAXIMIZED=FALSE&amp;creator=factset&amp;display_string=Audit"}</definedName>
    <definedName name="_294__FDSAUDITLINK__" hidden="1">{"fdsup://Directions/FactSet Auditing Viewer?action=AUDIT_VALUE&amp;DB=129&amp;ID1=03265410&amp;VALUEID=02001&amp;SDATE=201101&amp;PERIODTYPE=QTR_STD&amp;SCFT=3&amp;window=popup_no_bar&amp;width=385&amp;height=120&amp;START_MAXIMIZED=FALSE&amp;creator=factset&amp;display_string=Audit"}</definedName>
    <definedName name="_2940__FDSAUDITLINK__" hidden="1">{"fdsup://Directions/FactSet Auditing Viewer?action=AUDIT_VALUE&amp;DB=129&amp;ID1=98391910&amp;VALUEID=02001&amp;SDATE=200401&amp;PERIODTYPE=QTR_STD&amp;SCFT=3&amp;window=popup_no_bar&amp;width=385&amp;height=120&amp;START_MAXIMIZED=FALSE&amp;creator=factset&amp;display_string=Audit"}</definedName>
    <definedName name="_2941__FDSAUDITLINK__" hidden="1">{"fdsup://Directions/FactSet Auditing Viewer?action=AUDIT_VALUE&amp;DB=129&amp;ID1=92849730&amp;VALUEID=02001&amp;SDATE=200403&amp;PERIODTYPE=QTR_STD&amp;SCFT=3&amp;window=popup_no_bar&amp;width=385&amp;height=120&amp;START_MAXIMIZED=FALSE&amp;creator=factset&amp;display_string=Audit"}</definedName>
    <definedName name="_2942__FDSAUDITLINK__" hidden="1">{"fdsup://Directions/FactSet Auditing Viewer?action=AUDIT_VALUE&amp;DB=129&amp;ID1=92849730&amp;VALUEID=02001&amp;SDATE=200403&amp;PERIODTYPE=QTR_STD&amp;SCFT=3&amp;window=popup_no_bar&amp;width=385&amp;height=120&amp;START_MAXIMIZED=FALSE&amp;creator=factset&amp;display_string=Audit"}</definedName>
    <definedName name="_2943__FDSAUDITLINK__" hidden="1">{"fdsup://Directions/FactSet Auditing Viewer?action=AUDIT_VALUE&amp;DB=129&amp;ID1=88250810&amp;VALUEID=02001&amp;SDATE=200402&amp;PERIODTYPE=QTR_STD&amp;SCFT=3&amp;window=popup_no_bar&amp;width=385&amp;height=120&amp;START_MAXIMIZED=FALSE&amp;creator=factset&amp;display_string=Audit"}</definedName>
    <definedName name="_2944__FDSAUDITLINK__" hidden="1">{"fdsup://Directions/FactSet Auditing Viewer?action=AUDIT_VALUE&amp;DB=129&amp;ID1=88250810&amp;VALUEID=02001&amp;SDATE=200402&amp;PERIODTYPE=QTR_STD&amp;SCFT=3&amp;window=popup_no_bar&amp;width=385&amp;height=120&amp;START_MAXIMIZED=FALSE&amp;creator=factset&amp;display_string=Audit"}</definedName>
    <definedName name="_2945__FDSAUDITLINK__" hidden="1">{"fdsup://Directions/FactSet Auditing Viewer?action=AUDIT_VALUE&amp;DB=129&amp;ID1=89674K10&amp;VALUEID=02001&amp;SDATE=200402&amp;PERIODTYPE=QTR_STD&amp;SCFT=3&amp;window=popup_no_bar&amp;width=385&amp;height=120&amp;START_MAXIMIZED=FALSE&amp;creator=factset&amp;display_string=Audit"}</definedName>
    <definedName name="_2946__FDSAUDITLINK__" hidden="1">{"fdsup://Directions/FactSet Auditing Viewer?action=AUDIT_VALUE&amp;DB=129&amp;ID1=89674K10&amp;VALUEID=02001&amp;SDATE=200402&amp;PERIODTYPE=QTR_STD&amp;SCFT=3&amp;window=popup_no_bar&amp;width=385&amp;height=120&amp;START_MAXIMIZED=FALSE&amp;creator=factset&amp;display_string=Audit"}</definedName>
    <definedName name="_2947__FDSAUDITLINK__" hidden="1">{"fdsup://Directions/FactSet Auditing Viewer?action=AUDIT_VALUE&amp;DB=129&amp;ID1=83088M10&amp;VALUEID=02001&amp;SDATE=200403&amp;PERIODTYPE=QTR_STD&amp;SCFT=3&amp;window=popup_no_bar&amp;width=385&amp;height=120&amp;START_MAXIMIZED=FALSE&amp;creator=factset&amp;display_string=Audit"}</definedName>
    <definedName name="_2948__FDSAUDITLINK__" hidden="1">{"fdsup://Directions/FactSet Auditing Viewer?action=AUDIT_VALUE&amp;DB=129&amp;ID1=83088M10&amp;VALUEID=02001&amp;SDATE=200403&amp;PERIODTYPE=QTR_STD&amp;SCFT=3&amp;window=popup_no_bar&amp;width=385&amp;height=120&amp;START_MAXIMIZED=FALSE&amp;creator=factset&amp;display_string=Audit"}</definedName>
    <definedName name="_2949__FDSAUDITLINK__" hidden="1">{"fdsup://Directions/FactSet Auditing Viewer?action=AUDIT_VALUE&amp;DB=129&amp;ID1=78477410&amp;VALUEID=02001&amp;SDATE=200402&amp;PERIODTYPE=QTR_STD&amp;SCFT=3&amp;window=popup_no_bar&amp;width=385&amp;height=120&amp;START_MAXIMIZED=FALSE&amp;creator=factset&amp;display_string=Audit"}</definedName>
    <definedName name="_295__FDSAUDITLINK__" hidden="1">{"fdsup://Directions/FactSet Auditing Viewer?action=AUDIT_VALUE&amp;DB=129&amp;ID1=00752J10&amp;VALUEID=02001&amp;SDATE=201004&amp;PERIODTYPE=QTR_STD&amp;SCFT=3&amp;window=popup_no_bar&amp;width=385&amp;height=120&amp;START_MAXIMIZED=FALSE&amp;creator=factset&amp;display_string=Audit"}</definedName>
    <definedName name="_2950__FDSAUDITLINK__" hidden="1">{"fdsup://Directions/FactSet Auditing Viewer?action=AUDIT_VALUE&amp;DB=129&amp;ID1=78477410&amp;VALUEID=02001&amp;SDATE=200402&amp;PERIODTYPE=QTR_STD&amp;SCFT=3&amp;window=popup_no_bar&amp;width=385&amp;height=120&amp;START_MAXIMIZED=FALSE&amp;creator=factset&amp;display_string=Audit"}</definedName>
    <definedName name="_2951__FDSAUDITLINK__" hidden="1">{"fdsup://Directions/FactSet Auditing Viewer?action=AUDIT_VALUE&amp;DB=129&amp;ID1=83547010&amp;VALUEID=02001&amp;SDATE=200402&amp;PERIODTYPE=QTR_STD&amp;SCFT=3&amp;window=popup_no_bar&amp;width=385&amp;height=120&amp;START_MAXIMIZED=FALSE&amp;creator=factset&amp;display_string=Audit"}</definedName>
    <definedName name="_2952__FDSAUDITLINK__" hidden="1">{"fdsup://Directions/FactSet Auditing Viewer?action=AUDIT_VALUE&amp;DB=129&amp;ID1=83547010&amp;VALUEID=02001&amp;SDATE=200402&amp;PERIODTYPE=QTR_STD&amp;SCFT=3&amp;window=popup_no_bar&amp;width=385&amp;height=120&amp;START_MAXIMIZED=FALSE&amp;creator=factset&amp;display_string=Audit"}</definedName>
    <definedName name="_2953__FDSAUDITLINK__" hidden="1">{"fdsup://Directions/FactSet Auditing Viewer?action=AUDIT_VALUE&amp;DB=129&amp;ID1=87160710&amp;VALUEID=02001&amp;SDATE=200403&amp;PERIODTYPE=QTR_STD&amp;SCFT=3&amp;window=popup_no_bar&amp;width=385&amp;height=120&amp;START_MAXIMIZED=FALSE&amp;creator=factset&amp;display_string=Audit"}</definedName>
    <definedName name="_2954__FDSAUDITLINK__" hidden="1">{"fdsup://Directions/FactSet Auditing Viewer?action=AUDIT_VALUE&amp;DB=129&amp;ID1=87160710&amp;VALUEID=02001&amp;SDATE=200403&amp;PERIODTYPE=QTR_STD&amp;SCFT=3&amp;window=popup_no_bar&amp;width=385&amp;height=120&amp;START_MAXIMIZED=FALSE&amp;creator=factset&amp;display_string=Audit"}</definedName>
    <definedName name="_2955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2956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2957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2958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2959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296__FDSAUDITLINK__" hidden="1">{"fdsup://Directions/FactSet Auditing Viewer?action=AUDIT_VALUE&amp;DB=129&amp;ID1=00752J10&amp;VALUEID=02001&amp;SDATE=201004&amp;PERIODTYPE=QTR_STD&amp;SCFT=3&amp;window=popup_no_bar&amp;width=385&amp;height=120&amp;START_MAXIMIZED=FALSE&amp;creator=factset&amp;display_string=Audit"}</definedName>
    <definedName name="_2960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2961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2962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2963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2964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2965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2966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2967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2968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2969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297__FDSAUDITLINK__" hidden="1">{"fdsup://Directions/FactSet Auditing Viewer?action=AUDIT_VALUE&amp;DB=129&amp;ID1=98975F10&amp;VALUEID=02001&amp;SDATE=201003&amp;PERIODTYPE=QTR_STD&amp;SCFT=3&amp;window=popup_no_bar&amp;width=385&amp;height=120&amp;START_MAXIMIZED=FALSE&amp;creator=factset&amp;display_string=Audit"}</definedName>
    <definedName name="_2970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2971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2972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2973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2974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2975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2976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2977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2978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2979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298__FDSAUDITLINK__" hidden="1">{"fdsup://Directions/FactSet Auditing Viewer?action=AUDIT_VALUE&amp;DB=129&amp;ID1=98975F10&amp;VALUEID=02001&amp;SDATE=201003&amp;PERIODTYPE=QTR_STD&amp;SCFT=3&amp;window=popup_no_bar&amp;width=385&amp;height=120&amp;START_MAXIMIZED=FALSE&amp;creator=factset&amp;display_string=Audit"}</definedName>
    <definedName name="_2980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2981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2982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2983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2984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2985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2986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2987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2988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2989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299__FDSAUDITLINK__" hidden="1">{"fdsup://Directions/FactSet Auditing Viewer?action=AUDIT_VALUE&amp;DB=129&amp;ID1=98391910&amp;VALUEID=02001&amp;SDATE=201002&amp;PERIODTYPE=QTR_STD&amp;SCFT=3&amp;window=popup_no_bar&amp;width=385&amp;height=120&amp;START_MAXIMIZED=FALSE&amp;creator=factset&amp;display_string=Audit"}</definedName>
    <definedName name="_2990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2991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2992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2993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2994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2995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2996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2997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2998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2999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__FDSAUDITLINK__" hidden="1">{"fdsup://Directions/FactSet Auditing Viewer?action=AUDIT_VALUE&amp;DB=129&amp;ID1=67066G10&amp;VALUEID=02001&amp;SDATE=201102&amp;PERIODTYPE=QTR_STD&amp;SCFT=3&amp;window=popup_no_bar&amp;width=385&amp;height=120&amp;START_MAXIMIZED=FALSE&amp;creator=factset&amp;display_string=Audit"}</definedName>
    <definedName name="_30__FDSAUDITLINK__" hidden="1">{"fdsup://Directions/FactSet Auditing Viewer?action=AUDIT_VALUE&amp;DB=129&amp;ID1=81685010&amp;VALUEID=02001&amp;SDATE=201101&amp;PERIODTYPE=QTR_STD&amp;SCFT=3&amp;window=popup_no_bar&amp;width=385&amp;height=120&amp;START_MAXIMIZED=FALSE&amp;creator=factset&amp;display_string=Audit"}</definedName>
    <definedName name="_300__FDSAUDITLINK__" hidden="1">{"fdsup://Directions/FactSet Auditing Viewer?action=AUDIT_VALUE&amp;DB=129&amp;ID1=98391910&amp;VALUEID=02001&amp;SDATE=201002&amp;PERIODTYPE=QTR_STD&amp;SCFT=3&amp;window=popup_no_bar&amp;width=385&amp;height=120&amp;START_MAXIMIZED=FALSE&amp;creator=factset&amp;display_string=Audit"}</definedName>
    <definedName name="_3000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001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002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003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004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005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006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007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3008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3009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301__FDSAUDITLINK__" hidden="1">{"fdsup://Directions/FactSet Auditing Viewer?action=AUDIT_VALUE&amp;DB=129&amp;ID1=95810210&amp;VALUEID=02001&amp;SDATE=201101&amp;PERIODTYPE=QTR_STD&amp;SCFT=3&amp;window=popup_no_bar&amp;width=385&amp;height=120&amp;START_MAXIMIZED=FALSE&amp;creator=factset&amp;display_string=Audit"}</definedName>
    <definedName name="_3010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3011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3012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3013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3014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3015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3016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3017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3018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3019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302__FDSAUDITLINK__" hidden="1">{"fdsup://Directions/FactSet Auditing Viewer?action=AUDIT_VALUE&amp;DB=129&amp;ID1=95810210&amp;VALUEID=02001&amp;SDATE=201101&amp;PERIODTYPE=QTR_STD&amp;SCFT=3&amp;window=popup_no_bar&amp;width=385&amp;height=120&amp;START_MAXIMIZED=FALSE&amp;creator=factset&amp;display_string=Audit"}</definedName>
    <definedName name="_3020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3021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3022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3023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3024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3025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3026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3027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3028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3029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303__FDSAUDITLINK__" hidden="1">{"fdsup://Directions/FactSet Auditing Viewer?action=AUDIT_VALUE&amp;DB=129&amp;ID1=92849730&amp;VALUEID=02001&amp;SDATE=201004&amp;PERIODTYPE=QTR_STD&amp;SCFT=3&amp;window=popup_no_bar&amp;width=385&amp;height=120&amp;START_MAXIMIZED=FALSE&amp;creator=factset&amp;display_string=Audit"}</definedName>
    <definedName name="_3030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3031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3032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3033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3034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3035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3036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3037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3038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3039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304__FDSAUDITLINK__" hidden="1">{"fdsup://Directions/FactSet Auditing Viewer?action=AUDIT_VALUE&amp;DB=129&amp;ID1=92849730&amp;VALUEID=02001&amp;SDATE=201004&amp;PERIODTYPE=QTR_STD&amp;SCFT=3&amp;window=popup_no_bar&amp;width=385&amp;height=120&amp;START_MAXIMIZED=FALSE&amp;creator=factset&amp;display_string=Audit"}</definedName>
    <definedName name="_3040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3041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3042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3043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3044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3045__FDSAUDITLINK__" hidden="1">{"fdsup://Directions/FactSet Auditing Viewer?action=AUDIT_VALUE&amp;DB=129&amp;ID1=98975F10&amp;VALUEID=02001&amp;SDATE=200401&amp;PERIODTYPE=QTR_STD&amp;SCFT=3&amp;window=popup_no_bar&amp;width=385&amp;height=120&amp;START_MAXIMIZED=FALSE&amp;creator=factset&amp;display_string=Audit"}</definedName>
    <definedName name="_3046__FDSAUDITLINK__" hidden="1">{"fdsup://Directions/FactSet Auditing Viewer?action=AUDIT_VALUE&amp;DB=129&amp;ID1=98975F10&amp;VALUEID=02001&amp;SDATE=200401&amp;PERIODTYPE=QTR_STD&amp;SCFT=3&amp;window=popup_no_bar&amp;width=385&amp;height=120&amp;START_MAXIMIZED=FALSE&amp;creator=factset&amp;display_string=Audit"}</definedName>
    <definedName name="_3047__FDSAUDITLINK__" hidden="1">{"fdsup://Directions/FactSet Auditing Viewer?action=AUDIT_VALUE&amp;DB=129&amp;ID1=95810210&amp;VALUEID=02001&amp;SDATE=200403&amp;PERIODTYPE=QTR_STD&amp;SCFT=3&amp;window=popup_no_bar&amp;width=385&amp;height=120&amp;START_MAXIMIZED=FALSE&amp;creator=factset&amp;display_string=Audit"}</definedName>
    <definedName name="_3048__FDSAUDITLINK__" hidden="1">{"fdsup://Directions/FactSet Auditing Viewer?action=AUDIT_VALUE&amp;DB=129&amp;ID1=95810210&amp;VALUEID=02001&amp;SDATE=200403&amp;PERIODTYPE=QTR_STD&amp;SCFT=3&amp;window=popup_no_bar&amp;width=385&amp;height=120&amp;START_MAXIMIZED=FALSE&amp;creator=factset&amp;display_string=Audit"}</definedName>
    <definedName name="_3049__FDSAUDITLINK__" hidden="1">{"fdsup://Directions/FactSet Auditing Viewer?action=AUDIT_VALUE&amp;DB=129&amp;ID1=92849730&amp;VALUEID=02001&amp;SDATE=200402&amp;PERIODTYPE=QTR_STD&amp;SCFT=3&amp;window=popup_no_bar&amp;width=385&amp;height=120&amp;START_MAXIMIZED=FALSE&amp;creator=factset&amp;display_string=Audit"}</definedName>
    <definedName name="_305__FDSAUDITLINK__" hidden="1">{"fdsup://Directions/FactSet Auditing Viewer?action=AUDIT_VALUE&amp;DB=129&amp;ID1=92829810&amp;VALUEID=02001&amp;SDATE=201003&amp;PERIODTYPE=QTR_STD&amp;SCFT=3&amp;window=popup_no_bar&amp;width=385&amp;height=120&amp;START_MAXIMIZED=FALSE&amp;creator=factset&amp;display_string=Audit"}</definedName>
    <definedName name="_3050__FDSAUDITLINK__" hidden="1">{"fdsup://Directions/FactSet Auditing Viewer?action=AUDIT_VALUE&amp;DB=129&amp;ID1=92849730&amp;VALUEID=02001&amp;SDATE=200402&amp;PERIODTYPE=QTR_STD&amp;SCFT=3&amp;window=popup_no_bar&amp;width=385&amp;height=120&amp;START_MAXIMIZED=FALSE&amp;creator=factset&amp;display_string=Audit"}</definedName>
    <definedName name="_3051__FDSAUDITLINK__" hidden="1">{"fdsup://Directions/FactSet Auditing Viewer?action=AUDIT_VALUE&amp;DB=129&amp;ID1=88250810&amp;VALUEID=02001&amp;SDATE=200401&amp;PERIODTYPE=QTR_STD&amp;SCFT=3&amp;window=popup_no_bar&amp;width=385&amp;height=120&amp;START_MAXIMIZED=FALSE&amp;creator=factset&amp;display_string=Audit"}</definedName>
    <definedName name="_3052__FDSAUDITLINK__" hidden="1">{"fdsup://Directions/FactSet Auditing Viewer?action=AUDIT_VALUE&amp;DB=129&amp;ID1=88250810&amp;VALUEID=02001&amp;SDATE=200401&amp;PERIODTYPE=QTR_STD&amp;SCFT=3&amp;window=popup_no_bar&amp;width=385&amp;height=120&amp;START_MAXIMIZED=FALSE&amp;creator=factset&amp;display_string=Audit"}</definedName>
    <definedName name="_3053__FDSAUDITLINK__" hidden="1">{"fdsup://Directions/FactSet Auditing Viewer?action=AUDIT_VALUE&amp;DB=129&amp;ID1=89674K10&amp;VALUEID=02001&amp;SDATE=200401&amp;PERIODTYPE=QTR_STD&amp;SCFT=3&amp;window=popup_no_bar&amp;width=385&amp;height=120&amp;START_MAXIMIZED=FALSE&amp;creator=factset&amp;display_string=Audit"}</definedName>
    <definedName name="_3054__FDSAUDITLINK__" hidden="1">{"fdsup://Directions/FactSet Auditing Viewer?action=AUDIT_VALUE&amp;DB=129&amp;ID1=89674K10&amp;VALUEID=02001&amp;SDATE=200401&amp;PERIODTYPE=QTR_STD&amp;SCFT=3&amp;window=popup_no_bar&amp;width=385&amp;height=120&amp;START_MAXIMIZED=FALSE&amp;creator=factset&amp;display_string=Audit"}</definedName>
    <definedName name="_3055__FDSAUDITLINK__" hidden="1">{"fdsup://Directions/FactSet Auditing Viewer?action=AUDIT_VALUE&amp;DB=129&amp;ID1=83088M10&amp;VALUEID=02001&amp;SDATE=200402&amp;PERIODTYPE=QTR_STD&amp;SCFT=3&amp;window=popup_no_bar&amp;width=385&amp;height=120&amp;START_MAXIMIZED=FALSE&amp;creator=factset&amp;display_string=Audit"}</definedName>
    <definedName name="_3056__FDSAUDITLINK__" hidden="1">{"fdsup://Directions/FactSet Auditing Viewer?action=AUDIT_VALUE&amp;DB=129&amp;ID1=83088M10&amp;VALUEID=02001&amp;SDATE=200402&amp;PERIODTYPE=QTR_STD&amp;SCFT=3&amp;window=popup_no_bar&amp;width=385&amp;height=120&amp;START_MAXIMIZED=FALSE&amp;creator=factset&amp;display_string=Audit"}</definedName>
    <definedName name="_3057__FDSAUDITLINK__" hidden="1">{"fdsup://Directions/FactSet Auditing Viewer?action=AUDIT_VALUE&amp;DB=129&amp;ID1=G7945M10&amp;VALUEID=02001&amp;SDATE=200403&amp;PERIODTYPE=QTR_STD&amp;SCFT=3&amp;window=popup_no_bar&amp;width=385&amp;height=120&amp;START_MAXIMIZED=FALSE&amp;creator=factset&amp;display_string=Audit"}</definedName>
    <definedName name="_3058__FDSAUDITLINK__" hidden="1">{"fdsup://Directions/FactSet Auditing Viewer?action=AUDIT_VALUE&amp;DB=129&amp;ID1=G7945M10&amp;VALUEID=02001&amp;SDATE=200403&amp;PERIODTYPE=QTR_STD&amp;SCFT=3&amp;window=popup_no_bar&amp;width=385&amp;height=120&amp;START_MAXIMIZED=FALSE&amp;creator=factset&amp;display_string=Audit"}</definedName>
    <definedName name="_3059__FDSAUDITLINK__" hidden="1">{"fdsup://Directions/FactSet Auditing Viewer?action=AUDIT_VALUE&amp;DB=129&amp;ID1=78477410&amp;VALUEID=02001&amp;SDATE=200401&amp;PERIODTYPE=QTR_STD&amp;SCFT=3&amp;window=popup_no_bar&amp;width=385&amp;height=120&amp;START_MAXIMIZED=FALSE&amp;creator=factset&amp;display_string=Audit"}</definedName>
    <definedName name="_306__FDSAUDITLINK__" hidden="1">{"fdsup://Directions/FactSet Auditing Viewer?action=AUDIT_VALUE&amp;DB=129&amp;ID1=92829810&amp;VALUEID=02001&amp;SDATE=201003&amp;PERIODTYPE=QTR_STD&amp;SCFT=3&amp;window=popup_no_bar&amp;width=385&amp;height=120&amp;START_MAXIMIZED=FALSE&amp;creator=factset&amp;display_string=Audit"}</definedName>
    <definedName name="_3060__FDSAUDITLINK__" hidden="1">{"fdsup://Directions/FactSet Auditing Viewer?action=AUDIT_VALUE&amp;DB=129&amp;ID1=78477410&amp;VALUEID=02001&amp;SDATE=200401&amp;PERIODTYPE=QTR_STD&amp;SCFT=3&amp;window=popup_no_bar&amp;width=385&amp;height=120&amp;START_MAXIMIZED=FALSE&amp;creator=factset&amp;display_string=Audit"}</definedName>
    <definedName name="_3061__FDSAUDITLINK__" hidden="1">{"fdsup://Directions/FactSet Auditing Viewer?action=AUDIT_VALUE&amp;DB=129&amp;ID1=83547010&amp;VALUEID=02001&amp;SDATE=200401&amp;PERIODTYPE=QTR_STD&amp;SCFT=3&amp;window=popup_no_bar&amp;width=385&amp;height=120&amp;START_MAXIMIZED=FALSE&amp;creator=factset&amp;display_string=Audit"}</definedName>
    <definedName name="_3062__FDSAUDITLINK__" hidden="1">{"fdsup://Directions/FactSet Auditing Viewer?action=AUDIT_VALUE&amp;DB=129&amp;ID1=83547010&amp;VALUEID=02001&amp;SDATE=200401&amp;PERIODTYPE=QTR_STD&amp;SCFT=3&amp;window=popup_no_bar&amp;width=385&amp;height=120&amp;START_MAXIMIZED=FALSE&amp;creator=factset&amp;display_string=Audit"}</definedName>
    <definedName name="_3063__FDSAUDITLINK__" hidden="1">{"fdsup://Directions/FactSet Auditing Viewer?action=AUDIT_VALUE&amp;DB=129&amp;ID1=87160710&amp;VALUEID=02001&amp;SDATE=200402&amp;PERIODTYPE=QTR_STD&amp;SCFT=3&amp;window=popup_no_bar&amp;width=385&amp;height=120&amp;START_MAXIMIZED=FALSE&amp;creator=factset&amp;display_string=Audit"}</definedName>
    <definedName name="_3064__FDSAUDITLINK__" hidden="1">{"fdsup://Directions/FactSet Auditing Viewer?action=AUDIT_VALUE&amp;DB=129&amp;ID1=87160710&amp;VALUEID=02001&amp;SDATE=200402&amp;PERIODTYPE=QTR_STD&amp;SCFT=3&amp;window=popup_no_bar&amp;width=385&amp;height=120&amp;START_MAXIMIZED=FALSE&amp;creator=factset&amp;display_string=Audit"}</definedName>
    <definedName name="_3065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066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067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068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069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07__FDSAUDITLINK__" hidden="1">{"fdsup://Directions/FactSet Auditing Viewer?action=AUDIT_VALUE&amp;DB=129&amp;ID1=88250810&amp;VALUEID=02001&amp;SDATE=201003&amp;PERIODTYPE=QTR_STD&amp;SCFT=3&amp;window=popup_no_bar&amp;width=385&amp;height=120&amp;START_MAXIMIZED=FALSE&amp;creator=factset&amp;display_string=Audit"}</definedName>
    <definedName name="_3070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071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072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073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074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075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076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077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078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079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08__FDSAUDITLINK__" hidden="1">{"fdsup://Directions/FactSet Auditing Viewer?action=AUDIT_VALUE&amp;DB=129&amp;ID1=88250810&amp;VALUEID=02001&amp;SDATE=201003&amp;PERIODTYPE=QTR_STD&amp;SCFT=3&amp;window=popup_no_bar&amp;width=385&amp;height=120&amp;START_MAXIMIZED=FALSE&amp;creator=factset&amp;display_string=Audit"}</definedName>
    <definedName name="_3080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081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082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083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084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085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086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087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088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089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09__FDSAUDITLINK__" hidden="1">{"fdsup://Directions/FactSet Auditing Viewer?action=AUDIT_VALUE&amp;DB=129&amp;ID1=89674K10&amp;VALUEID=02001&amp;SDATE=201003&amp;PERIODTYPE=QTR_STD&amp;SCFT=3&amp;window=popup_no_bar&amp;width=385&amp;height=120&amp;START_MAXIMIZED=FALSE&amp;creator=factset&amp;display_string=Audit"}</definedName>
    <definedName name="_3090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091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092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093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094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095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096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097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098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099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1__FDSAUDITLINK__" hidden="1">{"fdsup://Directions/FactSet Auditing Viewer?action=AUDIT_VALUE&amp;DB=129&amp;ID1=82691910&amp;VALUEID=02001&amp;SDATE=201101&amp;PERIODTYPE=QTR_STD&amp;SCFT=3&amp;window=popup_no_bar&amp;width=385&amp;height=120&amp;START_MAXIMIZED=FALSE&amp;creator=factset&amp;display_string=Audit"}</definedName>
    <definedName name="_310__FDSAUDITLINK__" hidden="1">{"fdsup://Directions/FactSet Auditing Viewer?action=AUDIT_VALUE&amp;DB=129&amp;ID1=89674K10&amp;VALUEID=02001&amp;SDATE=201003&amp;PERIODTYPE=QTR_STD&amp;SCFT=3&amp;window=popup_no_bar&amp;width=385&amp;height=120&amp;START_MAXIMIZED=FALSE&amp;creator=factset&amp;display_string=Audit"}</definedName>
    <definedName name="_3100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101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102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103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104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105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106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107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108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109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11__FDSAUDITLINK__" hidden="1">{"fdsup://Directions/FactSet Auditing Viewer?action=AUDIT_VALUE&amp;DB=129&amp;ID1=83088M10&amp;VALUEID=02001&amp;SDATE=201004&amp;PERIODTYPE=QTR_STD&amp;SCFT=3&amp;window=popup_no_bar&amp;width=385&amp;height=120&amp;START_MAXIMIZED=FALSE&amp;creator=factset&amp;display_string=Audit"}</definedName>
    <definedName name="_3110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111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112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113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114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115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116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117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118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119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12__FDSAUDITLINK__" hidden="1">{"fdsup://Directions/FactSet Auditing Viewer?action=AUDIT_VALUE&amp;DB=129&amp;ID1=83088M10&amp;VALUEID=02001&amp;SDATE=201004&amp;PERIODTYPE=QTR_STD&amp;SCFT=3&amp;window=popup_no_bar&amp;width=385&amp;height=120&amp;START_MAXIMIZED=FALSE&amp;creator=factset&amp;display_string=Audit"}</definedName>
    <definedName name="_3120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121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122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123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3124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3125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3126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3127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3128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3129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313__FDSAUDITLINK__" hidden="1">{"fdsup://Directions/FactSet Auditing Viewer?action=AUDIT_VALUE&amp;DB=129&amp;ID1=G7945M10&amp;VALUEID=02001&amp;SDATE=201101&amp;PERIODTYPE=QTR_STD&amp;SCFT=3&amp;window=popup_no_bar&amp;width=385&amp;height=120&amp;START_MAXIMIZED=FALSE&amp;creator=factset&amp;display_string=Audit"}</definedName>
    <definedName name="_3130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3131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3132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3133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3134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3135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3136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3137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3138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3139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314__FDSAUDITLINK__" hidden="1">{"fdsup://Directions/FactSet Auditing Viewer?action=AUDIT_VALUE&amp;DB=129&amp;ID1=G7945M10&amp;VALUEID=02001&amp;SDATE=201101&amp;PERIODTYPE=QTR_STD&amp;SCFT=3&amp;window=popup_no_bar&amp;width=385&amp;height=120&amp;START_MAXIMIZED=FALSE&amp;creator=factset&amp;display_string=Audit"}</definedName>
    <definedName name="_3140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3141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3142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3143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3144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3145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3146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3147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3148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3149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315__FDSAUDITLINK__" hidden="1">{"fdsup://Directions/FactSet Auditing Viewer?action=AUDIT_VALUE&amp;DB=129&amp;ID1=78477410&amp;VALUEID=02001&amp;SDATE=201003&amp;PERIODTYPE=QTR_STD&amp;SCFT=3&amp;window=popup_no_bar&amp;width=385&amp;height=120&amp;START_MAXIMIZED=FALSE&amp;creator=factset&amp;display_string=Audit"}</definedName>
    <definedName name="_3150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3151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3152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3153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3154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3155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3156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3157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3158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3159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316__FDSAUDITLINK__" hidden="1">{"fdsup://Directions/FactSet Auditing Viewer?action=AUDIT_VALUE&amp;DB=129&amp;ID1=78477410&amp;VALUEID=02001&amp;SDATE=201003&amp;PERIODTYPE=QTR_STD&amp;SCFT=3&amp;window=popup_no_bar&amp;width=385&amp;height=120&amp;START_MAXIMIZED=FALSE&amp;creator=factset&amp;display_string=Audit"}</definedName>
    <definedName name="_3160__FDSAUDITLINK__" hidden="1">{"fdsup://Directions/FactSet Auditing Viewer?action=AUDIT_VALUE&amp;DB=129&amp;ID1=80004C10&amp;VALUEID=02001&amp;SDATE=200402&amp;PERIODTYPE=QTR_STD&amp;SCFT=3&amp;window=popup_no_bar&amp;width=385&amp;height=120&amp;START_MAXIMIZED=FALSE&amp;creator=factset&amp;display_string=Audit"}</definedName>
    <definedName name="_3161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162__FDSAUDITLINK__" hidden="1">{"fdsup://Directions/FactSet Auditing Viewer?action=AUDIT_VALUE&amp;DB=129&amp;ID1=80004C10&amp;VALUEID=02001&amp;SDATE=200401&amp;PERIODTYPE=QTR_STD&amp;SCFT=3&amp;window=popup_no_bar&amp;width=385&amp;height=120&amp;START_MAXIMIZED=FALSE&amp;creator=factset&amp;display_string=Audit"}</definedName>
    <definedName name="_3163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3164__FDSAUDITLINK__" hidden="1">{"fdsup://Directions/FactSet Auditing Viewer?action=AUDIT_VALUE&amp;DB=129&amp;ID1=81685010&amp;VALUEID=02001&amp;SDATE=200801&amp;PERIODTYPE=QTR_STD&amp;SCFT=3&amp;window=popup_no_bar&amp;width=385&amp;height=120&amp;START_MAXIMIZED=FALSE&amp;creator=factset&amp;display_string=Audit"}</definedName>
    <definedName name="_3165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3166__FDSAUDITLINK__" hidden="1">{"fdsup://Directions/FactSet Auditing Viewer?action=AUDIT_VALUE&amp;DB=129&amp;ID1=81685010&amp;VALUEID=02001&amp;SDATE=200703&amp;PERIODTYPE=QTR_STD&amp;SCFT=3&amp;window=popup_no_bar&amp;width=385&amp;height=120&amp;START_MAXIMIZED=FALSE&amp;creator=factset&amp;display_string=Audit"}</definedName>
    <definedName name="_3167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3168__FDSAUDITLINK__" hidden="1">{"fdsup://Directions/FactSet Auditing Viewer?action=AUDIT_VALUE&amp;DB=129&amp;ID1=81685010&amp;VALUEID=02001&amp;SDATE=200702&amp;PERIODTYPE=QTR_STD&amp;SCFT=3&amp;window=popup_no_bar&amp;width=385&amp;height=120&amp;START_MAXIMIZED=FALSE&amp;creator=factset&amp;display_string=Audit"}</definedName>
    <definedName name="_3169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317__FDSAUDITLINK__" hidden="1">{"fdsup://Directions/FactSet Auditing Viewer?action=AUDIT_VALUE&amp;DB=129&amp;ID1=87160710&amp;VALUEID=02001&amp;SDATE=201004&amp;PERIODTYPE=QTR_STD&amp;SCFT=3&amp;window=popup_no_bar&amp;width=385&amp;height=120&amp;START_MAXIMIZED=FALSE&amp;creator=factset&amp;display_string=Audit"}</definedName>
    <definedName name="_3170__FDSAUDITLINK__" hidden="1">{"fdsup://Directions/FactSet Auditing Viewer?action=AUDIT_VALUE&amp;DB=129&amp;ID1=81685010&amp;VALUEID=02001&amp;SDATE=200701&amp;PERIODTYPE=QTR_STD&amp;SCFT=3&amp;window=popup_no_bar&amp;width=385&amp;height=120&amp;START_MAXIMIZED=FALSE&amp;creator=factset&amp;display_string=Audit"}</definedName>
    <definedName name="_3171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3172__FDSAUDITLINK__" hidden="1">{"fdsup://Directions/FactSet Auditing Viewer?action=AUDIT_VALUE&amp;DB=129&amp;ID1=81685010&amp;VALUEID=02001&amp;SDATE=200603&amp;PERIODTYPE=QTR_STD&amp;SCFT=3&amp;window=popup_no_bar&amp;width=385&amp;height=120&amp;START_MAXIMIZED=FALSE&amp;creator=factset&amp;display_string=Audit"}</definedName>
    <definedName name="_3173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3174__FDSAUDITLINK__" hidden="1">{"fdsup://Directions/FactSet Auditing Viewer?action=AUDIT_VALUE&amp;DB=129&amp;ID1=81685010&amp;VALUEID=02001&amp;SDATE=200602&amp;PERIODTYPE=QTR_STD&amp;SCFT=3&amp;window=popup_no_bar&amp;width=385&amp;height=120&amp;START_MAXIMIZED=FALSE&amp;creator=factset&amp;display_string=Audit"}</definedName>
    <definedName name="_3175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3176__FDSAUDITLINK__" hidden="1">{"fdsup://Directions/FactSet Auditing Viewer?action=AUDIT_VALUE&amp;DB=129&amp;ID1=81685010&amp;VALUEID=02001&amp;SDATE=200601&amp;PERIODTYPE=QTR_STD&amp;SCFT=3&amp;window=popup_no_bar&amp;width=385&amp;height=120&amp;START_MAXIMIZED=FALSE&amp;creator=factset&amp;display_string=Audit"}</definedName>
    <definedName name="_3177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3178__FDSAUDITLINK__" hidden="1">{"fdsup://Directions/FactSet Auditing Viewer?action=AUDIT_VALUE&amp;DB=129&amp;ID1=81685010&amp;VALUEID=02001&amp;SDATE=200503&amp;PERIODTYPE=QTR_STD&amp;SCFT=3&amp;window=popup_no_bar&amp;width=385&amp;height=120&amp;START_MAXIMIZED=FALSE&amp;creator=factset&amp;display_string=Audit"}</definedName>
    <definedName name="_3179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318__FDSAUDITLINK__" hidden="1">{"fdsup://Directions/FactSet Auditing Viewer?action=AUDIT_VALUE&amp;DB=129&amp;ID1=87160710&amp;VALUEID=02001&amp;SDATE=201004&amp;PERIODTYPE=QTR_STD&amp;SCFT=3&amp;window=popup_no_bar&amp;width=385&amp;height=120&amp;START_MAXIMIZED=FALSE&amp;creator=factset&amp;display_string=Audit"}</definedName>
    <definedName name="_3180__FDSAUDITLINK__" hidden="1">{"fdsup://Directions/FactSet Auditing Viewer?action=AUDIT_VALUE&amp;DB=129&amp;ID1=81685010&amp;VALUEID=02001&amp;SDATE=200502&amp;PERIODTYPE=QTR_STD&amp;SCFT=3&amp;window=popup_no_bar&amp;width=385&amp;height=120&amp;START_MAXIMIZED=FALSE&amp;creator=factset&amp;display_string=Audit"}</definedName>
    <definedName name="_3181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3182__FDSAUDITLINK__" hidden="1">{"fdsup://Directions/FactSet Auditing Viewer?action=AUDIT_VALUE&amp;DB=129&amp;ID1=81685010&amp;VALUEID=02001&amp;SDATE=200501&amp;PERIODTYPE=QTR_STD&amp;SCFT=3&amp;window=popup_no_bar&amp;width=385&amp;height=120&amp;START_MAXIMIZED=FALSE&amp;creator=factset&amp;display_string=Audit"}</definedName>
    <definedName name="_3183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3184__FDSAUDITLINK__" hidden="1">{"fdsup://Directions/FactSet Auditing Viewer?action=AUDIT_VALUE&amp;DB=129&amp;ID1=81685010&amp;VALUEID=02001&amp;SDATE=200403&amp;PERIODTYPE=QTR_STD&amp;SCFT=3&amp;window=popup_no_bar&amp;width=385&amp;height=120&amp;START_MAXIMIZED=FALSE&amp;creator=factset&amp;display_string=Audit"}</definedName>
    <definedName name="_3185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3186__FDSAUDITLINK__" hidden="1">{"fdsup://Directions/FactSet Auditing Viewer?action=AUDIT_VALUE&amp;DB=129&amp;ID1=81685010&amp;VALUEID=02001&amp;SDATE=200402&amp;PERIODTYPE=QTR_STD&amp;SCFT=3&amp;window=popup_no_bar&amp;width=385&amp;height=120&amp;START_MAXIMIZED=FALSE&amp;creator=factset&amp;display_string=Audit"}</definedName>
    <definedName name="_3187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188__FDSAUDITLINK__" hidden="1">{"fdsup://Directions/FactSet Auditing Viewer?action=AUDIT_VALUE&amp;DB=129&amp;ID1=81685010&amp;VALUEID=02001&amp;SDATE=200401&amp;PERIODTYPE=QTR_STD&amp;SCFT=3&amp;window=popup_no_bar&amp;width=385&amp;height=120&amp;START_MAXIMIZED=FALSE&amp;creator=factset&amp;display_string=Audit"}</definedName>
    <definedName name="_3189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319__FDSAUDITLINK__" hidden="1">{"fdsup://Directions/FactSet Auditing Viewer?action=AUDIT_VALUE&amp;DB=129&amp;ID1=80004C10&amp;VALUEID=02001&amp;SDATE=201003&amp;PERIODTYPE=QTR_STD&amp;SCFT=3&amp;window=popup_no_bar&amp;width=385&amp;height=120&amp;START_MAXIMIZED=FALSE&amp;creator=factset&amp;display_string=Audit"}</definedName>
    <definedName name="_3190__FDSAUDITLINK__" hidden="1">{"fdsup://Directions/FactSet Auditing Viewer?action=AUDIT_VALUE&amp;DB=129&amp;ID1=82691910&amp;VALUEID=02001&amp;SDATE=200801&amp;PERIODTYPE=QTR_STD&amp;SCFT=3&amp;window=popup_no_bar&amp;width=385&amp;height=120&amp;START_MAXIMIZED=FALSE&amp;creator=factset&amp;display_string=Audit"}</definedName>
    <definedName name="_3191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3192__FDSAUDITLINK__" hidden="1">{"fdsup://Directions/FactSet Auditing Viewer?action=AUDIT_VALUE&amp;DB=129&amp;ID1=82691910&amp;VALUEID=02001&amp;SDATE=200703&amp;PERIODTYPE=QTR_STD&amp;SCFT=3&amp;window=popup_no_bar&amp;width=385&amp;height=120&amp;START_MAXIMIZED=FALSE&amp;creator=factset&amp;display_string=Audit"}</definedName>
    <definedName name="_3193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3194__FDSAUDITLINK__" hidden="1">{"fdsup://Directions/FactSet Auditing Viewer?action=AUDIT_VALUE&amp;DB=129&amp;ID1=82691910&amp;VALUEID=02001&amp;SDATE=200702&amp;PERIODTYPE=QTR_STD&amp;SCFT=3&amp;window=popup_no_bar&amp;width=385&amp;height=120&amp;START_MAXIMIZED=FALSE&amp;creator=factset&amp;display_string=Audit"}</definedName>
    <definedName name="_3195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3196__FDSAUDITLINK__" hidden="1">{"fdsup://Directions/FactSet Auditing Viewer?action=AUDIT_VALUE&amp;DB=129&amp;ID1=82691910&amp;VALUEID=02001&amp;SDATE=200701&amp;PERIODTYPE=QTR_STD&amp;SCFT=3&amp;window=popup_no_bar&amp;width=385&amp;height=120&amp;START_MAXIMIZED=FALSE&amp;creator=factset&amp;display_string=Audit"}</definedName>
    <definedName name="_3197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3198__FDSAUDITLINK__" hidden="1">{"fdsup://Directions/FactSet Auditing Viewer?action=AUDIT_VALUE&amp;DB=129&amp;ID1=82691910&amp;VALUEID=02001&amp;SDATE=200603&amp;PERIODTYPE=QTR_STD&amp;SCFT=3&amp;window=popup_no_bar&amp;width=385&amp;height=120&amp;START_MAXIMIZED=FALSE&amp;creator=factset&amp;display_string=Audit"}</definedName>
    <definedName name="_3199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32__FDSAUDITLINK__" hidden="1">{"fdsup://Directions/FactSet Auditing Viewer?action=AUDIT_VALUE&amp;DB=129&amp;ID1=82691910&amp;VALUEID=02001&amp;SDATE=201101&amp;PERIODTYPE=QTR_STD&amp;SCFT=3&amp;window=popup_no_bar&amp;width=385&amp;height=120&amp;START_MAXIMIZED=FALSE&amp;creator=factset&amp;display_string=Audit"}</definedName>
    <definedName name="_320__FDSAUDITLINK__" hidden="1">{"fdsup://Directions/FactSet Auditing Viewer?action=AUDIT_VALUE&amp;DB=129&amp;ID1=80004C10&amp;VALUEID=02001&amp;SDATE=201003&amp;PERIODTYPE=QTR_STD&amp;SCFT=3&amp;window=popup_no_bar&amp;width=385&amp;height=120&amp;START_MAXIMIZED=FALSE&amp;creator=factset&amp;display_string=Audit"}</definedName>
    <definedName name="_3200__FDSAUDITLINK__" hidden="1">{"fdsup://Directions/FactSet Auditing Viewer?action=AUDIT_VALUE&amp;DB=129&amp;ID1=82691910&amp;VALUEID=02001&amp;SDATE=200602&amp;PERIODTYPE=QTR_STD&amp;SCFT=3&amp;window=popup_no_bar&amp;width=385&amp;height=120&amp;START_MAXIMIZED=FALSE&amp;creator=factset&amp;display_string=Audit"}</definedName>
    <definedName name="_3201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3202__FDSAUDITLINK__" hidden="1">{"fdsup://Directions/FactSet Auditing Viewer?action=AUDIT_VALUE&amp;DB=129&amp;ID1=82691910&amp;VALUEID=02001&amp;SDATE=200601&amp;PERIODTYPE=QTR_STD&amp;SCFT=3&amp;window=popup_no_bar&amp;width=385&amp;height=120&amp;START_MAXIMIZED=FALSE&amp;creator=factset&amp;display_string=Audit"}</definedName>
    <definedName name="_3203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3204__FDSAUDITLINK__" hidden="1">{"fdsup://Directions/FactSet Auditing Viewer?action=AUDIT_VALUE&amp;DB=129&amp;ID1=82691910&amp;VALUEID=02001&amp;SDATE=200503&amp;PERIODTYPE=QTR_STD&amp;SCFT=3&amp;window=popup_no_bar&amp;width=385&amp;height=120&amp;START_MAXIMIZED=FALSE&amp;creator=factset&amp;display_string=Audit"}</definedName>
    <definedName name="_3205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3206__FDSAUDITLINK__" hidden="1">{"fdsup://Directions/FactSet Auditing Viewer?action=AUDIT_VALUE&amp;DB=129&amp;ID1=82691910&amp;VALUEID=02001&amp;SDATE=200502&amp;PERIODTYPE=QTR_STD&amp;SCFT=3&amp;window=popup_no_bar&amp;width=385&amp;height=120&amp;START_MAXIMIZED=FALSE&amp;creator=factset&amp;display_string=Audit"}</definedName>
    <definedName name="_3207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3208__FDSAUDITLINK__" hidden="1">{"fdsup://Directions/FactSet Auditing Viewer?action=AUDIT_VALUE&amp;DB=129&amp;ID1=82691910&amp;VALUEID=02001&amp;SDATE=200501&amp;PERIODTYPE=QTR_STD&amp;SCFT=3&amp;window=popup_no_bar&amp;width=385&amp;height=120&amp;START_MAXIMIZED=FALSE&amp;creator=factset&amp;display_string=Audit"}</definedName>
    <definedName name="_3209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321__FDSAUDITLINK__" hidden="1">{"fdsup://Directions/FactSet Auditing Viewer?action=AUDIT_VALUE&amp;DB=129&amp;ID1=81685010&amp;VALUEID=02001&amp;SDATE=201003&amp;PERIODTYPE=QTR_STD&amp;SCFT=3&amp;window=popup_no_bar&amp;width=385&amp;height=120&amp;START_MAXIMIZED=FALSE&amp;creator=factset&amp;display_string=Audit"}</definedName>
    <definedName name="_3210__FDSAUDITLINK__" hidden="1">{"fdsup://Directions/FactSet Auditing Viewer?action=AUDIT_VALUE&amp;DB=129&amp;ID1=82691910&amp;VALUEID=02001&amp;SDATE=200403&amp;PERIODTYPE=QTR_STD&amp;SCFT=3&amp;window=popup_no_bar&amp;width=385&amp;height=120&amp;START_MAXIMIZED=FALSE&amp;creator=factset&amp;display_string=Audit"}</definedName>
    <definedName name="_3211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3212__FDSAUDITLINK__" hidden="1">{"fdsup://Directions/FactSet Auditing Viewer?action=AUDIT_VALUE&amp;DB=129&amp;ID1=82691910&amp;VALUEID=02001&amp;SDATE=200402&amp;PERIODTYPE=QTR_STD&amp;SCFT=3&amp;window=popup_no_bar&amp;width=385&amp;height=120&amp;START_MAXIMIZED=FALSE&amp;creator=factset&amp;display_string=Audit"}</definedName>
    <definedName name="_3213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214__FDSAUDITLINK__" hidden="1">{"fdsup://Directions/FactSet Auditing Viewer?action=AUDIT_VALUE&amp;DB=129&amp;ID1=82691910&amp;VALUEID=02001&amp;SDATE=200401&amp;PERIODTYPE=QTR_STD&amp;SCFT=3&amp;window=popup_no_bar&amp;width=385&amp;height=120&amp;START_MAXIMIZED=FALSE&amp;creator=factset&amp;display_string=Audit"}</definedName>
    <definedName name="_3215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3216__FDSAUDITLINK__" hidden="1">{"fdsup://Directions/FactSet Auditing Viewer?action=AUDIT_VALUE&amp;DB=129&amp;ID1=82705T10&amp;VALUEID=02001&amp;SDATE=200801&amp;PERIODTYPE=QTR_STD&amp;SCFT=3&amp;window=popup_no_bar&amp;width=385&amp;height=120&amp;START_MAXIMIZED=FALSE&amp;creator=factset&amp;display_string=Audit"}</definedName>
    <definedName name="_3217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3218__FDSAUDITLINK__" hidden="1">{"fdsup://Directions/FactSet Auditing Viewer?action=AUDIT_VALUE&amp;DB=129&amp;ID1=82705T10&amp;VALUEID=02001&amp;SDATE=200703&amp;PERIODTYPE=QTR_STD&amp;SCFT=3&amp;window=popup_no_bar&amp;width=385&amp;height=120&amp;START_MAXIMIZED=FALSE&amp;creator=factset&amp;display_string=Audit"}</definedName>
    <definedName name="_3219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322__FDSAUDITLINK__" hidden="1">{"fdsup://Directions/FactSet Auditing Viewer?action=AUDIT_VALUE&amp;DB=129&amp;ID1=81685010&amp;VALUEID=02001&amp;SDATE=201003&amp;PERIODTYPE=QTR_STD&amp;SCFT=3&amp;window=popup_no_bar&amp;width=385&amp;height=120&amp;START_MAXIMIZED=FALSE&amp;creator=factset&amp;display_string=Audit"}</definedName>
    <definedName name="_3220__FDSAUDITLINK__" hidden="1">{"fdsup://Directions/FactSet Auditing Viewer?action=AUDIT_VALUE&amp;DB=129&amp;ID1=82705T10&amp;VALUEID=02001&amp;SDATE=200702&amp;PERIODTYPE=QTR_STD&amp;SCFT=3&amp;window=popup_no_bar&amp;width=385&amp;height=120&amp;START_MAXIMIZED=FALSE&amp;creator=factset&amp;display_string=Audit"}</definedName>
    <definedName name="_3221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3222__FDSAUDITLINK__" hidden="1">{"fdsup://Directions/FactSet Auditing Viewer?action=AUDIT_VALUE&amp;DB=129&amp;ID1=82705T10&amp;VALUEID=02001&amp;SDATE=200701&amp;PERIODTYPE=QTR_STD&amp;SCFT=3&amp;window=popup_no_bar&amp;width=385&amp;height=120&amp;START_MAXIMIZED=FALSE&amp;creator=factset&amp;display_string=Audit"}</definedName>
    <definedName name="_3223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3224__FDSAUDITLINK__" hidden="1">{"fdsup://Directions/FactSet Auditing Viewer?action=AUDIT_VALUE&amp;DB=129&amp;ID1=82705T10&amp;VALUEID=02001&amp;SDATE=200603&amp;PERIODTYPE=QTR_STD&amp;SCFT=3&amp;window=popup_no_bar&amp;width=385&amp;height=120&amp;START_MAXIMIZED=FALSE&amp;creator=factset&amp;display_string=Audit"}</definedName>
    <definedName name="_3225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3226__FDSAUDITLINK__" hidden="1">{"fdsup://Directions/FactSet Auditing Viewer?action=AUDIT_VALUE&amp;DB=129&amp;ID1=82705T10&amp;VALUEID=02001&amp;SDATE=200602&amp;PERIODTYPE=QTR_STD&amp;SCFT=3&amp;window=popup_no_bar&amp;width=385&amp;height=120&amp;START_MAXIMIZED=FALSE&amp;creator=factset&amp;display_string=Audit"}</definedName>
    <definedName name="_3227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3228__FDSAUDITLINK__" hidden="1">{"fdsup://Directions/FactSet Auditing Viewer?action=AUDIT_VALUE&amp;DB=129&amp;ID1=82705T10&amp;VALUEID=02001&amp;SDATE=200601&amp;PERIODTYPE=QTR_STD&amp;SCFT=3&amp;window=popup_no_bar&amp;width=385&amp;height=120&amp;START_MAXIMIZED=FALSE&amp;creator=factset&amp;display_string=Audit"}</definedName>
    <definedName name="_3229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323__FDSAUDITLINK__" hidden="1">{"fdsup://Directions/FactSet Auditing Viewer?action=AUDIT_VALUE&amp;DB=129&amp;ID1=82691910&amp;VALUEID=02001&amp;SDATE=201003&amp;PERIODTYPE=QTR_STD&amp;SCFT=3&amp;window=popup_no_bar&amp;width=385&amp;height=120&amp;START_MAXIMIZED=FALSE&amp;creator=factset&amp;display_string=Audit"}</definedName>
    <definedName name="_3230__FDSAUDITLINK__" hidden="1">{"fdsup://Directions/FactSet Auditing Viewer?action=AUDIT_VALUE&amp;DB=129&amp;ID1=82705T10&amp;VALUEID=02001&amp;SDATE=200503&amp;PERIODTYPE=QTR_STD&amp;SCFT=3&amp;window=popup_no_bar&amp;width=385&amp;height=120&amp;START_MAXIMIZED=FALSE&amp;creator=factset&amp;display_string=Audit"}</definedName>
    <definedName name="_3231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3232__FDSAUDITLINK__" hidden="1">{"fdsup://Directions/FactSet Auditing Viewer?action=AUDIT_VALUE&amp;DB=129&amp;ID1=82705T10&amp;VALUEID=02001&amp;SDATE=200502&amp;PERIODTYPE=QTR_STD&amp;SCFT=3&amp;window=popup_no_bar&amp;width=385&amp;height=120&amp;START_MAXIMIZED=FALSE&amp;creator=factset&amp;display_string=Audit"}</definedName>
    <definedName name="_3233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3234__FDSAUDITLINK__" hidden="1">{"fdsup://Directions/FactSet Auditing Viewer?action=AUDIT_VALUE&amp;DB=129&amp;ID1=82705T10&amp;VALUEID=02001&amp;SDATE=200501&amp;PERIODTYPE=QTR_STD&amp;SCFT=3&amp;window=popup_no_bar&amp;width=385&amp;height=120&amp;START_MAXIMIZED=FALSE&amp;creator=factset&amp;display_string=Audit"}</definedName>
    <definedName name="_3235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3236__FDSAUDITLINK__" hidden="1">{"fdsup://Directions/FactSet Auditing Viewer?action=AUDIT_VALUE&amp;DB=129&amp;ID1=82705T10&amp;VALUEID=02001&amp;SDATE=200403&amp;PERIODTYPE=QTR_STD&amp;SCFT=3&amp;window=popup_no_bar&amp;width=385&amp;height=120&amp;START_MAXIMIZED=FALSE&amp;creator=factset&amp;display_string=Audit"}</definedName>
    <definedName name="_3237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3238__FDSAUDITLINK__" hidden="1">{"fdsup://Directions/FactSet Auditing Viewer?action=AUDIT_VALUE&amp;DB=129&amp;ID1=82705T10&amp;VALUEID=02001&amp;SDATE=200402&amp;PERIODTYPE=QTR_STD&amp;SCFT=3&amp;window=popup_no_bar&amp;width=385&amp;height=120&amp;START_MAXIMIZED=FALSE&amp;creator=factset&amp;display_string=Audit"}</definedName>
    <definedName name="_3239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24__FDSAUDITLINK__" hidden="1">{"fdsup://Directions/FactSet Auditing Viewer?action=AUDIT_VALUE&amp;DB=129&amp;ID1=82691910&amp;VALUEID=02001&amp;SDATE=201003&amp;PERIODTYPE=QTR_STD&amp;SCFT=3&amp;window=popup_no_bar&amp;width=385&amp;height=120&amp;START_MAXIMIZED=FALSE&amp;creator=factset&amp;display_string=Audit"}</definedName>
    <definedName name="_3240__FDSAUDITLINK__" hidden="1">{"fdsup://Directions/FactSet Auditing Viewer?action=AUDIT_VALUE&amp;DB=129&amp;ID1=82705T10&amp;VALUEID=02001&amp;SDATE=200401&amp;PERIODTYPE=QTR_STD&amp;SCFT=3&amp;window=popup_no_bar&amp;width=385&amp;height=120&amp;START_MAXIMIZED=FALSE&amp;creator=factset&amp;display_string=Audit"}</definedName>
    <definedName name="_3241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3242__FDSAUDITLINK__" hidden="1">{"fdsup://Directions/FactSet Auditing Viewer?action=AUDIT_VALUE&amp;DB=129&amp;ID1=75091710&amp;VALUEID=02001&amp;SDATE=200801&amp;PERIODTYPE=QTR_STD&amp;SCFT=3&amp;window=popup_no_bar&amp;width=385&amp;height=120&amp;START_MAXIMIZED=FALSE&amp;creator=factset&amp;display_string=Audit"}</definedName>
    <definedName name="_3243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3244__FDSAUDITLINK__" hidden="1">{"fdsup://Directions/FactSet Auditing Viewer?action=AUDIT_VALUE&amp;DB=129&amp;ID1=75091710&amp;VALUEID=02001&amp;SDATE=200703&amp;PERIODTYPE=QTR_STD&amp;SCFT=3&amp;window=popup_no_bar&amp;width=385&amp;height=120&amp;START_MAXIMIZED=FALSE&amp;creator=factset&amp;display_string=Audit"}</definedName>
    <definedName name="_3245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3246__FDSAUDITLINK__" hidden="1">{"fdsup://Directions/FactSet Auditing Viewer?action=AUDIT_VALUE&amp;DB=129&amp;ID1=75091710&amp;VALUEID=02001&amp;SDATE=200702&amp;PERIODTYPE=QTR_STD&amp;SCFT=3&amp;window=popup_no_bar&amp;width=385&amp;height=120&amp;START_MAXIMIZED=FALSE&amp;creator=factset&amp;display_string=Audit"}</definedName>
    <definedName name="_3247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3248__FDSAUDITLINK__" hidden="1">{"fdsup://Directions/FactSet Auditing Viewer?action=AUDIT_VALUE&amp;DB=129&amp;ID1=75091710&amp;VALUEID=02001&amp;SDATE=200701&amp;PERIODTYPE=QTR_STD&amp;SCFT=3&amp;window=popup_no_bar&amp;width=385&amp;height=120&amp;START_MAXIMIZED=FALSE&amp;creator=factset&amp;display_string=Audit"}</definedName>
    <definedName name="_3249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325__FDSAUDITLINK__" hidden="1">{"fdsup://Directions/FactSet Auditing Viewer?action=AUDIT_VALUE&amp;DB=129&amp;ID1=82705T10&amp;VALUEID=02001&amp;SDATE=201003&amp;PERIODTYPE=QTR_STD&amp;SCFT=3&amp;window=popup_no_bar&amp;width=385&amp;height=120&amp;START_MAXIMIZED=FALSE&amp;creator=factset&amp;display_string=Audit"}</definedName>
    <definedName name="_3250__FDSAUDITLINK__" hidden="1">{"fdsup://Directions/FactSet Auditing Viewer?action=AUDIT_VALUE&amp;DB=129&amp;ID1=75091710&amp;VALUEID=02001&amp;SDATE=200603&amp;PERIODTYPE=QTR_STD&amp;SCFT=3&amp;window=popup_no_bar&amp;width=385&amp;height=120&amp;START_MAXIMIZED=FALSE&amp;creator=factset&amp;display_string=Audit"}</definedName>
    <definedName name="_3251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3252__FDSAUDITLINK__" hidden="1">{"fdsup://Directions/FactSet Auditing Viewer?action=AUDIT_VALUE&amp;DB=129&amp;ID1=75091710&amp;VALUEID=02001&amp;SDATE=200602&amp;PERIODTYPE=QTR_STD&amp;SCFT=3&amp;window=popup_no_bar&amp;width=385&amp;height=120&amp;START_MAXIMIZED=FALSE&amp;creator=factset&amp;display_string=Audit"}</definedName>
    <definedName name="_3253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3254__FDSAUDITLINK__" hidden="1">{"fdsup://Directions/FactSet Auditing Viewer?action=AUDIT_VALUE&amp;DB=129&amp;ID1=75091710&amp;VALUEID=02001&amp;SDATE=200601&amp;PERIODTYPE=QTR_STD&amp;SCFT=3&amp;window=popup_no_bar&amp;width=385&amp;height=120&amp;START_MAXIMIZED=FALSE&amp;creator=factset&amp;display_string=Audit"}</definedName>
    <definedName name="_3255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3256__FDSAUDITLINK__" hidden="1">{"fdsup://Directions/FactSet Auditing Viewer?action=AUDIT_VALUE&amp;DB=129&amp;ID1=75091710&amp;VALUEID=02001&amp;SDATE=200503&amp;PERIODTYPE=QTR_STD&amp;SCFT=3&amp;window=popup_no_bar&amp;width=385&amp;height=120&amp;START_MAXIMIZED=FALSE&amp;creator=factset&amp;display_string=Audit"}</definedName>
    <definedName name="_3257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3258__FDSAUDITLINK__" hidden="1">{"fdsup://Directions/FactSet Auditing Viewer?action=AUDIT_VALUE&amp;DB=129&amp;ID1=75091710&amp;VALUEID=02001&amp;SDATE=200502&amp;PERIODTYPE=QTR_STD&amp;SCFT=3&amp;window=popup_no_bar&amp;width=385&amp;height=120&amp;START_MAXIMIZED=FALSE&amp;creator=factset&amp;display_string=Audit"}</definedName>
    <definedName name="_3259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326__FDSAUDITLINK__" hidden="1">{"fdsup://Directions/FactSet Auditing Viewer?action=AUDIT_VALUE&amp;DB=129&amp;ID1=82705T10&amp;VALUEID=02001&amp;SDATE=201003&amp;PERIODTYPE=QTR_STD&amp;SCFT=3&amp;window=popup_no_bar&amp;width=385&amp;height=120&amp;START_MAXIMIZED=FALSE&amp;creator=factset&amp;display_string=Audit"}</definedName>
    <definedName name="_3260__FDSAUDITLINK__" hidden="1">{"fdsup://Directions/FactSet Auditing Viewer?action=AUDIT_VALUE&amp;DB=129&amp;ID1=75091710&amp;VALUEID=02001&amp;SDATE=200501&amp;PERIODTYPE=QTR_STD&amp;SCFT=3&amp;window=popup_no_bar&amp;width=385&amp;height=120&amp;START_MAXIMIZED=FALSE&amp;creator=factset&amp;display_string=Audit"}</definedName>
    <definedName name="_3261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3262__FDSAUDITLINK__" hidden="1">{"fdsup://Directions/FactSet Auditing Viewer?action=AUDIT_VALUE&amp;DB=129&amp;ID1=75091710&amp;VALUEID=02001&amp;SDATE=200403&amp;PERIODTYPE=QTR_STD&amp;SCFT=3&amp;window=popup_no_bar&amp;width=385&amp;height=120&amp;START_MAXIMIZED=FALSE&amp;creator=factset&amp;display_string=Audit"}</definedName>
    <definedName name="_3263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3264__FDSAUDITLINK__" hidden="1">{"fdsup://Directions/FactSet Auditing Viewer?action=AUDIT_VALUE&amp;DB=129&amp;ID1=75091710&amp;VALUEID=02001&amp;SDATE=200402&amp;PERIODTYPE=QTR_STD&amp;SCFT=3&amp;window=popup_no_bar&amp;width=385&amp;height=120&amp;START_MAXIMIZED=FALSE&amp;creator=factset&amp;display_string=Audit"}</definedName>
    <definedName name="_3265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266__FDSAUDITLINK__" hidden="1">{"fdsup://Directions/FactSet Auditing Viewer?action=AUDIT_VALUE&amp;DB=129&amp;ID1=75091710&amp;VALUEID=02001&amp;SDATE=200401&amp;PERIODTYPE=QTR_STD&amp;SCFT=3&amp;window=popup_no_bar&amp;width=385&amp;height=120&amp;START_MAXIMIZED=FALSE&amp;creator=factset&amp;display_string=Audit"}</definedName>
    <definedName name="_3267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3268__FDSAUDITLINK__" hidden="1">{"fdsup://Directions/FactSet Auditing Viewer?action=AUDIT_VALUE&amp;DB=129&amp;ID1=74994110&amp;VALUEID=02001&amp;SDATE=200703&amp;PERIODTYPE=QTR_STD&amp;SCFT=3&amp;window=popup_no_bar&amp;width=385&amp;height=120&amp;START_MAXIMIZED=FALSE&amp;creator=factset&amp;display_string=Audit"}</definedName>
    <definedName name="_3269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327__FDSAUDITLINK__" hidden="1">{"fdsup://Directions/FactSet Auditing Viewer?action=AUDIT_VALUE&amp;DB=129&amp;ID1=75091710&amp;VALUEID=02001&amp;SDATE=201003&amp;PERIODTYPE=QTR_STD&amp;SCFT=3&amp;window=popup_no_bar&amp;width=385&amp;height=120&amp;START_MAXIMIZED=FALSE&amp;creator=factset&amp;display_string=Audit"}</definedName>
    <definedName name="_3270__FDSAUDITLINK__" hidden="1">{"fdsup://Directions/FactSet Auditing Viewer?action=AUDIT_VALUE&amp;DB=129&amp;ID1=74994110&amp;VALUEID=02001&amp;SDATE=200702&amp;PERIODTYPE=QTR_STD&amp;SCFT=3&amp;window=popup_no_bar&amp;width=385&amp;height=120&amp;START_MAXIMIZED=FALSE&amp;creator=factset&amp;display_string=Audit"}</definedName>
    <definedName name="_3271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3272__FDSAUDITLINK__" hidden="1">{"fdsup://Directions/FactSet Auditing Viewer?action=AUDIT_VALUE&amp;DB=129&amp;ID1=74994110&amp;VALUEID=02001&amp;SDATE=200701&amp;PERIODTYPE=QTR_STD&amp;SCFT=3&amp;window=popup_no_bar&amp;width=385&amp;height=120&amp;START_MAXIMIZED=FALSE&amp;creator=factset&amp;display_string=Audit"}</definedName>
    <definedName name="_3273__FDSAUDITLINK__" hidden="1">{"fdsup://Directions/FactSet Auditing Viewer?action=AUDIT_VALUE&amp;DB=129&amp;ID1=74994110&amp;VALUEID=02001&amp;SDATE=200603&amp;PERIODTYPE=QTR_STD&amp;SCFT=3&amp;window=popup_no_bar&amp;width=385&amp;height=120&amp;START_MAXIMIZED=FALSE&amp;creator=factset&amp;display_string=Audit"}</definedName>
    <definedName name="_3274__FDSAUDITLINK__" hidden="1">{"fdsup://Directions/FactSet Auditing Viewer?action=AUDIT_VALUE&amp;DB=129&amp;ID1=74994110&amp;VALUEID=02001&amp;SDATE=200603&amp;PERIODTYPE=QTR_STD&amp;SCFT=3&amp;window=popup_no_bar&amp;width=385&amp;height=120&amp;START_MAXIMIZED=FALSE&amp;creator=factset&amp;display_string=Audit"}</definedName>
    <definedName name="_3275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3276__FDSAUDITLINK__" hidden="1">{"fdsup://Directions/FactSet Auditing Viewer?action=AUDIT_VALUE&amp;DB=129&amp;ID1=74994110&amp;VALUEID=02001&amp;SDATE=200602&amp;PERIODTYPE=QTR_STD&amp;SCFT=3&amp;window=popup_no_bar&amp;width=385&amp;height=120&amp;START_MAXIMIZED=FALSE&amp;creator=factset&amp;display_string=Audit"}</definedName>
    <definedName name="_3277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3278__FDSAUDITLINK__" hidden="1">{"fdsup://Directions/FactSet Auditing Viewer?action=AUDIT_VALUE&amp;DB=129&amp;ID1=74994110&amp;VALUEID=02001&amp;SDATE=200601&amp;PERIODTYPE=QTR_STD&amp;SCFT=3&amp;window=popup_no_bar&amp;width=385&amp;height=120&amp;START_MAXIMIZED=FALSE&amp;creator=factset&amp;display_string=Audit"}</definedName>
    <definedName name="_3279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328__FDSAUDITLINK__" hidden="1">{"fdsup://Directions/FactSet Auditing Viewer?action=AUDIT_VALUE&amp;DB=129&amp;ID1=75091710&amp;VALUEID=02001&amp;SDATE=201003&amp;PERIODTYPE=QTR_STD&amp;SCFT=3&amp;window=popup_no_bar&amp;width=385&amp;height=120&amp;START_MAXIMIZED=FALSE&amp;creator=factset&amp;display_string=Audit"}</definedName>
    <definedName name="_3280__FDSAUDITLINK__" hidden="1">{"fdsup://Directions/FactSet Auditing Viewer?action=AUDIT_VALUE&amp;DB=129&amp;ID1=74994110&amp;VALUEID=02001&amp;SDATE=200503&amp;PERIODTYPE=QTR_STD&amp;SCFT=3&amp;window=popup_no_bar&amp;width=385&amp;height=120&amp;START_MAXIMIZED=FALSE&amp;creator=factset&amp;display_string=Audit"}</definedName>
    <definedName name="_3281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3282__FDSAUDITLINK__" hidden="1">{"fdsup://Directions/FactSet Auditing Viewer?action=AUDIT_VALUE&amp;DB=129&amp;ID1=74994110&amp;VALUEID=02001&amp;SDATE=200502&amp;PERIODTYPE=QTR_STD&amp;SCFT=3&amp;window=popup_no_bar&amp;width=385&amp;height=120&amp;START_MAXIMIZED=FALSE&amp;creator=factset&amp;display_string=Audit"}</definedName>
    <definedName name="_3283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3284__FDSAUDITLINK__" hidden="1">{"fdsup://Directions/FactSet Auditing Viewer?action=AUDIT_VALUE&amp;DB=129&amp;ID1=74994110&amp;VALUEID=02001&amp;SDATE=200501&amp;PERIODTYPE=QTR_STD&amp;SCFT=3&amp;window=popup_no_bar&amp;width=385&amp;height=120&amp;START_MAXIMIZED=FALSE&amp;creator=factset&amp;display_string=Audit"}</definedName>
    <definedName name="_3285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3286__FDSAUDITLINK__" hidden="1">{"fdsup://Directions/FactSet Auditing Viewer?action=AUDIT_VALUE&amp;DB=129&amp;ID1=74994110&amp;VALUEID=02001&amp;SDATE=200403&amp;PERIODTYPE=QTR_STD&amp;SCFT=3&amp;window=popup_no_bar&amp;width=385&amp;height=120&amp;START_MAXIMIZED=FALSE&amp;creator=factset&amp;display_string=Audit"}</definedName>
    <definedName name="_3287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3288__FDSAUDITLINK__" hidden="1">{"fdsup://Directions/FactSet Auditing Viewer?action=AUDIT_VALUE&amp;DB=129&amp;ID1=74994110&amp;VALUEID=02001&amp;SDATE=200402&amp;PERIODTYPE=QTR_STD&amp;SCFT=3&amp;window=popup_no_bar&amp;width=385&amp;height=120&amp;START_MAXIMIZED=FALSE&amp;creator=factset&amp;display_string=Audit"}</definedName>
    <definedName name="_3289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329__FDSAUDITLINK__" hidden="1">{"fdsup://Directions/FactSet Auditing Viewer?action=AUDIT_VALUE&amp;DB=129&amp;ID1=74994110&amp;VALUEID=02001&amp;SDATE=201002&amp;PERIODTYPE=QTR_STD&amp;SCFT=3&amp;window=popup_no_bar&amp;width=385&amp;height=120&amp;START_MAXIMIZED=FALSE&amp;creator=factset&amp;display_string=Audit"}</definedName>
    <definedName name="_3290__FDSAUDITLINK__" hidden="1">{"fdsup://Directions/FactSet Auditing Viewer?action=AUDIT_VALUE&amp;DB=129&amp;ID1=74994110&amp;VALUEID=02001&amp;SDATE=200401&amp;PERIODTYPE=QTR_STD&amp;SCFT=3&amp;window=popup_no_bar&amp;width=385&amp;height=120&amp;START_MAXIMIZED=FALSE&amp;creator=factset&amp;display_string=Audit"}</definedName>
    <definedName name="_3291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3292__FDSAUDITLINK__" hidden="1">{"fdsup://Directions/FactSet Auditing Viewer?action=AUDIT_VALUE&amp;DB=129&amp;ID1=74727710&amp;VALUEID=02001&amp;SDATE=200704&amp;PERIODTYPE=QTR_STD&amp;SCFT=3&amp;window=popup_no_bar&amp;width=385&amp;height=120&amp;START_MAXIMIZED=FALSE&amp;creator=factset&amp;display_string=Audit"}</definedName>
    <definedName name="_3293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3294__FDSAUDITLINK__" hidden="1">{"fdsup://Directions/FactSet Auditing Viewer?action=AUDIT_VALUE&amp;DB=129&amp;ID1=74727710&amp;VALUEID=02001&amp;SDATE=200703&amp;PERIODTYPE=QTR_STD&amp;SCFT=3&amp;window=popup_no_bar&amp;width=385&amp;height=120&amp;START_MAXIMIZED=FALSE&amp;creator=factset&amp;display_string=Audit"}</definedName>
    <definedName name="_3295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3296__FDSAUDITLINK__" hidden="1">{"fdsup://Directions/FactSet Auditing Viewer?action=AUDIT_VALUE&amp;DB=129&amp;ID1=74727710&amp;VALUEID=02001&amp;SDATE=200702&amp;PERIODTYPE=QTR_STD&amp;SCFT=3&amp;window=popup_no_bar&amp;width=385&amp;height=120&amp;START_MAXIMIZED=FALSE&amp;creator=factset&amp;display_string=Audit"}</definedName>
    <definedName name="_3297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3298__FDSAUDITLINK__" hidden="1">{"fdsup://Directions/FactSet Auditing Viewer?action=AUDIT_VALUE&amp;DB=129&amp;ID1=74727710&amp;VALUEID=02001&amp;SDATE=200701&amp;PERIODTYPE=QTR_STD&amp;SCFT=3&amp;window=popup_no_bar&amp;width=385&amp;height=120&amp;START_MAXIMIZED=FALSE&amp;creator=factset&amp;display_string=Audit"}</definedName>
    <definedName name="_3299__FDSAUDITLINK__" hidden="1">{"fdsup://Directions/FactSet Auditing Viewer?action=AUDIT_VALUE&amp;DB=129&amp;ID1=74727710&amp;VALUEID=02001&amp;SDATE=200603&amp;PERIODTYPE=QTR_STD&amp;SCFT=3&amp;window=popup_no_bar&amp;width=385&amp;height=120&amp;START_MAXIMIZED=FALSE&amp;creator=factset&amp;display_string=Audit"}</definedName>
    <definedName name="_33__FDSAUDITLINK__" hidden="1">{"fdsup://Directions/FactSet Auditing Viewer?action=AUDIT_VALUE&amp;DB=129&amp;ID1=82705T10&amp;VALUEID=02001&amp;SDATE=201101&amp;PERIODTYPE=QTR_STD&amp;SCFT=3&amp;window=popup_no_bar&amp;width=385&amp;height=120&amp;START_MAXIMIZED=FALSE&amp;creator=factset&amp;display_string=Audit"}</definedName>
    <definedName name="_330__FDSAUDITLINK__" hidden="1">{"fdsup://Directions/FactSet Auditing Viewer?action=AUDIT_VALUE&amp;DB=129&amp;ID1=74994110&amp;VALUEID=02001&amp;SDATE=201002&amp;PERIODTYPE=QTR_STD&amp;SCFT=3&amp;window=popup_no_bar&amp;width=385&amp;height=120&amp;START_MAXIMIZED=FALSE&amp;creator=factset&amp;display_string=Audit"}</definedName>
    <definedName name="_3300__FDSAUDITLINK__" hidden="1">{"fdsup://Directions/FactSet Auditing Viewer?action=AUDIT_VALUE&amp;DB=129&amp;ID1=74727710&amp;VALUEID=02001&amp;SDATE=200603&amp;PERIODTYPE=QTR_STD&amp;SCFT=3&amp;window=popup_no_bar&amp;width=385&amp;height=120&amp;START_MAXIMIZED=FALSE&amp;creator=factset&amp;display_string=Audit"}</definedName>
    <definedName name="_3301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3302__FDSAUDITLINK__" hidden="1">{"fdsup://Directions/FactSet Auditing Viewer?action=AUDIT_VALUE&amp;DB=129&amp;ID1=74727710&amp;VALUEID=02001&amp;SDATE=200602&amp;PERIODTYPE=QTR_STD&amp;SCFT=3&amp;window=popup_no_bar&amp;width=385&amp;height=120&amp;START_MAXIMIZED=FALSE&amp;creator=factset&amp;display_string=Audit"}</definedName>
    <definedName name="_3303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3304__FDSAUDITLINK__" hidden="1">{"fdsup://Directions/FactSet Auditing Viewer?action=AUDIT_VALUE&amp;DB=129&amp;ID1=74727710&amp;VALUEID=02001&amp;SDATE=200601&amp;PERIODTYPE=QTR_STD&amp;SCFT=3&amp;window=popup_no_bar&amp;width=385&amp;height=120&amp;START_MAXIMIZED=FALSE&amp;creator=factset&amp;display_string=Audit"}</definedName>
    <definedName name="_3305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3306__FDSAUDITLINK__" hidden="1">{"fdsup://Directions/FactSet Auditing Viewer?action=AUDIT_VALUE&amp;DB=129&amp;ID1=74727710&amp;VALUEID=02001&amp;SDATE=200503&amp;PERIODTYPE=QTR_STD&amp;SCFT=3&amp;window=popup_no_bar&amp;width=385&amp;height=120&amp;START_MAXIMIZED=FALSE&amp;creator=factset&amp;display_string=Audit"}</definedName>
    <definedName name="_3307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3308__FDSAUDITLINK__" hidden="1">{"fdsup://Directions/FactSet Auditing Viewer?action=AUDIT_VALUE&amp;DB=129&amp;ID1=74727710&amp;VALUEID=02001&amp;SDATE=200502&amp;PERIODTYPE=QTR_STD&amp;SCFT=3&amp;window=popup_no_bar&amp;width=385&amp;height=120&amp;START_MAXIMIZED=FALSE&amp;creator=factset&amp;display_string=Audit"}</definedName>
    <definedName name="_3309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331__FDSAUDITLINK__" hidden="1">{"fdsup://Directions/FactSet Auditing Viewer?action=AUDIT_VALUE&amp;DB=129&amp;ID1=74727710&amp;VALUEID=02001&amp;SDATE=201002&amp;PERIODTYPE=QTR_STD&amp;SCFT=3&amp;window=popup_no_bar&amp;width=385&amp;height=120&amp;START_MAXIMIZED=FALSE&amp;creator=factset&amp;display_string=Audit"}</definedName>
    <definedName name="_3310__FDSAUDITLINK__" hidden="1">{"fdsup://Directions/FactSet Auditing Viewer?action=AUDIT_VALUE&amp;DB=129&amp;ID1=74727710&amp;VALUEID=02001&amp;SDATE=200501&amp;PERIODTYPE=QTR_STD&amp;SCFT=3&amp;window=popup_no_bar&amp;width=385&amp;height=120&amp;START_MAXIMIZED=FALSE&amp;creator=factset&amp;display_string=Audit"}</definedName>
    <definedName name="_3311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3312__FDSAUDITLINK__" hidden="1">{"fdsup://Directions/FactSet Auditing Viewer?action=AUDIT_VALUE&amp;DB=129&amp;ID1=74727710&amp;VALUEID=02001&amp;SDATE=200403&amp;PERIODTYPE=QTR_STD&amp;SCFT=3&amp;window=popup_no_bar&amp;width=385&amp;height=120&amp;START_MAXIMIZED=FALSE&amp;creator=factset&amp;display_string=Audit"}</definedName>
    <definedName name="_3313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3314__FDSAUDITLINK__" hidden="1">{"fdsup://Directions/FactSet Auditing Viewer?action=AUDIT_VALUE&amp;DB=129&amp;ID1=74727710&amp;VALUEID=02001&amp;SDATE=200402&amp;PERIODTYPE=QTR_STD&amp;SCFT=3&amp;window=popup_no_bar&amp;width=385&amp;height=120&amp;START_MAXIMIZED=FALSE&amp;creator=factset&amp;display_string=Audit"}</definedName>
    <definedName name="_3315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3316__FDSAUDITLINK__" hidden="1">{"fdsup://Directions/FactSet Auditing Viewer?action=AUDIT_VALUE&amp;DB=129&amp;ID1=74727710&amp;VALUEID=02001&amp;SDATE=200401&amp;PERIODTYPE=QTR_STD&amp;SCFT=3&amp;window=popup_no_bar&amp;width=385&amp;height=120&amp;START_MAXIMIZED=FALSE&amp;creator=factset&amp;display_string=Audit"}</definedName>
    <definedName name="_3317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3318__FDSAUDITLINK__" hidden="1">{"fdsup://Directions/FactSet Auditing Viewer?action=AUDIT_VALUE&amp;DB=129&amp;ID1=74752510&amp;VALUEID=02001&amp;SDATE=200802&amp;PERIODTYPE=QTR_STD&amp;SCFT=3&amp;window=popup_no_bar&amp;width=385&amp;height=120&amp;START_MAXIMIZED=FALSE&amp;creator=factset&amp;display_string=Audit"}</definedName>
    <definedName name="_3319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332__FDSAUDITLINK__" hidden="1">{"fdsup://Directions/FactSet Auditing Viewer?action=AUDIT_VALUE&amp;DB=129&amp;ID1=74727710&amp;VALUEID=02001&amp;SDATE=201002&amp;PERIODTYPE=QTR_STD&amp;SCFT=3&amp;window=popup_no_bar&amp;width=385&amp;height=120&amp;START_MAXIMIZED=FALSE&amp;creator=factset&amp;display_string=Audit"}</definedName>
    <definedName name="_3320__FDSAUDITLINK__" hidden="1">{"fdsup://Directions/FactSet Auditing Viewer?action=AUDIT_VALUE&amp;DB=129&amp;ID1=74752510&amp;VALUEID=02001&amp;SDATE=200801&amp;PERIODTYPE=QTR_STD&amp;SCFT=3&amp;window=popup_no_bar&amp;width=385&amp;height=120&amp;START_MAXIMIZED=FALSE&amp;creator=factset&amp;display_string=Audit"}</definedName>
    <definedName name="_3321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3322__FDSAUDITLINK__" hidden="1">{"fdsup://Directions/FactSet Auditing Viewer?action=AUDIT_VALUE&amp;DB=129&amp;ID1=74752510&amp;VALUEID=02001&amp;SDATE=200703&amp;PERIODTYPE=QTR_STD&amp;SCFT=3&amp;window=popup_no_bar&amp;width=385&amp;height=120&amp;START_MAXIMIZED=FALSE&amp;creator=factset&amp;display_string=Audit"}</definedName>
    <definedName name="_3323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3324__FDSAUDITLINK__" hidden="1">{"fdsup://Directions/FactSet Auditing Viewer?action=AUDIT_VALUE&amp;DB=129&amp;ID1=74752510&amp;VALUEID=02001&amp;SDATE=200702&amp;PERIODTYPE=QTR_STD&amp;SCFT=3&amp;window=popup_no_bar&amp;width=385&amp;height=120&amp;START_MAXIMIZED=FALSE&amp;creator=factset&amp;display_string=Audit"}</definedName>
    <definedName name="_3325__FDSAUDITLINK__" hidden="1">{"fdsup://Directions/FactSet Auditing Viewer?action=AUDIT_VALUE&amp;DB=129&amp;ID1=74752510&amp;VALUEID=02001&amp;SDATE=200701&amp;PERIODTYPE=QTR_STD&amp;SCFT=3&amp;window=popup_no_bar&amp;width=385&amp;height=120&amp;START_MAXIMIZED=FALSE&amp;creator=factset&amp;display_string=Audit"}</definedName>
    <definedName name="_3326__FDSAUDITLINK__" hidden="1">{"fdsup://Directions/FactSet Auditing Viewer?action=AUDIT_VALUE&amp;DB=129&amp;ID1=74752510&amp;VALUEID=02001&amp;SDATE=200701&amp;PERIODTYPE=QTR_STD&amp;SCFT=3&amp;window=popup_no_bar&amp;width=385&amp;height=120&amp;START_MAXIMIZED=FALSE&amp;creator=factset&amp;display_string=Audit"}</definedName>
    <definedName name="_3327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3328__FDSAUDITLINK__" hidden="1">{"fdsup://Directions/FactSet Auditing Viewer?action=AUDIT_VALUE&amp;DB=129&amp;ID1=74752510&amp;VALUEID=02001&amp;SDATE=200603&amp;PERIODTYPE=QTR_STD&amp;SCFT=3&amp;window=popup_no_bar&amp;width=385&amp;height=120&amp;START_MAXIMIZED=FALSE&amp;creator=factset&amp;display_string=Audit"}</definedName>
    <definedName name="_3329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333__FDSAUDITLINK__" hidden="1">{"fdsup://Directions/FactSet Auditing Viewer?action=AUDIT_VALUE&amp;DB=129&amp;ID1=74752510&amp;VALUEID=02001&amp;SDATE=201004&amp;PERIODTYPE=QTR_STD&amp;SCFT=3&amp;window=popup_no_bar&amp;width=385&amp;height=120&amp;START_MAXIMIZED=FALSE&amp;creator=factset&amp;display_string=Audit"}</definedName>
    <definedName name="_3330__FDSAUDITLINK__" hidden="1">{"fdsup://Directions/FactSet Auditing Viewer?action=AUDIT_VALUE&amp;DB=129&amp;ID1=74752510&amp;VALUEID=02001&amp;SDATE=200602&amp;PERIODTYPE=QTR_STD&amp;SCFT=3&amp;window=popup_no_bar&amp;width=385&amp;height=120&amp;START_MAXIMIZED=FALSE&amp;creator=factset&amp;display_string=Audit"}</definedName>
    <definedName name="_3331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3332__FDSAUDITLINK__" hidden="1">{"fdsup://Directions/FactSet Auditing Viewer?action=AUDIT_VALUE&amp;DB=129&amp;ID1=74752510&amp;VALUEID=02001&amp;SDATE=200601&amp;PERIODTYPE=QTR_STD&amp;SCFT=3&amp;window=popup_no_bar&amp;width=385&amp;height=120&amp;START_MAXIMIZED=FALSE&amp;creator=factset&amp;display_string=Audit"}</definedName>
    <definedName name="_3333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3334__FDSAUDITLINK__" hidden="1">{"fdsup://Directions/FactSet Auditing Viewer?action=AUDIT_VALUE&amp;DB=129&amp;ID1=74752510&amp;VALUEID=02001&amp;SDATE=200503&amp;PERIODTYPE=QTR_STD&amp;SCFT=3&amp;window=popup_no_bar&amp;width=385&amp;height=120&amp;START_MAXIMIZED=FALSE&amp;creator=factset&amp;display_string=Audit"}</definedName>
    <definedName name="_3335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3336__FDSAUDITLINK__" hidden="1">{"fdsup://Directions/FactSet Auditing Viewer?action=AUDIT_VALUE&amp;DB=129&amp;ID1=74752510&amp;VALUEID=02001&amp;SDATE=200502&amp;PERIODTYPE=QTR_STD&amp;SCFT=3&amp;window=popup_no_bar&amp;width=385&amp;height=120&amp;START_MAXIMIZED=FALSE&amp;creator=factset&amp;display_string=Audit"}</definedName>
    <definedName name="_3337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3338__FDSAUDITLINK__" hidden="1">{"fdsup://Directions/FactSet Auditing Viewer?action=AUDIT_VALUE&amp;DB=129&amp;ID1=74752510&amp;VALUEID=02001&amp;SDATE=200501&amp;PERIODTYPE=QTR_STD&amp;SCFT=3&amp;window=popup_no_bar&amp;width=385&amp;height=120&amp;START_MAXIMIZED=FALSE&amp;creator=factset&amp;display_string=Audit"}</definedName>
    <definedName name="_3339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334__FDSAUDITLINK__" hidden="1">{"fdsup://Directions/FactSet Auditing Viewer?action=AUDIT_VALUE&amp;DB=129&amp;ID1=74752510&amp;VALUEID=02001&amp;SDATE=201004&amp;PERIODTYPE=QTR_STD&amp;SCFT=3&amp;window=popup_no_bar&amp;width=385&amp;height=120&amp;START_MAXIMIZED=FALSE&amp;creator=factset&amp;display_string=Audit"}</definedName>
    <definedName name="_3340__FDSAUDITLINK__" hidden="1">{"fdsup://Directions/FactSet Auditing Viewer?action=AUDIT_VALUE&amp;DB=129&amp;ID1=74752510&amp;VALUEID=02001&amp;SDATE=200403&amp;PERIODTYPE=QTR_STD&amp;SCFT=3&amp;window=popup_no_bar&amp;width=385&amp;height=120&amp;START_MAXIMIZED=FALSE&amp;creator=factset&amp;display_string=Audit"}</definedName>
    <definedName name="_3341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342__FDSAUDITLINK__" hidden="1">{"fdsup://Directions/FactSet Auditing Viewer?action=AUDIT_VALUE&amp;DB=129&amp;ID1=74752510&amp;VALUEID=02001&amp;SDATE=200402&amp;PERIODTYPE=QTR_STD&amp;SCFT=3&amp;window=popup_no_bar&amp;width=385&amp;height=120&amp;START_MAXIMIZED=FALSE&amp;creator=factset&amp;display_string=Audit"}</definedName>
    <definedName name="_3343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3344__FDSAUDITLINK__" hidden="1">{"fdsup://Directions/FactSet Auditing Viewer?action=AUDIT_VALUE&amp;DB=129&amp;ID1=72581M30&amp;VALUEID=02001&amp;SDATE=200801&amp;PERIODTYPE=QTR_STD&amp;SCFT=3&amp;window=popup_no_bar&amp;width=385&amp;height=120&amp;START_MAXIMIZED=FALSE&amp;creator=factset&amp;display_string=Audit"}</definedName>
    <definedName name="_3345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3346__FDSAUDITLINK__" hidden="1">{"fdsup://Directions/FactSet Auditing Viewer?action=AUDIT_VALUE&amp;DB=129&amp;ID1=72581M30&amp;VALUEID=02001&amp;SDATE=200703&amp;PERIODTYPE=QTR_STD&amp;SCFT=3&amp;window=popup_no_bar&amp;width=385&amp;height=120&amp;START_MAXIMIZED=FALSE&amp;creator=factset&amp;display_string=Audit"}</definedName>
    <definedName name="_3347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3348__FDSAUDITLINK__" hidden="1">{"fdsup://Directions/FactSet Auditing Viewer?action=AUDIT_VALUE&amp;DB=129&amp;ID1=72581M30&amp;VALUEID=02001&amp;SDATE=200702&amp;PERIODTYPE=QTR_STD&amp;SCFT=3&amp;window=popup_no_bar&amp;width=385&amp;height=120&amp;START_MAXIMIZED=FALSE&amp;creator=factset&amp;display_string=Audit"}</definedName>
    <definedName name="_3349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335__FDSAUDITLINK__" hidden="1">{"fdsup://Directions/FactSet Auditing Viewer?action=AUDIT_VALUE&amp;DB=129&amp;ID1=72581M30&amp;VALUEID=02001&amp;SDATE=201003&amp;PERIODTYPE=QTR_STD&amp;SCFT=3&amp;window=popup_no_bar&amp;width=385&amp;height=120&amp;START_MAXIMIZED=FALSE&amp;creator=factset&amp;display_string=Audit"}</definedName>
    <definedName name="_3350__FDSAUDITLINK__" hidden="1">{"fdsup://Directions/FactSet Auditing Viewer?action=AUDIT_VALUE&amp;DB=129&amp;ID1=72581M30&amp;VALUEID=02001&amp;SDATE=200701&amp;PERIODTYPE=QTR_STD&amp;SCFT=3&amp;window=popup_no_bar&amp;width=385&amp;height=120&amp;START_MAXIMIZED=FALSE&amp;creator=factset&amp;display_string=Audit"}</definedName>
    <definedName name="_3351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3352__FDSAUDITLINK__" hidden="1">{"fdsup://Directions/FactSet Auditing Viewer?action=AUDIT_VALUE&amp;DB=129&amp;ID1=72581M30&amp;VALUEID=02001&amp;SDATE=200603&amp;PERIODTYPE=QTR_STD&amp;SCFT=3&amp;window=popup_no_bar&amp;width=385&amp;height=120&amp;START_MAXIMIZED=FALSE&amp;creator=factset&amp;display_string=Audit"}</definedName>
    <definedName name="_3353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3354__FDSAUDITLINK__" hidden="1">{"fdsup://Directions/FactSet Auditing Viewer?action=AUDIT_VALUE&amp;DB=129&amp;ID1=72581M30&amp;VALUEID=02001&amp;SDATE=200602&amp;PERIODTYPE=QTR_STD&amp;SCFT=3&amp;window=popup_no_bar&amp;width=385&amp;height=120&amp;START_MAXIMIZED=FALSE&amp;creator=factset&amp;display_string=Audit"}</definedName>
    <definedName name="_3355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3356__FDSAUDITLINK__" hidden="1">{"fdsup://Directions/FactSet Auditing Viewer?action=AUDIT_VALUE&amp;DB=129&amp;ID1=72581M30&amp;VALUEID=02001&amp;SDATE=200601&amp;PERIODTYPE=QTR_STD&amp;SCFT=3&amp;window=popup_no_bar&amp;width=385&amp;height=120&amp;START_MAXIMIZED=FALSE&amp;creator=factset&amp;display_string=Audit"}</definedName>
    <definedName name="_3357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3358__FDSAUDITLINK__" hidden="1">{"fdsup://Directions/FactSet Auditing Viewer?action=AUDIT_VALUE&amp;DB=129&amp;ID1=72581M30&amp;VALUEID=02001&amp;SDATE=200503&amp;PERIODTYPE=QTR_STD&amp;SCFT=3&amp;window=popup_no_bar&amp;width=385&amp;height=120&amp;START_MAXIMIZED=FALSE&amp;creator=factset&amp;display_string=Audit"}</definedName>
    <definedName name="_3359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336__FDSAUDITLINK__" hidden="1">{"fdsup://Directions/FactSet Auditing Viewer?action=AUDIT_VALUE&amp;DB=129&amp;ID1=72581M30&amp;VALUEID=02001&amp;SDATE=201003&amp;PERIODTYPE=QTR_STD&amp;SCFT=3&amp;window=popup_no_bar&amp;width=385&amp;height=120&amp;START_MAXIMIZED=FALSE&amp;creator=factset&amp;display_string=Audit"}</definedName>
    <definedName name="_3360__FDSAUDITLINK__" hidden="1">{"fdsup://Directions/FactSet Auditing Viewer?action=AUDIT_VALUE&amp;DB=129&amp;ID1=72581M30&amp;VALUEID=02001&amp;SDATE=200502&amp;PERIODTYPE=QTR_STD&amp;SCFT=3&amp;window=popup_no_bar&amp;width=385&amp;height=120&amp;START_MAXIMIZED=FALSE&amp;creator=factset&amp;display_string=Audit"}</definedName>
    <definedName name="_3361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3362__FDSAUDITLINK__" hidden="1">{"fdsup://Directions/FactSet Auditing Viewer?action=AUDIT_VALUE&amp;DB=129&amp;ID1=72581M30&amp;VALUEID=02001&amp;SDATE=200501&amp;PERIODTYPE=QTR_STD&amp;SCFT=3&amp;window=popup_no_bar&amp;width=385&amp;height=120&amp;START_MAXIMIZED=FALSE&amp;creator=factset&amp;display_string=Audit"}</definedName>
    <definedName name="_3363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3364__FDSAUDITLINK__" hidden="1">{"fdsup://Directions/FactSet Auditing Viewer?action=AUDIT_VALUE&amp;DB=129&amp;ID1=72581M30&amp;VALUEID=02001&amp;SDATE=200403&amp;PERIODTYPE=QTR_STD&amp;SCFT=3&amp;window=popup_no_bar&amp;width=385&amp;height=120&amp;START_MAXIMIZED=FALSE&amp;creator=factset&amp;display_string=Audit"}</definedName>
    <definedName name="_3365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3366__FDSAUDITLINK__" hidden="1">{"fdsup://Directions/FactSet Auditing Viewer?action=AUDIT_VALUE&amp;DB=129&amp;ID1=72581M30&amp;VALUEID=02001&amp;SDATE=200402&amp;PERIODTYPE=QTR_STD&amp;SCFT=3&amp;window=popup_no_bar&amp;width=385&amp;height=120&amp;START_MAXIMIZED=FALSE&amp;creator=factset&amp;display_string=Audit"}</definedName>
    <definedName name="_3367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368__FDSAUDITLINK__" hidden="1">{"fdsup://Directions/FactSet Auditing Viewer?action=AUDIT_VALUE&amp;DB=129&amp;ID1=72581M30&amp;VALUEID=02001&amp;SDATE=200401&amp;PERIODTYPE=QTR_STD&amp;SCFT=3&amp;window=popup_no_bar&amp;width=385&amp;height=120&amp;START_MAXIMIZED=FALSE&amp;creator=factset&amp;display_string=Audit"}</definedName>
    <definedName name="_3369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337__FDSAUDITLINK__" hidden="1">{"fdsup://Directions/FactSet Auditing Viewer?action=AUDIT_VALUE&amp;DB=129&amp;ID1=73927610&amp;VALUEID=02001&amp;SDATE=201003&amp;PERIODTYPE=QTR_STD&amp;SCFT=3&amp;window=popup_no_bar&amp;width=385&amp;height=120&amp;START_MAXIMIZED=FALSE&amp;creator=factset&amp;display_string=Audit"}</definedName>
    <definedName name="_3370__FDSAUDITLINK__" hidden="1">{"fdsup://Directions/FactSet Auditing Viewer?action=AUDIT_VALUE&amp;DB=129&amp;ID1=73927610&amp;VALUEID=02001&amp;SDATE=200801&amp;PERIODTYPE=QTR_STD&amp;SCFT=3&amp;window=popup_no_bar&amp;width=385&amp;height=120&amp;START_MAXIMIZED=FALSE&amp;creator=factset&amp;display_string=Audit"}</definedName>
    <definedName name="_3371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3372__FDSAUDITLINK__" hidden="1">{"fdsup://Directions/FactSet Auditing Viewer?action=AUDIT_VALUE&amp;DB=129&amp;ID1=73927610&amp;VALUEID=02001&amp;SDATE=200703&amp;PERIODTYPE=QTR_STD&amp;SCFT=3&amp;window=popup_no_bar&amp;width=385&amp;height=120&amp;START_MAXIMIZED=FALSE&amp;creator=factset&amp;display_string=Audit"}</definedName>
    <definedName name="_3373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3374__FDSAUDITLINK__" hidden="1">{"fdsup://Directions/FactSet Auditing Viewer?action=AUDIT_VALUE&amp;DB=129&amp;ID1=73927610&amp;VALUEID=02001&amp;SDATE=200702&amp;PERIODTYPE=QTR_STD&amp;SCFT=3&amp;window=popup_no_bar&amp;width=385&amp;height=120&amp;START_MAXIMIZED=FALSE&amp;creator=factset&amp;display_string=Audit"}</definedName>
    <definedName name="_3375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3376__FDSAUDITLINK__" hidden="1">{"fdsup://Directions/FactSet Auditing Viewer?action=AUDIT_VALUE&amp;DB=129&amp;ID1=73927610&amp;VALUEID=02001&amp;SDATE=200701&amp;PERIODTYPE=QTR_STD&amp;SCFT=3&amp;window=popup_no_bar&amp;width=385&amp;height=120&amp;START_MAXIMIZED=FALSE&amp;creator=factset&amp;display_string=Audit"}</definedName>
    <definedName name="_3377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3378__FDSAUDITLINK__" hidden="1">{"fdsup://Directions/FactSet Auditing Viewer?action=AUDIT_VALUE&amp;DB=129&amp;ID1=73927610&amp;VALUEID=02001&amp;SDATE=200603&amp;PERIODTYPE=QTR_STD&amp;SCFT=3&amp;window=popup_no_bar&amp;width=385&amp;height=120&amp;START_MAXIMIZED=FALSE&amp;creator=factset&amp;display_string=Audit"}</definedName>
    <definedName name="_3379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338__FDSAUDITLINK__" hidden="1">{"fdsup://Directions/FactSet Auditing Viewer?action=AUDIT_VALUE&amp;DB=129&amp;ID1=73927610&amp;VALUEID=02001&amp;SDATE=201003&amp;PERIODTYPE=QTR_STD&amp;SCFT=3&amp;window=popup_no_bar&amp;width=385&amp;height=120&amp;START_MAXIMIZED=FALSE&amp;creator=factset&amp;display_string=Audit"}</definedName>
    <definedName name="_3380__FDSAUDITLINK__" hidden="1">{"fdsup://Directions/FactSet Auditing Viewer?action=AUDIT_VALUE&amp;DB=129&amp;ID1=73927610&amp;VALUEID=02001&amp;SDATE=200602&amp;PERIODTYPE=QTR_STD&amp;SCFT=3&amp;window=popup_no_bar&amp;width=385&amp;height=120&amp;START_MAXIMIZED=FALSE&amp;creator=factset&amp;display_string=Audit"}</definedName>
    <definedName name="_3381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3382__FDSAUDITLINK__" hidden="1">{"fdsup://Directions/FactSet Auditing Viewer?action=AUDIT_VALUE&amp;DB=129&amp;ID1=73927610&amp;VALUEID=02001&amp;SDATE=200601&amp;PERIODTYPE=QTR_STD&amp;SCFT=3&amp;window=popup_no_bar&amp;width=385&amp;height=120&amp;START_MAXIMIZED=FALSE&amp;creator=factset&amp;display_string=Audit"}</definedName>
    <definedName name="_3383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3384__FDSAUDITLINK__" hidden="1">{"fdsup://Directions/FactSet Auditing Viewer?action=AUDIT_VALUE&amp;DB=129&amp;ID1=73927610&amp;VALUEID=02001&amp;SDATE=200503&amp;PERIODTYPE=QTR_STD&amp;SCFT=3&amp;window=popup_no_bar&amp;width=385&amp;height=120&amp;START_MAXIMIZED=FALSE&amp;creator=factset&amp;display_string=Audit"}</definedName>
    <definedName name="_3385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3386__FDSAUDITLINK__" hidden="1">{"fdsup://Directions/FactSet Auditing Viewer?action=AUDIT_VALUE&amp;DB=129&amp;ID1=73927610&amp;VALUEID=02001&amp;SDATE=200502&amp;PERIODTYPE=QTR_STD&amp;SCFT=3&amp;window=popup_no_bar&amp;width=385&amp;height=120&amp;START_MAXIMIZED=FALSE&amp;creator=factset&amp;display_string=Audit"}</definedName>
    <definedName name="_3387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3388__FDSAUDITLINK__" hidden="1">{"fdsup://Directions/FactSet Auditing Viewer?action=AUDIT_VALUE&amp;DB=129&amp;ID1=73927610&amp;VALUEID=02001&amp;SDATE=200501&amp;PERIODTYPE=QTR_STD&amp;SCFT=3&amp;window=popup_no_bar&amp;width=385&amp;height=120&amp;START_MAXIMIZED=FALSE&amp;creator=factset&amp;display_string=Audit"}</definedName>
    <definedName name="_3389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339__FDSAUDITLINK__" hidden="1">{"fdsup://Directions/FactSet Auditing Viewer?action=AUDIT_VALUE&amp;DB=129&amp;ID1=69344F10&amp;VALUEID=02001&amp;SDATE=201003&amp;PERIODTYPE=QTR_STD&amp;SCFT=3&amp;window=popup_no_bar&amp;width=385&amp;height=120&amp;START_MAXIMIZED=FALSE&amp;creator=factset&amp;display_string=Audit"}</definedName>
    <definedName name="_3390__FDSAUDITLINK__" hidden="1">{"fdsup://Directions/FactSet Auditing Viewer?action=AUDIT_VALUE&amp;DB=129&amp;ID1=73927610&amp;VALUEID=02001&amp;SDATE=200403&amp;PERIODTYPE=QTR_STD&amp;SCFT=3&amp;window=popup_no_bar&amp;width=385&amp;height=120&amp;START_MAXIMIZED=FALSE&amp;creator=factset&amp;display_string=Audit"}</definedName>
    <definedName name="_3391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3392__FDSAUDITLINK__" hidden="1">{"fdsup://Directions/FactSet Auditing Viewer?action=AUDIT_VALUE&amp;DB=129&amp;ID1=73927610&amp;VALUEID=02001&amp;SDATE=200402&amp;PERIODTYPE=QTR_STD&amp;SCFT=3&amp;window=popup_no_bar&amp;width=385&amp;height=120&amp;START_MAXIMIZED=FALSE&amp;creator=factset&amp;display_string=Audit"}</definedName>
    <definedName name="_3393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394__FDSAUDITLINK__" hidden="1">{"fdsup://Directions/FactSet Auditing Viewer?action=AUDIT_VALUE&amp;DB=129&amp;ID1=73927610&amp;VALUEID=02001&amp;SDATE=200401&amp;PERIODTYPE=QTR_STD&amp;SCFT=3&amp;window=popup_no_bar&amp;width=385&amp;height=120&amp;START_MAXIMIZED=FALSE&amp;creator=factset&amp;display_string=Audit"}</definedName>
    <definedName name="_3395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3396__FDSAUDITLINK__" hidden="1">{"fdsup://Directions/FactSet Auditing Viewer?action=AUDIT_VALUE&amp;DB=129&amp;ID1=69344F10&amp;VALUEID=02001&amp;SDATE=200801&amp;PERIODTYPE=QTR_STD&amp;SCFT=3&amp;window=popup_no_bar&amp;width=385&amp;height=120&amp;START_MAXIMIZED=FALSE&amp;creator=factset&amp;display_string=Audit"}</definedName>
    <definedName name="_3397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3398__FDSAUDITLINK__" hidden="1">{"fdsup://Directions/FactSet Auditing Viewer?action=AUDIT_VALUE&amp;DB=129&amp;ID1=69344F10&amp;VALUEID=02001&amp;SDATE=200703&amp;PERIODTYPE=QTR_STD&amp;SCFT=3&amp;window=popup_no_bar&amp;width=385&amp;height=120&amp;START_MAXIMIZED=FALSE&amp;creator=factset&amp;display_string=Audit"}</definedName>
    <definedName name="_3399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34__FDSAUDITLINK__" hidden="1">{"fdsup://Directions/FactSet Auditing Viewer?action=AUDIT_VALUE&amp;DB=129&amp;ID1=82705T10&amp;VALUEID=02001&amp;SDATE=201101&amp;PERIODTYPE=QTR_STD&amp;SCFT=3&amp;window=popup_no_bar&amp;width=385&amp;height=120&amp;START_MAXIMIZED=FALSE&amp;creator=factset&amp;display_string=Audit"}</definedName>
    <definedName name="_340__FDSAUDITLINK__" hidden="1">{"fdsup://Directions/FactSet Auditing Viewer?action=AUDIT_VALUE&amp;DB=129&amp;ID1=69344F10&amp;VALUEID=02001&amp;SDATE=201003&amp;PERIODTYPE=QTR_STD&amp;SCFT=3&amp;window=popup_no_bar&amp;width=385&amp;height=120&amp;START_MAXIMIZED=FALSE&amp;creator=factset&amp;display_string=Audit"}</definedName>
    <definedName name="_3400__FDSAUDITLINK__" hidden="1">{"fdsup://Directions/FactSet Auditing Viewer?action=AUDIT_VALUE&amp;DB=129&amp;ID1=69344F10&amp;VALUEID=02001&amp;SDATE=200702&amp;PERIODTYPE=QTR_STD&amp;SCFT=3&amp;window=popup_no_bar&amp;width=385&amp;height=120&amp;START_MAXIMIZED=FALSE&amp;creator=factset&amp;display_string=Audit"}</definedName>
    <definedName name="_3401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3402__FDSAUDITLINK__" hidden="1">{"fdsup://Directions/FactSet Auditing Viewer?action=AUDIT_VALUE&amp;DB=129&amp;ID1=69344F10&amp;VALUEID=02001&amp;SDATE=200701&amp;PERIODTYPE=QTR_STD&amp;SCFT=3&amp;window=popup_no_bar&amp;width=385&amp;height=120&amp;START_MAXIMIZED=FALSE&amp;creator=factset&amp;display_string=Audit"}</definedName>
    <definedName name="_3403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3404__FDSAUDITLINK__" hidden="1">{"fdsup://Directions/FactSet Auditing Viewer?action=AUDIT_VALUE&amp;DB=129&amp;ID1=69344F10&amp;VALUEID=02001&amp;SDATE=200603&amp;PERIODTYPE=QTR_STD&amp;SCFT=3&amp;window=popup_no_bar&amp;width=385&amp;height=120&amp;START_MAXIMIZED=FALSE&amp;creator=factset&amp;display_string=Audit"}</definedName>
    <definedName name="_3405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3406__FDSAUDITLINK__" hidden="1">{"fdsup://Directions/FactSet Auditing Viewer?action=AUDIT_VALUE&amp;DB=129&amp;ID1=69344F10&amp;VALUEID=02001&amp;SDATE=200602&amp;PERIODTYPE=QTR_STD&amp;SCFT=3&amp;window=popup_no_bar&amp;width=385&amp;height=120&amp;START_MAXIMIZED=FALSE&amp;creator=factset&amp;display_string=Audit"}</definedName>
    <definedName name="_3407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3408__FDSAUDITLINK__" hidden="1">{"fdsup://Directions/FactSet Auditing Viewer?action=AUDIT_VALUE&amp;DB=129&amp;ID1=69344F10&amp;VALUEID=02001&amp;SDATE=200601&amp;PERIODTYPE=QTR_STD&amp;SCFT=3&amp;window=popup_no_bar&amp;width=385&amp;height=120&amp;START_MAXIMIZED=FALSE&amp;creator=factset&amp;display_string=Audit"}</definedName>
    <definedName name="_3409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341__FDSAUDITLINK__" hidden="1">{"fdsup://Directions/FactSet Auditing Viewer?action=AUDIT_VALUE&amp;DB=129&amp;ID1=69341710&amp;VALUEID=02001&amp;SDATE=201003&amp;PERIODTYPE=QTR_STD&amp;SCFT=3&amp;window=popup_no_bar&amp;width=385&amp;height=120&amp;START_MAXIMIZED=FALSE&amp;creator=factset&amp;display_string=Audit"}</definedName>
    <definedName name="_3410__FDSAUDITLINK__" hidden="1">{"fdsup://Directions/FactSet Auditing Viewer?action=AUDIT_VALUE&amp;DB=129&amp;ID1=69344F10&amp;VALUEID=02001&amp;SDATE=200503&amp;PERIODTYPE=QTR_STD&amp;SCFT=3&amp;window=popup_no_bar&amp;width=385&amp;height=120&amp;START_MAXIMIZED=FALSE&amp;creator=factset&amp;display_string=Audit"}</definedName>
    <definedName name="_3411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3412__FDSAUDITLINK__" hidden="1">{"fdsup://Directions/FactSet Auditing Viewer?action=AUDIT_VALUE&amp;DB=129&amp;ID1=69344F10&amp;VALUEID=02001&amp;SDATE=200502&amp;PERIODTYPE=QTR_STD&amp;SCFT=3&amp;window=popup_no_bar&amp;width=385&amp;height=120&amp;START_MAXIMIZED=FALSE&amp;creator=factset&amp;display_string=Audit"}</definedName>
    <definedName name="_3413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3414__FDSAUDITLINK__" hidden="1">{"fdsup://Directions/FactSet Auditing Viewer?action=AUDIT_VALUE&amp;DB=129&amp;ID1=69344F10&amp;VALUEID=02001&amp;SDATE=200501&amp;PERIODTYPE=QTR_STD&amp;SCFT=3&amp;window=popup_no_bar&amp;width=385&amp;height=120&amp;START_MAXIMIZED=FALSE&amp;creator=factset&amp;display_string=Audit"}</definedName>
    <definedName name="_3415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3416__FDSAUDITLINK__" hidden="1">{"fdsup://Directions/FactSet Auditing Viewer?action=AUDIT_VALUE&amp;DB=129&amp;ID1=69344F10&amp;VALUEID=02001&amp;SDATE=200403&amp;PERIODTYPE=QTR_STD&amp;SCFT=3&amp;window=popup_no_bar&amp;width=385&amp;height=120&amp;START_MAXIMIZED=FALSE&amp;creator=factset&amp;display_string=Audit"}</definedName>
    <definedName name="_3417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3418__FDSAUDITLINK__" hidden="1">{"fdsup://Directions/FactSet Auditing Viewer?action=AUDIT_VALUE&amp;DB=129&amp;ID1=69344F10&amp;VALUEID=02001&amp;SDATE=200402&amp;PERIODTYPE=QTR_STD&amp;SCFT=3&amp;window=popup_no_bar&amp;width=385&amp;height=120&amp;START_MAXIMIZED=FALSE&amp;creator=factset&amp;display_string=Audit"}</definedName>
    <definedName name="_3419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42__FDSAUDITLINK__" hidden="1">{"fdsup://Directions/FactSet Auditing Viewer?action=AUDIT_VALUE&amp;DB=129&amp;ID1=69341710&amp;VALUEID=02001&amp;SDATE=201003&amp;PERIODTYPE=QTR_STD&amp;SCFT=3&amp;window=popup_no_bar&amp;width=385&amp;height=120&amp;START_MAXIMIZED=FALSE&amp;creator=factset&amp;display_string=Audit"}</definedName>
    <definedName name="_3420__FDSAUDITLINK__" hidden="1">{"fdsup://Directions/FactSet Auditing Viewer?action=AUDIT_VALUE&amp;DB=129&amp;ID1=69344F10&amp;VALUEID=02001&amp;SDATE=200401&amp;PERIODTYPE=QTR_STD&amp;SCFT=3&amp;window=popup_no_bar&amp;width=385&amp;height=120&amp;START_MAXIMIZED=FALSE&amp;creator=factset&amp;display_string=Audit"}</definedName>
    <definedName name="_3421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3422__FDSAUDITLINK__" hidden="1">{"fdsup://Directions/FactSet Auditing Viewer?action=AUDIT_VALUE&amp;DB=129&amp;ID1=69341710&amp;VALUEID=02001&amp;SDATE=200801&amp;PERIODTYPE=QTR_STD&amp;SCFT=3&amp;window=popup_no_bar&amp;width=385&amp;height=120&amp;START_MAXIMIZED=FALSE&amp;creator=factset&amp;display_string=Audit"}</definedName>
    <definedName name="_3423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3424__FDSAUDITLINK__" hidden="1">{"fdsup://Directions/FactSet Auditing Viewer?action=AUDIT_VALUE&amp;DB=129&amp;ID1=69341710&amp;VALUEID=02001&amp;SDATE=200703&amp;PERIODTYPE=QTR_STD&amp;SCFT=3&amp;window=popup_no_bar&amp;width=385&amp;height=120&amp;START_MAXIMIZED=FALSE&amp;creator=factset&amp;display_string=Audit"}</definedName>
    <definedName name="_3425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3426__FDSAUDITLINK__" hidden="1">{"fdsup://Directions/FactSet Auditing Viewer?action=AUDIT_VALUE&amp;DB=129&amp;ID1=69341710&amp;VALUEID=02001&amp;SDATE=200702&amp;PERIODTYPE=QTR_STD&amp;SCFT=3&amp;window=popup_no_bar&amp;width=385&amp;height=120&amp;START_MAXIMIZED=FALSE&amp;creator=factset&amp;display_string=Audit"}</definedName>
    <definedName name="_3427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3428__FDSAUDITLINK__" hidden="1">{"fdsup://Directions/FactSet Auditing Viewer?action=AUDIT_VALUE&amp;DB=129&amp;ID1=69341710&amp;VALUEID=02001&amp;SDATE=200701&amp;PERIODTYPE=QTR_STD&amp;SCFT=3&amp;window=popup_no_bar&amp;width=385&amp;height=120&amp;START_MAXIMIZED=FALSE&amp;creator=factset&amp;display_string=Audit"}</definedName>
    <definedName name="_3429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343__FDSAUDITLINK__" hidden="1">{"fdsup://Directions/FactSet Auditing Viewer?action=AUDIT_VALUE&amp;DB=129&amp;ID1=68218910&amp;VALUEID=02001&amp;SDATE=201003&amp;PERIODTYPE=QTR_STD&amp;SCFT=3&amp;window=popup_no_bar&amp;width=385&amp;height=120&amp;START_MAXIMIZED=FALSE&amp;creator=factset&amp;display_string=Audit"}</definedName>
    <definedName name="_3430__FDSAUDITLINK__" hidden="1">{"fdsup://Directions/FactSet Auditing Viewer?action=AUDIT_VALUE&amp;DB=129&amp;ID1=69341710&amp;VALUEID=02001&amp;SDATE=200603&amp;PERIODTYPE=QTR_STD&amp;SCFT=3&amp;window=popup_no_bar&amp;width=385&amp;height=120&amp;START_MAXIMIZED=FALSE&amp;creator=factset&amp;display_string=Audit"}</definedName>
    <definedName name="_3431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3432__FDSAUDITLINK__" hidden="1">{"fdsup://Directions/FactSet Auditing Viewer?action=AUDIT_VALUE&amp;DB=129&amp;ID1=69341710&amp;VALUEID=02001&amp;SDATE=200602&amp;PERIODTYPE=QTR_STD&amp;SCFT=3&amp;window=popup_no_bar&amp;width=385&amp;height=120&amp;START_MAXIMIZED=FALSE&amp;creator=factset&amp;display_string=Audit"}</definedName>
    <definedName name="_3433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3434__FDSAUDITLINK__" hidden="1">{"fdsup://Directions/FactSet Auditing Viewer?action=AUDIT_VALUE&amp;DB=129&amp;ID1=69341710&amp;VALUEID=02001&amp;SDATE=200601&amp;PERIODTYPE=QTR_STD&amp;SCFT=3&amp;window=popup_no_bar&amp;width=385&amp;height=120&amp;START_MAXIMIZED=FALSE&amp;creator=factset&amp;display_string=Audit"}</definedName>
    <definedName name="_3435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3436__FDSAUDITLINK__" hidden="1">{"fdsup://Directions/FactSet Auditing Viewer?action=AUDIT_VALUE&amp;DB=129&amp;ID1=69341710&amp;VALUEID=02001&amp;SDATE=200503&amp;PERIODTYPE=QTR_STD&amp;SCFT=3&amp;window=popup_no_bar&amp;width=385&amp;height=120&amp;START_MAXIMIZED=FALSE&amp;creator=factset&amp;display_string=Audit"}</definedName>
    <definedName name="_3437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3438__FDSAUDITLINK__" hidden="1">{"fdsup://Directions/FactSet Auditing Viewer?action=AUDIT_VALUE&amp;DB=129&amp;ID1=69341710&amp;VALUEID=02001&amp;SDATE=200502&amp;PERIODTYPE=QTR_STD&amp;SCFT=3&amp;window=popup_no_bar&amp;width=385&amp;height=120&amp;START_MAXIMIZED=FALSE&amp;creator=factset&amp;display_string=Audit"}</definedName>
    <definedName name="_3439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344__FDSAUDITLINK__" hidden="1">{"fdsup://Directions/FactSet Auditing Viewer?action=AUDIT_VALUE&amp;DB=129&amp;ID1=68218910&amp;VALUEID=02001&amp;SDATE=201003&amp;PERIODTYPE=QTR_STD&amp;SCFT=3&amp;window=popup_no_bar&amp;width=385&amp;height=120&amp;START_MAXIMIZED=FALSE&amp;creator=factset&amp;display_string=Audit"}</definedName>
    <definedName name="_3440__FDSAUDITLINK__" hidden="1">{"fdsup://Directions/FactSet Auditing Viewer?action=AUDIT_VALUE&amp;DB=129&amp;ID1=69341710&amp;VALUEID=02001&amp;SDATE=200501&amp;PERIODTYPE=QTR_STD&amp;SCFT=3&amp;window=popup_no_bar&amp;width=385&amp;height=120&amp;START_MAXIMIZED=FALSE&amp;creator=factset&amp;display_string=Audit"}</definedName>
    <definedName name="_3441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3442__FDSAUDITLINK__" hidden="1">{"fdsup://Directions/FactSet Auditing Viewer?action=AUDIT_VALUE&amp;DB=129&amp;ID1=69341710&amp;VALUEID=02001&amp;SDATE=200403&amp;PERIODTYPE=QTR_STD&amp;SCFT=3&amp;window=popup_no_bar&amp;width=385&amp;height=120&amp;START_MAXIMIZED=FALSE&amp;creator=factset&amp;display_string=Audit"}</definedName>
    <definedName name="_3443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3444__FDSAUDITLINK__" hidden="1">{"fdsup://Directions/FactSet Auditing Viewer?action=AUDIT_VALUE&amp;DB=129&amp;ID1=69341710&amp;VALUEID=02001&amp;SDATE=200402&amp;PERIODTYPE=QTR_STD&amp;SCFT=3&amp;window=popup_no_bar&amp;width=385&amp;height=120&amp;START_MAXIMIZED=FALSE&amp;creator=factset&amp;display_string=Audit"}</definedName>
    <definedName name="_3445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446__FDSAUDITLINK__" hidden="1">{"fdsup://Directions/FactSet Auditing Viewer?action=AUDIT_VALUE&amp;DB=129&amp;ID1=69341710&amp;VALUEID=02001&amp;SDATE=200401&amp;PERIODTYPE=QTR_STD&amp;SCFT=3&amp;window=popup_no_bar&amp;width=385&amp;height=120&amp;START_MAXIMIZED=FALSE&amp;creator=factset&amp;display_string=Audit"}</definedName>
    <definedName name="_3447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3448__FDSAUDITLINK__" hidden="1">{"fdsup://Directions/FactSet Auditing Viewer?action=AUDIT_VALUE&amp;DB=129&amp;ID1=68218910&amp;VALUEID=02001&amp;SDATE=200801&amp;PERIODTYPE=QTR_STD&amp;SCFT=3&amp;window=popup_no_bar&amp;width=385&amp;height=120&amp;START_MAXIMIZED=FALSE&amp;creator=factset&amp;display_string=Audit"}</definedName>
    <definedName name="_3449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345__FDSAUDITLINK__" hidden="1">{"fdsup://Directions/FactSet Auditing Viewer?action=AUDIT_VALUE&amp;DB=129&amp;ID1=B505PN&amp;VALUEID=02001&amp;SDATE=201003&amp;PERIODTYPE=QTR_STD&amp;SCFT=3&amp;window=popup_no_bar&amp;width=385&amp;height=120&amp;START_MAXIMIZED=FALSE&amp;creator=factset&amp;display_string=Audit"}</definedName>
    <definedName name="_3450__FDSAUDITLINK__" hidden="1">{"fdsup://Directions/FactSet Auditing Viewer?action=AUDIT_VALUE&amp;DB=129&amp;ID1=68218910&amp;VALUEID=02001&amp;SDATE=200703&amp;PERIODTYPE=QTR_STD&amp;SCFT=3&amp;window=popup_no_bar&amp;width=385&amp;height=120&amp;START_MAXIMIZED=FALSE&amp;creator=factset&amp;display_string=Audit"}</definedName>
    <definedName name="_3451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3452__FDSAUDITLINK__" hidden="1">{"fdsup://Directions/FactSet Auditing Viewer?action=AUDIT_VALUE&amp;DB=129&amp;ID1=68218910&amp;VALUEID=02001&amp;SDATE=200702&amp;PERIODTYPE=QTR_STD&amp;SCFT=3&amp;window=popup_no_bar&amp;width=385&amp;height=120&amp;START_MAXIMIZED=FALSE&amp;creator=factset&amp;display_string=Audit"}</definedName>
    <definedName name="_3453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3454__FDSAUDITLINK__" hidden="1">{"fdsup://Directions/FactSet Auditing Viewer?action=AUDIT_VALUE&amp;DB=129&amp;ID1=68218910&amp;VALUEID=02001&amp;SDATE=200701&amp;PERIODTYPE=QTR_STD&amp;SCFT=3&amp;window=popup_no_bar&amp;width=385&amp;height=120&amp;START_MAXIMIZED=FALSE&amp;creator=factset&amp;display_string=Audit"}</definedName>
    <definedName name="_3455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3456__FDSAUDITLINK__" hidden="1">{"fdsup://Directions/FactSet Auditing Viewer?action=AUDIT_VALUE&amp;DB=129&amp;ID1=68218910&amp;VALUEID=02001&amp;SDATE=200603&amp;PERIODTYPE=QTR_STD&amp;SCFT=3&amp;window=popup_no_bar&amp;width=385&amp;height=120&amp;START_MAXIMIZED=FALSE&amp;creator=factset&amp;display_string=Audit"}</definedName>
    <definedName name="_3457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3458__FDSAUDITLINK__" hidden="1">{"fdsup://Directions/FactSet Auditing Viewer?action=AUDIT_VALUE&amp;DB=129&amp;ID1=68218910&amp;VALUEID=02001&amp;SDATE=200602&amp;PERIODTYPE=QTR_STD&amp;SCFT=3&amp;window=popup_no_bar&amp;width=385&amp;height=120&amp;START_MAXIMIZED=FALSE&amp;creator=factset&amp;display_string=Audit"}</definedName>
    <definedName name="_3459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346__FDSAUDITLINK__" hidden="1">{"fdsup://Directions/FactSet Auditing Viewer?action=AUDIT_VALUE&amp;DB=129&amp;ID1=B505PN&amp;VALUEID=02001&amp;SDATE=201003&amp;PERIODTYPE=QTR_STD&amp;SCFT=3&amp;window=popup_no_bar&amp;width=385&amp;height=120&amp;START_MAXIMIZED=FALSE&amp;creator=factset&amp;display_string=Audit"}</definedName>
    <definedName name="_3460__FDSAUDITLINK__" hidden="1">{"fdsup://Directions/FactSet Auditing Viewer?action=AUDIT_VALUE&amp;DB=129&amp;ID1=68218910&amp;VALUEID=02001&amp;SDATE=200601&amp;PERIODTYPE=QTR_STD&amp;SCFT=3&amp;window=popup_no_bar&amp;width=385&amp;height=120&amp;START_MAXIMIZED=FALSE&amp;creator=factset&amp;display_string=Audit"}</definedName>
    <definedName name="_3461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3462__FDSAUDITLINK__" hidden="1">{"fdsup://Directions/FactSet Auditing Viewer?action=AUDIT_VALUE&amp;DB=129&amp;ID1=68218910&amp;VALUEID=02001&amp;SDATE=200503&amp;PERIODTYPE=QTR_STD&amp;SCFT=3&amp;window=popup_no_bar&amp;width=385&amp;height=120&amp;START_MAXIMIZED=FALSE&amp;creator=factset&amp;display_string=Audit"}</definedName>
    <definedName name="_3463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3464__FDSAUDITLINK__" hidden="1">{"fdsup://Directions/FactSet Auditing Viewer?action=AUDIT_VALUE&amp;DB=129&amp;ID1=68218910&amp;VALUEID=02001&amp;SDATE=200502&amp;PERIODTYPE=QTR_STD&amp;SCFT=3&amp;window=popup_no_bar&amp;width=385&amp;height=120&amp;START_MAXIMIZED=FALSE&amp;creator=factset&amp;display_string=Audit"}</definedName>
    <definedName name="_3465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3466__FDSAUDITLINK__" hidden="1">{"fdsup://Directions/FactSet Auditing Viewer?action=AUDIT_VALUE&amp;DB=129&amp;ID1=68218910&amp;VALUEID=02001&amp;SDATE=200403&amp;PERIODTYPE=QTR_STD&amp;SCFT=3&amp;window=popup_no_bar&amp;width=385&amp;height=120&amp;START_MAXIMIZED=FALSE&amp;creator=factset&amp;display_string=Audit"}</definedName>
    <definedName name="_3467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3468__FDSAUDITLINK__" hidden="1">{"fdsup://Directions/FactSet Auditing Viewer?action=AUDIT_VALUE&amp;DB=129&amp;ID1=68218910&amp;VALUEID=02001&amp;SDATE=200402&amp;PERIODTYPE=QTR_STD&amp;SCFT=3&amp;window=popup_no_bar&amp;width=385&amp;height=120&amp;START_MAXIMIZED=FALSE&amp;creator=factset&amp;display_string=Audit"}</definedName>
    <definedName name="_3469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47__FDSAUDITLINK__" hidden="1">{"fdsup://Directions/FactSet Auditing Viewer?action=AUDIT_VALUE&amp;DB=129&amp;ID1=67000810&amp;VALUEID=02001&amp;SDATE=201003&amp;PERIODTYPE=QTR_STD&amp;SCFT=3&amp;window=popup_no_bar&amp;width=385&amp;height=120&amp;START_MAXIMIZED=FALSE&amp;creator=factset&amp;display_string=Audit"}</definedName>
    <definedName name="_3470__FDSAUDITLINK__" hidden="1">{"fdsup://Directions/FactSet Auditing Viewer?action=AUDIT_VALUE&amp;DB=129&amp;ID1=68218910&amp;VALUEID=02001&amp;SDATE=200401&amp;PERIODTYPE=QTR_STD&amp;SCFT=3&amp;window=popup_no_bar&amp;width=385&amp;height=120&amp;START_MAXIMIZED=FALSE&amp;creator=factset&amp;display_string=Audit"}</definedName>
    <definedName name="_3471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3472__FDSAUDITLINK__" hidden="1">{"fdsup://Directions/FactSet Auditing Viewer?action=AUDIT_VALUE&amp;DB=129&amp;ID1=B505PN&amp;VALUEID=02001&amp;SDATE=200801&amp;PERIODTYPE=QTR_STD&amp;SCFT=3&amp;window=popup_no_bar&amp;width=385&amp;height=120&amp;START_MAXIMIZED=FALSE&amp;creator=factset&amp;display_string=Audit"}</definedName>
    <definedName name="_3473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3474__FDSAUDITLINK__" hidden="1">{"fdsup://Directions/FactSet Auditing Viewer?action=AUDIT_VALUE&amp;DB=129&amp;ID1=67000810&amp;VALUEID=02001&amp;SDATE=200801&amp;PERIODTYPE=QTR_STD&amp;SCFT=3&amp;window=popup_no_bar&amp;width=385&amp;height=120&amp;START_MAXIMIZED=FALSE&amp;creator=factset&amp;display_string=Audit"}</definedName>
    <definedName name="_3475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3476__FDSAUDITLINK__" hidden="1">{"fdsup://Directions/FactSet Auditing Viewer?action=AUDIT_VALUE&amp;DB=129&amp;ID1=67000810&amp;VALUEID=02001&amp;SDATE=200703&amp;PERIODTYPE=QTR_STD&amp;SCFT=3&amp;window=popup_no_bar&amp;width=385&amp;height=120&amp;START_MAXIMIZED=FALSE&amp;creator=factset&amp;display_string=Audit"}</definedName>
    <definedName name="_3477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3478__FDSAUDITLINK__" hidden="1">{"fdsup://Directions/FactSet Auditing Viewer?action=AUDIT_VALUE&amp;DB=129&amp;ID1=67000810&amp;VALUEID=02001&amp;SDATE=200702&amp;PERIODTYPE=QTR_STD&amp;SCFT=3&amp;window=popup_no_bar&amp;width=385&amp;height=120&amp;START_MAXIMIZED=FALSE&amp;creator=factset&amp;display_string=Audit"}</definedName>
    <definedName name="_3479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348__FDSAUDITLINK__" hidden="1">{"fdsup://Directions/FactSet Auditing Viewer?action=AUDIT_VALUE&amp;DB=129&amp;ID1=67000810&amp;VALUEID=02001&amp;SDATE=201003&amp;PERIODTYPE=QTR_STD&amp;SCFT=3&amp;window=popup_no_bar&amp;width=385&amp;height=120&amp;START_MAXIMIZED=FALSE&amp;creator=factset&amp;display_string=Audit"}</definedName>
    <definedName name="_3480__FDSAUDITLINK__" hidden="1">{"fdsup://Directions/FactSet Auditing Viewer?action=AUDIT_VALUE&amp;DB=129&amp;ID1=67000810&amp;VALUEID=02001&amp;SDATE=200701&amp;PERIODTYPE=QTR_STD&amp;SCFT=3&amp;window=popup_no_bar&amp;width=385&amp;height=120&amp;START_MAXIMIZED=FALSE&amp;creator=factset&amp;display_string=Audit"}</definedName>
    <definedName name="_3481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3482__FDSAUDITLINK__" hidden="1">{"fdsup://Directions/FactSet Auditing Viewer?action=AUDIT_VALUE&amp;DB=129&amp;ID1=67000810&amp;VALUEID=02001&amp;SDATE=200603&amp;PERIODTYPE=QTR_STD&amp;SCFT=3&amp;window=popup_no_bar&amp;width=385&amp;height=120&amp;START_MAXIMIZED=FALSE&amp;creator=factset&amp;display_string=Audit"}</definedName>
    <definedName name="_3483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3484__FDSAUDITLINK__" hidden="1">{"fdsup://Directions/FactSet Auditing Viewer?action=AUDIT_VALUE&amp;DB=129&amp;ID1=67000810&amp;VALUEID=02001&amp;SDATE=200602&amp;PERIODTYPE=QTR_STD&amp;SCFT=3&amp;window=popup_no_bar&amp;width=385&amp;height=120&amp;START_MAXIMIZED=FALSE&amp;creator=factset&amp;display_string=Audit"}</definedName>
    <definedName name="_3485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3486__FDSAUDITLINK__" hidden="1">{"fdsup://Directions/FactSet Auditing Viewer?action=AUDIT_VALUE&amp;DB=129&amp;ID1=67000810&amp;VALUEID=02001&amp;SDATE=200601&amp;PERIODTYPE=QTR_STD&amp;SCFT=3&amp;window=popup_no_bar&amp;width=385&amp;height=120&amp;START_MAXIMIZED=FALSE&amp;creator=factset&amp;display_string=Audit"}</definedName>
    <definedName name="_3487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3488__FDSAUDITLINK__" hidden="1">{"fdsup://Directions/FactSet Auditing Viewer?action=AUDIT_VALUE&amp;DB=129&amp;ID1=67000810&amp;VALUEID=02001&amp;SDATE=200503&amp;PERIODTYPE=QTR_STD&amp;SCFT=3&amp;window=popup_no_bar&amp;width=385&amp;height=120&amp;START_MAXIMIZED=FALSE&amp;creator=factset&amp;display_string=Audit"}</definedName>
    <definedName name="_3489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349__FDSAUDITLINK__" hidden="1">{"fdsup://Directions/FactSet Auditing Viewer?action=AUDIT_VALUE&amp;DB=129&amp;ID1=67066G10&amp;VALUEID=02001&amp;SDATE=201003&amp;PERIODTYPE=QTR_STD&amp;SCFT=3&amp;window=popup_no_bar&amp;width=385&amp;height=120&amp;START_MAXIMIZED=FALSE&amp;creator=factset&amp;display_string=Audit"}</definedName>
    <definedName name="_3490__FDSAUDITLINK__" hidden="1">{"fdsup://Directions/FactSet Auditing Viewer?action=AUDIT_VALUE&amp;DB=129&amp;ID1=67000810&amp;VALUEID=02001&amp;SDATE=200502&amp;PERIODTYPE=QTR_STD&amp;SCFT=3&amp;window=popup_no_bar&amp;width=385&amp;height=120&amp;START_MAXIMIZED=FALSE&amp;creator=factset&amp;display_string=Audit"}</definedName>
    <definedName name="_3491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3492__FDSAUDITLINK__" hidden="1">{"fdsup://Directions/FactSet Auditing Viewer?action=AUDIT_VALUE&amp;DB=129&amp;ID1=67000810&amp;VALUEID=02001&amp;SDATE=200501&amp;PERIODTYPE=QTR_STD&amp;SCFT=3&amp;window=popup_no_bar&amp;width=385&amp;height=120&amp;START_MAXIMIZED=FALSE&amp;creator=factset&amp;display_string=Audit"}</definedName>
    <definedName name="_3493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3494__FDSAUDITLINK__" hidden="1">{"fdsup://Directions/FactSet Auditing Viewer?action=AUDIT_VALUE&amp;DB=129&amp;ID1=67000810&amp;VALUEID=02001&amp;SDATE=200403&amp;PERIODTYPE=QTR_STD&amp;SCFT=3&amp;window=popup_no_bar&amp;width=385&amp;height=120&amp;START_MAXIMIZED=FALSE&amp;creator=factset&amp;display_string=Audit"}</definedName>
    <definedName name="_3495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3496__FDSAUDITLINK__" hidden="1">{"fdsup://Directions/FactSet Auditing Viewer?action=AUDIT_VALUE&amp;DB=129&amp;ID1=67000810&amp;VALUEID=02001&amp;SDATE=200402&amp;PERIODTYPE=QTR_STD&amp;SCFT=3&amp;window=popup_no_bar&amp;width=385&amp;height=120&amp;START_MAXIMIZED=FALSE&amp;creator=factset&amp;display_string=Audit"}</definedName>
    <definedName name="_3497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498__FDSAUDITLINK__" hidden="1">{"fdsup://Directions/FactSet Auditing Viewer?action=AUDIT_VALUE&amp;DB=129&amp;ID1=67000810&amp;VALUEID=02001&amp;SDATE=200401&amp;PERIODTYPE=QTR_STD&amp;SCFT=3&amp;window=popup_no_bar&amp;width=385&amp;height=120&amp;START_MAXIMIZED=FALSE&amp;creator=factset&amp;display_string=Audit"}</definedName>
    <definedName name="_3499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35__FDSAUDITLINK__" hidden="1">{"fdsup://Directions/FactSet Auditing Viewer?action=AUDIT_VALUE&amp;DB=129&amp;ID1=75091710&amp;VALUEID=02001&amp;SDATE=201101&amp;PERIODTYPE=QTR_STD&amp;SCFT=3&amp;window=popup_no_bar&amp;width=385&amp;height=120&amp;START_MAXIMIZED=FALSE&amp;creator=factset&amp;display_string=Audit"}</definedName>
    <definedName name="_350__FDSAUDITLINK__" hidden="1">{"fdsup://Directions/FactSet Auditing Viewer?action=AUDIT_VALUE&amp;DB=129&amp;ID1=67066G10&amp;VALUEID=02001&amp;SDATE=201003&amp;PERIODTYPE=QTR_STD&amp;SCFT=3&amp;window=popup_no_bar&amp;width=385&amp;height=120&amp;START_MAXIMIZED=FALSE&amp;creator=factset&amp;display_string=Audit"}</definedName>
    <definedName name="_3500__FDSAUDITLINK__" hidden="1">{"fdsup://Directions/FactSet Auditing Viewer?action=AUDIT_VALUE&amp;DB=129&amp;ID1=67066G10&amp;VALUEID=02001&amp;SDATE=200801&amp;PERIODTYPE=QTR_STD&amp;SCFT=3&amp;window=popup_no_bar&amp;width=385&amp;height=120&amp;START_MAXIMIZED=FALSE&amp;creator=factset&amp;display_string=Audit"}</definedName>
    <definedName name="_3501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3502__FDSAUDITLINK__" hidden="1">{"fdsup://Directions/FactSet Auditing Viewer?action=AUDIT_VALUE&amp;DB=129&amp;ID1=67066G10&amp;VALUEID=02001&amp;SDATE=200703&amp;PERIODTYPE=QTR_STD&amp;SCFT=3&amp;window=popup_no_bar&amp;width=385&amp;height=120&amp;START_MAXIMIZED=FALSE&amp;creator=factset&amp;display_string=Audit"}</definedName>
    <definedName name="_3503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3504__FDSAUDITLINK__" hidden="1">{"fdsup://Directions/FactSet Auditing Viewer?action=AUDIT_VALUE&amp;DB=129&amp;ID1=67066G10&amp;VALUEID=02001&amp;SDATE=200702&amp;PERIODTYPE=QTR_STD&amp;SCFT=3&amp;window=popup_no_bar&amp;width=385&amp;height=120&amp;START_MAXIMIZED=FALSE&amp;creator=factset&amp;display_string=Audit"}</definedName>
    <definedName name="_3505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3506__FDSAUDITLINK__" hidden="1">{"fdsup://Directions/FactSet Auditing Viewer?action=AUDIT_VALUE&amp;DB=129&amp;ID1=67066G10&amp;VALUEID=02001&amp;SDATE=200701&amp;PERIODTYPE=QTR_STD&amp;SCFT=3&amp;window=popup_no_bar&amp;width=385&amp;height=120&amp;START_MAXIMIZED=FALSE&amp;creator=factset&amp;display_string=Audit"}</definedName>
    <definedName name="_3507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3508__FDSAUDITLINK__" hidden="1">{"fdsup://Directions/FactSet Auditing Viewer?action=AUDIT_VALUE&amp;DB=129&amp;ID1=67066G10&amp;VALUEID=02001&amp;SDATE=200603&amp;PERIODTYPE=QTR_STD&amp;SCFT=3&amp;window=popup_no_bar&amp;width=385&amp;height=120&amp;START_MAXIMIZED=FALSE&amp;creator=factset&amp;display_string=Audit"}</definedName>
    <definedName name="_3509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351__FDSAUDITLINK__" hidden="1">{"fdsup://Directions/FactSet Auditing Viewer?action=AUDIT_VALUE&amp;DB=129&amp;ID1=63764010&amp;VALUEID=02001&amp;SDATE=201001&amp;PERIODTYPE=QTR_STD&amp;SCFT=3&amp;window=popup_no_bar&amp;width=385&amp;height=120&amp;START_MAXIMIZED=FALSE&amp;creator=factset&amp;display_string=Audit"}</definedName>
    <definedName name="_3510__FDSAUDITLINK__" hidden="1">{"fdsup://Directions/FactSet Auditing Viewer?action=AUDIT_VALUE&amp;DB=129&amp;ID1=67066G10&amp;VALUEID=02001&amp;SDATE=200602&amp;PERIODTYPE=QTR_STD&amp;SCFT=3&amp;window=popup_no_bar&amp;width=385&amp;height=120&amp;START_MAXIMIZED=FALSE&amp;creator=factset&amp;display_string=Audit"}</definedName>
    <definedName name="_3511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3512__FDSAUDITLINK__" hidden="1">{"fdsup://Directions/FactSet Auditing Viewer?action=AUDIT_VALUE&amp;DB=129&amp;ID1=67066G10&amp;VALUEID=02001&amp;SDATE=200601&amp;PERIODTYPE=QTR_STD&amp;SCFT=3&amp;window=popup_no_bar&amp;width=385&amp;height=120&amp;START_MAXIMIZED=FALSE&amp;creator=factset&amp;display_string=Audit"}</definedName>
    <definedName name="_3513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3514__FDSAUDITLINK__" hidden="1">{"fdsup://Directions/FactSet Auditing Viewer?action=AUDIT_VALUE&amp;DB=129&amp;ID1=67066G10&amp;VALUEID=02001&amp;SDATE=200503&amp;PERIODTYPE=QTR_STD&amp;SCFT=3&amp;window=popup_no_bar&amp;width=385&amp;height=120&amp;START_MAXIMIZED=FALSE&amp;creator=factset&amp;display_string=Audit"}</definedName>
    <definedName name="_3515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3516__FDSAUDITLINK__" hidden="1">{"fdsup://Directions/FactSet Auditing Viewer?action=AUDIT_VALUE&amp;DB=129&amp;ID1=67066G10&amp;VALUEID=02001&amp;SDATE=200502&amp;PERIODTYPE=QTR_STD&amp;SCFT=3&amp;window=popup_no_bar&amp;width=385&amp;height=120&amp;START_MAXIMIZED=FALSE&amp;creator=factset&amp;display_string=Audit"}</definedName>
    <definedName name="_3517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3518__FDSAUDITLINK__" hidden="1">{"fdsup://Directions/FactSet Auditing Viewer?action=AUDIT_VALUE&amp;DB=129&amp;ID1=67066G10&amp;VALUEID=02001&amp;SDATE=200501&amp;PERIODTYPE=QTR_STD&amp;SCFT=3&amp;window=popup_no_bar&amp;width=385&amp;height=120&amp;START_MAXIMIZED=FALSE&amp;creator=factset&amp;display_string=Audit"}</definedName>
    <definedName name="_3519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352__FDSAUDITLINK__" hidden="1">{"fdsup://Directions/FactSet Auditing Viewer?action=AUDIT_VALUE&amp;DB=129&amp;ID1=63764010&amp;VALUEID=02001&amp;SDATE=201001&amp;PERIODTYPE=QTR_STD&amp;SCFT=3&amp;window=popup_no_bar&amp;width=385&amp;height=120&amp;START_MAXIMIZED=FALSE&amp;creator=factset&amp;display_string=Audit"}</definedName>
    <definedName name="_3520__FDSAUDITLINK__" hidden="1">{"fdsup://Directions/FactSet Auditing Viewer?action=AUDIT_VALUE&amp;DB=129&amp;ID1=67066G10&amp;VALUEID=02001&amp;SDATE=200403&amp;PERIODTYPE=QTR_STD&amp;SCFT=3&amp;window=popup_no_bar&amp;width=385&amp;height=120&amp;START_MAXIMIZED=FALSE&amp;creator=factset&amp;display_string=Audit"}</definedName>
    <definedName name="_3521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3522__FDSAUDITLINK__" hidden="1">{"fdsup://Directions/FactSet Auditing Viewer?action=AUDIT_VALUE&amp;DB=129&amp;ID1=67066G10&amp;VALUEID=02001&amp;SDATE=200402&amp;PERIODTYPE=QTR_STD&amp;SCFT=3&amp;window=popup_no_bar&amp;width=385&amp;height=120&amp;START_MAXIMIZED=FALSE&amp;creator=factset&amp;display_string=Audit"}</definedName>
    <definedName name="_3523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524__FDSAUDITLINK__" hidden="1">{"fdsup://Directions/FactSet Auditing Viewer?action=AUDIT_VALUE&amp;DB=129&amp;ID1=67066G10&amp;VALUEID=02001&amp;SDATE=200401&amp;PERIODTYPE=QTR_STD&amp;SCFT=3&amp;window=popup_no_bar&amp;width=385&amp;height=120&amp;START_MAXIMIZED=FALSE&amp;creator=factset&amp;display_string=Audit"}</definedName>
    <definedName name="_3525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3526__FDSAUDITLINK__" hidden="1">{"fdsup://Directions/FactSet Auditing Viewer?action=AUDIT_VALUE&amp;DB=129&amp;ID1=63764010&amp;VALUEID=02001&amp;SDATE=200703&amp;PERIODTYPE=QTR_STD&amp;SCFT=3&amp;window=popup_no_bar&amp;width=385&amp;height=120&amp;START_MAXIMIZED=FALSE&amp;creator=factset&amp;display_string=Audit"}</definedName>
    <definedName name="_3527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3528__FDSAUDITLINK__" hidden="1">{"fdsup://Directions/FactSet Auditing Viewer?action=AUDIT_VALUE&amp;DB=129&amp;ID1=63764010&amp;VALUEID=02001&amp;SDATE=200702&amp;PERIODTYPE=QTR_STD&amp;SCFT=3&amp;window=popup_no_bar&amp;width=385&amp;height=120&amp;START_MAXIMIZED=FALSE&amp;creator=factset&amp;display_string=Audit"}</definedName>
    <definedName name="_3529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353__FDSAUDITLINK__" hidden="1">{"fdsup://Directions/FactSet Auditing Viewer?action=AUDIT_VALUE&amp;DB=129&amp;ID1=64118B10&amp;VALUEID=02001&amp;SDATE=201003&amp;PERIODTYPE=QTR_STD&amp;SCFT=3&amp;window=popup_no_bar&amp;width=385&amp;height=120&amp;START_MAXIMIZED=FALSE&amp;creator=factset&amp;display_string=Audit"}</definedName>
    <definedName name="_3530__FDSAUDITLINK__" hidden="1">{"fdsup://Directions/FactSet Auditing Viewer?action=AUDIT_VALUE&amp;DB=129&amp;ID1=63764010&amp;VALUEID=02001&amp;SDATE=200701&amp;PERIODTYPE=QTR_STD&amp;SCFT=3&amp;window=popup_no_bar&amp;width=385&amp;height=120&amp;START_MAXIMIZED=FALSE&amp;creator=factset&amp;display_string=Audit"}</definedName>
    <definedName name="_3531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3532__FDSAUDITLINK__" hidden="1">{"fdsup://Directions/FactSet Auditing Viewer?action=AUDIT_VALUE&amp;DB=129&amp;ID1=63764010&amp;VALUEID=02001&amp;SDATE=200603&amp;PERIODTYPE=QTR_STD&amp;SCFT=3&amp;window=popup_no_bar&amp;width=385&amp;height=120&amp;START_MAXIMIZED=FALSE&amp;creator=factset&amp;display_string=Audit"}</definedName>
    <definedName name="_3533__FDSAUDITLINK__" hidden="1">{"fdsup://Directions/FactSet Auditing Viewer?action=AUDIT_VALUE&amp;DB=129&amp;ID1=63764010&amp;VALUEID=02001&amp;SDATE=200602&amp;PERIODTYPE=QTR_STD&amp;SCFT=3&amp;window=popup_no_bar&amp;width=385&amp;height=120&amp;START_MAXIMIZED=FALSE&amp;creator=factset&amp;display_string=Audit"}</definedName>
    <definedName name="_3534__FDSAUDITLINK__" hidden="1">{"fdsup://Directions/FactSet Auditing Viewer?action=AUDIT_VALUE&amp;DB=129&amp;ID1=63764010&amp;VALUEID=02001&amp;SDATE=200602&amp;PERIODTYPE=QTR_STD&amp;SCFT=3&amp;window=popup_no_bar&amp;width=385&amp;height=120&amp;START_MAXIMIZED=FALSE&amp;creator=factset&amp;display_string=Audit"}</definedName>
    <definedName name="_3535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3536__FDSAUDITLINK__" hidden="1">{"fdsup://Directions/FactSet Auditing Viewer?action=AUDIT_VALUE&amp;DB=129&amp;ID1=63764010&amp;VALUEID=02001&amp;SDATE=200601&amp;PERIODTYPE=QTR_STD&amp;SCFT=3&amp;window=popup_no_bar&amp;width=385&amp;height=120&amp;START_MAXIMIZED=FALSE&amp;creator=factset&amp;display_string=Audit"}</definedName>
    <definedName name="_3537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3538__FDSAUDITLINK__" hidden="1">{"fdsup://Directions/FactSet Auditing Viewer?action=AUDIT_VALUE&amp;DB=129&amp;ID1=63764010&amp;VALUEID=02001&amp;SDATE=200503&amp;PERIODTYPE=QTR_STD&amp;SCFT=3&amp;window=popup_no_bar&amp;width=385&amp;height=120&amp;START_MAXIMIZED=FALSE&amp;creator=factset&amp;display_string=Audit"}</definedName>
    <definedName name="_3539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354__FDSAUDITLINK__" hidden="1">{"fdsup://Directions/FactSet Auditing Viewer?action=AUDIT_VALUE&amp;DB=129&amp;ID1=64118B10&amp;VALUEID=02001&amp;SDATE=201003&amp;PERIODTYPE=QTR_STD&amp;SCFT=3&amp;window=popup_no_bar&amp;width=385&amp;height=120&amp;START_MAXIMIZED=FALSE&amp;creator=factset&amp;display_string=Audit"}</definedName>
    <definedName name="_3540__FDSAUDITLINK__" hidden="1">{"fdsup://Directions/FactSet Auditing Viewer?action=AUDIT_VALUE&amp;DB=129&amp;ID1=63764010&amp;VALUEID=02001&amp;SDATE=200502&amp;PERIODTYPE=QTR_STD&amp;SCFT=3&amp;window=popup_no_bar&amp;width=385&amp;height=120&amp;START_MAXIMIZED=FALSE&amp;creator=factset&amp;display_string=Audit"}</definedName>
    <definedName name="_3541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3542__FDSAUDITLINK__" hidden="1">{"fdsup://Directions/FactSet Auditing Viewer?action=AUDIT_VALUE&amp;DB=129&amp;ID1=63764010&amp;VALUEID=02001&amp;SDATE=200501&amp;PERIODTYPE=QTR_STD&amp;SCFT=3&amp;window=popup_no_bar&amp;width=385&amp;height=120&amp;START_MAXIMIZED=FALSE&amp;creator=factset&amp;display_string=Audit"}</definedName>
    <definedName name="_3543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3544__FDSAUDITLINK__" hidden="1">{"fdsup://Directions/FactSet Auditing Viewer?action=AUDIT_VALUE&amp;DB=129&amp;ID1=63764010&amp;VALUEID=02001&amp;SDATE=200403&amp;PERIODTYPE=QTR_STD&amp;SCFT=3&amp;window=popup_no_bar&amp;width=385&amp;height=120&amp;START_MAXIMIZED=FALSE&amp;creator=factset&amp;display_string=Audit"}</definedName>
    <definedName name="_3545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3546__FDSAUDITLINK__" hidden="1">{"fdsup://Directions/FactSet Auditing Viewer?action=AUDIT_VALUE&amp;DB=129&amp;ID1=63764010&amp;VALUEID=02001&amp;SDATE=200402&amp;PERIODTYPE=QTR_STD&amp;SCFT=3&amp;window=popup_no_bar&amp;width=385&amp;height=120&amp;START_MAXIMIZED=FALSE&amp;creator=factset&amp;display_string=Audit"}</definedName>
    <definedName name="_3547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3548__FDSAUDITLINK__" hidden="1">{"fdsup://Directions/FactSet Auditing Viewer?action=AUDIT_VALUE&amp;DB=129&amp;ID1=63764010&amp;VALUEID=02001&amp;SDATE=200401&amp;PERIODTYPE=QTR_STD&amp;SCFT=3&amp;window=popup_no_bar&amp;width=385&amp;height=120&amp;START_MAXIMIZED=FALSE&amp;creator=factset&amp;display_string=Audit"}</definedName>
    <definedName name="_3549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55__FDSAUDITLINK__" hidden="1">{"fdsup://Directions/FactSet Auditing Viewer?action=AUDIT_VALUE&amp;DB=129&amp;ID1=57772K10&amp;VALUEID=02001&amp;SDATE=201101&amp;PERIODTYPE=QTR_STD&amp;SCFT=3&amp;window=popup_no_bar&amp;width=385&amp;height=120&amp;START_MAXIMIZED=FALSE&amp;creator=factset&amp;display_string=Audit"}</definedName>
    <definedName name="_3550__FDSAUDITLINK__" hidden="1">{"fdsup://Directions/FactSet Auditing Viewer?action=AUDIT_VALUE&amp;DB=129&amp;ID1=63764010&amp;VALUEID=02001&amp;SDATE=200303&amp;PERIODTYPE=QTR_STD&amp;SCFT=3&amp;window=popup_no_bar&amp;width=385&amp;height=120&amp;START_MAXIMIZED=FALSE&amp;creator=factset&amp;display_string=Audit"}</definedName>
    <definedName name="_3551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3552__FDSAUDITLINK__" hidden="1">{"fdsup://Directions/FactSet Auditing Viewer?action=AUDIT_VALUE&amp;DB=129&amp;ID1=64118B10&amp;VALUEID=02001&amp;SDATE=200801&amp;PERIODTYPE=QTR_STD&amp;SCFT=3&amp;window=popup_no_bar&amp;width=385&amp;height=120&amp;START_MAXIMIZED=FALSE&amp;creator=factset&amp;display_string=Audit"}</definedName>
    <definedName name="_3553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3554__FDSAUDITLINK__" hidden="1">{"fdsup://Directions/FactSet Auditing Viewer?action=AUDIT_VALUE&amp;DB=129&amp;ID1=64118B10&amp;VALUEID=02001&amp;SDATE=200703&amp;PERIODTYPE=QTR_STD&amp;SCFT=3&amp;window=popup_no_bar&amp;width=385&amp;height=120&amp;START_MAXIMIZED=FALSE&amp;creator=factset&amp;display_string=Audit"}</definedName>
    <definedName name="_3555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3556__FDSAUDITLINK__" hidden="1">{"fdsup://Directions/FactSet Auditing Viewer?action=AUDIT_VALUE&amp;DB=129&amp;ID1=64118B10&amp;VALUEID=02001&amp;SDATE=200702&amp;PERIODTYPE=QTR_STD&amp;SCFT=3&amp;window=popup_no_bar&amp;width=385&amp;height=120&amp;START_MAXIMIZED=FALSE&amp;creator=factset&amp;display_string=Audit"}</definedName>
    <definedName name="_3557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3558__FDSAUDITLINK__" hidden="1">{"fdsup://Directions/FactSet Auditing Viewer?action=AUDIT_VALUE&amp;DB=129&amp;ID1=64118B10&amp;VALUEID=02001&amp;SDATE=200701&amp;PERIODTYPE=QTR_STD&amp;SCFT=3&amp;window=popup_no_bar&amp;width=385&amp;height=120&amp;START_MAXIMIZED=FALSE&amp;creator=factset&amp;display_string=Audit"}</definedName>
    <definedName name="_3559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356__FDSAUDITLINK__" hidden="1">{"fdsup://Directions/FactSet Auditing Viewer?action=AUDIT_VALUE&amp;DB=129&amp;ID1=57772K10&amp;VALUEID=02001&amp;SDATE=201101&amp;PERIODTYPE=QTR_STD&amp;SCFT=3&amp;window=popup_no_bar&amp;width=385&amp;height=120&amp;START_MAXIMIZED=FALSE&amp;creator=factset&amp;display_string=Audit"}</definedName>
    <definedName name="_3560__FDSAUDITLINK__" hidden="1">{"fdsup://Directions/FactSet Auditing Viewer?action=AUDIT_VALUE&amp;DB=129&amp;ID1=64118B10&amp;VALUEID=02001&amp;SDATE=200603&amp;PERIODTYPE=QTR_STD&amp;SCFT=3&amp;window=popup_no_bar&amp;width=385&amp;height=120&amp;START_MAXIMIZED=FALSE&amp;creator=factset&amp;display_string=Audit"}</definedName>
    <definedName name="_3561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3562__FDSAUDITLINK__" hidden="1">{"fdsup://Directions/FactSet Auditing Viewer?action=AUDIT_VALUE&amp;DB=129&amp;ID1=64118B10&amp;VALUEID=02001&amp;SDATE=200602&amp;PERIODTYPE=QTR_STD&amp;SCFT=3&amp;window=popup_no_bar&amp;width=385&amp;height=120&amp;START_MAXIMIZED=FALSE&amp;creator=factset&amp;display_string=Audit"}</definedName>
    <definedName name="_3563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3564__FDSAUDITLINK__" hidden="1">{"fdsup://Directions/FactSet Auditing Viewer?action=AUDIT_VALUE&amp;DB=129&amp;ID1=64118B10&amp;VALUEID=02001&amp;SDATE=200601&amp;PERIODTYPE=QTR_STD&amp;SCFT=3&amp;window=popup_no_bar&amp;width=385&amp;height=120&amp;START_MAXIMIZED=FALSE&amp;creator=factset&amp;display_string=Audit"}</definedName>
    <definedName name="_3565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3566__FDSAUDITLINK__" hidden="1">{"fdsup://Directions/FactSet Auditing Viewer?action=AUDIT_VALUE&amp;DB=129&amp;ID1=64118B10&amp;VALUEID=02001&amp;SDATE=200503&amp;PERIODTYPE=QTR_STD&amp;SCFT=3&amp;window=popup_no_bar&amp;width=385&amp;height=120&amp;START_MAXIMIZED=FALSE&amp;creator=factset&amp;display_string=Audit"}</definedName>
    <definedName name="_3567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3568__FDSAUDITLINK__" hidden="1">{"fdsup://Directions/FactSet Auditing Viewer?action=AUDIT_VALUE&amp;DB=129&amp;ID1=64118B10&amp;VALUEID=02001&amp;SDATE=200502&amp;PERIODTYPE=QTR_STD&amp;SCFT=3&amp;window=popup_no_bar&amp;width=385&amp;height=120&amp;START_MAXIMIZED=FALSE&amp;creator=factset&amp;display_string=Audit"}</definedName>
    <definedName name="_3569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357__FDSAUDITLINK__" hidden="1">{"fdsup://Directions/FactSet Auditing Viewer?action=AUDIT_VALUE&amp;DB=129&amp;ID1=59511210&amp;VALUEID=02001&amp;SDATE=201004&amp;PERIODTYPE=QTR_STD&amp;SCFT=3&amp;window=popup_no_bar&amp;width=385&amp;height=120&amp;START_MAXIMIZED=FALSE&amp;creator=factset&amp;display_string=Audit"}</definedName>
    <definedName name="_3570__FDSAUDITLINK__" hidden="1">{"fdsup://Directions/FactSet Auditing Viewer?action=AUDIT_VALUE&amp;DB=129&amp;ID1=64118B10&amp;VALUEID=02001&amp;SDATE=200501&amp;PERIODTYPE=QTR_STD&amp;SCFT=3&amp;window=popup_no_bar&amp;width=385&amp;height=120&amp;START_MAXIMIZED=FALSE&amp;creator=factset&amp;display_string=Audit"}</definedName>
    <definedName name="_3571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3572__FDSAUDITLINK__" hidden="1">{"fdsup://Directions/FactSet Auditing Viewer?action=AUDIT_VALUE&amp;DB=129&amp;ID1=64118B10&amp;VALUEID=02001&amp;SDATE=200403&amp;PERIODTYPE=QTR_STD&amp;SCFT=3&amp;window=popup_no_bar&amp;width=385&amp;height=120&amp;START_MAXIMIZED=FALSE&amp;creator=factset&amp;display_string=Audit"}</definedName>
    <definedName name="_3573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3574__FDSAUDITLINK__" hidden="1">{"fdsup://Directions/FactSet Auditing Viewer?action=AUDIT_VALUE&amp;DB=129&amp;ID1=64118B10&amp;VALUEID=02001&amp;SDATE=200402&amp;PERIODTYPE=QTR_STD&amp;SCFT=3&amp;window=popup_no_bar&amp;width=385&amp;height=120&amp;START_MAXIMIZED=FALSE&amp;creator=factset&amp;display_string=Audit"}</definedName>
    <definedName name="_3575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3576__FDSAUDITLINK__" hidden="1">{"fdsup://Directions/FactSet Auditing Viewer?action=AUDIT_VALUE&amp;DB=129&amp;ID1=57772K10&amp;VALUEID=02001&amp;SDATE=200803&amp;PERIODTYPE=QTR_STD&amp;SCFT=3&amp;window=popup_no_bar&amp;width=385&amp;height=120&amp;START_MAXIMIZED=FALSE&amp;creator=factset&amp;display_string=Audit"}</definedName>
    <definedName name="_3577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3578__FDSAUDITLINK__" hidden="1">{"fdsup://Directions/FactSet Auditing Viewer?action=AUDIT_VALUE&amp;DB=129&amp;ID1=57772K10&amp;VALUEID=02001&amp;SDATE=200802&amp;PERIODTYPE=QTR_STD&amp;SCFT=3&amp;window=popup_no_bar&amp;width=385&amp;height=120&amp;START_MAXIMIZED=FALSE&amp;creator=factset&amp;display_string=Audit"}</definedName>
    <definedName name="_3579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358__FDSAUDITLINK__" hidden="1">{"fdsup://Directions/FactSet Auditing Viewer?action=AUDIT_VALUE&amp;DB=129&amp;ID1=59511210&amp;VALUEID=02001&amp;SDATE=201004&amp;PERIODTYPE=QTR_STD&amp;SCFT=3&amp;window=popup_no_bar&amp;width=385&amp;height=120&amp;START_MAXIMIZED=FALSE&amp;creator=factset&amp;display_string=Audit"}</definedName>
    <definedName name="_3580__FDSAUDITLINK__" hidden="1">{"fdsup://Directions/FactSet Auditing Viewer?action=AUDIT_VALUE&amp;DB=129&amp;ID1=57772K10&amp;VALUEID=02001&amp;SDATE=200801&amp;PERIODTYPE=QTR_STD&amp;SCFT=3&amp;window=popup_no_bar&amp;width=385&amp;height=120&amp;START_MAXIMIZED=FALSE&amp;creator=factset&amp;display_string=Audit"}</definedName>
    <definedName name="_3581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3582__FDSAUDITLINK__" hidden="1">{"fdsup://Directions/FactSet Auditing Viewer?action=AUDIT_VALUE&amp;DB=129&amp;ID1=57772K10&amp;VALUEID=02001&amp;SDATE=200703&amp;PERIODTYPE=QTR_STD&amp;SCFT=3&amp;window=popup_no_bar&amp;width=385&amp;height=120&amp;START_MAXIMIZED=FALSE&amp;creator=factset&amp;display_string=Audit"}</definedName>
    <definedName name="_3583__FDSAUDITLINK__" hidden="1">{"fdsup://Directions/FactSet Auditing Viewer?action=AUDIT_VALUE&amp;DB=129&amp;ID1=57772K10&amp;VALUEID=02001&amp;SDATE=200702&amp;PERIODTYPE=QTR_STD&amp;SCFT=3&amp;window=popup_no_bar&amp;width=385&amp;height=120&amp;START_MAXIMIZED=FALSE&amp;creator=factset&amp;display_string=Audit"}</definedName>
    <definedName name="_3584__FDSAUDITLINK__" hidden="1">{"fdsup://Directions/FactSet Auditing Viewer?action=AUDIT_VALUE&amp;DB=129&amp;ID1=57772K10&amp;VALUEID=02001&amp;SDATE=200702&amp;PERIODTYPE=QTR_STD&amp;SCFT=3&amp;window=popup_no_bar&amp;width=385&amp;height=120&amp;START_MAXIMIZED=FALSE&amp;creator=factset&amp;display_string=Audit"}</definedName>
    <definedName name="_3585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3586__FDSAUDITLINK__" hidden="1">{"fdsup://Directions/FactSet Auditing Viewer?action=AUDIT_VALUE&amp;DB=129&amp;ID1=57772K10&amp;VALUEID=02001&amp;SDATE=200701&amp;PERIODTYPE=QTR_STD&amp;SCFT=3&amp;window=popup_no_bar&amp;width=385&amp;height=120&amp;START_MAXIMIZED=FALSE&amp;creator=factset&amp;display_string=Audit"}</definedName>
    <definedName name="_3587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3588__FDSAUDITLINK__" hidden="1">{"fdsup://Directions/FactSet Auditing Viewer?action=AUDIT_VALUE&amp;DB=129&amp;ID1=57772K10&amp;VALUEID=02001&amp;SDATE=200603&amp;PERIODTYPE=QTR_STD&amp;SCFT=3&amp;window=popup_no_bar&amp;width=385&amp;height=120&amp;START_MAXIMIZED=FALSE&amp;creator=factset&amp;display_string=Audit"}</definedName>
    <definedName name="_3589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359__FDSAUDITLINK__" hidden="1">{"fdsup://Directions/FactSet Auditing Viewer?action=AUDIT_VALUE&amp;DB=129&amp;ID1=59513710&amp;VALUEID=02001&amp;SDATE=201004&amp;PERIODTYPE=QTR_STD&amp;SCFT=3&amp;window=popup_no_bar&amp;width=385&amp;height=120&amp;START_MAXIMIZED=FALSE&amp;creator=factset&amp;display_string=Audit"}</definedName>
    <definedName name="_3590__FDSAUDITLINK__" hidden="1">{"fdsup://Directions/FactSet Auditing Viewer?action=AUDIT_VALUE&amp;DB=129&amp;ID1=57772K10&amp;VALUEID=02001&amp;SDATE=200602&amp;PERIODTYPE=QTR_STD&amp;SCFT=3&amp;window=popup_no_bar&amp;width=385&amp;height=120&amp;START_MAXIMIZED=FALSE&amp;creator=factset&amp;display_string=Audit"}</definedName>
    <definedName name="_3591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3592__FDSAUDITLINK__" hidden="1">{"fdsup://Directions/FactSet Auditing Viewer?action=AUDIT_VALUE&amp;DB=129&amp;ID1=57772K10&amp;VALUEID=02001&amp;SDATE=200601&amp;PERIODTYPE=QTR_STD&amp;SCFT=3&amp;window=popup_no_bar&amp;width=385&amp;height=120&amp;START_MAXIMIZED=FALSE&amp;creator=factset&amp;display_string=Audit"}</definedName>
    <definedName name="_3593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3594__FDSAUDITLINK__" hidden="1">{"fdsup://Directions/FactSet Auditing Viewer?action=AUDIT_VALUE&amp;DB=129&amp;ID1=57772K10&amp;VALUEID=02001&amp;SDATE=200503&amp;PERIODTYPE=QTR_STD&amp;SCFT=3&amp;window=popup_no_bar&amp;width=385&amp;height=120&amp;START_MAXIMIZED=FALSE&amp;creator=factset&amp;display_string=Audit"}</definedName>
    <definedName name="_3595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3596__FDSAUDITLINK__" hidden="1">{"fdsup://Directions/FactSet Auditing Viewer?action=AUDIT_VALUE&amp;DB=129&amp;ID1=57772K10&amp;VALUEID=02001&amp;SDATE=200502&amp;PERIODTYPE=QTR_STD&amp;SCFT=3&amp;window=popup_no_bar&amp;width=385&amp;height=120&amp;START_MAXIMIZED=FALSE&amp;creator=factset&amp;display_string=Audit"}</definedName>
    <definedName name="_3597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3598__FDSAUDITLINK__" hidden="1">{"fdsup://Directions/FactSet Auditing Viewer?action=AUDIT_VALUE&amp;DB=129&amp;ID1=57772K10&amp;VALUEID=02001&amp;SDATE=200501&amp;PERIODTYPE=QTR_STD&amp;SCFT=3&amp;window=popup_no_bar&amp;width=385&amp;height=120&amp;START_MAXIMIZED=FALSE&amp;creator=factset&amp;display_string=Audit"}</definedName>
    <definedName name="_3599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6__FDSAUDITLINK__" hidden="1">{"fdsup://Directions/FactSet Auditing Viewer?action=AUDIT_VALUE&amp;DB=129&amp;ID1=75091710&amp;VALUEID=02001&amp;SDATE=201101&amp;PERIODTYPE=QTR_STD&amp;SCFT=3&amp;window=popup_no_bar&amp;width=385&amp;height=120&amp;START_MAXIMIZED=FALSE&amp;creator=factset&amp;display_string=Audit"}</definedName>
    <definedName name="_360__FDSAUDITLINK__" hidden="1">{"fdsup://Directions/FactSet Auditing Viewer?action=AUDIT_VALUE&amp;DB=129&amp;ID1=59513710&amp;VALUEID=02001&amp;SDATE=201004&amp;PERIODTYPE=QTR_STD&amp;SCFT=3&amp;window=popup_no_bar&amp;width=385&amp;height=120&amp;START_MAXIMIZED=FALSE&amp;creator=factset&amp;display_string=Audit"}</definedName>
    <definedName name="_3600__FDSAUDITLINK__" hidden="1">{"fdsup://Directions/FactSet Auditing Viewer?action=AUDIT_VALUE&amp;DB=129&amp;ID1=57772K10&amp;VALUEID=02001&amp;SDATE=200403&amp;PERIODTYPE=QTR_STD&amp;SCFT=3&amp;window=popup_no_bar&amp;width=385&amp;height=120&amp;START_MAXIMIZED=FALSE&amp;creator=factset&amp;display_string=Audit"}</definedName>
    <definedName name="_3601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3602__FDSAUDITLINK__" hidden="1">{"fdsup://Directions/FactSet Auditing Viewer?action=AUDIT_VALUE&amp;DB=129&amp;ID1=59511210&amp;VALUEID=02001&amp;SDATE=200802&amp;PERIODTYPE=QTR_STD&amp;SCFT=3&amp;window=popup_no_bar&amp;width=385&amp;height=120&amp;START_MAXIMIZED=FALSE&amp;creator=factset&amp;display_string=Audit"}</definedName>
    <definedName name="_3603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3604__FDSAUDITLINK__" hidden="1">{"fdsup://Directions/FactSet Auditing Viewer?action=AUDIT_VALUE&amp;DB=129&amp;ID1=59511210&amp;VALUEID=02001&amp;SDATE=200801&amp;PERIODTYPE=QTR_STD&amp;SCFT=3&amp;window=popup_no_bar&amp;width=385&amp;height=120&amp;START_MAXIMIZED=FALSE&amp;creator=factset&amp;display_string=Audit"}</definedName>
    <definedName name="_3605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3606__FDSAUDITLINK__" hidden="1">{"fdsup://Directions/FactSet Auditing Viewer?action=AUDIT_VALUE&amp;DB=129&amp;ID1=59511210&amp;VALUEID=02001&amp;SDATE=200703&amp;PERIODTYPE=QTR_STD&amp;SCFT=3&amp;window=popup_no_bar&amp;width=385&amp;height=120&amp;START_MAXIMIZED=FALSE&amp;creator=factset&amp;display_string=Audit"}</definedName>
    <definedName name="_3607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3608__FDSAUDITLINK__" hidden="1">{"fdsup://Directions/FactSet Auditing Viewer?action=AUDIT_VALUE&amp;DB=129&amp;ID1=59511210&amp;VALUEID=02001&amp;SDATE=200702&amp;PERIODTYPE=QTR_STD&amp;SCFT=3&amp;window=popup_no_bar&amp;width=385&amp;height=120&amp;START_MAXIMIZED=FALSE&amp;creator=factset&amp;display_string=Audit"}</definedName>
    <definedName name="_3609__FDSAUDITLINK__" hidden="1">{"fdsup://Directions/FactSet Auditing Viewer?action=AUDIT_VALUE&amp;DB=129&amp;ID1=59511210&amp;VALUEID=02001&amp;SDATE=200701&amp;PERIODTYPE=QTR_STD&amp;SCFT=3&amp;window=popup_no_bar&amp;width=385&amp;height=120&amp;START_MAXIMIZED=FALSE&amp;creator=factset&amp;display_string=Audit"}</definedName>
    <definedName name="_361__FDSAUDITLINK__" hidden="1">{"fdsup://Directions/FactSet Auditing Viewer?action=AUDIT_VALUE&amp;DB=129&amp;ID1=G5876H10&amp;VALUEID=02001&amp;SDATE=201003&amp;PERIODTYPE=QTR_STD&amp;SCFT=3&amp;window=popup_no_bar&amp;width=385&amp;height=120&amp;START_MAXIMIZED=FALSE&amp;creator=factset&amp;display_string=Audit"}</definedName>
    <definedName name="_3610__FDSAUDITLINK__" hidden="1">{"fdsup://Directions/FactSet Auditing Viewer?action=AUDIT_VALUE&amp;DB=129&amp;ID1=59511210&amp;VALUEID=02001&amp;SDATE=200701&amp;PERIODTYPE=QTR_STD&amp;SCFT=3&amp;window=popup_no_bar&amp;width=385&amp;height=120&amp;START_MAXIMIZED=FALSE&amp;creator=factset&amp;display_string=Audit"}</definedName>
    <definedName name="_3611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3612__FDSAUDITLINK__" hidden="1">{"fdsup://Directions/FactSet Auditing Viewer?action=AUDIT_VALUE&amp;DB=129&amp;ID1=59511210&amp;VALUEID=02001&amp;SDATE=200603&amp;PERIODTYPE=QTR_STD&amp;SCFT=3&amp;window=popup_no_bar&amp;width=385&amp;height=120&amp;START_MAXIMIZED=FALSE&amp;creator=factset&amp;display_string=Audit"}</definedName>
    <definedName name="_3613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3614__FDSAUDITLINK__" hidden="1">{"fdsup://Directions/FactSet Auditing Viewer?action=AUDIT_VALUE&amp;DB=129&amp;ID1=59511210&amp;VALUEID=02001&amp;SDATE=200602&amp;PERIODTYPE=QTR_STD&amp;SCFT=3&amp;window=popup_no_bar&amp;width=385&amp;height=120&amp;START_MAXIMIZED=FALSE&amp;creator=factset&amp;display_string=Audit"}</definedName>
    <definedName name="_3615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3616__FDSAUDITLINK__" hidden="1">{"fdsup://Directions/FactSet Auditing Viewer?action=AUDIT_VALUE&amp;DB=129&amp;ID1=59511210&amp;VALUEID=02001&amp;SDATE=200601&amp;PERIODTYPE=QTR_STD&amp;SCFT=3&amp;window=popup_no_bar&amp;width=385&amp;height=120&amp;START_MAXIMIZED=FALSE&amp;creator=factset&amp;display_string=Audit"}</definedName>
    <definedName name="_3617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3618__FDSAUDITLINK__" hidden="1">{"fdsup://Directions/FactSet Auditing Viewer?action=AUDIT_VALUE&amp;DB=129&amp;ID1=59511210&amp;VALUEID=02001&amp;SDATE=200503&amp;PERIODTYPE=QTR_STD&amp;SCFT=3&amp;window=popup_no_bar&amp;width=385&amp;height=120&amp;START_MAXIMIZED=FALSE&amp;creator=factset&amp;display_string=Audit"}</definedName>
    <definedName name="_3619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362__FDSAUDITLINK__" hidden="1">{"fdsup://Directions/FactSet Auditing Viewer?action=AUDIT_VALUE&amp;DB=129&amp;ID1=G5876H10&amp;VALUEID=02001&amp;SDATE=201003&amp;PERIODTYPE=QTR_STD&amp;SCFT=3&amp;window=popup_no_bar&amp;width=385&amp;height=120&amp;START_MAXIMIZED=FALSE&amp;creator=factset&amp;display_string=Audit"}</definedName>
    <definedName name="_3620__FDSAUDITLINK__" hidden="1">{"fdsup://Directions/FactSet Auditing Viewer?action=AUDIT_VALUE&amp;DB=129&amp;ID1=59511210&amp;VALUEID=02001&amp;SDATE=200502&amp;PERIODTYPE=QTR_STD&amp;SCFT=3&amp;window=popup_no_bar&amp;width=385&amp;height=120&amp;START_MAXIMIZED=FALSE&amp;creator=factset&amp;display_string=Audit"}</definedName>
    <definedName name="_3621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3622__FDSAUDITLINK__" hidden="1">{"fdsup://Directions/FactSet Auditing Viewer?action=AUDIT_VALUE&amp;DB=129&amp;ID1=59511210&amp;VALUEID=02001&amp;SDATE=200501&amp;PERIODTYPE=QTR_STD&amp;SCFT=3&amp;window=popup_no_bar&amp;width=385&amp;height=120&amp;START_MAXIMIZED=FALSE&amp;creator=factset&amp;display_string=Audit"}</definedName>
    <definedName name="_3623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3624__FDSAUDITLINK__" hidden="1">{"fdsup://Directions/FactSet Auditing Viewer?action=AUDIT_VALUE&amp;DB=129&amp;ID1=59511210&amp;VALUEID=02001&amp;SDATE=200403&amp;PERIODTYPE=QTR_STD&amp;SCFT=3&amp;window=popup_no_bar&amp;width=385&amp;height=120&amp;START_MAXIMIZED=FALSE&amp;creator=factset&amp;display_string=Audit"}</definedName>
    <definedName name="_3625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626__FDSAUDITLINK__" hidden="1">{"fdsup://Directions/FactSet Auditing Viewer?action=AUDIT_VALUE&amp;DB=129&amp;ID1=59511210&amp;VALUEID=02001&amp;SDATE=200402&amp;PERIODTYPE=QTR_STD&amp;SCFT=3&amp;window=popup_no_bar&amp;width=385&amp;height=120&amp;START_MAXIMIZED=FALSE&amp;creator=factset&amp;display_string=Audit"}</definedName>
    <definedName name="_3627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3628__FDSAUDITLINK__" hidden="1">{"fdsup://Directions/FactSet Auditing Viewer?action=AUDIT_VALUE&amp;DB=129&amp;ID1=59513710&amp;VALUEID=02001&amp;SDATE=200802&amp;PERIODTYPE=QTR_STD&amp;SCFT=3&amp;window=popup_no_bar&amp;width=385&amp;height=120&amp;START_MAXIMIZED=FALSE&amp;creator=factset&amp;display_string=Audit"}</definedName>
    <definedName name="_3629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363__FDSAUDITLINK__" hidden="1">{"fdsup://Directions/FactSet Auditing Viewer?action=AUDIT_VALUE&amp;DB=129&amp;ID1=62007630&amp;VALUEID=02001&amp;SDATE=201003&amp;PERIODTYPE=QTR_STD&amp;SCFT=3&amp;window=popup_no_bar&amp;width=385&amp;height=120&amp;START_MAXIMIZED=FALSE&amp;creator=factset&amp;display_string=Audit"}</definedName>
    <definedName name="_3630__FDSAUDITLINK__" hidden="1">{"fdsup://Directions/FactSet Auditing Viewer?action=AUDIT_VALUE&amp;DB=129&amp;ID1=59513710&amp;VALUEID=02001&amp;SDATE=200801&amp;PERIODTYPE=QTR_STD&amp;SCFT=3&amp;window=popup_no_bar&amp;width=385&amp;height=120&amp;START_MAXIMIZED=FALSE&amp;creator=factset&amp;display_string=Audit"}</definedName>
    <definedName name="_3631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3632__FDSAUDITLINK__" hidden="1">{"fdsup://Directions/FactSet Auditing Viewer?action=AUDIT_VALUE&amp;DB=129&amp;ID1=59513710&amp;VALUEID=02001&amp;SDATE=200703&amp;PERIODTYPE=QTR_STD&amp;SCFT=3&amp;window=popup_no_bar&amp;width=385&amp;height=120&amp;START_MAXIMIZED=FALSE&amp;creator=factset&amp;display_string=Audit"}</definedName>
    <definedName name="_3633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3634__FDSAUDITLINK__" hidden="1">{"fdsup://Directions/FactSet Auditing Viewer?action=AUDIT_VALUE&amp;DB=129&amp;ID1=59513710&amp;VALUEID=02001&amp;SDATE=200702&amp;PERIODTYPE=QTR_STD&amp;SCFT=3&amp;window=popup_no_bar&amp;width=385&amp;height=120&amp;START_MAXIMIZED=FALSE&amp;creator=factset&amp;display_string=Audit"}</definedName>
    <definedName name="_3635__FDSAUDITLINK__" hidden="1">{"fdsup://Directions/FactSet Auditing Viewer?action=AUDIT_VALUE&amp;DB=129&amp;ID1=59513710&amp;VALUEID=02001&amp;SDATE=200701&amp;PERIODTYPE=QTR_STD&amp;SCFT=3&amp;window=popup_no_bar&amp;width=385&amp;height=120&amp;START_MAXIMIZED=FALSE&amp;creator=factset&amp;display_string=Audit"}</definedName>
    <definedName name="_3636__FDSAUDITLINK__" hidden="1">{"fdsup://Directions/FactSet Auditing Viewer?action=AUDIT_VALUE&amp;DB=129&amp;ID1=59513710&amp;VALUEID=02001&amp;SDATE=200701&amp;PERIODTYPE=QTR_STD&amp;SCFT=3&amp;window=popup_no_bar&amp;width=385&amp;height=120&amp;START_MAXIMIZED=FALSE&amp;creator=factset&amp;display_string=Audit"}</definedName>
    <definedName name="_3637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3638__FDSAUDITLINK__" hidden="1">{"fdsup://Directions/FactSet Auditing Viewer?action=AUDIT_VALUE&amp;DB=129&amp;ID1=59513710&amp;VALUEID=02001&amp;SDATE=200603&amp;PERIODTYPE=QTR_STD&amp;SCFT=3&amp;window=popup_no_bar&amp;width=385&amp;height=120&amp;START_MAXIMIZED=FALSE&amp;creator=factset&amp;display_string=Audit"}</definedName>
    <definedName name="_3639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364__FDSAUDITLINK__" hidden="1">{"fdsup://Directions/FactSet Auditing Viewer?action=AUDIT_VALUE&amp;DB=129&amp;ID1=62007630&amp;VALUEID=02001&amp;SDATE=201003&amp;PERIODTYPE=QTR_STD&amp;SCFT=3&amp;window=popup_no_bar&amp;width=385&amp;height=120&amp;START_MAXIMIZED=FALSE&amp;creator=factset&amp;display_string=Audit"}</definedName>
    <definedName name="_3640__FDSAUDITLINK__" hidden="1">{"fdsup://Directions/FactSet Auditing Viewer?action=AUDIT_VALUE&amp;DB=129&amp;ID1=59513710&amp;VALUEID=02001&amp;SDATE=200602&amp;PERIODTYPE=QTR_STD&amp;SCFT=3&amp;window=popup_no_bar&amp;width=385&amp;height=120&amp;START_MAXIMIZED=FALSE&amp;creator=factset&amp;display_string=Audit"}</definedName>
    <definedName name="_3641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3642__FDSAUDITLINK__" hidden="1">{"fdsup://Directions/FactSet Auditing Viewer?action=AUDIT_VALUE&amp;DB=129&amp;ID1=59513710&amp;VALUEID=02001&amp;SDATE=200601&amp;PERIODTYPE=QTR_STD&amp;SCFT=3&amp;window=popup_no_bar&amp;width=385&amp;height=120&amp;START_MAXIMIZED=FALSE&amp;creator=factset&amp;display_string=Audit"}</definedName>
    <definedName name="_3643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3644__FDSAUDITLINK__" hidden="1">{"fdsup://Directions/FactSet Auditing Viewer?action=AUDIT_VALUE&amp;DB=129&amp;ID1=59513710&amp;VALUEID=02001&amp;SDATE=200503&amp;PERIODTYPE=QTR_STD&amp;SCFT=3&amp;window=popup_no_bar&amp;width=385&amp;height=120&amp;START_MAXIMIZED=FALSE&amp;creator=factset&amp;display_string=Audit"}</definedName>
    <definedName name="_3645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3646__FDSAUDITLINK__" hidden="1">{"fdsup://Directions/FactSet Auditing Viewer?action=AUDIT_VALUE&amp;DB=129&amp;ID1=59513710&amp;VALUEID=02001&amp;SDATE=200502&amp;PERIODTYPE=QTR_STD&amp;SCFT=3&amp;window=popup_no_bar&amp;width=385&amp;height=120&amp;START_MAXIMIZED=FALSE&amp;creator=factset&amp;display_string=Audit"}</definedName>
    <definedName name="_3647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3648__FDSAUDITLINK__" hidden="1">{"fdsup://Directions/FactSet Auditing Viewer?action=AUDIT_VALUE&amp;DB=129&amp;ID1=59513710&amp;VALUEID=02001&amp;SDATE=200501&amp;PERIODTYPE=QTR_STD&amp;SCFT=3&amp;window=popup_no_bar&amp;width=385&amp;height=120&amp;START_MAXIMIZED=FALSE&amp;creator=factset&amp;display_string=Audit"}</definedName>
    <definedName name="_3649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365__FDSAUDITLINK__" hidden="1">{"fdsup://Directions/FactSet Auditing Viewer?action=AUDIT_VALUE&amp;DB=129&amp;ID1=60456710&amp;VALUEID=02001&amp;SDATE=201101&amp;PERIODTYPE=QTR_STD&amp;SCFT=3&amp;window=popup_no_bar&amp;width=385&amp;height=120&amp;START_MAXIMIZED=FALSE&amp;creator=factset&amp;display_string=Audit"}</definedName>
    <definedName name="_3650__FDSAUDITLINK__" hidden="1">{"fdsup://Directions/FactSet Auditing Viewer?action=AUDIT_VALUE&amp;DB=129&amp;ID1=59513710&amp;VALUEID=02001&amp;SDATE=200403&amp;PERIODTYPE=QTR_STD&amp;SCFT=3&amp;window=popup_no_bar&amp;width=385&amp;height=120&amp;START_MAXIMIZED=FALSE&amp;creator=factset&amp;display_string=Audit"}</definedName>
    <definedName name="_3651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652__FDSAUDITLINK__" hidden="1">{"fdsup://Directions/FactSet Auditing Viewer?action=AUDIT_VALUE&amp;DB=129&amp;ID1=59513710&amp;VALUEID=02001&amp;SDATE=200402&amp;PERIODTYPE=QTR_STD&amp;SCFT=3&amp;window=popup_no_bar&amp;width=385&amp;height=120&amp;START_MAXIMIZED=FALSE&amp;creator=factset&amp;display_string=Audit"}</definedName>
    <definedName name="_3653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3654__FDSAUDITLINK__" hidden="1">{"fdsup://Directions/FactSet Auditing Viewer?action=AUDIT_VALUE&amp;DB=129&amp;ID1=G5876H10&amp;VALUEID=02001&amp;SDATE=200801&amp;PERIODTYPE=QTR_STD&amp;SCFT=3&amp;window=popup_no_bar&amp;width=385&amp;height=120&amp;START_MAXIMIZED=FALSE&amp;creator=factset&amp;display_string=Audit"}</definedName>
    <definedName name="_3655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3656__FDSAUDITLINK__" hidden="1">{"fdsup://Directions/FactSet Auditing Viewer?action=AUDIT_VALUE&amp;DB=129&amp;ID1=G5876H10&amp;VALUEID=02001&amp;SDATE=200703&amp;PERIODTYPE=QTR_STD&amp;SCFT=3&amp;window=popup_no_bar&amp;width=385&amp;height=120&amp;START_MAXIMIZED=FALSE&amp;creator=factset&amp;display_string=Audit"}</definedName>
    <definedName name="_3657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3658__FDSAUDITLINK__" hidden="1">{"fdsup://Directions/FactSet Auditing Viewer?action=AUDIT_VALUE&amp;DB=129&amp;ID1=G5876H10&amp;VALUEID=02001&amp;SDATE=200702&amp;PERIODTYPE=QTR_STD&amp;SCFT=3&amp;window=popup_no_bar&amp;width=385&amp;height=120&amp;START_MAXIMIZED=FALSE&amp;creator=factset&amp;display_string=Audit"}</definedName>
    <definedName name="_3659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366__FDSAUDITLINK__" hidden="1">{"fdsup://Directions/FactSet Auditing Viewer?action=AUDIT_VALUE&amp;DB=129&amp;ID1=60456710&amp;VALUEID=02001&amp;SDATE=201101&amp;PERIODTYPE=QTR_STD&amp;SCFT=3&amp;window=popup_no_bar&amp;width=385&amp;height=120&amp;START_MAXIMIZED=FALSE&amp;creator=factset&amp;display_string=Audit"}</definedName>
    <definedName name="_3660__FDSAUDITLINK__" hidden="1">{"fdsup://Directions/FactSet Auditing Viewer?action=AUDIT_VALUE&amp;DB=129&amp;ID1=G5876H10&amp;VALUEID=02001&amp;SDATE=200701&amp;PERIODTYPE=QTR_STD&amp;SCFT=3&amp;window=popup_no_bar&amp;width=385&amp;height=120&amp;START_MAXIMIZED=FALSE&amp;creator=factset&amp;display_string=Audit"}</definedName>
    <definedName name="_3661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3662__FDSAUDITLINK__" hidden="1">{"fdsup://Directions/FactSet Auditing Viewer?action=AUDIT_VALUE&amp;DB=129&amp;ID1=G5876H10&amp;VALUEID=02001&amp;SDATE=200603&amp;PERIODTYPE=QTR_STD&amp;SCFT=3&amp;window=popup_no_bar&amp;width=385&amp;height=120&amp;START_MAXIMIZED=FALSE&amp;creator=factset&amp;display_string=Audit"}</definedName>
    <definedName name="_3663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3664__FDSAUDITLINK__" hidden="1">{"fdsup://Directions/FactSet Auditing Viewer?action=AUDIT_VALUE&amp;DB=129&amp;ID1=G5876H10&amp;VALUEID=02001&amp;SDATE=200602&amp;PERIODTYPE=QTR_STD&amp;SCFT=3&amp;window=popup_no_bar&amp;width=385&amp;height=120&amp;START_MAXIMIZED=FALSE&amp;creator=factset&amp;display_string=Audit"}</definedName>
    <definedName name="_3665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3666__FDSAUDITLINK__" hidden="1">{"fdsup://Directions/FactSet Auditing Viewer?action=AUDIT_VALUE&amp;DB=129&amp;ID1=G5876H10&amp;VALUEID=02001&amp;SDATE=200601&amp;PERIODTYPE=QTR_STD&amp;SCFT=3&amp;window=popup_no_bar&amp;width=385&amp;height=120&amp;START_MAXIMIZED=FALSE&amp;creator=factset&amp;display_string=Audit"}</definedName>
    <definedName name="_3667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3668__FDSAUDITLINK__" hidden="1">{"fdsup://Directions/FactSet Auditing Viewer?action=AUDIT_VALUE&amp;DB=129&amp;ID1=G5876H10&amp;VALUEID=02001&amp;SDATE=200503&amp;PERIODTYPE=QTR_STD&amp;SCFT=3&amp;window=popup_no_bar&amp;width=385&amp;height=120&amp;START_MAXIMIZED=FALSE&amp;creator=factset&amp;display_string=Audit"}</definedName>
    <definedName name="_3669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367__FDSAUDITLINK__" hidden="1">{"fdsup://Directions/FactSet Auditing Viewer?action=AUDIT_VALUE&amp;DB=129&amp;ID1=59479310&amp;VALUEID=02001&amp;SDATE=201003&amp;PERIODTYPE=QTR_STD&amp;SCFT=3&amp;window=popup_no_bar&amp;width=385&amp;height=120&amp;START_MAXIMIZED=FALSE&amp;creator=factset&amp;display_string=Audit"}</definedName>
    <definedName name="_3670__FDSAUDITLINK__" hidden="1">{"fdsup://Directions/FactSet Auditing Viewer?action=AUDIT_VALUE&amp;DB=129&amp;ID1=G5876H10&amp;VALUEID=02001&amp;SDATE=200502&amp;PERIODTYPE=QTR_STD&amp;SCFT=3&amp;window=popup_no_bar&amp;width=385&amp;height=120&amp;START_MAXIMIZED=FALSE&amp;creator=factset&amp;display_string=Audit"}</definedName>
    <definedName name="_3671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3672__FDSAUDITLINK__" hidden="1">{"fdsup://Directions/FactSet Auditing Viewer?action=AUDIT_VALUE&amp;DB=129&amp;ID1=G5876H10&amp;VALUEID=02001&amp;SDATE=200501&amp;PERIODTYPE=QTR_STD&amp;SCFT=3&amp;window=popup_no_bar&amp;width=385&amp;height=120&amp;START_MAXIMIZED=FALSE&amp;creator=factset&amp;display_string=Audit"}</definedName>
    <definedName name="_3673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3674__FDSAUDITLINK__" hidden="1">{"fdsup://Directions/FactSet Auditing Viewer?action=AUDIT_VALUE&amp;DB=129&amp;ID1=G5876H10&amp;VALUEID=02001&amp;SDATE=200403&amp;PERIODTYPE=QTR_STD&amp;SCFT=3&amp;window=popup_no_bar&amp;width=385&amp;height=120&amp;START_MAXIMIZED=FALSE&amp;creator=factset&amp;display_string=Audit"}</definedName>
    <definedName name="_3675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3676__FDSAUDITLINK__" hidden="1">{"fdsup://Directions/FactSet Auditing Viewer?action=AUDIT_VALUE&amp;DB=129&amp;ID1=G5876H10&amp;VALUEID=02001&amp;SDATE=200402&amp;PERIODTYPE=QTR_STD&amp;SCFT=3&amp;window=popup_no_bar&amp;width=385&amp;height=120&amp;START_MAXIMIZED=FALSE&amp;creator=factset&amp;display_string=Audit"}</definedName>
    <definedName name="_3677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678__FDSAUDITLINK__" hidden="1">{"fdsup://Directions/FactSet Auditing Viewer?action=AUDIT_VALUE&amp;DB=129&amp;ID1=G5876H10&amp;VALUEID=02001&amp;SDATE=200401&amp;PERIODTYPE=QTR_STD&amp;SCFT=3&amp;window=popup_no_bar&amp;width=385&amp;height=120&amp;START_MAXIMIZED=FALSE&amp;creator=factset&amp;display_string=Audit"}</definedName>
    <definedName name="_3679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368__FDSAUDITLINK__" hidden="1">{"fdsup://Directions/FactSet Auditing Viewer?action=AUDIT_VALUE&amp;DB=129&amp;ID1=59479310&amp;VALUEID=02001&amp;SDATE=201003&amp;PERIODTYPE=QTR_STD&amp;SCFT=3&amp;window=popup_no_bar&amp;width=385&amp;height=120&amp;START_MAXIMIZED=FALSE&amp;creator=factset&amp;display_string=Audit"}</definedName>
    <definedName name="_3680__FDSAUDITLINK__" hidden="1">{"fdsup://Directions/FactSet Auditing Viewer?action=AUDIT_VALUE&amp;DB=129&amp;ID1=62007630&amp;VALUEID=02001&amp;SDATE=200801&amp;PERIODTYPE=QTR_STD&amp;SCFT=3&amp;window=popup_no_bar&amp;width=385&amp;height=120&amp;START_MAXIMIZED=FALSE&amp;creator=factset&amp;display_string=Audit"}</definedName>
    <definedName name="_3681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3682__FDSAUDITLINK__" hidden="1">{"fdsup://Directions/FactSet Auditing Viewer?action=AUDIT_VALUE&amp;DB=129&amp;ID1=62007630&amp;VALUEID=02001&amp;SDATE=200703&amp;PERIODTYPE=QTR_STD&amp;SCFT=3&amp;window=popup_no_bar&amp;width=385&amp;height=120&amp;START_MAXIMIZED=FALSE&amp;creator=factset&amp;display_string=Audit"}</definedName>
    <definedName name="_3683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3684__FDSAUDITLINK__" hidden="1">{"fdsup://Directions/FactSet Auditing Viewer?action=AUDIT_VALUE&amp;DB=129&amp;ID1=62007630&amp;VALUEID=02001&amp;SDATE=200702&amp;PERIODTYPE=QTR_STD&amp;SCFT=3&amp;window=popup_no_bar&amp;width=385&amp;height=120&amp;START_MAXIMIZED=FALSE&amp;creator=factset&amp;display_string=Audit"}</definedName>
    <definedName name="_3685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3686__FDSAUDITLINK__" hidden="1">{"fdsup://Directions/FactSet Auditing Viewer?action=AUDIT_VALUE&amp;DB=129&amp;ID1=62007630&amp;VALUEID=02001&amp;SDATE=200701&amp;PERIODTYPE=QTR_STD&amp;SCFT=3&amp;window=popup_no_bar&amp;width=385&amp;height=120&amp;START_MAXIMIZED=FALSE&amp;creator=factset&amp;display_string=Audit"}</definedName>
    <definedName name="_3687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3688__FDSAUDITLINK__" hidden="1">{"fdsup://Directions/FactSet Auditing Viewer?action=AUDIT_VALUE&amp;DB=129&amp;ID1=62007630&amp;VALUEID=02001&amp;SDATE=200603&amp;PERIODTYPE=QTR_STD&amp;SCFT=3&amp;window=popup_no_bar&amp;width=385&amp;height=120&amp;START_MAXIMIZED=FALSE&amp;creator=factset&amp;display_string=Audit"}</definedName>
    <definedName name="_3689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369__FDSAUDITLINK__" hidden="1">{"fdsup://Directions/FactSet Auditing Viewer?action=AUDIT_VALUE&amp;DB=129&amp;ID1=59501710&amp;VALUEID=02001&amp;SDATE=201002&amp;PERIODTYPE=QTR_STD&amp;SCFT=3&amp;window=popup_no_bar&amp;width=385&amp;height=120&amp;START_MAXIMIZED=FALSE&amp;creator=factset&amp;display_string=Audit"}</definedName>
    <definedName name="_3690__FDSAUDITLINK__" hidden="1">{"fdsup://Directions/FactSet Auditing Viewer?action=AUDIT_VALUE&amp;DB=129&amp;ID1=62007630&amp;VALUEID=02001&amp;SDATE=200602&amp;PERIODTYPE=QTR_STD&amp;SCFT=3&amp;window=popup_no_bar&amp;width=385&amp;height=120&amp;START_MAXIMIZED=FALSE&amp;creator=factset&amp;display_string=Audit"}</definedName>
    <definedName name="_3691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3692__FDSAUDITLINK__" hidden="1">{"fdsup://Directions/FactSet Auditing Viewer?action=AUDIT_VALUE&amp;DB=129&amp;ID1=62007630&amp;VALUEID=02001&amp;SDATE=200601&amp;PERIODTYPE=QTR_STD&amp;SCFT=3&amp;window=popup_no_bar&amp;width=385&amp;height=120&amp;START_MAXIMIZED=FALSE&amp;creator=factset&amp;display_string=Audit"}</definedName>
    <definedName name="_3693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3694__FDSAUDITLINK__" hidden="1">{"fdsup://Directions/FactSet Auditing Viewer?action=AUDIT_VALUE&amp;DB=129&amp;ID1=62007630&amp;VALUEID=02001&amp;SDATE=200503&amp;PERIODTYPE=QTR_STD&amp;SCFT=3&amp;window=popup_no_bar&amp;width=385&amp;height=120&amp;START_MAXIMIZED=FALSE&amp;creator=factset&amp;display_string=Audit"}</definedName>
    <definedName name="_3695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3696__FDSAUDITLINK__" hidden="1">{"fdsup://Directions/FactSet Auditing Viewer?action=AUDIT_VALUE&amp;DB=129&amp;ID1=62007630&amp;VALUEID=02001&amp;SDATE=200502&amp;PERIODTYPE=QTR_STD&amp;SCFT=3&amp;window=popup_no_bar&amp;width=385&amp;height=120&amp;START_MAXIMIZED=FALSE&amp;creator=factset&amp;display_string=Audit"}</definedName>
    <definedName name="_3697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3698__FDSAUDITLINK__" hidden="1">{"fdsup://Directions/FactSet Auditing Viewer?action=AUDIT_VALUE&amp;DB=129&amp;ID1=62007630&amp;VALUEID=02001&amp;SDATE=200403&amp;PERIODTYPE=QTR_STD&amp;SCFT=3&amp;window=popup_no_bar&amp;width=385&amp;height=120&amp;START_MAXIMIZED=FALSE&amp;creator=factset&amp;display_string=Audit"}</definedName>
    <definedName name="_3699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37__FDSAUDITLINK__" hidden="1">{"fdsup://Directions/FactSet Auditing Viewer?action=AUDIT_VALUE&amp;DB=129&amp;ID1=74994110&amp;VALUEID=02001&amp;SDATE=201004&amp;PERIODTYPE=QTR_STD&amp;SCFT=3&amp;window=popup_no_bar&amp;width=385&amp;height=120&amp;START_MAXIMIZED=FALSE&amp;creator=factset&amp;display_string=Audit"}</definedName>
    <definedName name="_370__FDSAUDITLINK__" hidden="1">{"fdsup://Directions/FactSet Auditing Viewer?action=AUDIT_VALUE&amp;DB=129&amp;ID1=59501710&amp;VALUEID=02001&amp;SDATE=201002&amp;PERIODTYPE=QTR_STD&amp;SCFT=3&amp;window=popup_no_bar&amp;width=385&amp;height=120&amp;START_MAXIMIZED=FALSE&amp;creator=factset&amp;display_string=Audit"}</definedName>
    <definedName name="_3700__FDSAUDITLINK__" hidden="1">{"fdsup://Directions/FactSet Auditing Viewer?action=AUDIT_VALUE&amp;DB=129&amp;ID1=62007630&amp;VALUEID=02001&amp;SDATE=200402&amp;PERIODTYPE=QTR_STD&amp;SCFT=3&amp;window=popup_no_bar&amp;width=385&amp;height=120&amp;START_MAXIMIZED=FALSE&amp;creator=factset&amp;display_string=Audit"}</definedName>
    <definedName name="_3701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702__FDSAUDITLINK__" hidden="1">{"fdsup://Directions/FactSet Auditing Viewer?action=AUDIT_VALUE&amp;DB=129&amp;ID1=62007630&amp;VALUEID=02001&amp;SDATE=200401&amp;PERIODTYPE=QTR_STD&amp;SCFT=3&amp;window=popup_no_bar&amp;width=385&amp;height=120&amp;START_MAXIMIZED=FALSE&amp;creator=factset&amp;display_string=Audit"}</definedName>
    <definedName name="_3703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3704__FDSAUDITLINK__" hidden="1">{"fdsup://Directions/FactSet Auditing Viewer?action=AUDIT_VALUE&amp;DB=129&amp;ID1=60456710&amp;VALUEID=02001&amp;SDATE=200803&amp;PERIODTYPE=QTR_STD&amp;SCFT=3&amp;window=popup_no_bar&amp;width=385&amp;height=120&amp;START_MAXIMIZED=FALSE&amp;creator=factset&amp;display_string=Audit"}</definedName>
    <definedName name="_3705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3706__FDSAUDITLINK__" hidden="1">{"fdsup://Directions/FactSet Auditing Viewer?action=AUDIT_VALUE&amp;DB=129&amp;ID1=60456710&amp;VALUEID=02001&amp;SDATE=200802&amp;PERIODTYPE=QTR_STD&amp;SCFT=3&amp;window=popup_no_bar&amp;width=385&amp;height=120&amp;START_MAXIMIZED=FALSE&amp;creator=factset&amp;display_string=Audit"}</definedName>
    <definedName name="_3707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3708__FDSAUDITLINK__" hidden="1">{"fdsup://Directions/FactSet Auditing Viewer?action=AUDIT_VALUE&amp;DB=129&amp;ID1=60456710&amp;VALUEID=02001&amp;SDATE=200801&amp;PERIODTYPE=QTR_STD&amp;SCFT=3&amp;window=popup_no_bar&amp;width=385&amp;height=120&amp;START_MAXIMIZED=FALSE&amp;creator=factset&amp;display_string=Audit"}</definedName>
    <definedName name="_3709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371__FDSAUDITLINK__" hidden="1">{"fdsup://Directions/FactSet Auditing Viewer?action=AUDIT_VALUE&amp;DB=129&amp;ID1=50216110&amp;VALUEID=02001&amp;SDATE=201003&amp;PERIODTYPE=QTR_STD&amp;SCFT=3&amp;window=popup_no_bar&amp;width=385&amp;height=120&amp;START_MAXIMIZED=FALSE&amp;creator=factset&amp;display_string=Audit"}</definedName>
    <definedName name="_3710__FDSAUDITLINK__" hidden="1">{"fdsup://Directions/FactSet Auditing Viewer?action=AUDIT_VALUE&amp;DB=129&amp;ID1=60456710&amp;VALUEID=02001&amp;SDATE=200703&amp;PERIODTYPE=QTR_STD&amp;SCFT=3&amp;window=popup_no_bar&amp;width=385&amp;height=120&amp;START_MAXIMIZED=FALSE&amp;creator=factset&amp;display_string=Audit"}</definedName>
    <definedName name="_3711__FDSAUDITLINK__" hidden="1">{"fdsup://Directions/FactSet Auditing Viewer?action=AUDIT_VALUE&amp;DB=129&amp;ID1=60456710&amp;VALUEID=02001&amp;SDATE=200702&amp;PERIODTYPE=QTR_STD&amp;SCFT=3&amp;window=popup_no_bar&amp;width=385&amp;height=120&amp;START_MAXIMIZED=FALSE&amp;creator=factset&amp;display_string=Audit"}</definedName>
    <definedName name="_3712__FDSAUDITLINK__" hidden="1">{"fdsup://Directions/FactSet Auditing Viewer?action=AUDIT_VALUE&amp;DB=129&amp;ID1=60456710&amp;VALUEID=02001&amp;SDATE=200702&amp;PERIODTYPE=QTR_STD&amp;SCFT=3&amp;window=popup_no_bar&amp;width=385&amp;height=120&amp;START_MAXIMIZED=FALSE&amp;creator=factset&amp;display_string=Audit"}</definedName>
    <definedName name="_3713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3714__FDSAUDITLINK__" hidden="1">{"fdsup://Directions/FactSet Auditing Viewer?action=AUDIT_VALUE&amp;DB=129&amp;ID1=60456710&amp;VALUEID=02001&amp;SDATE=200701&amp;PERIODTYPE=QTR_STD&amp;SCFT=3&amp;window=popup_no_bar&amp;width=385&amp;height=120&amp;START_MAXIMIZED=FALSE&amp;creator=factset&amp;display_string=Audit"}</definedName>
    <definedName name="_3715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3716__FDSAUDITLINK__" hidden="1">{"fdsup://Directions/FactSet Auditing Viewer?action=AUDIT_VALUE&amp;DB=129&amp;ID1=60456710&amp;VALUEID=02001&amp;SDATE=200603&amp;PERIODTYPE=QTR_STD&amp;SCFT=3&amp;window=popup_no_bar&amp;width=385&amp;height=120&amp;START_MAXIMIZED=FALSE&amp;creator=factset&amp;display_string=Audit"}</definedName>
    <definedName name="_3717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3718__FDSAUDITLINK__" hidden="1">{"fdsup://Directions/FactSet Auditing Viewer?action=AUDIT_VALUE&amp;DB=129&amp;ID1=60456710&amp;VALUEID=02001&amp;SDATE=200602&amp;PERIODTYPE=QTR_STD&amp;SCFT=3&amp;window=popup_no_bar&amp;width=385&amp;height=120&amp;START_MAXIMIZED=FALSE&amp;creator=factset&amp;display_string=Audit"}</definedName>
    <definedName name="_3719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372__FDSAUDITLINK__" hidden="1">{"fdsup://Directions/FactSet Auditing Viewer?action=AUDIT_VALUE&amp;DB=129&amp;ID1=50216110&amp;VALUEID=02001&amp;SDATE=201003&amp;PERIODTYPE=QTR_STD&amp;SCFT=3&amp;window=popup_no_bar&amp;width=385&amp;height=120&amp;START_MAXIMIZED=FALSE&amp;creator=factset&amp;display_string=Audit"}</definedName>
    <definedName name="_3720__FDSAUDITLINK__" hidden="1">{"fdsup://Directions/FactSet Auditing Viewer?action=AUDIT_VALUE&amp;DB=129&amp;ID1=60456710&amp;VALUEID=02001&amp;SDATE=200601&amp;PERIODTYPE=QTR_STD&amp;SCFT=3&amp;window=popup_no_bar&amp;width=385&amp;height=120&amp;START_MAXIMIZED=FALSE&amp;creator=factset&amp;display_string=Audit"}</definedName>
    <definedName name="_3721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3722__FDSAUDITLINK__" hidden="1">{"fdsup://Directions/FactSet Auditing Viewer?action=AUDIT_VALUE&amp;DB=129&amp;ID1=60456710&amp;VALUEID=02001&amp;SDATE=200503&amp;PERIODTYPE=QTR_STD&amp;SCFT=3&amp;window=popup_no_bar&amp;width=385&amp;height=120&amp;START_MAXIMIZED=FALSE&amp;creator=factset&amp;display_string=Audit"}</definedName>
    <definedName name="_3723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3724__FDSAUDITLINK__" hidden="1">{"fdsup://Directions/FactSet Auditing Viewer?action=AUDIT_VALUE&amp;DB=129&amp;ID1=60456710&amp;VALUEID=02001&amp;SDATE=200502&amp;PERIODTYPE=QTR_STD&amp;SCFT=3&amp;window=popup_no_bar&amp;width=385&amp;height=120&amp;START_MAXIMIZED=FALSE&amp;creator=factset&amp;display_string=Audit"}</definedName>
    <definedName name="_3725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3726__FDSAUDITLINK__" hidden="1">{"fdsup://Directions/FactSet Auditing Viewer?action=AUDIT_VALUE&amp;DB=129&amp;ID1=60456710&amp;VALUEID=02001&amp;SDATE=200501&amp;PERIODTYPE=QTR_STD&amp;SCFT=3&amp;window=popup_no_bar&amp;width=385&amp;height=120&amp;START_MAXIMIZED=FALSE&amp;creator=factset&amp;display_string=Audit"}</definedName>
    <definedName name="_3727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728__FDSAUDITLINK__" hidden="1">{"fdsup://Directions/FactSet Auditing Viewer?action=AUDIT_VALUE&amp;DB=129&amp;ID1=60456710&amp;VALUEID=02001&amp;SDATE=200403&amp;PERIODTYPE=QTR_STD&amp;SCFT=3&amp;window=popup_no_bar&amp;width=385&amp;height=120&amp;START_MAXIMIZED=FALSE&amp;creator=factset&amp;display_string=Audit"}</definedName>
    <definedName name="_3729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373__FDSAUDITLINK__" hidden="1">{"fdsup://Directions/FactSet Auditing Viewer?action=AUDIT_VALUE&amp;DB=129&amp;ID1=51841510&amp;VALUEID=02001&amp;SDATE=201003&amp;PERIODTYPE=QTR_STD&amp;SCFT=3&amp;window=popup_no_bar&amp;width=385&amp;height=120&amp;START_MAXIMIZED=FALSE&amp;creator=factset&amp;display_string=Audit"}</definedName>
    <definedName name="_3730__FDSAUDITLINK__" hidden="1">{"fdsup://Directions/FactSet Auditing Viewer?action=AUDIT_VALUE&amp;DB=129&amp;ID1=59479310&amp;VALUEID=02001&amp;SDATE=200801&amp;PERIODTYPE=QTR_STD&amp;SCFT=3&amp;window=popup_no_bar&amp;width=385&amp;height=120&amp;START_MAXIMIZED=FALSE&amp;creator=factset&amp;display_string=Audit"}</definedName>
    <definedName name="_3731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3732__FDSAUDITLINK__" hidden="1">{"fdsup://Directions/FactSet Auditing Viewer?action=AUDIT_VALUE&amp;DB=129&amp;ID1=59479310&amp;VALUEID=02001&amp;SDATE=200703&amp;PERIODTYPE=QTR_STD&amp;SCFT=3&amp;window=popup_no_bar&amp;width=385&amp;height=120&amp;START_MAXIMIZED=FALSE&amp;creator=factset&amp;display_string=Audit"}</definedName>
    <definedName name="_3733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3734__FDSAUDITLINK__" hidden="1">{"fdsup://Directions/FactSet Auditing Viewer?action=AUDIT_VALUE&amp;DB=129&amp;ID1=59479310&amp;VALUEID=02001&amp;SDATE=200702&amp;PERIODTYPE=QTR_STD&amp;SCFT=3&amp;window=popup_no_bar&amp;width=385&amp;height=120&amp;START_MAXIMIZED=FALSE&amp;creator=factset&amp;display_string=Audit"}</definedName>
    <definedName name="_3735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3736__FDSAUDITLINK__" hidden="1">{"fdsup://Directions/FactSet Auditing Viewer?action=AUDIT_VALUE&amp;DB=129&amp;ID1=59479310&amp;VALUEID=02001&amp;SDATE=200701&amp;PERIODTYPE=QTR_STD&amp;SCFT=3&amp;window=popup_no_bar&amp;width=385&amp;height=120&amp;START_MAXIMIZED=FALSE&amp;creator=factset&amp;display_string=Audit"}</definedName>
    <definedName name="_3737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3738__FDSAUDITLINK__" hidden="1">{"fdsup://Directions/FactSet Auditing Viewer?action=AUDIT_VALUE&amp;DB=129&amp;ID1=59479310&amp;VALUEID=02001&amp;SDATE=200603&amp;PERIODTYPE=QTR_STD&amp;SCFT=3&amp;window=popup_no_bar&amp;width=385&amp;height=120&amp;START_MAXIMIZED=FALSE&amp;creator=factset&amp;display_string=Audit"}</definedName>
    <definedName name="_3739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374__FDSAUDITLINK__" hidden="1">{"fdsup://Directions/FactSet Auditing Viewer?action=AUDIT_VALUE&amp;DB=129&amp;ID1=51841510&amp;VALUEID=02001&amp;SDATE=201003&amp;PERIODTYPE=QTR_STD&amp;SCFT=3&amp;window=popup_no_bar&amp;width=385&amp;height=120&amp;START_MAXIMIZED=FALSE&amp;creator=factset&amp;display_string=Audit"}</definedName>
    <definedName name="_3740__FDSAUDITLINK__" hidden="1">{"fdsup://Directions/FactSet Auditing Viewer?action=AUDIT_VALUE&amp;DB=129&amp;ID1=59479310&amp;VALUEID=02001&amp;SDATE=200602&amp;PERIODTYPE=QTR_STD&amp;SCFT=3&amp;window=popup_no_bar&amp;width=385&amp;height=120&amp;START_MAXIMIZED=FALSE&amp;creator=factset&amp;display_string=Audit"}</definedName>
    <definedName name="_3741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3742__FDSAUDITLINK__" hidden="1">{"fdsup://Directions/FactSet Auditing Viewer?action=AUDIT_VALUE&amp;DB=129&amp;ID1=59479310&amp;VALUEID=02001&amp;SDATE=200601&amp;PERIODTYPE=QTR_STD&amp;SCFT=3&amp;window=popup_no_bar&amp;width=385&amp;height=120&amp;START_MAXIMIZED=FALSE&amp;creator=factset&amp;display_string=Audit"}</definedName>
    <definedName name="_3743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3744__FDSAUDITLINK__" hidden="1">{"fdsup://Directions/FactSet Auditing Viewer?action=AUDIT_VALUE&amp;DB=129&amp;ID1=59479310&amp;VALUEID=02001&amp;SDATE=200502&amp;PERIODTYPE=QTR_STD&amp;SCFT=3&amp;window=popup_no_bar&amp;width=385&amp;height=120&amp;START_MAXIMIZED=FALSE&amp;creator=factset&amp;display_string=Audit"}</definedName>
    <definedName name="_3745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3746__FDSAUDITLINK__" hidden="1">{"fdsup://Directions/FactSet Auditing Viewer?action=AUDIT_VALUE&amp;DB=129&amp;ID1=59479310&amp;VALUEID=02001&amp;SDATE=200501&amp;PERIODTYPE=QTR_STD&amp;SCFT=3&amp;window=popup_no_bar&amp;width=385&amp;height=120&amp;START_MAXIMIZED=FALSE&amp;creator=factset&amp;display_string=Audit"}</definedName>
    <definedName name="_3747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3748__FDSAUDITLINK__" hidden="1">{"fdsup://Directions/FactSet Auditing Viewer?action=AUDIT_VALUE&amp;DB=129&amp;ID1=59479310&amp;VALUEID=02001&amp;SDATE=200403&amp;PERIODTYPE=QTR_STD&amp;SCFT=3&amp;window=popup_no_bar&amp;width=385&amp;height=120&amp;START_MAXIMIZED=FALSE&amp;creator=factset&amp;display_string=Audit"}</definedName>
    <definedName name="_3749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375__FDSAUDITLINK__" hidden="1">{"fdsup://Directions/FactSet Auditing Viewer?action=AUDIT_VALUE&amp;DB=129&amp;ID1=51280710&amp;VALUEID=02001&amp;SDATE=201101&amp;PERIODTYPE=QTR_STD&amp;SCFT=3&amp;window=popup_no_bar&amp;width=385&amp;height=120&amp;START_MAXIMIZED=FALSE&amp;creator=factset&amp;display_string=Audit"}</definedName>
    <definedName name="_3750__FDSAUDITLINK__" hidden="1">{"fdsup://Directions/FactSet Auditing Viewer?action=AUDIT_VALUE&amp;DB=129&amp;ID1=59479310&amp;VALUEID=02001&amp;SDATE=200402&amp;PERIODTYPE=QTR_STD&amp;SCFT=3&amp;window=popup_no_bar&amp;width=385&amp;height=120&amp;START_MAXIMIZED=FALSE&amp;creator=factset&amp;display_string=Audit"}</definedName>
    <definedName name="_3751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752__FDSAUDITLINK__" hidden="1">{"fdsup://Directions/FactSet Auditing Viewer?action=AUDIT_VALUE&amp;DB=129&amp;ID1=59479310&amp;VALUEID=02001&amp;SDATE=200401&amp;PERIODTYPE=QTR_STD&amp;SCFT=3&amp;window=popup_no_bar&amp;width=385&amp;height=120&amp;START_MAXIMIZED=FALSE&amp;creator=factset&amp;display_string=Audit"}</definedName>
    <definedName name="_3753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3754__FDSAUDITLINK__" hidden="1">{"fdsup://Directions/FactSet Auditing Viewer?action=AUDIT_VALUE&amp;DB=129&amp;ID1=59501710&amp;VALUEID=02001&amp;SDATE=200704&amp;PERIODTYPE=QTR_STD&amp;SCFT=3&amp;window=popup_no_bar&amp;width=385&amp;height=120&amp;START_MAXIMIZED=FALSE&amp;creator=factset&amp;display_string=Audit"}</definedName>
    <definedName name="_3755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3756__FDSAUDITLINK__" hidden="1">{"fdsup://Directions/FactSet Auditing Viewer?action=AUDIT_VALUE&amp;DB=129&amp;ID1=59501710&amp;VALUEID=02001&amp;SDATE=200703&amp;PERIODTYPE=QTR_STD&amp;SCFT=3&amp;window=popup_no_bar&amp;width=385&amp;height=120&amp;START_MAXIMIZED=FALSE&amp;creator=factset&amp;display_string=Audit"}</definedName>
    <definedName name="_3757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3758__FDSAUDITLINK__" hidden="1">{"fdsup://Directions/FactSet Auditing Viewer?action=AUDIT_VALUE&amp;DB=129&amp;ID1=59501710&amp;VALUEID=02001&amp;SDATE=200702&amp;PERIODTYPE=QTR_STD&amp;SCFT=3&amp;window=popup_no_bar&amp;width=385&amp;height=120&amp;START_MAXIMIZED=FALSE&amp;creator=factset&amp;display_string=Audit"}</definedName>
    <definedName name="_3759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376__FDSAUDITLINK__" hidden="1">{"fdsup://Directions/FactSet Auditing Viewer?action=AUDIT_VALUE&amp;DB=129&amp;ID1=51280710&amp;VALUEID=02001&amp;SDATE=201101&amp;PERIODTYPE=QTR_STD&amp;SCFT=3&amp;window=popup_no_bar&amp;width=385&amp;height=120&amp;START_MAXIMIZED=FALSE&amp;creator=factset&amp;display_string=Audit"}</definedName>
    <definedName name="_3760__FDSAUDITLINK__" hidden="1">{"fdsup://Directions/FactSet Auditing Viewer?action=AUDIT_VALUE&amp;DB=129&amp;ID1=59501710&amp;VALUEID=02001&amp;SDATE=200701&amp;PERIODTYPE=QTR_STD&amp;SCFT=3&amp;window=popup_no_bar&amp;width=385&amp;height=120&amp;START_MAXIMIZED=FALSE&amp;creator=factset&amp;display_string=Audit"}</definedName>
    <definedName name="_3761__FDSAUDITLINK__" hidden="1">{"fdsup://Directions/FactSet Auditing Viewer?action=AUDIT_VALUE&amp;DB=129&amp;ID1=59501710&amp;VALUEID=02001&amp;SDATE=200603&amp;PERIODTYPE=QTR_STD&amp;SCFT=3&amp;window=popup_no_bar&amp;width=385&amp;height=120&amp;START_MAXIMIZED=FALSE&amp;creator=factset&amp;display_string=Audit"}</definedName>
    <definedName name="_3762__FDSAUDITLINK__" hidden="1">{"fdsup://Directions/FactSet Auditing Viewer?action=AUDIT_VALUE&amp;DB=129&amp;ID1=59501710&amp;VALUEID=02001&amp;SDATE=200603&amp;PERIODTYPE=QTR_STD&amp;SCFT=3&amp;window=popup_no_bar&amp;width=385&amp;height=120&amp;START_MAXIMIZED=FALSE&amp;creator=factset&amp;display_string=Audit"}</definedName>
    <definedName name="_3763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3764__FDSAUDITLINK__" hidden="1">{"fdsup://Directions/FactSet Auditing Viewer?action=AUDIT_VALUE&amp;DB=129&amp;ID1=59501710&amp;VALUEID=02001&amp;SDATE=200602&amp;PERIODTYPE=QTR_STD&amp;SCFT=3&amp;window=popup_no_bar&amp;width=385&amp;height=120&amp;START_MAXIMIZED=FALSE&amp;creator=factset&amp;display_string=Audit"}</definedName>
    <definedName name="_3765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3766__FDSAUDITLINK__" hidden="1">{"fdsup://Directions/FactSet Auditing Viewer?action=AUDIT_VALUE&amp;DB=129&amp;ID1=59501710&amp;VALUEID=02001&amp;SDATE=200601&amp;PERIODTYPE=QTR_STD&amp;SCFT=3&amp;window=popup_no_bar&amp;width=385&amp;height=120&amp;START_MAXIMIZED=FALSE&amp;creator=factset&amp;display_string=Audit"}</definedName>
    <definedName name="_3767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3768__FDSAUDITLINK__" hidden="1">{"fdsup://Directions/FactSet Auditing Viewer?action=AUDIT_VALUE&amp;DB=129&amp;ID1=59501710&amp;VALUEID=02001&amp;SDATE=200503&amp;PERIODTYPE=QTR_STD&amp;SCFT=3&amp;window=popup_no_bar&amp;width=385&amp;height=120&amp;START_MAXIMIZED=FALSE&amp;creator=factset&amp;display_string=Audit"}</definedName>
    <definedName name="_3769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377__FDSAUDITLINK__" hidden="1">{"fdsup://Directions/FactSet Auditing Viewer?action=AUDIT_VALUE&amp;DB=129&amp;ID1=53567810&amp;VALUEID=02001&amp;SDATE=201101&amp;PERIODTYPE=QTR_STD&amp;SCFT=3&amp;window=popup_no_bar&amp;width=385&amp;height=120&amp;START_MAXIMIZED=FALSE&amp;creator=factset&amp;display_string=Audit"}</definedName>
    <definedName name="_3770__FDSAUDITLINK__" hidden="1">{"fdsup://Directions/FactSet Auditing Viewer?action=AUDIT_VALUE&amp;DB=129&amp;ID1=59501710&amp;VALUEID=02001&amp;SDATE=200502&amp;PERIODTYPE=QTR_STD&amp;SCFT=3&amp;window=popup_no_bar&amp;width=385&amp;height=120&amp;START_MAXIMIZED=FALSE&amp;creator=factset&amp;display_string=Audit"}</definedName>
    <definedName name="_3771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3772__FDSAUDITLINK__" hidden="1">{"fdsup://Directions/FactSet Auditing Viewer?action=AUDIT_VALUE&amp;DB=129&amp;ID1=59501710&amp;VALUEID=02001&amp;SDATE=200501&amp;PERIODTYPE=QTR_STD&amp;SCFT=3&amp;window=popup_no_bar&amp;width=385&amp;height=120&amp;START_MAXIMIZED=FALSE&amp;creator=factset&amp;display_string=Audit"}</definedName>
    <definedName name="_3773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3774__FDSAUDITLINK__" hidden="1">{"fdsup://Directions/FactSet Auditing Viewer?action=AUDIT_VALUE&amp;DB=129&amp;ID1=59501710&amp;VALUEID=02001&amp;SDATE=200403&amp;PERIODTYPE=QTR_STD&amp;SCFT=3&amp;window=popup_no_bar&amp;width=385&amp;height=120&amp;START_MAXIMIZED=FALSE&amp;creator=factset&amp;display_string=Audit"}</definedName>
    <definedName name="_3775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3776__FDSAUDITLINK__" hidden="1">{"fdsup://Directions/FactSet Auditing Viewer?action=AUDIT_VALUE&amp;DB=129&amp;ID1=59501710&amp;VALUEID=02001&amp;SDATE=200402&amp;PERIODTYPE=QTR_STD&amp;SCFT=3&amp;window=popup_no_bar&amp;width=385&amp;height=120&amp;START_MAXIMIZED=FALSE&amp;creator=factset&amp;display_string=Audit"}</definedName>
    <definedName name="_3777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3778__FDSAUDITLINK__" hidden="1">{"fdsup://Directions/FactSet Auditing Viewer?action=AUDIT_VALUE&amp;DB=129&amp;ID1=59501710&amp;VALUEID=02001&amp;SDATE=200401&amp;PERIODTYPE=QTR_STD&amp;SCFT=3&amp;window=popup_no_bar&amp;width=385&amp;height=120&amp;START_MAXIMIZED=FALSE&amp;creator=factset&amp;display_string=Audit"}</definedName>
    <definedName name="_3779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378__FDSAUDITLINK__" hidden="1">{"fdsup://Directions/FactSet Auditing Viewer?action=AUDIT_VALUE&amp;DB=129&amp;ID1=53567810&amp;VALUEID=02001&amp;SDATE=201101&amp;PERIODTYPE=QTR_STD&amp;SCFT=3&amp;window=popup_no_bar&amp;width=385&amp;height=120&amp;START_MAXIMIZED=FALSE&amp;creator=factset&amp;display_string=Audit"}</definedName>
    <definedName name="_3780__FDSAUDITLINK__" hidden="1">{"fdsup://Directions/FactSet Auditing Viewer?action=AUDIT_VALUE&amp;DB=129&amp;ID1=50216110&amp;VALUEID=02001&amp;SDATE=200801&amp;PERIODTYPE=QTR_STD&amp;SCFT=3&amp;window=popup_no_bar&amp;width=385&amp;height=120&amp;START_MAXIMIZED=FALSE&amp;creator=factset&amp;display_string=Audit"}</definedName>
    <definedName name="_3781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3782__FDSAUDITLINK__" hidden="1">{"fdsup://Directions/FactSet Auditing Viewer?action=AUDIT_VALUE&amp;DB=129&amp;ID1=50216110&amp;VALUEID=02001&amp;SDATE=200703&amp;PERIODTYPE=QTR_STD&amp;SCFT=3&amp;window=popup_no_bar&amp;width=385&amp;height=120&amp;START_MAXIMIZED=FALSE&amp;creator=factset&amp;display_string=Audit"}</definedName>
    <definedName name="_3783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3784__FDSAUDITLINK__" hidden="1">{"fdsup://Directions/FactSet Auditing Viewer?action=AUDIT_VALUE&amp;DB=129&amp;ID1=50216110&amp;VALUEID=02001&amp;SDATE=200702&amp;PERIODTYPE=QTR_STD&amp;SCFT=3&amp;window=popup_no_bar&amp;width=385&amp;height=120&amp;START_MAXIMIZED=FALSE&amp;creator=factset&amp;display_string=Audit"}</definedName>
    <definedName name="_3785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3786__FDSAUDITLINK__" hidden="1">{"fdsup://Directions/FactSet Auditing Viewer?action=AUDIT_VALUE&amp;DB=129&amp;ID1=50216110&amp;VALUEID=02001&amp;SDATE=200701&amp;PERIODTYPE=QTR_STD&amp;SCFT=3&amp;window=popup_no_bar&amp;width=385&amp;height=120&amp;START_MAXIMIZED=FALSE&amp;creator=factset&amp;display_string=Audit"}</definedName>
    <definedName name="_3787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3788__FDSAUDITLINK__" hidden="1">{"fdsup://Directions/FactSet Auditing Viewer?action=AUDIT_VALUE&amp;DB=129&amp;ID1=50216110&amp;VALUEID=02001&amp;SDATE=200603&amp;PERIODTYPE=QTR_STD&amp;SCFT=3&amp;window=popup_no_bar&amp;width=385&amp;height=120&amp;START_MAXIMIZED=FALSE&amp;creator=factset&amp;display_string=Audit"}</definedName>
    <definedName name="_3789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379__FDSAUDITLINK__" hidden="1">{"fdsup://Directions/FactSet Auditing Viewer?action=AUDIT_VALUE&amp;DB=129&amp;ID1=48248010&amp;VALUEID=02001&amp;SDATE=201101&amp;PERIODTYPE=QTR_STD&amp;SCFT=3&amp;window=popup_no_bar&amp;width=385&amp;height=120&amp;START_MAXIMIZED=FALSE&amp;creator=factset&amp;display_string=Audit"}</definedName>
    <definedName name="_3790__FDSAUDITLINK__" hidden="1">{"fdsup://Directions/FactSet Auditing Viewer?action=AUDIT_VALUE&amp;DB=129&amp;ID1=50216110&amp;VALUEID=02001&amp;SDATE=200602&amp;PERIODTYPE=QTR_STD&amp;SCFT=3&amp;window=popup_no_bar&amp;width=385&amp;height=120&amp;START_MAXIMIZED=FALSE&amp;creator=factset&amp;display_string=Audit"}</definedName>
    <definedName name="_3791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3792__FDSAUDITLINK__" hidden="1">{"fdsup://Directions/FactSet Auditing Viewer?action=AUDIT_VALUE&amp;DB=129&amp;ID1=50216110&amp;VALUEID=02001&amp;SDATE=200601&amp;PERIODTYPE=QTR_STD&amp;SCFT=3&amp;window=popup_no_bar&amp;width=385&amp;height=120&amp;START_MAXIMIZED=FALSE&amp;creator=factset&amp;display_string=Audit"}</definedName>
    <definedName name="_3793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3794__FDSAUDITLINK__" hidden="1">{"fdsup://Directions/FactSet Auditing Viewer?action=AUDIT_VALUE&amp;DB=129&amp;ID1=50216110&amp;VALUEID=02001&amp;SDATE=200503&amp;PERIODTYPE=QTR_STD&amp;SCFT=3&amp;window=popup_no_bar&amp;width=385&amp;height=120&amp;START_MAXIMIZED=FALSE&amp;creator=factset&amp;display_string=Audit"}</definedName>
    <definedName name="_3795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3796__FDSAUDITLINK__" hidden="1">{"fdsup://Directions/FactSet Auditing Viewer?action=AUDIT_VALUE&amp;DB=129&amp;ID1=50216110&amp;VALUEID=02001&amp;SDATE=200502&amp;PERIODTYPE=QTR_STD&amp;SCFT=3&amp;window=popup_no_bar&amp;width=385&amp;height=120&amp;START_MAXIMIZED=FALSE&amp;creator=factset&amp;display_string=Audit"}</definedName>
    <definedName name="_3797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3798__FDSAUDITLINK__" hidden="1">{"fdsup://Directions/FactSet Auditing Viewer?action=AUDIT_VALUE&amp;DB=129&amp;ID1=50216110&amp;VALUEID=02001&amp;SDATE=200501&amp;PERIODTYPE=QTR_STD&amp;SCFT=3&amp;window=popup_no_bar&amp;width=385&amp;height=120&amp;START_MAXIMIZED=FALSE&amp;creator=factset&amp;display_string=Audit"}</definedName>
    <definedName name="_3799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38__FDSAUDITLINK__" hidden="1">{"fdsup://Directions/FactSet Auditing Viewer?action=AUDIT_VALUE&amp;DB=129&amp;ID1=74994110&amp;VALUEID=02001&amp;SDATE=201004&amp;PERIODTYPE=QTR_STD&amp;SCFT=3&amp;window=popup_no_bar&amp;width=385&amp;height=120&amp;START_MAXIMIZED=FALSE&amp;creator=factset&amp;display_string=Audit"}</definedName>
    <definedName name="_380__FDSAUDITLINK__" hidden="1">{"fdsup://Directions/FactSet Auditing Viewer?action=AUDIT_VALUE&amp;DB=129&amp;ID1=48248010&amp;VALUEID=02001&amp;SDATE=201101&amp;PERIODTYPE=QTR_STD&amp;SCFT=3&amp;window=popup_no_bar&amp;width=385&amp;height=120&amp;START_MAXIMIZED=FALSE&amp;creator=factset&amp;display_string=Audit"}</definedName>
    <definedName name="_3800__FDSAUDITLINK__" hidden="1">{"fdsup://Directions/FactSet Auditing Viewer?action=AUDIT_VALUE&amp;DB=129&amp;ID1=50216110&amp;VALUEID=02001&amp;SDATE=200403&amp;PERIODTYPE=QTR_STD&amp;SCFT=3&amp;window=popup_no_bar&amp;width=385&amp;height=120&amp;START_MAXIMIZED=FALSE&amp;creator=factset&amp;display_string=Audit"}</definedName>
    <definedName name="_3801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802__FDSAUDITLINK__" hidden="1">{"fdsup://Directions/FactSet Auditing Viewer?action=AUDIT_VALUE&amp;DB=129&amp;ID1=50216110&amp;VALUEID=02001&amp;SDATE=200402&amp;PERIODTYPE=QTR_STD&amp;SCFT=3&amp;window=popup_no_bar&amp;width=385&amp;height=120&amp;START_MAXIMIZED=FALSE&amp;creator=factset&amp;display_string=Audit"}</definedName>
    <definedName name="_3803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804__FDSAUDITLINK__" hidden="1">{"fdsup://Directions/FactSet Auditing Viewer?action=AUDIT_VALUE&amp;DB=129&amp;ID1=50216110&amp;VALUEID=02001&amp;SDATE=200401&amp;PERIODTYPE=QTR_STD&amp;SCFT=3&amp;window=popup_no_bar&amp;width=385&amp;height=120&amp;START_MAXIMIZED=FALSE&amp;creator=factset&amp;display_string=Audit"}</definedName>
    <definedName name="_3805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3806__FDSAUDITLINK__" hidden="1">{"fdsup://Directions/FactSet Auditing Viewer?action=AUDIT_VALUE&amp;DB=129&amp;ID1=51841510&amp;VALUEID=02001&amp;SDATE=200801&amp;PERIODTYPE=QTR_STD&amp;SCFT=3&amp;window=popup_no_bar&amp;width=385&amp;height=120&amp;START_MAXIMIZED=FALSE&amp;creator=factset&amp;display_string=Audit"}</definedName>
    <definedName name="_3807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3808__FDSAUDITLINK__" hidden="1">{"fdsup://Directions/FactSet Auditing Viewer?action=AUDIT_VALUE&amp;DB=129&amp;ID1=51841510&amp;VALUEID=02001&amp;SDATE=200703&amp;PERIODTYPE=QTR_STD&amp;SCFT=3&amp;window=popup_no_bar&amp;width=385&amp;height=120&amp;START_MAXIMIZED=FALSE&amp;creator=factset&amp;display_string=Audit"}</definedName>
    <definedName name="_3809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381__FDSAUDITLINK__" hidden="1">{"fdsup://Directions/FactSet Auditing Viewer?action=AUDIT_VALUE&amp;DB=129&amp;ID1=48836020&amp;VALUEID=02001&amp;SDATE=201002&amp;PERIODTYPE=QTR_STD&amp;SCFT=3&amp;window=popup_no_bar&amp;width=385&amp;height=120&amp;START_MAXIMIZED=FALSE&amp;creator=factset&amp;display_string=Audit"}</definedName>
    <definedName name="_3810__FDSAUDITLINK__" hidden="1">{"fdsup://Directions/FactSet Auditing Viewer?action=AUDIT_VALUE&amp;DB=129&amp;ID1=51841510&amp;VALUEID=02001&amp;SDATE=200702&amp;PERIODTYPE=QTR_STD&amp;SCFT=3&amp;window=popup_no_bar&amp;width=385&amp;height=120&amp;START_MAXIMIZED=FALSE&amp;creator=factset&amp;display_string=Audit"}</definedName>
    <definedName name="_3811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3812__FDSAUDITLINK__" hidden="1">{"fdsup://Directions/FactSet Auditing Viewer?action=AUDIT_VALUE&amp;DB=129&amp;ID1=51841510&amp;VALUEID=02001&amp;SDATE=200701&amp;PERIODTYPE=QTR_STD&amp;SCFT=3&amp;window=popup_no_bar&amp;width=385&amp;height=120&amp;START_MAXIMIZED=FALSE&amp;creator=factset&amp;display_string=Audit"}</definedName>
    <definedName name="_3813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3814__FDSAUDITLINK__" hidden="1">{"fdsup://Directions/FactSet Auditing Viewer?action=AUDIT_VALUE&amp;DB=129&amp;ID1=51841510&amp;VALUEID=02001&amp;SDATE=200603&amp;PERIODTYPE=QTR_STD&amp;SCFT=3&amp;window=popup_no_bar&amp;width=385&amp;height=120&amp;START_MAXIMIZED=FALSE&amp;creator=factset&amp;display_string=Audit"}</definedName>
    <definedName name="_3815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3816__FDSAUDITLINK__" hidden="1">{"fdsup://Directions/FactSet Auditing Viewer?action=AUDIT_VALUE&amp;DB=129&amp;ID1=51841510&amp;VALUEID=02001&amp;SDATE=200602&amp;PERIODTYPE=QTR_STD&amp;SCFT=3&amp;window=popup_no_bar&amp;width=385&amp;height=120&amp;START_MAXIMIZED=FALSE&amp;creator=factset&amp;display_string=Audit"}</definedName>
    <definedName name="_3817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3818__FDSAUDITLINK__" hidden="1">{"fdsup://Directions/FactSet Auditing Viewer?action=AUDIT_VALUE&amp;DB=129&amp;ID1=51841510&amp;VALUEID=02001&amp;SDATE=200601&amp;PERIODTYPE=QTR_STD&amp;SCFT=3&amp;window=popup_no_bar&amp;width=385&amp;height=120&amp;START_MAXIMIZED=FALSE&amp;creator=factset&amp;display_string=Audit"}</definedName>
    <definedName name="_3819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382__FDSAUDITLINK__" hidden="1">{"fdsup://Directions/FactSet Auditing Viewer?action=AUDIT_VALUE&amp;DB=129&amp;ID1=48836020&amp;VALUEID=02001&amp;SDATE=201002&amp;PERIODTYPE=QTR_STD&amp;SCFT=3&amp;window=popup_no_bar&amp;width=385&amp;height=120&amp;START_MAXIMIZED=FALSE&amp;creator=factset&amp;display_string=Audit"}</definedName>
    <definedName name="_3820__FDSAUDITLINK__" hidden="1">{"fdsup://Directions/FactSet Auditing Viewer?action=AUDIT_VALUE&amp;DB=129&amp;ID1=51841510&amp;VALUEID=02001&amp;SDATE=200503&amp;PERIODTYPE=QTR_STD&amp;SCFT=3&amp;window=popup_no_bar&amp;width=385&amp;height=120&amp;START_MAXIMIZED=FALSE&amp;creator=factset&amp;display_string=Audit"}</definedName>
    <definedName name="_3821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3822__FDSAUDITLINK__" hidden="1">{"fdsup://Directions/FactSet Auditing Viewer?action=AUDIT_VALUE&amp;DB=129&amp;ID1=51841510&amp;VALUEID=02001&amp;SDATE=200502&amp;PERIODTYPE=QTR_STD&amp;SCFT=3&amp;window=popup_no_bar&amp;width=385&amp;height=120&amp;START_MAXIMIZED=FALSE&amp;creator=factset&amp;display_string=Audit"}</definedName>
    <definedName name="_3823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3824__FDSAUDITLINK__" hidden="1">{"fdsup://Directions/FactSet Auditing Viewer?action=AUDIT_VALUE&amp;DB=129&amp;ID1=51841510&amp;VALUEID=02001&amp;SDATE=200403&amp;PERIODTYPE=QTR_STD&amp;SCFT=3&amp;window=popup_no_bar&amp;width=385&amp;height=120&amp;START_MAXIMIZED=FALSE&amp;creator=factset&amp;display_string=Audit"}</definedName>
    <definedName name="_3825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826__FDSAUDITLINK__" hidden="1">{"fdsup://Directions/FactSet Auditing Viewer?action=AUDIT_VALUE&amp;DB=129&amp;ID1=51841510&amp;VALUEID=02001&amp;SDATE=200402&amp;PERIODTYPE=QTR_STD&amp;SCFT=3&amp;window=popup_no_bar&amp;width=385&amp;height=120&amp;START_MAXIMIZED=FALSE&amp;creator=factset&amp;display_string=Audit"}</definedName>
    <definedName name="_3827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828__FDSAUDITLINK__" hidden="1">{"fdsup://Directions/FactSet Auditing Viewer?action=AUDIT_VALUE&amp;DB=129&amp;ID1=51841510&amp;VALUEID=02001&amp;SDATE=200401&amp;PERIODTYPE=QTR_STD&amp;SCFT=3&amp;window=popup_no_bar&amp;width=385&amp;height=120&amp;START_MAXIMIZED=FALSE&amp;creator=factset&amp;display_string=Audit"}</definedName>
    <definedName name="_3829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383__FDSAUDITLINK__" hidden="1">{"fdsup://Directions/FactSet Auditing Viewer?action=AUDIT_VALUE&amp;DB=129&amp;ID1=48203R10&amp;VALUEID=02001&amp;SDATE=201003&amp;PERIODTYPE=QTR_STD&amp;SCFT=3&amp;window=popup_no_bar&amp;width=385&amp;height=120&amp;START_MAXIMIZED=FALSE&amp;creator=factset&amp;display_string=Audit"}</definedName>
    <definedName name="_3830__FDSAUDITLINK__" hidden="1">{"fdsup://Directions/FactSet Auditing Viewer?action=AUDIT_VALUE&amp;DB=129&amp;ID1=51280710&amp;VALUEID=02001&amp;SDATE=200803&amp;PERIODTYPE=QTR_STD&amp;SCFT=3&amp;window=popup_no_bar&amp;width=385&amp;height=120&amp;START_MAXIMIZED=FALSE&amp;creator=factset&amp;display_string=Audit"}</definedName>
    <definedName name="_3831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3832__FDSAUDITLINK__" hidden="1">{"fdsup://Directions/FactSet Auditing Viewer?action=AUDIT_VALUE&amp;DB=129&amp;ID1=51280710&amp;VALUEID=02001&amp;SDATE=200802&amp;PERIODTYPE=QTR_STD&amp;SCFT=3&amp;window=popup_no_bar&amp;width=385&amp;height=120&amp;START_MAXIMIZED=FALSE&amp;creator=factset&amp;display_string=Audit"}</definedName>
    <definedName name="_3833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3834__FDSAUDITLINK__" hidden="1">{"fdsup://Directions/FactSet Auditing Viewer?action=AUDIT_VALUE&amp;DB=129&amp;ID1=51280710&amp;VALUEID=02001&amp;SDATE=200801&amp;PERIODTYPE=QTR_STD&amp;SCFT=3&amp;window=popup_no_bar&amp;width=385&amp;height=120&amp;START_MAXIMIZED=FALSE&amp;creator=factset&amp;display_string=Audit"}</definedName>
    <definedName name="_3835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3836__FDSAUDITLINK__" hidden="1">{"fdsup://Directions/FactSet Auditing Viewer?action=AUDIT_VALUE&amp;DB=129&amp;ID1=51280710&amp;VALUEID=02001&amp;SDATE=200703&amp;PERIODTYPE=QTR_STD&amp;SCFT=3&amp;window=popup_no_bar&amp;width=385&amp;height=120&amp;START_MAXIMIZED=FALSE&amp;creator=factset&amp;display_string=Audit"}</definedName>
    <definedName name="_3837__FDSAUDITLINK__" hidden="1">{"fdsup://Directions/FactSet Auditing Viewer?action=AUDIT_VALUE&amp;DB=129&amp;ID1=51280710&amp;VALUEID=02001&amp;SDATE=200702&amp;PERIODTYPE=QTR_STD&amp;SCFT=3&amp;window=popup_no_bar&amp;width=385&amp;height=120&amp;START_MAXIMIZED=FALSE&amp;creator=factset&amp;display_string=Audit"}</definedName>
    <definedName name="_3838__FDSAUDITLINK__" hidden="1">{"fdsup://Directions/FactSet Auditing Viewer?action=AUDIT_VALUE&amp;DB=129&amp;ID1=51280710&amp;VALUEID=02001&amp;SDATE=200702&amp;PERIODTYPE=QTR_STD&amp;SCFT=3&amp;window=popup_no_bar&amp;width=385&amp;height=120&amp;START_MAXIMIZED=FALSE&amp;creator=factset&amp;display_string=Audit"}</definedName>
    <definedName name="_3839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384__FDSAUDITLINK__" hidden="1">{"fdsup://Directions/FactSet Auditing Viewer?action=AUDIT_VALUE&amp;DB=129&amp;ID1=48203R10&amp;VALUEID=02001&amp;SDATE=201003&amp;PERIODTYPE=QTR_STD&amp;SCFT=3&amp;window=popup_no_bar&amp;width=385&amp;height=120&amp;START_MAXIMIZED=FALSE&amp;creator=factset&amp;display_string=Audit"}</definedName>
    <definedName name="_3840__FDSAUDITLINK__" hidden="1">{"fdsup://Directions/FactSet Auditing Viewer?action=AUDIT_VALUE&amp;DB=129&amp;ID1=51280710&amp;VALUEID=02001&amp;SDATE=200701&amp;PERIODTYPE=QTR_STD&amp;SCFT=3&amp;window=popup_no_bar&amp;width=385&amp;height=120&amp;START_MAXIMIZED=FALSE&amp;creator=factset&amp;display_string=Audit"}</definedName>
    <definedName name="_3841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3842__FDSAUDITLINK__" hidden="1">{"fdsup://Directions/FactSet Auditing Viewer?action=AUDIT_VALUE&amp;DB=129&amp;ID1=51280710&amp;VALUEID=02001&amp;SDATE=200603&amp;PERIODTYPE=QTR_STD&amp;SCFT=3&amp;window=popup_no_bar&amp;width=385&amp;height=120&amp;START_MAXIMIZED=FALSE&amp;creator=factset&amp;display_string=Audit"}</definedName>
    <definedName name="_3843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3844__FDSAUDITLINK__" hidden="1">{"fdsup://Directions/FactSet Auditing Viewer?action=AUDIT_VALUE&amp;DB=129&amp;ID1=51280710&amp;VALUEID=02001&amp;SDATE=200602&amp;PERIODTYPE=QTR_STD&amp;SCFT=3&amp;window=popup_no_bar&amp;width=385&amp;height=120&amp;START_MAXIMIZED=FALSE&amp;creator=factset&amp;display_string=Audit"}</definedName>
    <definedName name="_3845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3846__FDSAUDITLINK__" hidden="1">{"fdsup://Directions/FactSet Auditing Viewer?action=AUDIT_VALUE&amp;DB=129&amp;ID1=51280710&amp;VALUEID=02001&amp;SDATE=200601&amp;PERIODTYPE=QTR_STD&amp;SCFT=3&amp;window=popup_no_bar&amp;width=385&amp;height=120&amp;START_MAXIMIZED=FALSE&amp;creator=factset&amp;display_string=Audit"}</definedName>
    <definedName name="_3847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3848__FDSAUDITLINK__" hidden="1">{"fdsup://Directions/FactSet Auditing Viewer?action=AUDIT_VALUE&amp;DB=129&amp;ID1=51280710&amp;VALUEID=02001&amp;SDATE=200502&amp;PERIODTYPE=QTR_STD&amp;SCFT=3&amp;window=popup_no_bar&amp;width=385&amp;height=120&amp;START_MAXIMIZED=FALSE&amp;creator=factset&amp;display_string=Audit"}</definedName>
    <definedName name="_3849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385__FDSAUDITLINK__" hidden="1">{"fdsup://Directions/FactSet Auditing Viewer?action=AUDIT_VALUE&amp;DB=129&amp;ID1=46069S10&amp;VALUEID=02001&amp;SDATE=201003&amp;PERIODTYPE=QTR_STD&amp;SCFT=3&amp;window=popup_no_bar&amp;width=385&amp;height=120&amp;START_MAXIMIZED=FALSE&amp;creator=factset&amp;display_string=Audit"}</definedName>
    <definedName name="_3850__FDSAUDITLINK__" hidden="1">{"fdsup://Directions/FactSet Auditing Viewer?action=AUDIT_VALUE&amp;DB=129&amp;ID1=51280710&amp;VALUEID=02001&amp;SDATE=200501&amp;PERIODTYPE=QTR_STD&amp;SCFT=3&amp;window=popup_no_bar&amp;width=385&amp;height=120&amp;START_MAXIMIZED=FALSE&amp;creator=factset&amp;display_string=Audit"}</definedName>
    <definedName name="_3851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852__FDSAUDITLINK__" hidden="1">{"fdsup://Directions/FactSet Auditing Viewer?action=AUDIT_VALUE&amp;DB=129&amp;ID1=51280710&amp;VALUEID=02001&amp;SDATE=200403&amp;PERIODTYPE=QTR_STD&amp;SCFT=3&amp;window=popup_no_bar&amp;width=385&amp;height=120&amp;START_MAXIMIZED=FALSE&amp;creator=factset&amp;display_string=Audit"}</definedName>
    <definedName name="_3853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3854__FDSAUDITLINK__" hidden="1">{"fdsup://Directions/FactSet Auditing Viewer?action=AUDIT_VALUE&amp;DB=129&amp;ID1=53567810&amp;VALUEID=02001&amp;SDATE=200803&amp;PERIODTYPE=QTR_STD&amp;SCFT=3&amp;window=popup_no_bar&amp;width=385&amp;height=120&amp;START_MAXIMIZED=FALSE&amp;creator=factset&amp;display_string=Audit"}</definedName>
    <definedName name="_3855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3856__FDSAUDITLINK__" hidden="1">{"fdsup://Directions/FactSet Auditing Viewer?action=AUDIT_VALUE&amp;DB=129&amp;ID1=53567810&amp;VALUEID=02001&amp;SDATE=200802&amp;PERIODTYPE=QTR_STD&amp;SCFT=3&amp;window=popup_no_bar&amp;width=385&amp;height=120&amp;START_MAXIMIZED=FALSE&amp;creator=factset&amp;display_string=Audit"}</definedName>
    <definedName name="_3857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3858__FDSAUDITLINK__" hidden="1">{"fdsup://Directions/FactSet Auditing Viewer?action=AUDIT_VALUE&amp;DB=129&amp;ID1=53567810&amp;VALUEID=02001&amp;SDATE=200801&amp;PERIODTYPE=QTR_STD&amp;SCFT=3&amp;window=popup_no_bar&amp;width=385&amp;height=120&amp;START_MAXIMIZED=FALSE&amp;creator=factset&amp;display_string=Audit"}</definedName>
    <definedName name="_3859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386__FDSAUDITLINK__" hidden="1">{"fdsup://Directions/FactSet Auditing Viewer?action=AUDIT_VALUE&amp;DB=129&amp;ID1=46069S10&amp;VALUEID=02001&amp;SDATE=201003&amp;PERIODTYPE=QTR_STD&amp;SCFT=3&amp;window=popup_no_bar&amp;width=385&amp;height=120&amp;START_MAXIMIZED=FALSE&amp;creator=factset&amp;display_string=Audit"}</definedName>
    <definedName name="_3860__FDSAUDITLINK__" hidden="1">{"fdsup://Directions/FactSet Auditing Viewer?action=AUDIT_VALUE&amp;DB=129&amp;ID1=53567810&amp;VALUEID=02001&amp;SDATE=200703&amp;PERIODTYPE=QTR_STD&amp;SCFT=3&amp;window=popup_no_bar&amp;width=385&amp;height=120&amp;START_MAXIMIZED=FALSE&amp;creator=factset&amp;display_string=Audit"}</definedName>
    <definedName name="_3861__FDSAUDITLINK__" hidden="1">{"fdsup://Directions/FactSet Auditing Viewer?action=AUDIT_VALUE&amp;DB=129&amp;ID1=53567810&amp;VALUEID=02001&amp;SDATE=200702&amp;PERIODTYPE=QTR_STD&amp;SCFT=3&amp;window=popup_no_bar&amp;width=385&amp;height=120&amp;START_MAXIMIZED=FALSE&amp;creator=factset&amp;display_string=Audit"}</definedName>
    <definedName name="_3862__FDSAUDITLINK__" hidden="1">{"fdsup://Directions/FactSet Auditing Viewer?action=AUDIT_VALUE&amp;DB=129&amp;ID1=53567810&amp;VALUEID=02001&amp;SDATE=200702&amp;PERIODTYPE=QTR_STD&amp;SCFT=3&amp;window=popup_no_bar&amp;width=385&amp;height=120&amp;START_MAXIMIZED=FALSE&amp;creator=factset&amp;display_string=Audit"}</definedName>
    <definedName name="_3863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3864__FDSAUDITLINK__" hidden="1">{"fdsup://Directions/FactSet Auditing Viewer?action=AUDIT_VALUE&amp;DB=129&amp;ID1=53567810&amp;VALUEID=02001&amp;SDATE=200701&amp;PERIODTYPE=QTR_STD&amp;SCFT=3&amp;window=popup_no_bar&amp;width=385&amp;height=120&amp;START_MAXIMIZED=FALSE&amp;creator=factset&amp;display_string=Audit"}</definedName>
    <definedName name="_3865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3866__FDSAUDITLINK__" hidden="1">{"fdsup://Directions/FactSet Auditing Viewer?action=AUDIT_VALUE&amp;DB=129&amp;ID1=53567810&amp;VALUEID=02001&amp;SDATE=200603&amp;PERIODTYPE=QTR_STD&amp;SCFT=3&amp;window=popup_no_bar&amp;width=385&amp;height=120&amp;START_MAXIMIZED=FALSE&amp;creator=factset&amp;display_string=Audit"}</definedName>
    <definedName name="_3867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3868__FDSAUDITLINK__" hidden="1">{"fdsup://Directions/FactSet Auditing Viewer?action=AUDIT_VALUE&amp;DB=129&amp;ID1=53567810&amp;VALUEID=02001&amp;SDATE=200602&amp;PERIODTYPE=QTR_STD&amp;SCFT=3&amp;window=popup_no_bar&amp;width=385&amp;height=120&amp;START_MAXIMIZED=FALSE&amp;creator=factset&amp;display_string=Audit"}</definedName>
    <definedName name="_3869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387__FDSAUDITLINK__" hidden="1">{"fdsup://Directions/FactSet Auditing Viewer?action=AUDIT_VALUE&amp;DB=129&amp;ID1=46025410&amp;VALUEID=02001&amp;SDATE=201101&amp;PERIODTYPE=QTR_STD&amp;SCFT=3&amp;window=popup_no_bar&amp;width=385&amp;height=120&amp;START_MAXIMIZED=FALSE&amp;creator=factset&amp;display_string=Audit"}</definedName>
    <definedName name="_3870__FDSAUDITLINK__" hidden="1">{"fdsup://Directions/FactSet Auditing Viewer?action=AUDIT_VALUE&amp;DB=129&amp;ID1=53567810&amp;VALUEID=02001&amp;SDATE=200601&amp;PERIODTYPE=QTR_STD&amp;SCFT=3&amp;window=popup_no_bar&amp;width=385&amp;height=120&amp;START_MAXIMIZED=FALSE&amp;creator=factset&amp;display_string=Audit"}</definedName>
    <definedName name="_3871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3872__FDSAUDITLINK__" hidden="1">{"fdsup://Directions/FactSet Auditing Viewer?action=AUDIT_VALUE&amp;DB=129&amp;ID1=53567810&amp;VALUEID=02001&amp;SDATE=200503&amp;PERIODTYPE=QTR_STD&amp;SCFT=3&amp;window=popup_no_bar&amp;width=385&amp;height=120&amp;START_MAXIMIZED=FALSE&amp;creator=factset&amp;display_string=Audit"}</definedName>
    <definedName name="_3873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3874__FDSAUDITLINK__" hidden="1">{"fdsup://Directions/FactSet Auditing Viewer?action=AUDIT_VALUE&amp;DB=129&amp;ID1=53567810&amp;VALUEID=02001&amp;SDATE=200502&amp;PERIODTYPE=QTR_STD&amp;SCFT=3&amp;window=popup_no_bar&amp;width=385&amp;height=120&amp;START_MAXIMIZED=FALSE&amp;creator=factset&amp;display_string=Audit"}</definedName>
    <definedName name="_3875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3876__FDSAUDITLINK__" hidden="1">{"fdsup://Directions/FactSet Auditing Viewer?action=AUDIT_VALUE&amp;DB=129&amp;ID1=53567810&amp;VALUEID=02001&amp;SDATE=200501&amp;PERIODTYPE=QTR_STD&amp;SCFT=3&amp;window=popup_no_bar&amp;width=385&amp;height=120&amp;START_MAXIMIZED=FALSE&amp;creator=factset&amp;display_string=Audit"}</definedName>
    <definedName name="_3877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878__FDSAUDITLINK__" hidden="1">{"fdsup://Directions/FactSet Auditing Viewer?action=AUDIT_VALUE&amp;DB=129&amp;ID1=53567810&amp;VALUEID=02001&amp;SDATE=200403&amp;PERIODTYPE=QTR_STD&amp;SCFT=3&amp;window=popup_no_bar&amp;width=385&amp;height=120&amp;START_MAXIMIZED=FALSE&amp;creator=factset&amp;display_string=Audit"}</definedName>
    <definedName name="_3879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388__FDSAUDITLINK__" hidden="1">{"fdsup://Directions/FactSet Auditing Viewer?action=AUDIT_VALUE&amp;DB=129&amp;ID1=46025410&amp;VALUEID=02001&amp;SDATE=201101&amp;PERIODTYPE=QTR_STD&amp;SCFT=3&amp;window=popup_no_bar&amp;width=385&amp;height=120&amp;START_MAXIMIZED=FALSE&amp;creator=factset&amp;display_string=Audit"}</definedName>
    <definedName name="_3880__FDSAUDITLINK__" hidden="1">{"fdsup://Directions/FactSet Auditing Viewer?action=AUDIT_VALUE&amp;DB=129&amp;ID1=48248010&amp;VALUEID=02001&amp;SDATE=200803&amp;PERIODTYPE=QTR_STD&amp;SCFT=3&amp;window=popup_no_bar&amp;width=385&amp;height=120&amp;START_MAXIMIZED=FALSE&amp;creator=factset&amp;display_string=Audit"}</definedName>
    <definedName name="_3881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3882__FDSAUDITLINK__" hidden="1">{"fdsup://Directions/FactSet Auditing Viewer?action=AUDIT_VALUE&amp;DB=129&amp;ID1=48248010&amp;VALUEID=02001&amp;SDATE=200802&amp;PERIODTYPE=QTR_STD&amp;SCFT=3&amp;window=popup_no_bar&amp;width=385&amp;height=120&amp;START_MAXIMIZED=FALSE&amp;creator=factset&amp;display_string=Audit"}</definedName>
    <definedName name="_3883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3884__FDSAUDITLINK__" hidden="1">{"fdsup://Directions/FactSet Auditing Viewer?action=AUDIT_VALUE&amp;DB=129&amp;ID1=48248010&amp;VALUEID=02001&amp;SDATE=200801&amp;PERIODTYPE=QTR_STD&amp;SCFT=3&amp;window=popup_no_bar&amp;width=385&amp;height=120&amp;START_MAXIMIZED=FALSE&amp;creator=factset&amp;display_string=Audit"}</definedName>
    <definedName name="_3885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3886__FDSAUDITLINK__" hidden="1">{"fdsup://Directions/FactSet Auditing Viewer?action=AUDIT_VALUE&amp;DB=129&amp;ID1=48248010&amp;VALUEID=02001&amp;SDATE=200703&amp;PERIODTYPE=QTR_STD&amp;SCFT=3&amp;window=popup_no_bar&amp;width=385&amp;height=120&amp;START_MAXIMIZED=FALSE&amp;creator=factset&amp;display_string=Audit"}</definedName>
    <definedName name="_3887__FDSAUDITLINK__" hidden="1">{"fdsup://Directions/FactSet Auditing Viewer?action=AUDIT_VALUE&amp;DB=129&amp;ID1=48248010&amp;VALUEID=02001&amp;SDATE=200702&amp;PERIODTYPE=QTR_STD&amp;SCFT=3&amp;window=popup_no_bar&amp;width=385&amp;height=120&amp;START_MAXIMIZED=FALSE&amp;creator=factset&amp;display_string=Audit"}</definedName>
    <definedName name="_3888__FDSAUDITLINK__" hidden="1">{"fdsup://Directions/FactSet Auditing Viewer?action=AUDIT_VALUE&amp;DB=129&amp;ID1=48248010&amp;VALUEID=02001&amp;SDATE=200702&amp;PERIODTYPE=QTR_STD&amp;SCFT=3&amp;window=popup_no_bar&amp;width=385&amp;height=120&amp;START_MAXIMIZED=FALSE&amp;creator=factset&amp;display_string=Audit"}</definedName>
    <definedName name="_3889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389__FDSAUDITLINK__" hidden="1">{"fdsup://Directions/FactSet Auditing Viewer?action=AUDIT_VALUE&amp;DB=129&amp;ID1=45772F10&amp;VALUEID=02001&amp;SDATE=201003&amp;PERIODTYPE=QTR_STD&amp;SCFT=3&amp;window=popup_no_bar&amp;width=385&amp;height=120&amp;START_MAXIMIZED=FALSE&amp;creator=factset&amp;display_string=Audit"}</definedName>
    <definedName name="_3890__FDSAUDITLINK__" hidden="1">{"fdsup://Directions/FactSet Auditing Viewer?action=AUDIT_VALUE&amp;DB=129&amp;ID1=48248010&amp;VALUEID=02001&amp;SDATE=200701&amp;PERIODTYPE=QTR_STD&amp;SCFT=3&amp;window=popup_no_bar&amp;width=385&amp;height=120&amp;START_MAXIMIZED=FALSE&amp;creator=factset&amp;display_string=Audit"}</definedName>
    <definedName name="_3891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3892__FDSAUDITLINK__" hidden="1">{"fdsup://Directions/FactSet Auditing Viewer?action=AUDIT_VALUE&amp;DB=129&amp;ID1=48248010&amp;VALUEID=02001&amp;SDATE=200603&amp;PERIODTYPE=QTR_STD&amp;SCFT=3&amp;window=popup_no_bar&amp;width=385&amp;height=120&amp;START_MAXIMIZED=FALSE&amp;creator=factset&amp;display_string=Audit"}</definedName>
    <definedName name="_3893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3894__FDSAUDITLINK__" hidden="1">{"fdsup://Directions/FactSet Auditing Viewer?action=AUDIT_VALUE&amp;DB=129&amp;ID1=48248010&amp;VALUEID=02001&amp;SDATE=200602&amp;PERIODTYPE=QTR_STD&amp;SCFT=3&amp;window=popup_no_bar&amp;width=385&amp;height=120&amp;START_MAXIMIZED=FALSE&amp;creator=factset&amp;display_string=Audit"}</definedName>
    <definedName name="_3895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3896__FDSAUDITLINK__" hidden="1">{"fdsup://Directions/FactSet Auditing Viewer?action=AUDIT_VALUE&amp;DB=129&amp;ID1=48248010&amp;VALUEID=02001&amp;SDATE=200601&amp;PERIODTYPE=QTR_STD&amp;SCFT=3&amp;window=popup_no_bar&amp;width=385&amp;height=120&amp;START_MAXIMIZED=FALSE&amp;creator=factset&amp;display_string=Audit"}</definedName>
    <definedName name="_3897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3898__FDSAUDITLINK__" hidden="1">{"fdsup://Directions/FactSet Auditing Viewer?action=AUDIT_VALUE&amp;DB=129&amp;ID1=48248010&amp;VALUEID=02001&amp;SDATE=200503&amp;PERIODTYPE=QTR_STD&amp;SCFT=3&amp;window=popup_no_bar&amp;width=385&amp;height=120&amp;START_MAXIMIZED=FALSE&amp;creator=factset&amp;display_string=Audit"}</definedName>
    <definedName name="_3899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39__FDSAUDITLINK__" hidden="1">{"fdsup://Directions/FactSet Auditing Viewer?action=AUDIT_VALUE&amp;DB=129&amp;ID1=74727710&amp;VALUEID=02001&amp;SDATE=201004&amp;PERIODTYPE=QTR_STD&amp;SCFT=3&amp;window=popup_no_bar&amp;width=385&amp;height=120&amp;START_MAXIMIZED=FALSE&amp;creator=factset&amp;display_string=Audit"}</definedName>
    <definedName name="_390__FDSAUDITLINK__" hidden="1">{"fdsup://Directions/FactSet Auditing Viewer?action=AUDIT_VALUE&amp;DB=129&amp;ID1=45772F10&amp;VALUEID=02001&amp;SDATE=201003&amp;PERIODTYPE=QTR_STD&amp;SCFT=3&amp;window=popup_no_bar&amp;width=385&amp;height=120&amp;START_MAXIMIZED=FALSE&amp;creator=factset&amp;display_string=Audit"}</definedName>
    <definedName name="_3900__FDSAUDITLINK__" hidden="1">{"fdsup://Directions/FactSet Auditing Viewer?action=AUDIT_VALUE&amp;DB=129&amp;ID1=48248010&amp;VALUEID=02001&amp;SDATE=200502&amp;PERIODTYPE=QTR_STD&amp;SCFT=3&amp;window=popup_no_bar&amp;width=385&amp;height=120&amp;START_MAXIMIZED=FALSE&amp;creator=factset&amp;display_string=Audit"}</definedName>
    <definedName name="_3901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3902__FDSAUDITLINK__" hidden="1">{"fdsup://Directions/FactSet Auditing Viewer?action=AUDIT_VALUE&amp;DB=129&amp;ID1=48248010&amp;VALUEID=02001&amp;SDATE=200501&amp;PERIODTYPE=QTR_STD&amp;SCFT=3&amp;window=popup_no_bar&amp;width=385&amp;height=120&amp;START_MAXIMIZED=FALSE&amp;creator=factset&amp;display_string=Audit"}</definedName>
    <definedName name="_3903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904__FDSAUDITLINK__" hidden="1">{"fdsup://Directions/FactSet Auditing Viewer?action=AUDIT_VALUE&amp;DB=129&amp;ID1=48248010&amp;VALUEID=02001&amp;SDATE=200403&amp;PERIODTYPE=QTR_STD&amp;SCFT=3&amp;window=popup_no_bar&amp;width=385&amp;height=120&amp;START_MAXIMIZED=FALSE&amp;creator=factset&amp;display_string=Audit"}</definedName>
    <definedName name="_3905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3906__FDSAUDITLINK__" hidden="1">{"fdsup://Directions/FactSet Auditing Viewer?action=AUDIT_VALUE&amp;DB=129&amp;ID1=48836020&amp;VALUEID=02001&amp;SDATE=200703&amp;PERIODTYPE=QTR_STD&amp;SCFT=3&amp;window=popup_no_bar&amp;width=385&amp;height=120&amp;START_MAXIMIZED=FALSE&amp;creator=factset&amp;display_string=Audit"}</definedName>
    <definedName name="_3907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3908__FDSAUDITLINK__" hidden="1">{"fdsup://Directions/FactSet Auditing Viewer?action=AUDIT_VALUE&amp;DB=129&amp;ID1=48836020&amp;VALUEID=02001&amp;SDATE=200702&amp;PERIODTYPE=QTR_STD&amp;SCFT=3&amp;window=popup_no_bar&amp;width=385&amp;height=120&amp;START_MAXIMIZED=FALSE&amp;creator=factset&amp;display_string=Audit"}</definedName>
    <definedName name="_3909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391__FDSAUDITLINK__" hidden="1">{"fdsup://Directions/FactSet Auditing Viewer?action=AUDIT_VALUE&amp;DB=129&amp;ID1=45814010&amp;VALUEID=02001&amp;SDATE=201003&amp;PERIODTYPE=QTR_STD&amp;SCFT=3&amp;window=popup_no_bar&amp;width=385&amp;height=120&amp;START_MAXIMIZED=FALSE&amp;creator=factset&amp;display_string=Audit"}</definedName>
    <definedName name="_3910__FDSAUDITLINK__" hidden="1">{"fdsup://Directions/FactSet Auditing Viewer?action=AUDIT_VALUE&amp;DB=129&amp;ID1=48836020&amp;VALUEID=02001&amp;SDATE=200701&amp;PERIODTYPE=QTR_STD&amp;SCFT=3&amp;window=popup_no_bar&amp;width=385&amp;height=120&amp;START_MAXIMIZED=FALSE&amp;creator=factset&amp;display_string=Audit"}</definedName>
    <definedName name="_3911__FDSAUDITLINK__" hidden="1">{"fdsup://Directions/FactSet Auditing Viewer?action=AUDIT_VALUE&amp;DB=129&amp;ID1=48836020&amp;VALUEID=02001&amp;SDATE=200603&amp;PERIODTYPE=QTR_STD&amp;SCFT=3&amp;window=popup_no_bar&amp;width=385&amp;height=120&amp;START_MAXIMIZED=FALSE&amp;creator=factset&amp;display_string=Audit"}</definedName>
    <definedName name="_3912__FDSAUDITLINK__" hidden="1">{"fdsup://Directions/FactSet Auditing Viewer?action=AUDIT_VALUE&amp;DB=129&amp;ID1=48836020&amp;VALUEID=02001&amp;SDATE=200603&amp;PERIODTYPE=QTR_STD&amp;SCFT=3&amp;window=popup_no_bar&amp;width=385&amp;height=120&amp;START_MAXIMIZED=FALSE&amp;creator=factset&amp;display_string=Audit"}</definedName>
    <definedName name="_3913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3914__FDSAUDITLINK__" hidden="1">{"fdsup://Directions/FactSet Auditing Viewer?action=AUDIT_VALUE&amp;DB=129&amp;ID1=48836020&amp;VALUEID=02001&amp;SDATE=200602&amp;PERIODTYPE=QTR_STD&amp;SCFT=3&amp;window=popup_no_bar&amp;width=385&amp;height=120&amp;START_MAXIMIZED=FALSE&amp;creator=factset&amp;display_string=Audit"}</definedName>
    <definedName name="_3915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3916__FDSAUDITLINK__" hidden="1">{"fdsup://Directions/FactSet Auditing Viewer?action=AUDIT_VALUE&amp;DB=129&amp;ID1=48836020&amp;VALUEID=02001&amp;SDATE=200601&amp;PERIODTYPE=QTR_STD&amp;SCFT=3&amp;window=popup_no_bar&amp;width=385&amp;height=120&amp;START_MAXIMIZED=FALSE&amp;creator=factset&amp;display_string=Audit"}</definedName>
    <definedName name="_3917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3918__FDSAUDITLINK__" hidden="1">{"fdsup://Directions/FactSet Auditing Viewer?action=AUDIT_VALUE&amp;DB=129&amp;ID1=48836020&amp;VALUEID=02001&amp;SDATE=200503&amp;PERIODTYPE=QTR_STD&amp;SCFT=3&amp;window=popup_no_bar&amp;width=385&amp;height=120&amp;START_MAXIMIZED=FALSE&amp;creator=factset&amp;display_string=Audit"}</definedName>
    <definedName name="_3919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392__FDSAUDITLINK__" hidden="1">{"fdsup://Directions/FactSet Auditing Viewer?action=AUDIT_VALUE&amp;DB=129&amp;ID1=45814010&amp;VALUEID=02001&amp;SDATE=201003&amp;PERIODTYPE=QTR_STD&amp;SCFT=3&amp;window=popup_no_bar&amp;width=385&amp;height=120&amp;START_MAXIMIZED=FALSE&amp;creator=factset&amp;display_string=Audit"}</definedName>
    <definedName name="_3920__FDSAUDITLINK__" hidden="1">{"fdsup://Directions/FactSet Auditing Viewer?action=AUDIT_VALUE&amp;DB=129&amp;ID1=48203R10&amp;VALUEID=02001&amp;SDATE=200801&amp;PERIODTYPE=QTR_STD&amp;SCFT=3&amp;window=popup_no_bar&amp;width=385&amp;height=120&amp;START_MAXIMIZED=FALSE&amp;creator=factset&amp;display_string=Audit"}</definedName>
    <definedName name="_3921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3922__FDSAUDITLINK__" hidden="1">{"fdsup://Directions/FactSet Auditing Viewer?action=AUDIT_VALUE&amp;DB=129&amp;ID1=48203R10&amp;VALUEID=02001&amp;SDATE=200703&amp;PERIODTYPE=QTR_STD&amp;SCFT=3&amp;window=popup_no_bar&amp;width=385&amp;height=120&amp;START_MAXIMIZED=FALSE&amp;creator=factset&amp;display_string=Audit"}</definedName>
    <definedName name="_3923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3924__FDSAUDITLINK__" hidden="1">{"fdsup://Directions/FactSet Auditing Viewer?action=AUDIT_VALUE&amp;DB=129&amp;ID1=48203R10&amp;VALUEID=02001&amp;SDATE=200702&amp;PERIODTYPE=QTR_STD&amp;SCFT=3&amp;window=popup_no_bar&amp;width=385&amp;height=120&amp;START_MAXIMIZED=FALSE&amp;creator=factset&amp;display_string=Audit"}</definedName>
    <definedName name="_3925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3926__FDSAUDITLINK__" hidden="1">{"fdsup://Directions/FactSet Auditing Viewer?action=AUDIT_VALUE&amp;DB=129&amp;ID1=48203R10&amp;VALUEID=02001&amp;SDATE=200701&amp;PERIODTYPE=QTR_STD&amp;SCFT=3&amp;window=popup_no_bar&amp;width=385&amp;height=120&amp;START_MAXIMIZED=FALSE&amp;creator=factset&amp;display_string=Audit"}</definedName>
    <definedName name="_3927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3928__FDSAUDITLINK__" hidden="1">{"fdsup://Directions/FactSet Auditing Viewer?action=AUDIT_VALUE&amp;DB=129&amp;ID1=48203R10&amp;VALUEID=02001&amp;SDATE=200603&amp;PERIODTYPE=QTR_STD&amp;SCFT=3&amp;window=popup_no_bar&amp;width=385&amp;height=120&amp;START_MAXIMIZED=FALSE&amp;creator=factset&amp;display_string=Audit"}</definedName>
    <definedName name="_3929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393__FDSAUDITLINK__" hidden="1">{"fdsup://Directions/FactSet Auditing Viewer?action=AUDIT_VALUE&amp;DB=129&amp;ID1=45811810&amp;VALUEID=02001&amp;SDATE=201002&amp;PERIODTYPE=QTR_STD&amp;SCFT=3&amp;window=popup_no_bar&amp;width=385&amp;height=120&amp;START_MAXIMIZED=FALSE&amp;creator=factset&amp;display_string=Audit"}</definedName>
    <definedName name="_3930__FDSAUDITLINK__" hidden="1">{"fdsup://Directions/FactSet Auditing Viewer?action=AUDIT_VALUE&amp;DB=129&amp;ID1=48203R10&amp;VALUEID=02001&amp;SDATE=200602&amp;PERIODTYPE=QTR_STD&amp;SCFT=3&amp;window=popup_no_bar&amp;width=385&amp;height=120&amp;START_MAXIMIZED=FALSE&amp;creator=factset&amp;display_string=Audit"}</definedName>
    <definedName name="_3931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3932__FDSAUDITLINK__" hidden="1">{"fdsup://Directions/FactSet Auditing Viewer?action=AUDIT_VALUE&amp;DB=129&amp;ID1=48203R10&amp;VALUEID=02001&amp;SDATE=200601&amp;PERIODTYPE=QTR_STD&amp;SCFT=3&amp;window=popup_no_bar&amp;width=385&amp;height=120&amp;START_MAXIMIZED=FALSE&amp;creator=factset&amp;display_string=Audit"}</definedName>
    <definedName name="_3933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3934__FDSAUDITLINK__" hidden="1">{"fdsup://Directions/FactSet Auditing Viewer?action=AUDIT_VALUE&amp;DB=129&amp;ID1=48203R10&amp;VALUEID=02001&amp;SDATE=200503&amp;PERIODTYPE=QTR_STD&amp;SCFT=3&amp;window=popup_no_bar&amp;width=385&amp;height=120&amp;START_MAXIMIZED=FALSE&amp;creator=factset&amp;display_string=Audit"}</definedName>
    <definedName name="_3935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3936__FDSAUDITLINK__" hidden="1">{"fdsup://Directions/FactSet Auditing Viewer?action=AUDIT_VALUE&amp;DB=129&amp;ID1=48203R10&amp;VALUEID=02001&amp;SDATE=200502&amp;PERIODTYPE=QTR_STD&amp;SCFT=3&amp;window=popup_no_bar&amp;width=385&amp;height=120&amp;START_MAXIMIZED=FALSE&amp;creator=factset&amp;display_string=Audit"}</definedName>
    <definedName name="_3937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3938__FDSAUDITLINK__" hidden="1">{"fdsup://Directions/FactSet Auditing Viewer?action=AUDIT_VALUE&amp;DB=129&amp;ID1=48203R10&amp;VALUEID=02001&amp;SDATE=200501&amp;PERIODTYPE=QTR_STD&amp;SCFT=3&amp;window=popup_no_bar&amp;width=385&amp;height=120&amp;START_MAXIMIZED=FALSE&amp;creator=factset&amp;display_string=Audit"}</definedName>
    <definedName name="_3939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394__FDSAUDITLINK__" hidden="1">{"fdsup://Directions/FactSet Auditing Viewer?action=AUDIT_VALUE&amp;DB=129&amp;ID1=45811810&amp;VALUEID=02001&amp;SDATE=201002&amp;PERIODTYPE=QTR_STD&amp;SCFT=3&amp;window=popup_no_bar&amp;width=385&amp;height=120&amp;START_MAXIMIZED=FALSE&amp;creator=factset&amp;display_string=Audit"}</definedName>
    <definedName name="_3940__FDSAUDITLINK__" hidden="1">{"fdsup://Directions/FactSet Auditing Viewer?action=AUDIT_VALUE&amp;DB=129&amp;ID1=48203R10&amp;VALUEID=02001&amp;SDATE=200403&amp;PERIODTYPE=QTR_STD&amp;SCFT=3&amp;window=popup_no_bar&amp;width=385&amp;height=120&amp;START_MAXIMIZED=FALSE&amp;creator=factset&amp;display_string=Audit"}</definedName>
    <definedName name="_3941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942__FDSAUDITLINK__" hidden="1">{"fdsup://Directions/FactSet Auditing Viewer?action=AUDIT_VALUE&amp;DB=129&amp;ID1=48203R10&amp;VALUEID=02001&amp;SDATE=200402&amp;PERIODTYPE=QTR_STD&amp;SCFT=3&amp;window=popup_no_bar&amp;width=385&amp;height=120&amp;START_MAXIMIZED=FALSE&amp;creator=factset&amp;display_string=Audit"}</definedName>
    <definedName name="_3943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944__FDSAUDITLINK__" hidden="1">{"fdsup://Directions/FactSet Auditing Viewer?action=AUDIT_VALUE&amp;DB=129&amp;ID1=48203R10&amp;VALUEID=02001&amp;SDATE=200401&amp;PERIODTYPE=QTR_STD&amp;SCFT=3&amp;window=popup_no_bar&amp;width=385&amp;height=120&amp;START_MAXIMIZED=FALSE&amp;creator=factset&amp;display_string=Audit"}</definedName>
    <definedName name="_3945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3946__FDSAUDITLINK__" hidden="1">{"fdsup://Directions/FactSet Auditing Viewer?action=AUDIT_VALUE&amp;DB=129&amp;ID1=86681020&amp;VALUEID=02001&amp;SDATE=200803&amp;PERIODTYPE=QTR_STD&amp;SCFT=3&amp;window=popup_no_bar&amp;width=385&amp;height=120&amp;START_MAXIMIZED=FALSE&amp;creator=factset&amp;display_string=Audit"}</definedName>
    <definedName name="_3947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3948__FDSAUDITLINK__" hidden="1">{"fdsup://Directions/FactSet Auditing Viewer?action=AUDIT_VALUE&amp;DB=129&amp;ID1=86681020&amp;VALUEID=02001&amp;SDATE=200802&amp;PERIODTYPE=QTR_STD&amp;SCFT=3&amp;window=popup_no_bar&amp;width=385&amp;height=120&amp;START_MAXIMIZED=FALSE&amp;creator=factset&amp;display_string=Audit"}</definedName>
    <definedName name="_3949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395__FDSAUDITLINK__" hidden="1">{"fdsup://Directions/FactSet Auditing Viewer?action=AUDIT_VALUE&amp;DB=129&amp;ID1=42823610&amp;VALUEID=02001&amp;SDATE=201004&amp;PERIODTYPE=QTR_STD&amp;SCFT=3&amp;window=popup_no_bar&amp;width=385&amp;height=120&amp;START_MAXIMIZED=FALSE&amp;creator=factset&amp;display_string=Audit"}</definedName>
    <definedName name="_3950__FDSAUDITLINK__" hidden="1">{"fdsup://Directions/FactSet Auditing Viewer?action=AUDIT_VALUE&amp;DB=129&amp;ID1=86681020&amp;VALUEID=02001&amp;SDATE=200801&amp;PERIODTYPE=QTR_STD&amp;SCFT=3&amp;window=popup_no_bar&amp;width=385&amp;height=120&amp;START_MAXIMIZED=FALSE&amp;creator=factset&amp;display_string=Audit"}</definedName>
    <definedName name="_3951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3952__FDSAUDITLINK__" hidden="1">{"fdsup://Directions/FactSet Auditing Viewer?action=AUDIT_VALUE&amp;DB=129&amp;ID1=86681020&amp;VALUEID=02001&amp;SDATE=200703&amp;PERIODTYPE=QTR_STD&amp;SCFT=3&amp;window=popup_no_bar&amp;width=385&amp;height=120&amp;START_MAXIMIZED=FALSE&amp;creator=factset&amp;display_string=Audit"}</definedName>
    <definedName name="_3953__FDSAUDITLINK__" hidden="1">{"fdsup://Directions/FactSet Auditing Viewer?action=AUDIT_VALUE&amp;DB=129&amp;ID1=86681020&amp;VALUEID=02001&amp;SDATE=200702&amp;PERIODTYPE=QTR_STD&amp;SCFT=3&amp;window=popup_no_bar&amp;width=385&amp;height=120&amp;START_MAXIMIZED=FALSE&amp;creator=factset&amp;display_string=Audit"}</definedName>
    <definedName name="_3954__FDSAUDITLINK__" hidden="1">{"fdsup://Directions/FactSet Auditing Viewer?action=AUDIT_VALUE&amp;DB=129&amp;ID1=86681020&amp;VALUEID=02001&amp;SDATE=200702&amp;PERIODTYPE=QTR_STD&amp;SCFT=3&amp;window=popup_no_bar&amp;width=385&amp;height=120&amp;START_MAXIMIZED=FALSE&amp;creator=factset&amp;display_string=Audit"}</definedName>
    <definedName name="_3955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3956__FDSAUDITLINK__" hidden="1">{"fdsup://Directions/FactSet Auditing Viewer?action=AUDIT_VALUE&amp;DB=129&amp;ID1=86681020&amp;VALUEID=02001&amp;SDATE=200701&amp;PERIODTYPE=QTR_STD&amp;SCFT=3&amp;window=popup_no_bar&amp;width=385&amp;height=120&amp;START_MAXIMIZED=FALSE&amp;creator=factset&amp;display_string=Audit"}</definedName>
    <definedName name="_3957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3958__FDSAUDITLINK__" hidden="1">{"fdsup://Directions/FactSet Auditing Viewer?action=AUDIT_VALUE&amp;DB=129&amp;ID1=86681020&amp;VALUEID=02001&amp;SDATE=200603&amp;PERIODTYPE=QTR_STD&amp;SCFT=3&amp;window=popup_no_bar&amp;width=385&amp;height=120&amp;START_MAXIMIZED=FALSE&amp;creator=factset&amp;display_string=Audit"}</definedName>
    <definedName name="_3959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396__FDSAUDITLINK__" hidden="1">{"fdsup://Directions/FactSet Auditing Viewer?action=AUDIT_VALUE&amp;DB=129&amp;ID1=42823610&amp;VALUEID=02001&amp;SDATE=201004&amp;PERIODTYPE=QTR_STD&amp;SCFT=3&amp;window=popup_no_bar&amp;width=385&amp;height=120&amp;START_MAXIMIZED=FALSE&amp;creator=factset&amp;display_string=Audit"}</definedName>
    <definedName name="_3960__FDSAUDITLINK__" hidden="1">{"fdsup://Directions/FactSet Auditing Viewer?action=AUDIT_VALUE&amp;DB=129&amp;ID1=86681020&amp;VALUEID=02001&amp;SDATE=200602&amp;PERIODTYPE=QTR_STD&amp;SCFT=3&amp;window=popup_no_bar&amp;width=385&amp;height=120&amp;START_MAXIMIZED=FALSE&amp;creator=factset&amp;display_string=Audit"}</definedName>
    <definedName name="_3961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3962__FDSAUDITLINK__" hidden="1">{"fdsup://Directions/FactSet Auditing Viewer?action=AUDIT_VALUE&amp;DB=129&amp;ID1=86681020&amp;VALUEID=02001&amp;SDATE=200601&amp;PERIODTYPE=QTR_STD&amp;SCFT=3&amp;window=popup_no_bar&amp;width=385&amp;height=120&amp;START_MAXIMIZED=FALSE&amp;creator=factset&amp;display_string=Audit"}</definedName>
    <definedName name="_3963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3964__FDSAUDITLINK__" hidden="1">{"fdsup://Directions/FactSet Auditing Viewer?action=AUDIT_VALUE&amp;DB=129&amp;ID1=86681020&amp;VALUEID=02001&amp;SDATE=200503&amp;PERIODTYPE=QTR_STD&amp;SCFT=3&amp;window=popup_no_bar&amp;width=385&amp;height=120&amp;START_MAXIMIZED=FALSE&amp;creator=factset&amp;display_string=Audit"}</definedName>
    <definedName name="_3965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3966__FDSAUDITLINK__" hidden="1">{"fdsup://Directions/FactSet Auditing Viewer?action=AUDIT_VALUE&amp;DB=129&amp;ID1=86681020&amp;VALUEID=02001&amp;SDATE=200502&amp;PERIODTYPE=QTR_STD&amp;SCFT=3&amp;window=popup_no_bar&amp;width=385&amp;height=120&amp;START_MAXIMIZED=FALSE&amp;creator=factset&amp;display_string=Audit"}</definedName>
    <definedName name="_3967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3968__FDSAUDITLINK__" hidden="1">{"fdsup://Directions/FactSet Auditing Viewer?action=AUDIT_VALUE&amp;DB=129&amp;ID1=86681020&amp;VALUEID=02001&amp;SDATE=200501&amp;PERIODTYPE=QTR_STD&amp;SCFT=3&amp;window=popup_no_bar&amp;width=385&amp;height=120&amp;START_MAXIMIZED=FALSE&amp;creator=factset&amp;display_string=Audit"}</definedName>
    <definedName name="_3969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97__FDSAUDITLINK__" hidden="1">{"fdsup://Directions/FactSet Auditing Viewer?action=AUDIT_VALUE&amp;DB=129&amp;ID1=H2906T10&amp;VALUEID=02001&amp;SDATE=201003&amp;PERIODTYPE=QTR_STD&amp;SCFT=3&amp;window=popup_no_bar&amp;width=385&amp;height=120&amp;START_MAXIMIZED=FALSE&amp;creator=factset&amp;display_string=Audit"}</definedName>
    <definedName name="_3970__FDSAUDITLINK__" hidden="1">{"fdsup://Directions/FactSet Auditing Viewer?action=AUDIT_VALUE&amp;DB=129&amp;ID1=86681020&amp;VALUEID=02001&amp;SDATE=200403&amp;PERIODTYPE=QTR_STD&amp;SCFT=3&amp;window=popup_no_bar&amp;width=385&amp;height=120&amp;START_MAXIMIZED=FALSE&amp;creator=factset&amp;display_string=Audit"}</definedName>
    <definedName name="_3971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3972__FDSAUDITLINK__" hidden="1">{"fdsup://Directions/FactSet Auditing Viewer?action=AUDIT_VALUE&amp;DB=129&amp;ID1=46069S10&amp;VALUEID=02001&amp;SDATE=200801&amp;PERIODTYPE=QTR_STD&amp;SCFT=3&amp;window=popup_no_bar&amp;width=385&amp;height=120&amp;START_MAXIMIZED=FALSE&amp;creator=factset&amp;display_string=Audit"}</definedName>
    <definedName name="_3973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3974__FDSAUDITLINK__" hidden="1">{"fdsup://Directions/FactSet Auditing Viewer?action=AUDIT_VALUE&amp;DB=129&amp;ID1=46069S10&amp;VALUEID=02001&amp;SDATE=200703&amp;PERIODTYPE=QTR_STD&amp;SCFT=3&amp;window=popup_no_bar&amp;width=385&amp;height=120&amp;START_MAXIMIZED=FALSE&amp;creator=factset&amp;display_string=Audit"}</definedName>
    <definedName name="_3975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3976__FDSAUDITLINK__" hidden="1">{"fdsup://Directions/FactSet Auditing Viewer?action=AUDIT_VALUE&amp;DB=129&amp;ID1=46069S10&amp;VALUEID=02001&amp;SDATE=200702&amp;PERIODTYPE=QTR_STD&amp;SCFT=3&amp;window=popup_no_bar&amp;width=385&amp;height=120&amp;START_MAXIMIZED=FALSE&amp;creator=factset&amp;display_string=Audit"}</definedName>
    <definedName name="_3977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3978__FDSAUDITLINK__" hidden="1">{"fdsup://Directions/FactSet Auditing Viewer?action=AUDIT_VALUE&amp;DB=129&amp;ID1=46069S10&amp;VALUEID=02001&amp;SDATE=200701&amp;PERIODTYPE=QTR_STD&amp;SCFT=3&amp;window=popup_no_bar&amp;width=385&amp;height=120&amp;START_MAXIMIZED=FALSE&amp;creator=factset&amp;display_string=Audit"}</definedName>
    <definedName name="_3979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398__FDSAUDITLINK__" hidden="1">{"fdsup://Directions/FactSet Auditing Viewer?action=AUDIT_VALUE&amp;DB=129&amp;ID1=H2906T10&amp;VALUEID=02001&amp;SDATE=201003&amp;PERIODTYPE=QTR_STD&amp;SCFT=3&amp;window=popup_no_bar&amp;width=385&amp;height=120&amp;START_MAXIMIZED=FALSE&amp;creator=factset&amp;display_string=Audit"}</definedName>
    <definedName name="_3980__FDSAUDITLINK__" hidden="1">{"fdsup://Directions/FactSet Auditing Viewer?action=AUDIT_VALUE&amp;DB=129&amp;ID1=46069S10&amp;VALUEID=02001&amp;SDATE=200603&amp;PERIODTYPE=QTR_STD&amp;SCFT=3&amp;window=popup_no_bar&amp;width=385&amp;height=120&amp;START_MAXIMIZED=FALSE&amp;creator=factset&amp;display_string=Audit"}</definedName>
    <definedName name="_3981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3982__FDSAUDITLINK__" hidden="1">{"fdsup://Directions/FactSet Auditing Viewer?action=AUDIT_VALUE&amp;DB=129&amp;ID1=46069S10&amp;VALUEID=02001&amp;SDATE=200602&amp;PERIODTYPE=QTR_STD&amp;SCFT=3&amp;window=popup_no_bar&amp;width=385&amp;height=120&amp;START_MAXIMIZED=FALSE&amp;creator=factset&amp;display_string=Audit"}</definedName>
    <definedName name="_3983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3984__FDSAUDITLINK__" hidden="1">{"fdsup://Directions/FactSet Auditing Viewer?action=AUDIT_VALUE&amp;DB=129&amp;ID1=46069S10&amp;VALUEID=02001&amp;SDATE=200601&amp;PERIODTYPE=QTR_STD&amp;SCFT=3&amp;window=popup_no_bar&amp;width=385&amp;height=120&amp;START_MAXIMIZED=FALSE&amp;creator=factset&amp;display_string=Audit"}</definedName>
    <definedName name="_3985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3986__FDSAUDITLINK__" hidden="1">{"fdsup://Directions/FactSet Auditing Viewer?action=AUDIT_VALUE&amp;DB=129&amp;ID1=46069S10&amp;VALUEID=02001&amp;SDATE=200503&amp;PERIODTYPE=QTR_STD&amp;SCFT=3&amp;window=popup_no_bar&amp;width=385&amp;height=120&amp;START_MAXIMIZED=FALSE&amp;creator=factset&amp;display_string=Audit"}</definedName>
    <definedName name="_3987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3988__FDSAUDITLINK__" hidden="1">{"fdsup://Directions/FactSet Auditing Viewer?action=AUDIT_VALUE&amp;DB=129&amp;ID1=46069S10&amp;VALUEID=02001&amp;SDATE=200502&amp;PERIODTYPE=QTR_STD&amp;SCFT=3&amp;window=popup_no_bar&amp;width=385&amp;height=120&amp;START_MAXIMIZED=FALSE&amp;creator=factset&amp;display_string=Audit"}</definedName>
    <definedName name="_3989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399__FDSAUDITLINK__" hidden="1">{"fdsup://Directions/FactSet Auditing Viewer?action=AUDIT_VALUE&amp;DB=129&amp;ID1=34637510&amp;VALUEID=02001&amp;SDATE=201003&amp;PERIODTYPE=QTR_STD&amp;SCFT=3&amp;window=popup_no_bar&amp;width=385&amp;height=120&amp;START_MAXIMIZED=FALSE&amp;creator=factset&amp;display_string=Audit"}</definedName>
    <definedName name="_3990__FDSAUDITLINK__" hidden="1">{"fdsup://Directions/FactSet Auditing Viewer?action=AUDIT_VALUE&amp;DB=129&amp;ID1=46069S10&amp;VALUEID=02001&amp;SDATE=200501&amp;PERIODTYPE=QTR_STD&amp;SCFT=3&amp;window=popup_no_bar&amp;width=385&amp;height=120&amp;START_MAXIMIZED=FALSE&amp;creator=factset&amp;display_string=Audit"}</definedName>
    <definedName name="_3991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3992__FDSAUDITLINK__" hidden="1">{"fdsup://Directions/FactSet Auditing Viewer?action=AUDIT_VALUE&amp;DB=129&amp;ID1=46069S10&amp;VALUEID=02001&amp;SDATE=200403&amp;PERIODTYPE=QTR_STD&amp;SCFT=3&amp;window=popup_no_bar&amp;width=385&amp;height=120&amp;START_MAXIMIZED=FALSE&amp;creator=factset&amp;display_string=Audit"}</definedName>
    <definedName name="_3993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994__FDSAUDITLINK__" hidden="1">{"fdsup://Directions/FactSet Auditing Viewer?action=AUDIT_VALUE&amp;DB=129&amp;ID1=46069S10&amp;VALUEID=02001&amp;SDATE=200402&amp;PERIODTYPE=QTR_STD&amp;SCFT=3&amp;window=popup_no_bar&amp;width=385&amp;height=120&amp;START_MAXIMIZED=FALSE&amp;creator=factset&amp;display_string=Audit"}</definedName>
    <definedName name="_3995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996__FDSAUDITLINK__" hidden="1">{"fdsup://Directions/FactSet Auditing Viewer?action=AUDIT_VALUE&amp;DB=129&amp;ID1=46069S10&amp;VALUEID=02001&amp;SDATE=200401&amp;PERIODTYPE=QTR_STD&amp;SCFT=3&amp;window=popup_no_bar&amp;width=385&amp;height=120&amp;START_MAXIMIZED=FALSE&amp;creator=factset&amp;display_string=Audit"}</definedName>
    <definedName name="_3997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3998__FDSAUDITLINK__" hidden="1">{"fdsup://Directions/FactSet Auditing Viewer?action=AUDIT_VALUE&amp;DB=129&amp;ID1=46025410&amp;VALUEID=02001&amp;SDATE=200803&amp;PERIODTYPE=QTR_STD&amp;SCFT=3&amp;window=popup_no_bar&amp;width=385&amp;height=120&amp;START_MAXIMIZED=FALSE&amp;creator=factset&amp;display_string=Audit"}</definedName>
    <definedName name="_3999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4__FDSAUDITLINK__" hidden="1">{"fdsup://Directions/FactSet Auditing Viewer?action=AUDIT_VALUE&amp;DB=129&amp;ID1=67066G10&amp;VALUEID=05194&amp;SDATE=201102&amp;PERIODTYPE=QTR_STD&amp;SCFT=3&amp;window=popup_no_bar&amp;width=385&amp;height=120&amp;START_MAXIMIZED=FALSE&amp;creator=factset&amp;display_string=Audit"}</definedName>
    <definedName name="_40__FDSAUDITLINK__" hidden="1">{"fdsup://Directions/FactSet Auditing Viewer?action=AUDIT_VALUE&amp;DB=129&amp;ID1=74727710&amp;VALUEID=02001&amp;SDATE=201004&amp;PERIODTYPE=QTR_STD&amp;SCFT=3&amp;window=popup_no_bar&amp;width=385&amp;height=120&amp;START_MAXIMIZED=FALSE&amp;creator=factset&amp;display_string=Audit"}</definedName>
    <definedName name="_400__FDSAUDITLINK__" hidden="1">{"fdsup://Directions/FactSet Auditing Viewer?action=AUDIT_VALUE&amp;DB=129&amp;ID1=34637510&amp;VALUEID=02001&amp;SDATE=201003&amp;PERIODTYPE=QTR_STD&amp;SCFT=3&amp;window=popup_no_bar&amp;width=385&amp;height=120&amp;START_MAXIMIZED=FALSE&amp;creator=factset&amp;display_string=Audit"}</definedName>
    <definedName name="_4000__FDSAUDITLINK__" hidden="1">{"fdsup://Directions/FactSet Auditing Viewer?action=AUDIT_VALUE&amp;DB=129&amp;ID1=46025410&amp;VALUEID=02001&amp;SDATE=200802&amp;PERIODTYPE=QTR_STD&amp;SCFT=3&amp;window=popup_no_bar&amp;width=385&amp;height=120&amp;START_MAXIMIZED=FALSE&amp;creator=factset&amp;display_string=Audit"}</definedName>
    <definedName name="_4001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4002__FDSAUDITLINK__" hidden="1">{"fdsup://Directions/FactSet Auditing Viewer?action=AUDIT_VALUE&amp;DB=129&amp;ID1=46025410&amp;VALUEID=02001&amp;SDATE=200801&amp;PERIODTYPE=QTR_STD&amp;SCFT=3&amp;window=popup_no_bar&amp;width=385&amp;height=120&amp;START_MAXIMIZED=FALSE&amp;creator=factset&amp;display_string=Audit"}</definedName>
    <definedName name="_4003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4004__FDSAUDITLINK__" hidden="1">{"fdsup://Directions/FactSet Auditing Viewer?action=AUDIT_VALUE&amp;DB=129&amp;ID1=46025410&amp;VALUEID=02001&amp;SDATE=200703&amp;PERIODTYPE=QTR_STD&amp;SCFT=3&amp;window=popup_no_bar&amp;width=385&amp;height=120&amp;START_MAXIMIZED=FALSE&amp;creator=factset&amp;display_string=Audit"}</definedName>
    <definedName name="_4005__FDSAUDITLINK__" hidden="1">{"fdsup://Directions/FactSet Auditing Viewer?action=AUDIT_VALUE&amp;DB=129&amp;ID1=46025410&amp;VALUEID=02001&amp;SDATE=200702&amp;PERIODTYPE=QTR_STD&amp;SCFT=3&amp;window=popup_no_bar&amp;width=385&amp;height=120&amp;START_MAXIMIZED=FALSE&amp;creator=factset&amp;display_string=Audit"}</definedName>
    <definedName name="_4006__FDSAUDITLINK__" hidden="1">{"fdsup://Directions/FactSet Auditing Viewer?action=AUDIT_VALUE&amp;DB=129&amp;ID1=46025410&amp;VALUEID=02001&amp;SDATE=200702&amp;PERIODTYPE=QTR_STD&amp;SCFT=3&amp;window=popup_no_bar&amp;width=385&amp;height=120&amp;START_MAXIMIZED=FALSE&amp;creator=factset&amp;display_string=Audit"}</definedName>
    <definedName name="_4007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4008__FDSAUDITLINK__" hidden="1">{"fdsup://Directions/FactSet Auditing Viewer?action=AUDIT_VALUE&amp;DB=129&amp;ID1=46025410&amp;VALUEID=02001&amp;SDATE=200701&amp;PERIODTYPE=QTR_STD&amp;SCFT=3&amp;window=popup_no_bar&amp;width=385&amp;height=120&amp;START_MAXIMIZED=FALSE&amp;creator=factset&amp;display_string=Audit"}</definedName>
    <definedName name="_4009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401__FDSAUDITLINK__" hidden="1">{"fdsup://Directions/FactSet Auditing Viewer?action=AUDIT_VALUE&amp;DB=129&amp;ID1=31561610&amp;VALUEID=02001&amp;SDATE=201004&amp;PERIODTYPE=QTR_STD&amp;SCFT=3&amp;window=popup_no_bar&amp;width=385&amp;height=120&amp;START_MAXIMIZED=FALSE&amp;creator=factset&amp;display_string=Audit"}</definedName>
    <definedName name="_4010__FDSAUDITLINK__" hidden="1">{"fdsup://Directions/FactSet Auditing Viewer?action=AUDIT_VALUE&amp;DB=129&amp;ID1=46025410&amp;VALUEID=02001&amp;SDATE=200603&amp;PERIODTYPE=QTR_STD&amp;SCFT=3&amp;window=popup_no_bar&amp;width=385&amp;height=120&amp;START_MAXIMIZED=FALSE&amp;creator=factset&amp;display_string=Audit"}</definedName>
    <definedName name="_4011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4012__FDSAUDITLINK__" hidden="1">{"fdsup://Directions/FactSet Auditing Viewer?action=AUDIT_VALUE&amp;DB=129&amp;ID1=46025410&amp;VALUEID=02001&amp;SDATE=200602&amp;PERIODTYPE=QTR_STD&amp;SCFT=3&amp;window=popup_no_bar&amp;width=385&amp;height=120&amp;START_MAXIMIZED=FALSE&amp;creator=factset&amp;display_string=Audit"}</definedName>
    <definedName name="_4013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4014__FDSAUDITLINK__" hidden="1">{"fdsup://Directions/FactSet Auditing Viewer?action=AUDIT_VALUE&amp;DB=129&amp;ID1=46025410&amp;VALUEID=02001&amp;SDATE=200601&amp;PERIODTYPE=QTR_STD&amp;SCFT=3&amp;window=popup_no_bar&amp;width=385&amp;height=120&amp;START_MAXIMIZED=FALSE&amp;creator=factset&amp;display_string=Audit"}</definedName>
    <definedName name="_4015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4016__FDSAUDITLINK__" hidden="1">{"fdsup://Directions/FactSet Auditing Viewer?action=AUDIT_VALUE&amp;DB=129&amp;ID1=46025410&amp;VALUEID=02001&amp;SDATE=200504&amp;PERIODTYPE=QTR_STD&amp;SCFT=3&amp;window=popup_no_bar&amp;width=385&amp;height=120&amp;START_MAXIMIZED=FALSE&amp;creator=factset&amp;display_string=Audit"}</definedName>
    <definedName name="_4017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4018__FDSAUDITLINK__" hidden="1">{"fdsup://Directions/FactSet Auditing Viewer?action=AUDIT_VALUE&amp;DB=129&amp;ID1=46025410&amp;VALUEID=02001&amp;SDATE=200503&amp;PERIODTYPE=QTR_STD&amp;SCFT=3&amp;window=popup_no_bar&amp;width=385&amp;height=120&amp;START_MAXIMIZED=FALSE&amp;creator=factset&amp;display_string=Audit"}</definedName>
    <definedName name="_4019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402__FDSAUDITLINK__" hidden="1">{"fdsup://Directions/FactSet Auditing Viewer?action=AUDIT_VALUE&amp;DB=129&amp;ID1=31561610&amp;VALUEID=02001&amp;SDATE=201004&amp;PERIODTYPE=QTR_STD&amp;SCFT=3&amp;window=popup_no_bar&amp;width=385&amp;height=120&amp;START_MAXIMIZED=FALSE&amp;creator=factset&amp;display_string=Audit"}</definedName>
    <definedName name="_4020__FDSAUDITLINK__" hidden="1">{"fdsup://Directions/FactSet Auditing Viewer?action=AUDIT_VALUE&amp;DB=129&amp;ID1=46025410&amp;VALUEID=02001&amp;SDATE=200502&amp;PERIODTYPE=QTR_STD&amp;SCFT=3&amp;window=popup_no_bar&amp;width=385&amp;height=120&amp;START_MAXIMIZED=FALSE&amp;creator=factset&amp;display_string=Audit"}</definedName>
    <definedName name="_4021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4022__FDSAUDITLINK__" hidden="1">{"fdsup://Directions/FactSet Auditing Viewer?action=AUDIT_VALUE&amp;DB=129&amp;ID1=46025410&amp;VALUEID=02001&amp;SDATE=200501&amp;PERIODTYPE=QTR_STD&amp;SCFT=3&amp;window=popup_no_bar&amp;width=385&amp;height=120&amp;START_MAXIMIZED=FALSE&amp;creator=factset&amp;display_string=Audit"}</definedName>
    <definedName name="_4023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4024__FDSAUDITLINK__" hidden="1">{"fdsup://Directions/FactSet Auditing Viewer?action=AUDIT_VALUE&amp;DB=129&amp;ID1=46025410&amp;VALUEID=02001&amp;SDATE=200404&amp;PERIODTYPE=QTR_STD&amp;SCFT=3&amp;window=popup_no_bar&amp;width=385&amp;height=120&amp;START_MAXIMIZED=FALSE&amp;creator=factset&amp;display_string=Audit"}</definedName>
    <definedName name="_4025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4026__FDSAUDITLINK__" hidden="1">{"fdsup://Directions/FactSet Auditing Viewer?action=AUDIT_VALUE&amp;DB=129&amp;ID1=45814010&amp;VALUEID=02001&amp;SDATE=200801&amp;PERIODTYPE=QTR_STD&amp;SCFT=3&amp;window=popup_no_bar&amp;width=385&amp;height=120&amp;START_MAXIMIZED=FALSE&amp;creator=factset&amp;display_string=Audit"}</definedName>
    <definedName name="_4027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4028__FDSAUDITLINK__" hidden="1">{"fdsup://Directions/FactSet Auditing Viewer?action=AUDIT_VALUE&amp;DB=129&amp;ID1=45814010&amp;VALUEID=02001&amp;SDATE=200703&amp;PERIODTYPE=QTR_STD&amp;SCFT=3&amp;window=popup_no_bar&amp;width=385&amp;height=120&amp;START_MAXIMIZED=FALSE&amp;creator=factset&amp;display_string=Audit"}</definedName>
    <definedName name="_4029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403__FDSAUDITLINK__" hidden="1">{"fdsup://Directions/FactSet Auditing Viewer?action=AUDIT_VALUE&amp;DB=129&amp;ID1=29247520&amp;VALUEID=02001&amp;SDATE=201101&amp;PERIODTYPE=QTR_STD&amp;SCFT=3&amp;window=popup_no_bar&amp;width=385&amp;height=120&amp;START_MAXIMIZED=FALSE&amp;creator=factset&amp;display_string=Audit"}</definedName>
    <definedName name="_4030__FDSAUDITLINK__" hidden="1">{"fdsup://Directions/FactSet Auditing Viewer?action=AUDIT_VALUE&amp;DB=129&amp;ID1=45814010&amp;VALUEID=02001&amp;SDATE=200702&amp;PERIODTYPE=QTR_STD&amp;SCFT=3&amp;window=popup_no_bar&amp;width=385&amp;height=120&amp;START_MAXIMIZED=FALSE&amp;creator=factset&amp;display_string=Audit"}</definedName>
    <definedName name="_4031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4032__FDSAUDITLINK__" hidden="1">{"fdsup://Directions/FactSet Auditing Viewer?action=AUDIT_VALUE&amp;DB=129&amp;ID1=45814010&amp;VALUEID=02001&amp;SDATE=200701&amp;PERIODTYPE=QTR_STD&amp;SCFT=3&amp;window=popup_no_bar&amp;width=385&amp;height=120&amp;START_MAXIMIZED=FALSE&amp;creator=factset&amp;display_string=Audit"}</definedName>
    <definedName name="_4033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4034__FDSAUDITLINK__" hidden="1">{"fdsup://Directions/FactSet Auditing Viewer?action=AUDIT_VALUE&amp;DB=129&amp;ID1=45814010&amp;VALUEID=02001&amp;SDATE=200603&amp;PERIODTYPE=QTR_STD&amp;SCFT=3&amp;window=popup_no_bar&amp;width=385&amp;height=120&amp;START_MAXIMIZED=FALSE&amp;creator=factset&amp;display_string=Audit"}</definedName>
    <definedName name="_4035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4036__FDSAUDITLINK__" hidden="1">{"fdsup://Directions/FactSet Auditing Viewer?action=AUDIT_VALUE&amp;DB=129&amp;ID1=45814010&amp;VALUEID=02001&amp;SDATE=200602&amp;PERIODTYPE=QTR_STD&amp;SCFT=3&amp;window=popup_no_bar&amp;width=385&amp;height=120&amp;START_MAXIMIZED=FALSE&amp;creator=factset&amp;display_string=Audit"}</definedName>
    <definedName name="_4037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4038__FDSAUDITLINK__" hidden="1">{"fdsup://Directions/FactSet Auditing Viewer?action=AUDIT_VALUE&amp;DB=129&amp;ID1=45814010&amp;VALUEID=02001&amp;SDATE=200601&amp;PERIODTYPE=QTR_STD&amp;SCFT=3&amp;window=popup_no_bar&amp;width=385&amp;height=120&amp;START_MAXIMIZED=FALSE&amp;creator=factset&amp;display_string=Audit"}</definedName>
    <definedName name="_4039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404__FDSAUDITLINK__" hidden="1">{"fdsup://Directions/FactSet Auditing Viewer?action=AUDIT_VALUE&amp;DB=129&amp;ID1=29247520&amp;VALUEID=02001&amp;SDATE=201101&amp;PERIODTYPE=QTR_STD&amp;SCFT=3&amp;window=popup_no_bar&amp;width=385&amp;height=120&amp;START_MAXIMIZED=FALSE&amp;creator=factset&amp;display_string=Audit"}</definedName>
    <definedName name="_4040__FDSAUDITLINK__" hidden="1">{"fdsup://Directions/FactSet Auditing Viewer?action=AUDIT_VALUE&amp;DB=129&amp;ID1=45814010&amp;VALUEID=02001&amp;SDATE=200503&amp;PERIODTYPE=QTR_STD&amp;SCFT=3&amp;window=popup_no_bar&amp;width=385&amp;height=120&amp;START_MAXIMIZED=FALSE&amp;creator=factset&amp;display_string=Audit"}</definedName>
    <definedName name="_4041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4042__FDSAUDITLINK__" hidden="1">{"fdsup://Directions/FactSet Auditing Viewer?action=AUDIT_VALUE&amp;DB=129&amp;ID1=45814010&amp;VALUEID=02001&amp;SDATE=200502&amp;PERIODTYPE=QTR_STD&amp;SCFT=3&amp;window=popup_no_bar&amp;width=385&amp;height=120&amp;START_MAXIMIZED=FALSE&amp;creator=factset&amp;display_string=Audit"}</definedName>
    <definedName name="_4043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4044__FDSAUDITLINK__" hidden="1">{"fdsup://Directions/FactSet Auditing Viewer?action=AUDIT_VALUE&amp;DB=129&amp;ID1=45814010&amp;VALUEID=02001&amp;SDATE=200501&amp;PERIODTYPE=QTR_STD&amp;SCFT=3&amp;window=popup_no_bar&amp;width=385&amp;height=120&amp;START_MAXIMIZED=FALSE&amp;creator=factset&amp;display_string=Audit"}</definedName>
    <definedName name="_4045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4046__FDSAUDITLINK__" hidden="1">{"fdsup://Directions/FactSet Auditing Viewer?action=AUDIT_VALUE&amp;DB=129&amp;ID1=45814010&amp;VALUEID=02001&amp;SDATE=200403&amp;PERIODTYPE=QTR_STD&amp;SCFT=3&amp;window=popup_no_bar&amp;width=385&amp;height=120&amp;START_MAXIMIZED=FALSE&amp;creator=factset&amp;display_string=Audit"}</definedName>
    <definedName name="_4047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4048__FDSAUDITLINK__" hidden="1">{"fdsup://Directions/FactSet Auditing Viewer?action=AUDIT_VALUE&amp;DB=129&amp;ID1=45814010&amp;VALUEID=02001&amp;SDATE=200402&amp;PERIODTYPE=QTR_STD&amp;SCFT=3&amp;window=popup_no_bar&amp;width=385&amp;height=120&amp;START_MAXIMIZED=FALSE&amp;creator=factset&amp;display_string=Audit"}</definedName>
    <definedName name="_4049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405__FDSAUDITLINK__" hidden="1">{"fdsup://Directions/FactSet Auditing Viewer?action=AUDIT_VALUE&amp;DB=129&amp;ID1=25454310&amp;VALUEID=02001&amp;SDATE=201003&amp;PERIODTYPE=QTR_STD&amp;SCFT=3&amp;window=popup_no_bar&amp;width=385&amp;height=120&amp;START_MAXIMIZED=FALSE&amp;creator=factset&amp;display_string=Audit"}</definedName>
    <definedName name="_4050__FDSAUDITLINK__" hidden="1">{"fdsup://Directions/FactSet Auditing Viewer?action=AUDIT_VALUE&amp;DB=129&amp;ID1=45814010&amp;VALUEID=02001&amp;SDATE=200401&amp;PERIODTYPE=QTR_STD&amp;SCFT=3&amp;window=popup_no_bar&amp;width=385&amp;height=120&amp;START_MAXIMIZED=FALSE&amp;creator=factset&amp;display_string=Audit"}</definedName>
    <definedName name="_4051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4052__FDSAUDITLINK__" hidden="1">{"fdsup://Directions/FactSet Auditing Viewer?action=AUDIT_VALUE&amp;DB=129&amp;ID1=45811810&amp;VALUEID=02001&amp;SDATE=200703&amp;PERIODTYPE=QTR_STD&amp;SCFT=3&amp;window=popup_no_bar&amp;width=385&amp;height=120&amp;START_MAXIMIZED=FALSE&amp;creator=factset&amp;display_string=Audit"}</definedName>
    <definedName name="_4053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4054__FDSAUDITLINK__" hidden="1">{"fdsup://Directions/FactSet Auditing Viewer?action=AUDIT_VALUE&amp;DB=129&amp;ID1=45811810&amp;VALUEID=02001&amp;SDATE=200702&amp;PERIODTYPE=QTR_STD&amp;SCFT=3&amp;window=popup_no_bar&amp;width=385&amp;height=120&amp;START_MAXIMIZED=FALSE&amp;creator=factset&amp;display_string=Audit"}</definedName>
    <definedName name="_4055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4056__FDSAUDITLINK__" hidden="1">{"fdsup://Directions/FactSet Auditing Viewer?action=AUDIT_VALUE&amp;DB=129&amp;ID1=45811810&amp;VALUEID=02001&amp;SDATE=200701&amp;PERIODTYPE=QTR_STD&amp;SCFT=3&amp;window=popup_no_bar&amp;width=385&amp;height=120&amp;START_MAXIMIZED=FALSE&amp;creator=factset&amp;display_string=Audit"}</definedName>
    <definedName name="_4057__FDSAUDITLINK__" hidden="1">{"fdsup://Directions/FactSet Auditing Viewer?action=AUDIT_VALUE&amp;DB=129&amp;ID1=45811810&amp;VALUEID=02001&amp;SDATE=200603&amp;PERIODTYPE=QTR_STD&amp;SCFT=3&amp;window=popup_no_bar&amp;width=385&amp;height=120&amp;START_MAXIMIZED=FALSE&amp;creator=factset&amp;display_string=Audit"}</definedName>
    <definedName name="_4058__FDSAUDITLINK__" hidden="1">{"fdsup://Directions/FactSet Auditing Viewer?action=AUDIT_VALUE&amp;DB=129&amp;ID1=45811810&amp;VALUEID=02001&amp;SDATE=200603&amp;PERIODTYPE=QTR_STD&amp;SCFT=3&amp;window=popup_no_bar&amp;width=385&amp;height=120&amp;START_MAXIMIZED=FALSE&amp;creator=factset&amp;display_string=Audit"}</definedName>
    <definedName name="_4059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406__FDSAUDITLINK__" hidden="1">{"fdsup://Directions/FactSet Auditing Viewer?action=AUDIT_VALUE&amp;DB=129&amp;ID1=25454310&amp;VALUEID=02001&amp;SDATE=201003&amp;PERIODTYPE=QTR_STD&amp;SCFT=3&amp;window=popup_no_bar&amp;width=385&amp;height=120&amp;START_MAXIMIZED=FALSE&amp;creator=factset&amp;display_string=Audit"}</definedName>
    <definedName name="_4060__FDSAUDITLINK__" hidden="1">{"fdsup://Directions/FactSet Auditing Viewer?action=AUDIT_VALUE&amp;DB=129&amp;ID1=45811810&amp;VALUEID=02001&amp;SDATE=200602&amp;PERIODTYPE=QTR_STD&amp;SCFT=3&amp;window=popup_no_bar&amp;width=385&amp;height=120&amp;START_MAXIMIZED=FALSE&amp;creator=factset&amp;display_string=Audit"}</definedName>
    <definedName name="_4061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4062__FDSAUDITLINK__" hidden="1">{"fdsup://Directions/FactSet Auditing Viewer?action=AUDIT_VALUE&amp;DB=129&amp;ID1=45811810&amp;VALUEID=02001&amp;SDATE=200601&amp;PERIODTYPE=QTR_STD&amp;SCFT=3&amp;window=popup_no_bar&amp;width=385&amp;height=120&amp;START_MAXIMIZED=FALSE&amp;creator=factset&amp;display_string=Audit"}</definedName>
    <definedName name="_4063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4064__FDSAUDITLINK__" hidden="1">{"fdsup://Directions/FactSet Auditing Viewer?action=AUDIT_VALUE&amp;DB=129&amp;ID1=45811810&amp;VALUEID=02001&amp;SDATE=200503&amp;PERIODTYPE=QTR_STD&amp;SCFT=3&amp;window=popup_no_bar&amp;width=385&amp;height=120&amp;START_MAXIMIZED=FALSE&amp;creator=factset&amp;display_string=Audit"}</definedName>
    <definedName name="_4065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4066__FDSAUDITLINK__" hidden="1">{"fdsup://Directions/FactSet Auditing Viewer?action=AUDIT_VALUE&amp;DB=129&amp;ID1=45811810&amp;VALUEID=02001&amp;SDATE=200502&amp;PERIODTYPE=QTR_STD&amp;SCFT=3&amp;window=popup_no_bar&amp;width=385&amp;height=120&amp;START_MAXIMIZED=FALSE&amp;creator=factset&amp;display_string=Audit"}</definedName>
    <definedName name="_4067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4068__FDSAUDITLINK__" hidden="1">{"fdsup://Directions/FactSet Auditing Viewer?action=AUDIT_VALUE&amp;DB=129&amp;ID1=45811810&amp;VALUEID=02001&amp;SDATE=200501&amp;PERIODTYPE=QTR_STD&amp;SCFT=3&amp;window=popup_no_bar&amp;width=385&amp;height=120&amp;START_MAXIMIZED=FALSE&amp;creator=factset&amp;display_string=Audit"}</definedName>
    <definedName name="_4069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407__FDSAUDITLINK__" hidden="1">{"fdsup://Directions/FactSet Auditing Viewer?action=AUDIT_VALUE&amp;DB=129&amp;ID1=24702R10&amp;VALUEID=02001&amp;SDATE=201003&amp;PERIODTYPE=QTR_STD&amp;SCFT=3&amp;window=popup_no_bar&amp;width=385&amp;height=120&amp;START_MAXIMIZED=FALSE&amp;creator=factset&amp;display_string=Audit"}</definedName>
    <definedName name="_4070__FDSAUDITLINK__" hidden="1">{"fdsup://Directions/FactSet Auditing Viewer?action=AUDIT_VALUE&amp;DB=129&amp;ID1=45811810&amp;VALUEID=02001&amp;SDATE=200403&amp;PERIODTYPE=QTR_STD&amp;SCFT=3&amp;window=popup_no_bar&amp;width=385&amp;height=120&amp;START_MAXIMIZED=FALSE&amp;creator=factset&amp;display_string=Audit"}</definedName>
    <definedName name="_4071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4072__FDSAUDITLINK__" hidden="1">{"fdsup://Directions/FactSet Auditing Viewer?action=AUDIT_VALUE&amp;DB=129&amp;ID1=45811810&amp;VALUEID=02001&amp;SDATE=200402&amp;PERIODTYPE=QTR_STD&amp;SCFT=3&amp;window=popup_no_bar&amp;width=385&amp;height=120&amp;START_MAXIMIZED=FALSE&amp;creator=factset&amp;display_string=Audit"}</definedName>
    <definedName name="_4073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4074__FDSAUDITLINK__" hidden="1">{"fdsup://Directions/FactSet Auditing Viewer?action=AUDIT_VALUE&amp;DB=129&amp;ID1=45811810&amp;VALUEID=02001&amp;SDATE=200401&amp;PERIODTYPE=QTR_STD&amp;SCFT=3&amp;window=popup_no_bar&amp;width=385&amp;height=120&amp;START_MAXIMIZED=FALSE&amp;creator=factset&amp;display_string=Audit"}</definedName>
    <definedName name="_4075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4076__FDSAUDITLINK__" hidden="1">{"fdsup://Directions/FactSet Auditing Viewer?action=AUDIT_VALUE&amp;DB=129&amp;ID1=42823610&amp;VALUEID=02001&amp;SDATE=200802&amp;PERIODTYPE=QTR_STD&amp;SCFT=3&amp;window=popup_no_bar&amp;width=385&amp;height=120&amp;START_MAXIMIZED=FALSE&amp;creator=factset&amp;display_string=Audit"}</definedName>
    <definedName name="_4077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4078__FDSAUDITLINK__" hidden="1">{"fdsup://Directions/FactSet Auditing Viewer?action=AUDIT_VALUE&amp;DB=129&amp;ID1=42823610&amp;VALUEID=02001&amp;SDATE=200801&amp;PERIODTYPE=QTR_STD&amp;SCFT=3&amp;window=popup_no_bar&amp;width=385&amp;height=120&amp;START_MAXIMIZED=FALSE&amp;creator=factset&amp;display_string=Audit"}</definedName>
    <definedName name="_4079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408__FDSAUDITLINK__" hidden="1">{"fdsup://Directions/FactSet Auditing Viewer?action=AUDIT_VALUE&amp;DB=129&amp;ID1=24702R10&amp;VALUEID=02001&amp;SDATE=201003&amp;PERIODTYPE=QTR_STD&amp;SCFT=3&amp;window=popup_no_bar&amp;width=385&amp;height=120&amp;START_MAXIMIZED=FALSE&amp;creator=factset&amp;display_string=Audit"}</definedName>
    <definedName name="_4080__FDSAUDITLINK__" hidden="1">{"fdsup://Directions/FactSet Auditing Viewer?action=AUDIT_VALUE&amp;DB=129&amp;ID1=42823610&amp;VALUEID=02001&amp;SDATE=200703&amp;PERIODTYPE=QTR_STD&amp;SCFT=3&amp;window=popup_no_bar&amp;width=385&amp;height=120&amp;START_MAXIMIZED=FALSE&amp;creator=factset&amp;display_string=Audit"}</definedName>
    <definedName name="_4081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4082__FDSAUDITLINK__" hidden="1">{"fdsup://Directions/FactSet Auditing Viewer?action=AUDIT_VALUE&amp;DB=129&amp;ID1=42823610&amp;VALUEID=02001&amp;SDATE=200702&amp;PERIODTYPE=QTR_STD&amp;SCFT=3&amp;window=popup_no_bar&amp;width=385&amp;height=120&amp;START_MAXIMIZED=FALSE&amp;creator=factset&amp;display_string=Audit"}</definedName>
    <definedName name="_4083__FDSAUDITLINK__" hidden="1">{"fdsup://Directions/FactSet Auditing Viewer?action=AUDIT_VALUE&amp;DB=129&amp;ID1=42823610&amp;VALUEID=02001&amp;SDATE=200701&amp;PERIODTYPE=QTR_STD&amp;SCFT=3&amp;window=popup_no_bar&amp;width=385&amp;height=120&amp;START_MAXIMIZED=FALSE&amp;creator=factset&amp;display_string=Audit"}</definedName>
    <definedName name="_4084__FDSAUDITLINK__" hidden="1">{"fdsup://Directions/FactSet Auditing Viewer?action=AUDIT_VALUE&amp;DB=129&amp;ID1=42823610&amp;VALUEID=02001&amp;SDATE=200701&amp;PERIODTYPE=QTR_STD&amp;SCFT=3&amp;window=popup_no_bar&amp;width=385&amp;height=120&amp;START_MAXIMIZED=FALSE&amp;creator=factset&amp;display_string=Audit"}</definedName>
    <definedName name="_4085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4086__FDSAUDITLINK__" hidden="1">{"fdsup://Directions/FactSet Auditing Viewer?action=AUDIT_VALUE&amp;DB=129&amp;ID1=42823610&amp;VALUEID=02001&amp;SDATE=200603&amp;PERIODTYPE=QTR_STD&amp;SCFT=3&amp;window=popup_no_bar&amp;width=385&amp;height=120&amp;START_MAXIMIZED=FALSE&amp;creator=factset&amp;display_string=Audit"}</definedName>
    <definedName name="_4087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4088__FDSAUDITLINK__" hidden="1">{"fdsup://Directions/FactSet Auditing Viewer?action=AUDIT_VALUE&amp;DB=129&amp;ID1=42823610&amp;VALUEID=02001&amp;SDATE=200602&amp;PERIODTYPE=QTR_STD&amp;SCFT=3&amp;window=popup_no_bar&amp;width=385&amp;height=120&amp;START_MAXIMIZED=FALSE&amp;creator=factset&amp;display_string=Audit"}</definedName>
    <definedName name="_4089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409__FDSAUDITLINK__" hidden="1">{"fdsup://Directions/FactSet Auditing Viewer?action=AUDIT_VALUE&amp;DB=129&amp;ID1=23257210&amp;VALUEID=02001&amp;SDATE=201003&amp;PERIODTYPE=QTR_STD&amp;SCFT=3&amp;window=popup_no_bar&amp;width=385&amp;height=120&amp;START_MAXIMIZED=FALSE&amp;creator=factset&amp;display_string=Audit"}</definedName>
    <definedName name="_4090__FDSAUDITLINK__" hidden="1">{"fdsup://Directions/FactSet Auditing Viewer?action=AUDIT_VALUE&amp;DB=129&amp;ID1=42823610&amp;VALUEID=02001&amp;SDATE=200601&amp;PERIODTYPE=QTR_STD&amp;SCFT=3&amp;window=popup_no_bar&amp;width=385&amp;height=120&amp;START_MAXIMIZED=FALSE&amp;creator=factset&amp;display_string=Audit"}</definedName>
    <definedName name="_4091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4092__FDSAUDITLINK__" hidden="1">{"fdsup://Directions/FactSet Auditing Viewer?action=AUDIT_VALUE&amp;DB=129&amp;ID1=42823610&amp;VALUEID=02001&amp;SDATE=200503&amp;PERIODTYPE=QTR_STD&amp;SCFT=3&amp;window=popup_no_bar&amp;width=385&amp;height=120&amp;START_MAXIMIZED=FALSE&amp;creator=factset&amp;display_string=Audit"}</definedName>
    <definedName name="_4093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4094__FDSAUDITLINK__" hidden="1">{"fdsup://Directions/FactSet Auditing Viewer?action=AUDIT_VALUE&amp;DB=129&amp;ID1=42823610&amp;VALUEID=02001&amp;SDATE=200502&amp;PERIODTYPE=QTR_STD&amp;SCFT=3&amp;window=popup_no_bar&amp;width=385&amp;height=120&amp;START_MAXIMIZED=FALSE&amp;creator=factset&amp;display_string=Audit"}</definedName>
    <definedName name="_4095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4096__FDSAUDITLINK__" hidden="1">{"fdsup://Directions/FactSet Auditing Viewer?action=AUDIT_VALUE&amp;DB=129&amp;ID1=42823610&amp;VALUEID=02001&amp;SDATE=200501&amp;PERIODTYPE=QTR_STD&amp;SCFT=3&amp;window=popup_no_bar&amp;width=385&amp;height=120&amp;START_MAXIMIZED=FALSE&amp;creator=factset&amp;display_string=Audit"}</definedName>
    <definedName name="_4097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4098__FDSAUDITLINK__" hidden="1">{"fdsup://Directions/FactSet Auditing Viewer?action=AUDIT_VALUE&amp;DB=129&amp;ID1=42823610&amp;VALUEID=02001&amp;SDATE=200403&amp;PERIODTYPE=QTR_STD&amp;SCFT=3&amp;window=popup_no_bar&amp;width=385&amp;height=120&amp;START_MAXIMIZED=FALSE&amp;creator=factset&amp;display_string=Audit"}</definedName>
    <definedName name="_4099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41__FDSAUDITLINK__" hidden="1">{"fdsup://Directions/FactSet Auditing Viewer?action=AUDIT_VALUE&amp;DB=129&amp;ID1=74752510&amp;VALUEID=02001&amp;SDATE=201102&amp;PERIODTYPE=QTR_STD&amp;SCFT=3&amp;window=popup_no_bar&amp;width=385&amp;height=120&amp;START_MAXIMIZED=FALSE&amp;creator=factset&amp;display_string=Audit"}</definedName>
    <definedName name="_410__FDSAUDITLINK__" hidden="1">{"fdsup://Directions/FactSet Auditing Viewer?action=AUDIT_VALUE&amp;DB=129&amp;ID1=23257210&amp;VALUEID=02001&amp;SDATE=201003&amp;PERIODTYPE=QTR_STD&amp;SCFT=3&amp;window=popup_no_bar&amp;width=385&amp;height=120&amp;START_MAXIMIZED=FALSE&amp;creator=factset&amp;display_string=Audit"}</definedName>
    <definedName name="_4100__FDSAUDITLINK__" hidden="1">{"fdsup://Directions/FactSet Auditing Viewer?action=AUDIT_VALUE&amp;DB=129&amp;ID1=42823610&amp;VALUEID=02001&amp;SDATE=200402&amp;PERIODTYPE=QTR_STD&amp;SCFT=3&amp;window=popup_no_bar&amp;width=385&amp;height=120&amp;START_MAXIMIZED=FALSE&amp;creator=factset&amp;display_string=Audit"}</definedName>
    <definedName name="_4101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4102__FDSAUDITLINK__" hidden="1">{"fdsup://Directions/FactSet Auditing Viewer?action=AUDIT_VALUE&amp;DB=129&amp;ID1=H2906T10&amp;VALUEID=02001&amp;SDATE=200801&amp;PERIODTYPE=QTR_STD&amp;SCFT=3&amp;window=popup_no_bar&amp;width=385&amp;height=120&amp;START_MAXIMIZED=FALSE&amp;creator=factset&amp;display_string=Audit"}</definedName>
    <definedName name="_4103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4104__FDSAUDITLINK__" hidden="1">{"fdsup://Directions/FactSet Auditing Viewer?action=AUDIT_VALUE&amp;DB=129&amp;ID1=H2906T10&amp;VALUEID=02001&amp;SDATE=200703&amp;PERIODTYPE=QTR_STD&amp;SCFT=3&amp;window=popup_no_bar&amp;width=385&amp;height=120&amp;START_MAXIMIZED=FALSE&amp;creator=factset&amp;display_string=Audit"}</definedName>
    <definedName name="_4105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4106__FDSAUDITLINK__" hidden="1">{"fdsup://Directions/FactSet Auditing Viewer?action=AUDIT_VALUE&amp;DB=129&amp;ID1=H2906T10&amp;VALUEID=02001&amp;SDATE=200702&amp;PERIODTYPE=QTR_STD&amp;SCFT=3&amp;window=popup_no_bar&amp;width=385&amp;height=120&amp;START_MAXIMIZED=FALSE&amp;creator=factset&amp;display_string=Audit"}</definedName>
    <definedName name="_4107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4108__FDSAUDITLINK__" hidden="1">{"fdsup://Directions/FactSet Auditing Viewer?action=AUDIT_VALUE&amp;DB=129&amp;ID1=H2906T10&amp;VALUEID=02001&amp;SDATE=200701&amp;PERIODTYPE=QTR_STD&amp;SCFT=3&amp;window=popup_no_bar&amp;width=385&amp;height=120&amp;START_MAXIMIZED=FALSE&amp;creator=factset&amp;display_string=Audit"}</definedName>
    <definedName name="_4109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411__FDSAUDITLINK__" hidden="1">{"fdsup://Directions/FactSet Auditing Viewer?action=AUDIT_VALUE&amp;DB=129&amp;ID1=23280610&amp;VALUEID=02001&amp;SDATE=201003&amp;PERIODTYPE=QTR_STD&amp;SCFT=3&amp;window=popup_no_bar&amp;width=385&amp;height=120&amp;START_MAXIMIZED=FALSE&amp;creator=factset&amp;display_string=Audit"}</definedName>
    <definedName name="_4110__FDSAUDITLINK__" hidden="1">{"fdsup://Directions/FactSet Auditing Viewer?action=AUDIT_VALUE&amp;DB=129&amp;ID1=H2906T10&amp;VALUEID=02001&amp;SDATE=200603&amp;PERIODTYPE=QTR_STD&amp;SCFT=3&amp;window=popup_no_bar&amp;width=385&amp;height=120&amp;START_MAXIMIZED=FALSE&amp;creator=factset&amp;display_string=Audit"}</definedName>
    <definedName name="_4111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4112__FDSAUDITLINK__" hidden="1">{"fdsup://Directions/FactSet Auditing Viewer?action=AUDIT_VALUE&amp;DB=129&amp;ID1=H2906T10&amp;VALUEID=02001&amp;SDATE=200602&amp;PERIODTYPE=QTR_STD&amp;SCFT=3&amp;window=popup_no_bar&amp;width=385&amp;height=120&amp;START_MAXIMIZED=FALSE&amp;creator=factset&amp;display_string=Audit"}</definedName>
    <definedName name="_4113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4114__FDSAUDITLINK__" hidden="1">{"fdsup://Directions/FactSet Auditing Viewer?action=AUDIT_VALUE&amp;DB=129&amp;ID1=H2906T10&amp;VALUEID=02001&amp;SDATE=200601&amp;PERIODTYPE=QTR_STD&amp;SCFT=3&amp;window=popup_no_bar&amp;width=385&amp;height=120&amp;START_MAXIMIZED=FALSE&amp;creator=factset&amp;display_string=Audit"}</definedName>
    <definedName name="_4115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4116__FDSAUDITLINK__" hidden="1">{"fdsup://Directions/FactSet Auditing Viewer?action=AUDIT_VALUE&amp;DB=129&amp;ID1=34637510&amp;VALUEID=02001&amp;SDATE=200801&amp;PERIODTYPE=QTR_STD&amp;SCFT=3&amp;window=popup_no_bar&amp;width=385&amp;height=120&amp;START_MAXIMIZED=FALSE&amp;creator=factset&amp;display_string=Audit"}</definedName>
    <definedName name="_4117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4118__FDSAUDITLINK__" hidden="1">{"fdsup://Directions/FactSet Auditing Viewer?action=AUDIT_VALUE&amp;DB=129&amp;ID1=34637510&amp;VALUEID=02001&amp;SDATE=200703&amp;PERIODTYPE=QTR_STD&amp;SCFT=3&amp;window=popup_no_bar&amp;width=385&amp;height=120&amp;START_MAXIMIZED=FALSE&amp;creator=factset&amp;display_string=Audit"}</definedName>
    <definedName name="_4119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412__FDSAUDITLINK__" hidden="1">{"fdsup://Directions/FactSet Auditing Viewer?action=AUDIT_VALUE&amp;DB=129&amp;ID1=23280610&amp;VALUEID=02001&amp;SDATE=201003&amp;PERIODTYPE=QTR_STD&amp;SCFT=3&amp;window=popup_no_bar&amp;width=385&amp;height=120&amp;START_MAXIMIZED=FALSE&amp;creator=factset&amp;display_string=Audit"}</definedName>
    <definedName name="_4120__FDSAUDITLINK__" hidden="1">{"fdsup://Directions/FactSet Auditing Viewer?action=AUDIT_VALUE&amp;DB=129&amp;ID1=34637510&amp;VALUEID=02001&amp;SDATE=200701&amp;PERIODTYPE=QTR_STD&amp;SCFT=3&amp;window=popup_no_bar&amp;width=385&amp;height=120&amp;START_MAXIMIZED=FALSE&amp;creator=factset&amp;display_string=Audit"}</definedName>
    <definedName name="_4121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4122__FDSAUDITLINK__" hidden="1">{"fdsup://Directions/FactSet Auditing Viewer?action=AUDIT_VALUE&amp;DB=129&amp;ID1=34637510&amp;VALUEID=02001&amp;SDATE=200603&amp;PERIODTYPE=QTR_STD&amp;SCFT=3&amp;window=popup_no_bar&amp;width=385&amp;height=120&amp;START_MAXIMIZED=FALSE&amp;creator=factset&amp;display_string=Audit"}</definedName>
    <definedName name="_4123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4124__FDSAUDITLINK__" hidden="1">{"fdsup://Directions/FactSet Auditing Viewer?action=AUDIT_VALUE&amp;DB=129&amp;ID1=34637510&amp;VALUEID=02001&amp;SDATE=200602&amp;PERIODTYPE=QTR_STD&amp;SCFT=3&amp;window=popup_no_bar&amp;width=385&amp;height=120&amp;START_MAXIMIZED=FALSE&amp;creator=factset&amp;display_string=Audit"}</definedName>
    <definedName name="_4125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4126__FDSAUDITLINK__" hidden="1">{"fdsup://Directions/FactSet Auditing Viewer?action=AUDIT_VALUE&amp;DB=129&amp;ID1=34637510&amp;VALUEID=02001&amp;SDATE=200601&amp;PERIODTYPE=QTR_STD&amp;SCFT=3&amp;window=popup_no_bar&amp;width=385&amp;height=120&amp;START_MAXIMIZED=FALSE&amp;creator=factset&amp;display_string=Audit"}</definedName>
    <definedName name="_4127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4128__FDSAUDITLINK__" hidden="1">{"fdsup://Directions/FactSet Auditing Viewer?action=AUDIT_VALUE&amp;DB=129&amp;ID1=34637510&amp;VALUEID=02001&amp;SDATE=200503&amp;PERIODTYPE=QTR_STD&amp;SCFT=3&amp;window=popup_no_bar&amp;width=385&amp;height=120&amp;START_MAXIMIZED=FALSE&amp;creator=factset&amp;display_string=Audit"}</definedName>
    <definedName name="_4129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413__FDSAUDITLINK__" hidden="1">{"fdsup://Directions/FactSet Auditing Viewer?action=AUDIT_VALUE&amp;DB=129&amp;ID1=17275R10&amp;VALUEID=02001&amp;SDATE=201101&amp;PERIODTYPE=QTR_STD&amp;SCFT=3&amp;window=popup_no_bar&amp;width=385&amp;height=120&amp;START_MAXIMIZED=FALSE&amp;creator=factset&amp;display_string=Audit"}</definedName>
    <definedName name="_4130__FDSAUDITLINK__" hidden="1">{"fdsup://Directions/FactSet Auditing Viewer?action=AUDIT_VALUE&amp;DB=129&amp;ID1=34637510&amp;VALUEID=02001&amp;SDATE=200502&amp;PERIODTYPE=QTR_STD&amp;SCFT=3&amp;window=popup_no_bar&amp;width=385&amp;height=120&amp;START_MAXIMIZED=FALSE&amp;creator=factset&amp;display_string=Audit"}</definedName>
    <definedName name="_4131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4132__FDSAUDITLINK__" hidden="1">{"fdsup://Directions/FactSet Auditing Viewer?action=AUDIT_VALUE&amp;DB=129&amp;ID1=34637510&amp;VALUEID=02001&amp;SDATE=200501&amp;PERIODTYPE=QTR_STD&amp;SCFT=3&amp;window=popup_no_bar&amp;width=385&amp;height=120&amp;START_MAXIMIZED=FALSE&amp;creator=factset&amp;display_string=Audit"}</definedName>
    <definedName name="_4133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4134__FDSAUDITLINK__" hidden="1">{"fdsup://Directions/FactSet Auditing Viewer?action=AUDIT_VALUE&amp;DB=129&amp;ID1=34637510&amp;VALUEID=02001&amp;SDATE=200403&amp;PERIODTYPE=QTR_STD&amp;SCFT=3&amp;window=popup_no_bar&amp;width=385&amp;height=120&amp;START_MAXIMIZED=FALSE&amp;creator=factset&amp;display_string=Audit"}</definedName>
    <definedName name="_4135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4136__FDSAUDITLINK__" hidden="1">{"fdsup://Directions/FactSet Auditing Viewer?action=AUDIT_VALUE&amp;DB=129&amp;ID1=34637510&amp;VALUEID=02001&amp;SDATE=200402&amp;PERIODTYPE=QTR_STD&amp;SCFT=3&amp;window=popup_no_bar&amp;width=385&amp;height=120&amp;START_MAXIMIZED=FALSE&amp;creator=factset&amp;display_string=Audit"}</definedName>
    <definedName name="_4137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4138__FDSAUDITLINK__" hidden="1">{"fdsup://Directions/FactSet Auditing Viewer?action=AUDIT_VALUE&amp;DB=129&amp;ID1=34637510&amp;VALUEID=02001&amp;SDATE=200401&amp;PERIODTYPE=QTR_STD&amp;SCFT=3&amp;window=popup_no_bar&amp;width=385&amp;height=120&amp;START_MAXIMIZED=FALSE&amp;creator=factset&amp;display_string=Audit"}</definedName>
    <definedName name="_4139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414__FDSAUDITLINK__" hidden="1">{"fdsup://Directions/FactSet Auditing Viewer?action=AUDIT_VALUE&amp;DB=129&amp;ID1=17275R10&amp;VALUEID=02001&amp;SDATE=201101&amp;PERIODTYPE=QTR_STD&amp;SCFT=3&amp;window=popup_no_bar&amp;width=385&amp;height=120&amp;START_MAXIMIZED=FALSE&amp;creator=factset&amp;display_string=Audit"}</definedName>
    <definedName name="_4140__FDSAUDITLINK__" hidden="1">{"fdsup://Directions/FactSet Auditing Viewer?action=AUDIT_VALUE&amp;DB=129&amp;ID1=31561610&amp;VALUEID=02001&amp;SDATE=200802&amp;PERIODTYPE=QTR_STD&amp;SCFT=3&amp;window=popup_no_bar&amp;width=385&amp;height=120&amp;START_MAXIMIZED=FALSE&amp;creator=factset&amp;display_string=Audit"}</definedName>
    <definedName name="_4141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4142__FDSAUDITLINK__" hidden="1">{"fdsup://Directions/FactSet Auditing Viewer?action=AUDIT_VALUE&amp;DB=129&amp;ID1=31561610&amp;VALUEID=02001&amp;SDATE=200801&amp;PERIODTYPE=QTR_STD&amp;SCFT=3&amp;window=popup_no_bar&amp;width=385&amp;height=120&amp;START_MAXIMIZED=FALSE&amp;creator=factset&amp;display_string=Audit"}</definedName>
    <definedName name="_4143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4144__FDSAUDITLINK__" hidden="1">{"fdsup://Directions/FactSet Auditing Viewer?action=AUDIT_VALUE&amp;DB=129&amp;ID1=31561610&amp;VALUEID=02001&amp;SDATE=200703&amp;PERIODTYPE=QTR_STD&amp;SCFT=3&amp;window=popup_no_bar&amp;width=385&amp;height=120&amp;START_MAXIMIZED=FALSE&amp;creator=factset&amp;display_string=Audit"}</definedName>
    <definedName name="_4145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4146__FDSAUDITLINK__" hidden="1">{"fdsup://Directions/FactSet Auditing Viewer?action=AUDIT_VALUE&amp;DB=129&amp;ID1=31561610&amp;VALUEID=02001&amp;SDATE=200702&amp;PERIODTYPE=QTR_STD&amp;SCFT=3&amp;window=popup_no_bar&amp;width=385&amp;height=120&amp;START_MAXIMIZED=FALSE&amp;creator=factset&amp;display_string=Audit"}</definedName>
    <definedName name="_4147__FDSAUDITLINK__" hidden="1">{"fdsup://Directions/FactSet Auditing Viewer?action=AUDIT_VALUE&amp;DB=129&amp;ID1=31561610&amp;VALUEID=02001&amp;SDATE=200701&amp;PERIODTYPE=QTR_STD&amp;SCFT=3&amp;window=popup_no_bar&amp;width=385&amp;height=120&amp;START_MAXIMIZED=FALSE&amp;creator=factset&amp;display_string=Audit"}</definedName>
    <definedName name="_4148__FDSAUDITLINK__" hidden="1">{"fdsup://Directions/FactSet Auditing Viewer?action=AUDIT_VALUE&amp;DB=129&amp;ID1=31561610&amp;VALUEID=02001&amp;SDATE=200701&amp;PERIODTYPE=QTR_STD&amp;SCFT=3&amp;window=popup_no_bar&amp;width=385&amp;height=120&amp;START_MAXIMIZED=FALSE&amp;creator=factset&amp;display_string=Audit"}</definedName>
    <definedName name="_4149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415__FDSAUDITLINK__" hidden="1">{"fdsup://Directions/FactSet Auditing Viewer?action=AUDIT_VALUE&amp;DB=129&amp;ID1=22544710&amp;VALUEID=02001&amp;SDATE=201101&amp;PERIODTYPE=QTR_STD&amp;SCFT=3&amp;window=popup_no_bar&amp;width=385&amp;height=120&amp;START_MAXIMIZED=FALSE&amp;creator=factset&amp;display_string=Audit"}</definedName>
    <definedName name="_4150__FDSAUDITLINK__" hidden="1">{"fdsup://Directions/FactSet Auditing Viewer?action=AUDIT_VALUE&amp;DB=129&amp;ID1=31561610&amp;VALUEID=02001&amp;SDATE=200603&amp;PERIODTYPE=QTR_STD&amp;SCFT=3&amp;window=popup_no_bar&amp;width=385&amp;height=120&amp;START_MAXIMIZED=FALSE&amp;creator=factset&amp;display_string=Audit"}</definedName>
    <definedName name="_4151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4152__FDSAUDITLINK__" hidden="1">{"fdsup://Directions/FactSet Auditing Viewer?action=AUDIT_VALUE&amp;DB=129&amp;ID1=31561610&amp;VALUEID=02001&amp;SDATE=200602&amp;PERIODTYPE=QTR_STD&amp;SCFT=3&amp;window=popup_no_bar&amp;width=385&amp;height=120&amp;START_MAXIMIZED=FALSE&amp;creator=factset&amp;display_string=Audit"}</definedName>
    <definedName name="_4153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4154__FDSAUDITLINK__" hidden="1">{"fdsup://Directions/FactSet Auditing Viewer?action=AUDIT_VALUE&amp;DB=129&amp;ID1=31561610&amp;VALUEID=02001&amp;SDATE=200601&amp;PERIODTYPE=QTR_STD&amp;SCFT=3&amp;window=popup_no_bar&amp;width=385&amp;height=120&amp;START_MAXIMIZED=FALSE&amp;creator=factset&amp;display_string=Audit"}</definedName>
    <definedName name="_4155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4156__FDSAUDITLINK__" hidden="1">{"fdsup://Directions/FactSet Auditing Viewer?action=AUDIT_VALUE&amp;DB=129&amp;ID1=31561610&amp;VALUEID=02001&amp;SDATE=200503&amp;PERIODTYPE=QTR_STD&amp;SCFT=3&amp;window=popup_no_bar&amp;width=385&amp;height=120&amp;START_MAXIMIZED=FALSE&amp;creator=factset&amp;display_string=Audit"}</definedName>
    <definedName name="_4157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4158__FDSAUDITLINK__" hidden="1">{"fdsup://Directions/FactSet Auditing Viewer?action=AUDIT_VALUE&amp;DB=129&amp;ID1=31561610&amp;VALUEID=02001&amp;SDATE=200502&amp;PERIODTYPE=QTR_STD&amp;SCFT=3&amp;window=popup_no_bar&amp;width=385&amp;height=120&amp;START_MAXIMIZED=FALSE&amp;creator=factset&amp;display_string=Audit"}</definedName>
    <definedName name="_4159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416__FDSAUDITLINK__" hidden="1">{"fdsup://Directions/FactSet Auditing Viewer?action=AUDIT_VALUE&amp;DB=129&amp;ID1=22544710&amp;VALUEID=02001&amp;SDATE=201101&amp;PERIODTYPE=QTR_STD&amp;SCFT=3&amp;window=popup_no_bar&amp;width=385&amp;height=120&amp;START_MAXIMIZED=FALSE&amp;creator=factset&amp;display_string=Audit"}</definedName>
    <definedName name="_4160__FDSAUDITLINK__" hidden="1">{"fdsup://Directions/FactSet Auditing Viewer?action=AUDIT_VALUE&amp;DB=129&amp;ID1=31561610&amp;VALUEID=02001&amp;SDATE=200501&amp;PERIODTYPE=QTR_STD&amp;SCFT=3&amp;window=popup_no_bar&amp;width=385&amp;height=120&amp;START_MAXIMIZED=FALSE&amp;creator=factset&amp;display_string=Audit"}</definedName>
    <definedName name="_4161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4162__FDSAUDITLINK__" hidden="1">{"fdsup://Directions/FactSet Auditing Viewer?action=AUDIT_VALUE&amp;DB=129&amp;ID1=31561610&amp;VALUEID=02001&amp;SDATE=200403&amp;PERIODTYPE=QTR_STD&amp;SCFT=3&amp;window=popup_no_bar&amp;width=385&amp;height=120&amp;START_MAXIMIZED=FALSE&amp;creator=factset&amp;display_string=Audit"}</definedName>
    <definedName name="_4163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4164__FDSAUDITLINK__" hidden="1">{"fdsup://Directions/FactSet Auditing Viewer?action=AUDIT_VALUE&amp;DB=129&amp;ID1=31561610&amp;VALUEID=02001&amp;SDATE=200402&amp;PERIODTYPE=QTR_STD&amp;SCFT=3&amp;window=popup_no_bar&amp;width=385&amp;height=120&amp;START_MAXIMIZED=FALSE&amp;creator=factset&amp;display_string=Audit"}</definedName>
    <definedName name="_4165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4166__FDSAUDITLINK__" hidden="1">{"fdsup://Directions/FactSet Auditing Viewer?action=AUDIT_VALUE&amp;DB=129&amp;ID1=29247520&amp;VALUEID=02001&amp;SDATE=200803&amp;PERIODTYPE=QTR_STD&amp;SCFT=3&amp;window=popup_no_bar&amp;width=385&amp;height=120&amp;START_MAXIMIZED=FALSE&amp;creator=factset&amp;display_string=Audit"}</definedName>
    <definedName name="_4167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4168__FDSAUDITLINK__" hidden="1">{"fdsup://Directions/FactSet Auditing Viewer?action=AUDIT_VALUE&amp;DB=129&amp;ID1=29247520&amp;VALUEID=02001&amp;SDATE=200802&amp;PERIODTYPE=QTR_STD&amp;SCFT=3&amp;window=popup_no_bar&amp;width=385&amp;height=120&amp;START_MAXIMIZED=FALSE&amp;creator=factset&amp;display_string=Audit"}</definedName>
    <definedName name="_4169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417__FDSAUDITLINK__" hidden="1">{"fdsup://Directions/FactSet Auditing Viewer?action=AUDIT_VALUE&amp;DB=129&amp;ID1=20714230&amp;VALUEID=02001&amp;SDATE=201004&amp;PERIODTYPE=QTR_STD&amp;SCFT=3&amp;window=popup_no_bar&amp;width=385&amp;height=120&amp;START_MAXIMIZED=FALSE&amp;creator=factset&amp;display_string=Audit"}</definedName>
    <definedName name="_4170__FDSAUDITLINK__" hidden="1">{"fdsup://Directions/FactSet Auditing Viewer?action=AUDIT_VALUE&amp;DB=129&amp;ID1=29247520&amp;VALUEID=02001&amp;SDATE=200801&amp;PERIODTYPE=QTR_STD&amp;SCFT=3&amp;window=popup_no_bar&amp;width=385&amp;height=120&amp;START_MAXIMIZED=FALSE&amp;creator=factset&amp;display_string=Audit"}</definedName>
    <definedName name="_4171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4172__FDSAUDITLINK__" hidden="1">{"fdsup://Directions/FactSet Auditing Viewer?action=AUDIT_VALUE&amp;DB=129&amp;ID1=29247520&amp;VALUEID=02001&amp;SDATE=200703&amp;PERIODTYPE=QTR_STD&amp;SCFT=3&amp;window=popup_no_bar&amp;width=385&amp;height=120&amp;START_MAXIMIZED=FALSE&amp;creator=factset&amp;display_string=Audit"}</definedName>
    <definedName name="_4173__FDSAUDITLINK__" hidden="1">{"fdsup://Directions/FactSet Auditing Viewer?action=AUDIT_VALUE&amp;DB=129&amp;ID1=29247520&amp;VALUEID=02001&amp;SDATE=200702&amp;PERIODTYPE=QTR_STD&amp;SCFT=3&amp;window=popup_no_bar&amp;width=385&amp;height=120&amp;START_MAXIMIZED=FALSE&amp;creator=factset&amp;display_string=Audit"}</definedName>
    <definedName name="_4174__FDSAUDITLINK__" hidden="1">{"fdsup://Directions/FactSet Auditing Viewer?action=AUDIT_VALUE&amp;DB=129&amp;ID1=29247520&amp;VALUEID=02001&amp;SDATE=200702&amp;PERIODTYPE=QTR_STD&amp;SCFT=3&amp;window=popup_no_bar&amp;width=385&amp;height=120&amp;START_MAXIMIZED=FALSE&amp;creator=factset&amp;display_string=Audit"}</definedName>
    <definedName name="_4175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4176__FDSAUDITLINK__" hidden="1">{"fdsup://Directions/FactSet Auditing Viewer?action=AUDIT_VALUE&amp;DB=129&amp;ID1=29247520&amp;VALUEID=02001&amp;SDATE=200701&amp;PERIODTYPE=QTR_STD&amp;SCFT=3&amp;window=popup_no_bar&amp;width=385&amp;height=120&amp;START_MAXIMIZED=FALSE&amp;creator=factset&amp;display_string=Audit"}</definedName>
    <definedName name="_4177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4178__FDSAUDITLINK__" hidden="1">{"fdsup://Directions/FactSet Auditing Viewer?action=AUDIT_VALUE&amp;DB=129&amp;ID1=29247520&amp;VALUEID=02001&amp;SDATE=200603&amp;PERIODTYPE=QTR_STD&amp;SCFT=3&amp;window=popup_no_bar&amp;width=385&amp;height=120&amp;START_MAXIMIZED=FALSE&amp;creator=factset&amp;display_string=Audit"}</definedName>
    <definedName name="_4179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418__FDSAUDITLINK__" hidden="1">{"fdsup://Directions/FactSet Auditing Viewer?action=AUDIT_VALUE&amp;DB=129&amp;ID1=20714230&amp;VALUEID=02001&amp;SDATE=201004&amp;PERIODTYPE=QTR_STD&amp;SCFT=3&amp;window=popup_no_bar&amp;width=385&amp;height=120&amp;START_MAXIMIZED=FALSE&amp;creator=factset&amp;display_string=Audit"}</definedName>
    <definedName name="_4180__FDSAUDITLINK__" hidden="1">{"fdsup://Directions/FactSet Auditing Viewer?action=AUDIT_VALUE&amp;DB=129&amp;ID1=29247520&amp;VALUEID=02001&amp;SDATE=200602&amp;PERIODTYPE=QTR_STD&amp;SCFT=3&amp;window=popup_no_bar&amp;width=385&amp;height=120&amp;START_MAXIMIZED=FALSE&amp;creator=factset&amp;display_string=Audit"}</definedName>
    <definedName name="_4181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4182__FDSAUDITLINK__" hidden="1">{"fdsup://Directions/FactSet Auditing Viewer?action=AUDIT_VALUE&amp;DB=129&amp;ID1=29247520&amp;VALUEID=02001&amp;SDATE=200601&amp;PERIODTYPE=QTR_STD&amp;SCFT=3&amp;window=popup_no_bar&amp;width=385&amp;height=120&amp;START_MAXIMIZED=FALSE&amp;creator=factset&amp;display_string=Audit"}</definedName>
    <definedName name="_4183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4184__FDSAUDITLINK__" hidden="1">{"fdsup://Directions/FactSet Auditing Viewer?action=AUDIT_VALUE&amp;DB=129&amp;ID1=29247520&amp;VALUEID=02001&amp;SDATE=200503&amp;PERIODTYPE=QTR_STD&amp;SCFT=3&amp;window=popup_no_bar&amp;width=385&amp;height=120&amp;START_MAXIMIZED=FALSE&amp;creator=factset&amp;display_string=Audit"}</definedName>
    <definedName name="_4185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4186__FDSAUDITLINK__" hidden="1">{"fdsup://Directions/FactSet Auditing Viewer?action=AUDIT_VALUE&amp;DB=129&amp;ID1=29247520&amp;VALUEID=02001&amp;SDATE=200502&amp;PERIODTYPE=QTR_STD&amp;SCFT=3&amp;window=popup_no_bar&amp;width=385&amp;height=120&amp;START_MAXIMIZED=FALSE&amp;creator=factset&amp;display_string=Audit"}</definedName>
    <definedName name="_4187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4188__FDSAUDITLINK__" hidden="1">{"fdsup://Directions/FactSet Auditing Viewer?action=AUDIT_VALUE&amp;DB=129&amp;ID1=29247520&amp;VALUEID=02001&amp;SDATE=200501&amp;PERIODTYPE=QTR_STD&amp;SCFT=3&amp;window=popup_no_bar&amp;width=385&amp;height=120&amp;START_MAXIMIZED=FALSE&amp;creator=factset&amp;display_string=Audit"}</definedName>
    <definedName name="_4189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419__FDSAUDITLINK__" hidden="1">{"fdsup://Directions/FactSet Auditing Viewer?action=AUDIT_VALUE&amp;DB=129&amp;ID1=12738710&amp;VALUEID=02001&amp;SDATE=201003&amp;PERIODTYPE=QTR_STD&amp;SCFT=3&amp;window=popup_no_bar&amp;width=385&amp;height=120&amp;START_MAXIMIZED=FALSE&amp;creator=factset&amp;display_string=Audit"}</definedName>
    <definedName name="_4190__FDSAUDITLINK__" hidden="1">{"fdsup://Directions/FactSet Auditing Viewer?action=AUDIT_VALUE&amp;DB=129&amp;ID1=29247520&amp;VALUEID=02001&amp;SDATE=200403&amp;PERIODTYPE=QTR_STD&amp;SCFT=3&amp;window=popup_no_bar&amp;width=385&amp;height=120&amp;START_MAXIMIZED=FALSE&amp;creator=factset&amp;display_string=Audit"}</definedName>
    <definedName name="_4191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4192__FDSAUDITLINK__" hidden="1">{"fdsup://Directions/FactSet Auditing Viewer?action=AUDIT_VALUE&amp;DB=129&amp;ID1=25454310&amp;VALUEID=02001&amp;SDATE=200801&amp;PERIODTYPE=QTR_STD&amp;SCFT=3&amp;window=popup_no_bar&amp;width=385&amp;height=120&amp;START_MAXIMIZED=FALSE&amp;creator=factset&amp;display_string=Audit"}</definedName>
    <definedName name="_4193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4194__FDSAUDITLINK__" hidden="1">{"fdsup://Directions/FactSet Auditing Viewer?action=AUDIT_VALUE&amp;DB=129&amp;ID1=25454310&amp;VALUEID=02001&amp;SDATE=200703&amp;PERIODTYPE=QTR_STD&amp;SCFT=3&amp;window=popup_no_bar&amp;width=385&amp;height=120&amp;START_MAXIMIZED=FALSE&amp;creator=factset&amp;display_string=Audit"}</definedName>
    <definedName name="_4195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4196__FDSAUDITLINK__" hidden="1">{"fdsup://Directions/FactSet Auditing Viewer?action=AUDIT_VALUE&amp;DB=129&amp;ID1=25454310&amp;VALUEID=02001&amp;SDATE=200701&amp;PERIODTYPE=QTR_STD&amp;SCFT=3&amp;window=popup_no_bar&amp;width=385&amp;height=120&amp;START_MAXIMIZED=FALSE&amp;creator=factset&amp;display_string=Audit"}</definedName>
    <definedName name="_4197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4198__FDSAUDITLINK__" hidden="1">{"fdsup://Directions/FactSet Auditing Viewer?action=AUDIT_VALUE&amp;DB=129&amp;ID1=25454310&amp;VALUEID=02001&amp;SDATE=200603&amp;PERIODTYPE=QTR_STD&amp;SCFT=3&amp;window=popup_no_bar&amp;width=385&amp;height=120&amp;START_MAXIMIZED=FALSE&amp;creator=factset&amp;display_string=Audit"}</definedName>
    <definedName name="_4199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42__FDSAUDITLINK__" hidden="1">{"fdsup://Directions/FactSet Auditing Viewer?action=AUDIT_VALUE&amp;DB=129&amp;ID1=74752510&amp;VALUEID=02001&amp;SDATE=201102&amp;PERIODTYPE=QTR_STD&amp;SCFT=3&amp;window=popup_no_bar&amp;width=385&amp;height=120&amp;START_MAXIMIZED=FALSE&amp;creator=factset&amp;display_string=Audit"}</definedName>
    <definedName name="_420__FDSAUDITLINK__" hidden="1">{"fdsup://Directions/FactSet Auditing Viewer?action=AUDIT_VALUE&amp;DB=129&amp;ID1=12738710&amp;VALUEID=02001&amp;SDATE=201003&amp;PERIODTYPE=QTR_STD&amp;SCFT=3&amp;window=popup_no_bar&amp;width=385&amp;height=120&amp;START_MAXIMIZED=FALSE&amp;creator=factset&amp;display_string=Audit"}</definedName>
    <definedName name="_4200__FDSAUDITLINK__" hidden="1">{"fdsup://Directions/FactSet Auditing Viewer?action=AUDIT_VALUE&amp;DB=129&amp;ID1=25454310&amp;VALUEID=02001&amp;SDATE=200602&amp;PERIODTYPE=QTR_STD&amp;SCFT=3&amp;window=popup_no_bar&amp;width=385&amp;height=120&amp;START_MAXIMIZED=FALSE&amp;creator=factset&amp;display_string=Audit"}</definedName>
    <definedName name="_4201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4202__FDSAUDITLINK__" hidden="1">{"fdsup://Directions/FactSet Auditing Viewer?action=AUDIT_VALUE&amp;DB=129&amp;ID1=25454310&amp;VALUEID=02001&amp;SDATE=200601&amp;PERIODTYPE=QTR_STD&amp;SCFT=3&amp;window=popup_no_bar&amp;width=385&amp;height=120&amp;START_MAXIMIZED=FALSE&amp;creator=factset&amp;display_string=Audit"}</definedName>
    <definedName name="_4203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4204__FDSAUDITLINK__" hidden="1">{"fdsup://Directions/FactSet Auditing Viewer?action=AUDIT_VALUE&amp;DB=129&amp;ID1=25454310&amp;VALUEID=02001&amp;SDATE=200503&amp;PERIODTYPE=QTR_STD&amp;SCFT=3&amp;window=popup_no_bar&amp;width=385&amp;height=120&amp;START_MAXIMIZED=FALSE&amp;creator=factset&amp;display_string=Audit"}</definedName>
    <definedName name="_4205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4206__FDSAUDITLINK__" hidden="1">{"fdsup://Directions/FactSet Auditing Viewer?action=AUDIT_VALUE&amp;DB=129&amp;ID1=25454310&amp;VALUEID=02001&amp;SDATE=200502&amp;PERIODTYPE=QTR_STD&amp;SCFT=3&amp;window=popup_no_bar&amp;width=385&amp;height=120&amp;START_MAXIMIZED=FALSE&amp;creator=factset&amp;display_string=Audit"}</definedName>
    <definedName name="_4207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4208__FDSAUDITLINK__" hidden="1">{"fdsup://Directions/FactSet Auditing Viewer?action=AUDIT_VALUE&amp;DB=129&amp;ID1=25454310&amp;VALUEID=02001&amp;SDATE=200501&amp;PERIODTYPE=QTR_STD&amp;SCFT=3&amp;window=popup_no_bar&amp;width=385&amp;height=120&amp;START_MAXIMIZED=FALSE&amp;creator=factset&amp;display_string=Audit"}</definedName>
    <definedName name="_4209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421__FDSAUDITLINK__" hidden="1">{"fdsup://Directions/FactSet Auditing Viewer?action=AUDIT_VALUE&amp;DB=129&amp;ID1=14964U10&amp;VALUEID=02001&amp;SDATE=201003&amp;PERIODTYPE=QTR_STD&amp;SCFT=3&amp;window=popup_no_bar&amp;width=385&amp;height=120&amp;START_MAXIMIZED=FALSE&amp;creator=factset&amp;display_string=Audit"}</definedName>
    <definedName name="_4210__FDSAUDITLINK__" hidden="1">{"fdsup://Directions/FactSet Auditing Viewer?action=AUDIT_VALUE&amp;DB=129&amp;ID1=25454310&amp;VALUEID=02001&amp;SDATE=200403&amp;PERIODTYPE=QTR_STD&amp;SCFT=3&amp;window=popup_no_bar&amp;width=385&amp;height=120&amp;START_MAXIMIZED=FALSE&amp;creator=factset&amp;display_string=Audit"}</definedName>
    <definedName name="_4211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4212__FDSAUDITLINK__" hidden="1">{"fdsup://Directions/FactSet Auditing Viewer?action=AUDIT_VALUE&amp;DB=129&amp;ID1=25454310&amp;VALUEID=02001&amp;SDATE=200402&amp;PERIODTYPE=QTR_STD&amp;SCFT=3&amp;window=popup_no_bar&amp;width=385&amp;height=120&amp;START_MAXIMIZED=FALSE&amp;creator=factset&amp;display_string=Audit"}</definedName>
    <definedName name="_4213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4214__FDSAUDITLINK__" hidden="1">{"fdsup://Directions/FactSet Auditing Viewer?action=AUDIT_VALUE&amp;DB=129&amp;ID1=25454310&amp;VALUEID=02001&amp;SDATE=200401&amp;PERIODTYPE=QTR_STD&amp;SCFT=3&amp;window=popup_no_bar&amp;width=385&amp;height=120&amp;START_MAXIMIZED=FALSE&amp;creator=factset&amp;display_string=Audit"}</definedName>
    <definedName name="_4215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4216__FDSAUDITLINK__" hidden="1">{"fdsup://Directions/FactSet Auditing Viewer?action=AUDIT_VALUE&amp;DB=129&amp;ID1=24702R10&amp;VALUEID=02001&amp;SDATE=200801&amp;PERIODTYPE=QTR_STD&amp;SCFT=3&amp;window=popup_no_bar&amp;width=385&amp;height=120&amp;START_MAXIMIZED=FALSE&amp;creator=factset&amp;display_string=Audit"}</definedName>
    <definedName name="_4217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4218__FDSAUDITLINK__" hidden="1">{"fdsup://Directions/FactSet Auditing Viewer?action=AUDIT_VALUE&amp;DB=129&amp;ID1=24702R10&amp;VALUEID=02001&amp;SDATE=200703&amp;PERIODTYPE=QTR_STD&amp;SCFT=3&amp;window=popup_no_bar&amp;width=385&amp;height=120&amp;START_MAXIMIZED=FALSE&amp;creator=factset&amp;display_string=Audit"}</definedName>
    <definedName name="_4219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422__FDSAUDITLINK__" hidden="1">{"fdsup://Directions/FactSet Auditing Viewer?action=AUDIT_VALUE&amp;DB=129&amp;ID1=14964U10&amp;VALUEID=02001&amp;SDATE=201003&amp;PERIODTYPE=QTR_STD&amp;SCFT=3&amp;window=popup_no_bar&amp;width=385&amp;height=120&amp;START_MAXIMIZED=FALSE&amp;creator=factset&amp;display_string=Audit"}</definedName>
    <definedName name="_4220__FDSAUDITLINK__" hidden="1">{"fdsup://Directions/FactSet Auditing Viewer?action=AUDIT_VALUE&amp;DB=129&amp;ID1=24702R10&amp;VALUEID=02001&amp;SDATE=200702&amp;PERIODTYPE=QTR_STD&amp;SCFT=3&amp;window=popup_no_bar&amp;width=385&amp;height=120&amp;START_MAXIMIZED=FALSE&amp;creator=factset&amp;display_string=Audit"}</definedName>
    <definedName name="_4221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4222__FDSAUDITLINK__" hidden="1">{"fdsup://Directions/FactSet Auditing Viewer?action=AUDIT_VALUE&amp;DB=129&amp;ID1=24702R10&amp;VALUEID=02001&amp;SDATE=200701&amp;PERIODTYPE=QTR_STD&amp;SCFT=3&amp;window=popup_no_bar&amp;width=385&amp;height=120&amp;START_MAXIMIZED=FALSE&amp;creator=factset&amp;display_string=Audit"}</definedName>
    <definedName name="_4223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4224__FDSAUDITLINK__" hidden="1">{"fdsup://Directions/FactSet Auditing Viewer?action=AUDIT_VALUE&amp;DB=129&amp;ID1=24702R10&amp;VALUEID=02001&amp;SDATE=200603&amp;PERIODTYPE=QTR_STD&amp;SCFT=3&amp;window=popup_no_bar&amp;width=385&amp;height=120&amp;START_MAXIMIZED=FALSE&amp;creator=factset&amp;display_string=Audit"}</definedName>
    <definedName name="_4225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4226__FDSAUDITLINK__" hidden="1">{"fdsup://Directions/FactSet Auditing Viewer?action=AUDIT_VALUE&amp;DB=129&amp;ID1=24702R10&amp;VALUEID=02001&amp;SDATE=200602&amp;PERIODTYPE=QTR_STD&amp;SCFT=3&amp;window=popup_no_bar&amp;width=385&amp;height=120&amp;START_MAXIMIZED=FALSE&amp;creator=factset&amp;display_string=Audit"}</definedName>
    <definedName name="_4227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4228__FDSAUDITLINK__" hidden="1">{"fdsup://Directions/FactSet Auditing Viewer?action=AUDIT_VALUE&amp;DB=129&amp;ID1=24702R10&amp;VALUEID=02001&amp;SDATE=200601&amp;PERIODTYPE=QTR_STD&amp;SCFT=3&amp;window=popup_no_bar&amp;width=385&amp;height=120&amp;START_MAXIMIZED=FALSE&amp;creator=factset&amp;display_string=Audit"}</definedName>
    <definedName name="_4229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423__FDSAUDITLINK__" hidden="1">{"fdsup://Directions/FactSet Auditing Viewer?action=AUDIT_VALUE&amp;DB=129&amp;ID1=11162130&amp;VALUEID=02001&amp;SDATE=201004&amp;PERIODTYPE=QTR_STD&amp;SCFT=3&amp;window=popup_no_bar&amp;width=385&amp;height=120&amp;START_MAXIMIZED=FALSE&amp;creator=factset&amp;display_string=Audit"}</definedName>
    <definedName name="_4230__FDSAUDITLINK__" hidden="1">{"fdsup://Directions/FactSet Auditing Viewer?action=AUDIT_VALUE&amp;DB=129&amp;ID1=24702R10&amp;VALUEID=02001&amp;SDATE=200502&amp;PERIODTYPE=QTR_STD&amp;SCFT=3&amp;window=popup_no_bar&amp;width=385&amp;height=120&amp;START_MAXIMIZED=FALSE&amp;creator=factset&amp;display_string=Audit"}</definedName>
    <definedName name="_4231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4232__FDSAUDITLINK__" hidden="1">{"fdsup://Directions/FactSet Auditing Viewer?action=AUDIT_VALUE&amp;DB=129&amp;ID1=24702R10&amp;VALUEID=02001&amp;SDATE=200501&amp;PERIODTYPE=QTR_STD&amp;SCFT=3&amp;window=popup_no_bar&amp;width=385&amp;height=120&amp;START_MAXIMIZED=FALSE&amp;creator=factset&amp;display_string=Audit"}</definedName>
    <definedName name="_4233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4234__FDSAUDITLINK__" hidden="1">{"fdsup://Directions/FactSet Auditing Viewer?action=AUDIT_VALUE&amp;DB=129&amp;ID1=24702R10&amp;VALUEID=02001&amp;SDATE=200402&amp;PERIODTYPE=QTR_STD&amp;SCFT=3&amp;window=popup_no_bar&amp;width=385&amp;height=120&amp;START_MAXIMIZED=FALSE&amp;creator=factset&amp;display_string=Audit"}</definedName>
    <definedName name="_4235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4236__FDSAUDITLINK__" hidden="1">{"fdsup://Directions/FactSet Auditing Viewer?action=AUDIT_VALUE&amp;DB=129&amp;ID1=24702R10&amp;VALUEID=02001&amp;SDATE=200401&amp;PERIODTYPE=QTR_STD&amp;SCFT=3&amp;window=popup_no_bar&amp;width=385&amp;height=120&amp;START_MAXIMIZED=FALSE&amp;creator=factset&amp;display_string=Audit"}</definedName>
    <definedName name="_4237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4238__FDSAUDITLINK__" hidden="1">{"fdsup://Directions/FactSet Auditing Viewer?action=AUDIT_VALUE&amp;DB=129&amp;ID1=23257210&amp;VALUEID=02001&amp;SDATE=200801&amp;PERIODTYPE=QTR_STD&amp;SCFT=3&amp;window=popup_no_bar&amp;width=385&amp;height=120&amp;START_MAXIMIZED=FALSE&amp;creator=factset&amp;display_string=Audit"}</definedName>
    <definedName name="_4239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424__FDSAUDITLINK__" hidden="1">{"fdsup://Directions/FactSet Auditing Viewer?action=AUDIT_VALUE&amp;DB=129&amp;ID1=11162130&amp;VALUEID=02001&amp;SDATE=201004&amp;PERIODTYPE=QTR_STD&amp;SCFT=3&amp;window=popup_no_bar&amp;width=385&amp;height=120&amp;START_MAXIMIZED=FALSE&amp;creator=factset&amp;display_string=Audit"}</definedName>
    <definedName name="_4240__FDSAUDITLINK__" hidden="1">{"fdsup://Directions/FactSet Auditing Viewer?action=AUDIT_VALUE&amp;DB=129&amp;ID1=23257210&amp;VALUEID=02001&amp;SDATE=200703&amp;PERIODTYPE=QTR_STD&amp;SCFT=3&amp;window=popup_no_bar&amp;width=385&amp;height=120&amp;START_MAXIMIZED=FALSE&amp;creator=factset&amp;display_string=Audit"}</definedName>
    <definedName name="_4241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4242__FDSAUDITLINK__" hidden="1">{"fdsup://Directions/FactSet Auditing Viewer?action=AUDIT_VALUE&amp;DB=129&amp;ID1=23257210&amp;VALUEID=02001&amp;SDATE=200702&amp;PERIODTYPE=QTR_STD&amp;SCFT=3&amp;window=popup_no_bar&amp;width=385&amp;height=120&amp;START_MAXIMIZED=FALSE&amp;creator=factset&amp;display_string=Audit"}</definedName>
    <definedName name="_4243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4244__FDSAUDITLINK__" hidden="1">{"fdsup://Directions/FactSet Auditing Viewer?action=AUDIT_VALUE&amp;DB=129&amp;ID1=23257210&amp;VALUEID=02001&amp;SDATE=200701&amp;PERIODTYPE=QTR_STD&amp;SCFT=3&amp;window=popup_no_bar&amp;width=385&amp;height=120&amp;START_MAXIMIZED=FALSE&amp;creator=factset&amp;display_string=Audit"}</definedName>
    <definedName name="_4245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4246__FDSAUDITLINK__" hidden="1">{"fdsup://Directions/FactSet Auditing Viewer?action=AUDIT_VALUE&amp;DB=129&amp;ID1=23257210&amp;VALUEID=02001&amp;SDATE=200603&amp;PERIODTYPE=QTR_STD&amp;SCFT=3&amp;window=popup_no_bar&amp;width=385&amp;height=120&amp;START_MAXIMIZED=FALSE&amp;creator=factset&amp;display_string=Audit"}</definedName>
    <definedName name="_4247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4248__FDSAUDITLINK__" hidden="1">{"fdsup://Directions/FactSet Auditing Viewer?action=AUDIT_VALUE&amp;DB=129&amp;ID1=23257210&amp;VALUEID=02001&amp;SDATE=200602&amp;PERIODTYPE=QTR_STD&amp;SCFT=3&amp;window=popup_no_bar&amp;width=385&amp;height=120&amp;START_MAXIMIZED=FALSE&amp;creator=factset&amp;display_string=Audit"}</definedName>
    <definedName name="_4249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425__FDSAUDITLINK__" hidden="1">{"fdsup://Directions/FactSet Auditing Viewer?action=AUDIT_VALUE&amp;DB=129&amp;ID1=Y0486S10&amp;VALUEID=02001&amp;SDATE=201004&amp;PERIODTYPE=QTR_STD&amp;SCFT=3&amp;window=popup_no_bar&amp;width=385&amp;height=120&amp;START_MAXIMIZED=FALSE&amp;creator=factset&amp;display_string=Audit"}</definedName>
    <definedName name="_4250__FDSAUDITLINK__" hidden="1">{"fdsup://Directions/FactSet Auditing Viewer?action=AUDIT_VALUE&amp;DB=129&amp;ID1=23257210&amp;VALUEID=02001&amp;SDATE=200601&amp;PERIODTYPE=QTR_STD&amp;SCFT=3&amp;window=popup_no_bar&amp;width=385&amp;height=120&amp;START_MAXIMIZED=FALSE&amp;creator=factset&amp;display_string=Audit"}</definedName>
    <definedName name="_4251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4252__FDSAUDITLINK__" hidden="1">{"fdsup://Directions/FactSet Auditing Viewer?action=AUDIT_VALUE&amp;DB=129&amp;ID1=23257210&amp;VALUEID=02001&amp;SDATE=200503&amp;PERIODTYPE=QTR_STD&amp;SCFT=3&amp;window=popup_no_bar&amp;width=385&amp;height=120&amp;START_MAXIMIZED=FALSE&amp;creator=factset&amp;display_string=Audit"}</definedName>
    <definedName name="_4253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4254__FDSAUDITLINK__" hidden="1">{"fdsup://Directions/FactSet Auditing Viewer?action=AUDIT_VALUE&amp;DB=129&amp;ID1=23257210&amp;VALUEID=02001&amp;SDATE=200502&amp;PERIODTYPE=QTR_STD&amp;SCFT=3&amp;window=popup_no_bar&amp;width=385&amp;height=120&amp;START_MAXIMIZED=FALSE&amp;creator=factset&amp;display_string=Audit"}</definedName>
    <definedName name="_4255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4256__FDSAUDITLINK__" hidden="1">{"fdsup://Directions/FactSet Auditing Viewer?action=AUDIT_VALUE&amp;DB=129&amp;ID1=23257210&amp;VALUEID=02001&amp;SDATE=200501&amp;PERIODTYPE=QTR_STD&amp;SCFT=3&amp;window=popup_no_bar&amp;width=385&amp;height=120&amp;START_MAXIMIZED=FALSE&amp;creator=factset&amp;display_string=Audit"}</definedName>
    <definedName name="_4257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4258__FDSAUDITLINK__" hidden="1">{"fdsup://Directions/FactSet Auditing Viewer?action=AUDIT_VALUE&amp;DB=129&amp;ID1=23257210&amp;VALUEID=02001&amp;SDATE=200403&amp;PERIODTYPE=QTR_STD&amp;SCFT=3&amp;window=popup_no_bar&amp;width=385&amp;height=120&amp;START_MAXIMIZED=FALSE&amp;creator=factset&amp;display_string=Audit"}</definedName>
    <definedName name="_4259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426__FDSAUDITLINK__" hidden="1">{"fdsup://Directions/FactSet Auditing Viewer?action=AUDIT_VALUE&amp;DB=129&amp;ID1=Y0486S10&amp;VALUEID=02001&amp;SDATE=201004&amp;PERIODTYPE=QTR_STD&amp;SCFT=3&amp;window=popup_no_bar&amp;width=385&amp;height=120&amp;START_MAXIMIZED=FALSE&amp;creator=factset&amp;display_string=Audit"}</definedName>
    <definedName name="_4260__FDSAUDITLINK__" hidden="1">{"fdsup://Directions/FactSet Auditing Viewer?action=AUDIT_VALUE&amp;DB=129&amp;ID1=23257210&amp;VALUEID=02001&amp;SDATE=200402&amp;PERIODTYPE=QTR_STD&amp;SCFT=3&amp;window=popup_no_bar&amp;width=385&amp;height=120&amp;START_MAXIMIZED=FALSE&amp;creator=factset&amp;display_string=Audit"}</definedName>
    <definedName name="_4261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4262__FDSAUDITLINK__" hidden="1">{"fdsup://Directions/FactSet Auditing Viewer?action=AUDIT_VALUE&amp;DB=129&amp;ID1=23280610&amp;VALUEID=02001&amp;SDATE=200801&amp;PERIODTYPE=QTR_STD&amp;SCFT=3&amp;window=popup_no_bar&amp;width=385&amp;height=120&amp;START_MAXIMIZED=FALSE&amp;creator=factset&amp;display_string=Audit"}</definedName>
    <definedName name="_4263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4264__FDSAUDITLINK__" hidden="1">{"fdsup://Directions/FactSet Auditing Viewer?action=AUDIT_VALUE&amp;DB=129&amp;ID1=23280610&amp;VALUEID=02001&amp;SDATE=200703&amp;PERIODTYPE=QTR_STD&amp;SCFT=3&amp;window=popup_no_bar&amp;width=385&amp;height=120&amp;START_MAXIMIZED=FALSE&amp;creator=factset&amp;display_string=Audit"}</definedName>
    <definedName name="_4265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4266__FDSAUDITLINK__" hidden="1">{"fdsup://Directions/FactSet Auditing Viewer?action=AUDIT_VALUE&amp;DB=129&amp;ID1=23280610&amp;VALUEID=02001&amp;SDATE=200702&amp;PERIODTYPE=QTR_STD&amp;SCFT=3&amp;window=popup_no_bar&amp;width=385&amp;height=120&amp;START_MAXIMIZED=FALSE&amp;creator=factset&amp;display_string=Audit"}</definedName>
    <definedName name="_4267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4268__FDSAUDITLINK__" hidden="1">{"fdsup://Directions/FactSet Auditing Viewer?action=AUDIT_VALUE&amp;DB=129&amp;ID1=23280610&amp;VALUEID=02001&amp;SDATE=200701&amp;PERIODTYPE=QTR_STD&amp;SCFT=3&amp;window=popup_no_bar&amp;width=385&amp;height=120&amp;START_MAXIMIZED=FALSE&amp;creator=factset&amp;display_string=Audit"}</definedName>
    <definedName name="_4269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427__FDSAUDITLINK__" hidden="1">{"fdsup://Directions/FactSet Auditing Viewer?action=AUDIT_VALUE&amp;DB=129&amp;ID1=04743P10&amp;VALUEID=02001&amp;SDATE=201003&amp;PERIODTYPE=QTR_STD&amp;SCFT=3&amp;window=popup_no_bar&amp;width=385&amp;height=120&amp;START_MAXIMIZED=FALSE&amp;creator=factset&amp;display_string=Audit"}</definedName>
    <definedName name="_4270__FDSAUDITLINK__" hidden="1">{"fdsup://Directions/FactSet Auditing Viewer?action=AUDIT_VALUE&amp;DB=129&amp;ID1=23280610&amp;VALUEID=02001&amp;SDATE=200603&amp;PERIODTYPE=QTR_STD&amp;SCFT=3&amp;window=popup_no_bar&amp;width=385&amp;height=120&amp;START_MAXIMIZED=FALSE&amp;creator=factset&amp;display_string=Audit"}</definedName>
    <definedName name="_4271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4272__FDSAUDITLINK__" hidden="1">{"fdsup://Directions/FactSet Auditing Viewer?action=AUDIT_VALUE&amp;DB=129&amp;ID1=23280610&amp;VALUEID=02001&amp;SDATE=200602&amp;PERIODTYPE=QTR_STD&amp;SCFT=3&amp;window=popup_no_bar&amp;width=385&amp;height=120&amp;START_MAXIMIZED=FALSE&amp;creator=factset&amp;display_string=Audit"}</definedName>
    <definedName name="_4273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4274__FDSAUDITLINK__" hidden="1">{"fdsup://Directions/FactSet Auditing Viewer?action=AUDIT_VALUE&amp;DB=129&amp;ID1=23280610&amp;VALUEID=02001&amp;SDATE=200601&amp;PERIODTYPE=QTR_STD&amp;SCFT=3&amp;window=popup_no_bar&amp;width=385&amp;height=120&amp;START_MAXIMIZED=FALSE&amp;creator=factset&amp;display_string=Audit"}</definedName>
    <definedName name="_4275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4276__FDSAUDITLINK__" hidden="1">{"fdsup://Directions/FactSet Auditing Viewer?action=AUDIT_VALUE&amp;DB=129&amp;ID1=23280610&amp;VALUEID=02001&amp;SDATE=200503&amp;PERIODTYPE=QTR_STD&amp;SCFT=3&amp;window=popup_no_bar&amp;width=385&amp;height=120&amp;START_MAXIMIZED=FALSE&amp;creator=factset&amp;display_string=Audit"}</definedName>
    <definedName name="_4277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4278__FDSAUDITLINK__" hidden="1">{"fdsup://Directions/FactSet Auditing Viewer?action=AUDIT_VALUE&amp;DB=129&amp;ID1=23280610&amp;VALUEID=02001&amp;SDATE=200502&amp;PERIODTYPE=QTR_STD&amp;SCFT=3&amp;window=popup_no_bar&amp;width=385&amp;height=120&amp;START_MAXIMIZED=FALSE&amp;creator=factset&amp;display_string=Audit"}</definedName>
    <definedName name="_4279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428__FDSAUDITLINK__" hidden="1">{"fdsup://Directions/FactSet Auditing Viewer?action=AUDIT_VALUE&amp;DB=129&amp;ID1=04743P10&amp;VALUEID=02001&amp;SDATE=201003&amp;PERIODTYPE=QTR_STD&amp;SCFT=3&amp;window=popup_no_bar&amp;width=385&amp;height=120&amp;START_MAXIMIZED=FALSE&amp;creator=factset&amp;display_string=Audit"}</definedName>
    <definedName name="_4280__FDSAUDITLINK__" hidden="1">{"fdsup://Directions/FactSet Auditing Viewer?action=AUDIT_VALUE&amp;DB=129&amp;ID1=23280610&amp;VALUEID=02001&amp;SDATE=200501&amp;PERIODTYPE=QTR_STD&amp;SCFT=3&amp;window=popup_no_bar&amp;width=385&amp;height=120&amp;START_MAXIMIZED=FALSE&amp;creator=factset&amp;display_string=Audit"}</definedName>
    <definedName name="_4281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4282__FDSAUDITLINK__" hidden="1">{"fdsup://Directions/FactSet Auditing Viewer?action=AUDIT_VALUE&amp;DB=129&amp;ID1=23280610&amp;VALUEID=02001&amp;SDATE=200403&amp;PERIODTYPE=QTR_STD&amp;SCFT=3&amp;window=popup_no_bar&amp;width=385&amp;height=120&amp;START_MAXIMIZED=FALSE&amp;creator=factset&amp;display_string=Audit"}</definedName>
    <definedName name="_4283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4284__FDSAUDITLINK__" hidden="1">{"fdsup://Directions/FactSet Auditing Viewer?action=AUDIT_VALUE&amp;DB=129&amp;ID1=23280610&amp;VALUEID=02001&amp;SDATE=200402&amp;PERIODTYPE=QTR_STD&amp;SCFT=3&amp;window=popup_no_bar&amp;width=385&amp;height=120&amp;START_MAXIMIZED=FALSE&amp;creator=factset&amp;display_string=Audit"}</definedName>
    <definedName name="_4285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4286__FDSAUDITLINK__" hidden="1">{"fdsup://Directions/FactSet Auditing Viewer?action=AUDIT_VALUE&amp;DB=129&amp;ID1=23280610&amp;VALUEID=02001&amp;SDATE=200401&amp;PERIODTYPE=QTR_STD&amp;SCFT=3&amp;window=popup_no_bar&amp;width=385&amp;height=120&amp;START_MAXIMIZED=FALSE&amp;creator=factset&amp;display_string=Audit"}</definedName>
    <definedName name="_4287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4288__FDSAUDITLINK__" hidden="1">{"fdsup://Directions/FactSet Auditing Viewer?action=AUDIT_VALUE&amp;DB=129&amp;ID1=17275R10&amp;VALUEID=02001&amp;SDATE=200803&amp;PERIODTYPE=QTR_STD&amp;SCFT=3&amp;window=popup_no_bar&amp;width=385&amp;height=120&amp;START_MAXIMIZED=FALSE&amp;creator=factset&amp;display_string=Audit"}</definedName>
    <definedName name="_4289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429__FDSAUDITLINK__" hidden="1">{"fdsup://Directions/FactSet Auditing Viewer?action=AUDIT_VALUE&amp;DB=129&amp;ID1=03251510&amp;VALUEID=02001&amp;SDATE=201003&amp;PERIODTYPE=QTR_STD&amp;SCFT=3&amp;window=popup_no_bar&amp;width=385&amp;height=120&amp;START_MAXIMIZED=FALSE&amp;creator=factset&amp;display_string=Audit"}</definedName>
    <definedName name="_4290__FDSAUDITLINK__" hidden="1">{"fdsup://Directions/FactSet Auditing Viewer?action=AUDIT_VALUE&amp;DB=129&amp;ID1=17275R10&amp;VALUEID=02001&amp;SDATE=200802&amp;PERIODTYPE=QTR_STD&amp;SCFT=3&amp;window=popup_no_bar&amp;width=385&amp;height=120&amp;START_MAXIMIZED=FALSE&amp;creator=factset&amp;display_string=Audit"}</definedName>
    <definedName name="_4291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4292__FDSAUDITLINK__" hidden="1">{"fdsup://Directions/FactSet Auditing Viewer?action=AUDIT_VALUE&amp;DB=129&amp;ID1=17275R10&amp;VALUEID=02001&amp;SDATE=200801&amp;PERIODTYPE=QTR_STD&amp;SCFT=3&amp;window=popup_no_bar&amp;width=385&amp;height=120&amp;START_MAXIMIZED=FALSE&amp;creator=factset&amp;display_string=Audit"}</definedName>
    <definedName name="_4293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4294__FDSAUDITLINK__" hidden="1">{"fdsup://Directions/FactSet Auditing Viewer?action=AUDIT_VALUE&amp;DB=129&amp;ID1=17275R10&amp;VALUEID=02001&amp;SDATE=200703&amp;PERIODTYPE=QTR_STD&amp;SCFT=3&amp;window=popup_no_bar&amp;width=385&amp;height=120&amp;START_MAXIMIZED=FALSE&amp;creator=factset&amp;display_string=Audit"}</definedName>
    <definedName name="_4295__FDSAUDITLINK__" hidden="1">{"fdsup://Directions/FactSet Auditing Viewer?action=AUDIT_VALUE&amp;DB=129&amp;ID1=17275R10&amp;VALUEID=02001&amp;SDATE=200702&amp;PERIODTYPE=QTR_STD&amp;SCFT=3&amp;window=popup_no_bar&amp;width=385&amp;height=120&amp;START_MAXIMIZED=FALSE&amp;creator=factset&amp;display_string=Audit"}</definedName>
    <definedName name="_4296__FDSAUDITLINK__" hidden="1">{"fdsup://Directions/FactSet Auditing Viewer?action=AUDIT_VALUE&amp;DB=129&amp;ID1=17275R10&amp;VALUEID=02001&amp;SDATE=200702&amp;PERIODTYPE=QTR_STD&amp;SCFT=3&amp;window=popup_no_bar&amp;width=385&amp;height=120&amp;START_MAXIMIZED=FALSE&amp;creator=factset&amp;display_string=Audit"}</definedName>
    <definedName name="_4297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4298__FDSAUDITLINK__" hidden="1">{"fdsup://Directions/FactSet Auditing Viewer?action=AUDIT_VALUE&amp;DB=129&amp;ID1=17275R10&amp;VALUEID=02001&amp;SDATE=200701&amp;PERIODTYPE=QTR_STD&amp;SCFT=3&amp;window=popup_no_bar&amp;width=385&amp;height=120&amp;START_MAXIMIZED=FALSE&amp;creator=factset&amp;display_string=Audit"}</definedName>
    <definedName name="_4299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43__FDSAUDITLINK__" hidden="1">{"fdsup://Directions/FactSet Auditing Viewer?action=AUDIT_VALUE&amp;DB=129&amp;ID1=72581M30&amp;VALUEID=02001&amp;SDATE=201101&amp;PERIODTYPE=QTR_STD&amp;SCFT=3&amp;window=popup_no_bar&amp;width=385&amp;height=120&amp;START_MAXIMIZED=FALSE&amp;creator=factset&amp;display_string=Audit"}</definedName>
    <definedName name="_430__FDSAUDITLINK__" hidden="1">{"fdsup://Directions/FactSet Auditing Viewer?action=AUDIT_VALUE&amp;DB=129&amp;ID1=03251510&amp;VALUEID=02001&amp;SDATE=201003&amp;PERIODTYPE=QTR_STD&amp;SCFT=3&amp;window=popup_no_bar&amp;width=385&amp;height=120&amp;START_MAXIMIZED=FALSE&amp;creator=factset&amp;display_string=Audit"}</definedName>
    <definedName name="_4300__FDSAUDITLINK__" hidden="1">{"fdsup://Directions/FactSet Auditing Viewer?action=AUDIT_VALUE&amp;DB=129&amp;ID1=17275R10&amp;VALUEID=02001&amp;SDATE=200603&amp;PERIODTYPE=QTR_STD&amp;SCFT=3&amp;window=popup_no_bar&amp;width=385&amp;height=120&amp;START_MAXIMIZED=FALSE&amp;creator=factset&amp;display_string=Audit"}</definedName>
    <definedName name="_4301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4302__FDSAUDITLINK__" hidden="1">{"fdsup://Directions/FactSet Auditing Viewer?action=AUDIT_VALUE&amp;DB=129&amp;ID1=17275R10&amp;VALUEID=02001&amp;SDATE=200602&amp;PERIODTYPE=QTR_STD&amp;SCFT=3&amp;window=popup_no_bar&amp;width=385&amp;height=120&amp;START_MAXIMIZED=FALSE&amp;creator=factset&amp;display_string=Audit"}</definedName>
    <definedName name="_4303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4304__FDSAUDITLINK__" hidden="1">{"fdsup://Directions/FactSet Auditing Viewer?action=AUDIT_VALUE&amp;DB=129&amp;ID1=17275R10&amp;VALUEID=02001&amp;SDATE=200601&amp;PERIODTYPE=QTR_STD&amp;SCFT=3&amp;window=popup_no_bar&amp;width=385&amp;height=120&amp;START_MAXIMIZED=FALSE&amp;creator=factset&amp;display_string=Audit"}</definedName>
    <definedName name="_4305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4306__FDSAUDITLINK__" hidden="1">{"fdsup://Directions/FactSet Auditing Viewer?action=AUDIT_VALUE&amp;DB=129&amp;ID1=17275R10&amp;VALUEID=02001&amp;SDATE=200503&amp;PERIODTYPE=QTR_STD&amp;SCFT=3&amp;window=popup_no_bar&amp;width=385&amp;height=120&amp;START_MAXIMIZED=FALSE&amp;creator=factset&amp;display_string=Audit"}</definedName>
    <definedName name="_4307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4308__FDSAUDITLINK__" hidden="1">{"fdsup://Directions/FactSet Auditing Viewer?action=AUDIT_VALUE&amp;DB=129&amp;ID1=17275R10&amp;VALUEID=02001&amp;SDATE=200502&amp;PERIODTYPE=QTR_STD&amp;SCFT=3&amp;window=popup_no_bar&amp;width=385&amp;height=120&amp;START_MAXIMIZED=FALSE&amp;creator=factset&amp;display_string=Audit"}</definedName>
    <definedName name="_4309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431__FDSAUDITLINK__" hidden="1">{"fdsup://Directions/FactSet Auditing Viewer?action=AUDIT_VALUE&amp;DB=129&amp;ID1=00790310&amp;VALUEID=02001&amp;SDATE=201003&amp;PERIODTYPE=QTR_STD&amp;SCFT=3&amp;window=popup_no_bar&amp;width=385&amp;height=120&amp;START_MAXIMIZED=FALSE&amp;creator=factset&amp;display_string=Audit"}</definedName>
    <definedName name="_4310__FDSAUDITLINK__" hidden="1">{"fdsup://Directions/FactSet Auditing Viewer?action=AUDIT_VALUE&amp;DB=129&amp;ID1=17275R10&amp;VALUEID=02001&amp;SDATE=200501&amp;PERIODTYPE=QTR_STD&amp;SCFT=3&amp;window=popup_no_bar&amp;width=385&amp;height=120&amp;START_MAXIMIZED=FALSE&amp;creator=factset&amp;display_string=Audit"}</definedName>
    <definedName name="_4311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4312__FDSAUDITLINK__" hidden="1">{"fdsup://Directions/FactSet Auditing Viewer?action=AUDIT_VALUE&amp;DB=129&amp;ID1=17275R10&amp;VALUEID=02001&amp;SDATE=200403&amp;PERIODTYPE=QTR_STD&amp;SCFT=3&amp;window=popup_no_bar&amp;width=385&amp;height=120&amp;START_MAXIMIZED=FALSE&amp;creator=factset&amp;display_string=Audit"}</definedName>
    <definedName name="_4313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4314__FDSAUDITLINK__" hidden="1">{"fdsup://Directions/FactSet Auditing Viewer?action=AUDIT_VALUE&amp;DB=129&amp;ID1=22544710&amp;VALUEID=02001&amp;SDATE=200803&amp;PERIODTYPE=QTR_STD&amp;SCFT=3&amp;window=popup_no_bar&amp;width=385&amp;height=120&amp;START_MAXIMIZED=FALSE&amp;creator=factset&amp;display_string=Audit"}</definedName>
    <definedName name="_4315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4316__FDSAUDITLINK__" hidden="1">{"fdsup://Directions/FactSet Auditing Viewer?action=AUDIT_VALUE&amp;DB=129&amp;ID1=22544710&amp;VALUEID=02001&amp;SDATE=200802&amp;PERIODTYPE=QTR_STD&amp;SCFT=3&amp;window=popup_no_bar&amp;width=385&amp;height=120&amp;START_MAXIMIZED=FALSE&amp;creator=factset&amp;display_string=Audit"}</definedName>
    <definedName name="_4317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4318__FDSAUDITLINK__" hidden="1">{"fdsup://Directions/FactSet Auditing Viewer?action=AUDIT_VALUE&amp;DB=129&amp;ID1=22544710&amp;VALUEID=02001&amp;SDATE=200801&amp;PERIODTYPE=QTR_STD&amp;SCFT=3&amp;window=popup_no_bar&amp;width=385&amp;height=120&amp;START_MAXIMIZED=FALSE&amp;creator=factset&amp;display_string=Audit"}</definedName>
    <definedName name="_4319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432__FDSAUDITLINK__" hidden="1">{"fdsup://Directions/FactSet Auditing Viewer?action=AUDIT_VALUE&amp;DB=129&amp;ID1=00790310&amp;VALUEID=02001&amp;SDATE=201003&amp;PERIODTYPE=QTR_STD&amp;SCFT=3&amp;window=popup_no_bar&amp;width=385&amp;height=120&amp;START_MAXIMIZED=FALSE&amp;creator=factset&amp;display_string=Audit"}</definedName>
    <definedName name="_4320__FDSAUDITLINK__" hidden="1">{"fdsup://Directions/FactSet Auditing Viewer?action=AUDIT_VALUE&amp;DB=129&amp;ID1=22544710&amp;VALUEID=02001&amp;SDATE=200703&amp;PERIODTYPE=QTR_STD&amp;SCFT=3&amp;window=popup_no_bar&amp;width=385&amp;height=120&amp;START_MAXIMIZED=FALSE&amp;creator=factset&amp;display_string=Audit"}</definedName>
    <definedName name="_4321__FDSAUDITLINK__" hidden="1">{"fdsup://Directions/FactSet Auditing Viewer?action=AUDIT_VALUE&amp;DB=129&amp;ID1=22544710&amp;VALUEID=02001&amp;SDATE=200702&amp;PERIODTYPE=QTR_STD&amp;SCFT=3&amp;window=popup_no_bar&amp;width=385&amp;height=120&amp;START_MAXIMIZED=FALSE&amp;creator=factset&amp;display_string=Audit"}</definedName>
    <definedName name="_4322__FDSAUDITLINK__" hidden="1">{"fdsup://Directions/FactSet Auditing Viewer?action=AUDIT_VALUE&amp;DB=129&amp;ID1=22544710&amp;VALUEID=02001&amp;SDATE=200702&amp;PERIODTYPE=QTR_STD&amp;SCFT=3&amp;window=popup_no_bar&amp;width=385&amp;height=120&amp;START_MAXIMIZED=FALSE&amp;creator=factset&amp;display_string=Audit"}</definedName>
    <definedName name="_4323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4324__FDSAUDITLINK__" hidden="1">{"fdsup://Directions/FactSet Auditing Viewer?action=AUDIT_VALUE&amp;DB=129&amp;ID1=22544710&amp;VALUEID=02001&amp;SDATE=200701&amp;PERIODTYPE=QTR_STD&amp;SCFT=3&amp;window=popup_no_bar&amp;width=385&amp;height=120&amp;START_MAXIMIZED=FALSE&amp;creator=factset&amp;display_string=Audit"}</definedName>
    <definedName name="_4325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4326__FDSAUDITLINK__" hidden="1">{"fdsup://Directions/FactSet Auditing Viewer?action=AUDIT_VALUE&amp;DB=129&amp;ID1=22544710&amp;VALUEID=02001&amp;SDATE=200603&amp;PERIODTYPE=QTR_STD&amp;SCFT=3&amp;window=popup_no_bar&amp;width=385&amp;height=120&amp;START_MAXIMIZED=FALSE&amp;creator=factset&amp;display_string=Audit"}</definedName>
    <definedName name="_4327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4328__FDSAUDITLINK__" hidden="1">{"fdsup://Directions/FactSet Auditing Viewer?action=AUDIT_VALUE&amp;DB=129&amp;ID1=22544710&amp;VALUEID=02001&amp;SDATE=200602&amp;PERIODTYPE=QTR_STD&amp;SCFT=3&amp;window=popup_no_bar&amp;width=385&amp;height=120&amp;START_MAXIMIZED=FALSE&amp;creator=factset&amp;display_string=Audit"}</definedName>
    <definedName name="_4329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433__FDSAUDITLINK__" hidden="1">{"fdsup://Directions/FactSet Auditing Viewer?action=AUDIT_VALUE&amp;DB=129&amp;ID1=03822W40&amp;VALUEID=02001&amp;SDATE=201002&amp;PERIODTYPE=QTR_STD&amp;SCFT=3&amp;window=popup_no_bar&amp;width=385&amp;height=120&amp;START_MAXIMIZED=FALSE&amp;creator=factset&amp;display_string=Audit"}</definedName>
    <definedName name="_4330__FDSAUDITLINK__" hidden="1">{"fdsup://Directions/FactSet Auditing Viewer?action=AUDIT_VALUE&amp;DB=129&amp;ID1=22544710&amp;VALUEID=02001&amp;SDATE=200601&amp;PERIODTYPE=QTR_STD&amp;SCFT=3&amp;window=popup_no_bar&amp;width=385&amp;height=120&amp;START_MAXIMIZED=FALSE&amp;creator=factset&amp;display_string=Audit"}</definedName>
    <definedName name="_4331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4332__FDSAUDITLINK__" hidden="1">{"fdsup://Directions/FactSet Auditing Viewer?action=AUDIT_VALUE&amp;DB=129&amp;ID1=22544710&amp;VALUEID=02001&amp;SDATE=200502&amp;PERIODTYPE=QTR_STD&amp;SCFT=3&amp;window=popup_no_bar&amp;width=385&amp;height=120&amp;START_MAXIMIZED=FALSE&amp;creator=factset&amp;display_string=Audit"}</definedName>
    <definedName name="_4333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4334__FDSAUDITLINK__" hidden="1">{"fdsup://Directions/FactSet Auditing Viewer?action=AUDIT_VALUE&amp;DB=129&amp;ID1=22544710&amp;VALUEID=02001&amp;SDATE=200501&amp;PERIODTYPE=QTR_STD&amp;SCFT=3&amp;window=popup_no_bar&amp;width=385&amp;height=120&amp;START_MAXIMIZED=FALSE&amp;creator=factset&amp;display_string=Audit"}</definedName>
    <definedName name="_4335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4336__FDSAUDITLINK__" hidden="1">{"fdsup://Directions/FactSet Auditing Viewer?action=AUDIT_VALUE&amp;DB=129&amp;ID1=22544710&amp;VALUEID=02001&amp;SDATE=200403&amp;PERIODTYPE=QTR_STD&amp;SCFT=3&amp;window=popup_no_bar&amp;width=385&amp;height=120&amp;START_MAXIMIZED=FALSE&amp;creator=factset&amp;display_string=Audit"}</definedName>
    <definedName name="_4337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4338__FDSAUDITLINK__" hidden="1">{"fdsup://Directions/FactSet Auditing Viewer?action=AUDIT_VALUE&amp;DB=129&amp;ID1=20714230&amp;VALUEID=02001&amp;SDATE=200802&amp;PERIODTYPE=QTR_STD&amp;SCFT=3&amp;window=popup_no_bar&amp;width=385&amp;height=120&amp;START_MAXIMIZED=FALSE&amp;creator=factset&amp;display_string=Audit"}</definedName>
    <definedName name="_4339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434__FDSAUDITLINK__" hidden="1">{"fdsup://Directions/FactSet Auditing Viewer?action=AUDIT_VALUE&amp;DB=129&amp;ID1=03822W40&amp;VALUEID=02001&amp;SDATE=201002&amp;PERIODTYPE=QTR_STD&amp;SCFT=3&amp;window=popup_no_bar&amp;width=385&amp;height=120&amp;START_MAXIMIZED=FALSE&amp;creator=factset&amp;display_string=Audit"}</definedName>
    <definedName name="_4340__FDSAUDITLINK__" hidden="1">{"fdsup://Directions/FactSet Auditing Viewer?action=AUDIT_VALUE&amp;DB=129&amp;ID1=20714230&amp;VALUEID=02001&amp;SDATE=200801&amp;PERIODTYPE=QTR_STD&amp;SCFT=3&amp;window=popup_no_bar&amp;width=385&amp;height=120&amp;START_MAXIMIZED=FALSE&amp;creator=factset&amp;display_string=Audit"}</definedName>
    <definedName name="_4341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4342__FDSAUDITLINK__" hidden="1">{"fdsup://Directions/FactSet Auditing Viewer?action=AUDIT_VALUE&amp;DB=129&amp;ID1=20714230&amp;VALUEID=02001&amp;SDATE=200703&amp;PERIODTYPE=QTR_STD&amp;SCFT=3&amp;window=popup_no_bar&amp;width=385&amp;height=120&amp;START_MAXIMIZED=FALSE&amp;creator=factset&amp;display_string=Audit"}</definedName>
    <definedName name="_4343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4344__FDSAUDITLINK__" hidden="1">{"fdsup://Directions/FactSet Auditing Viewer?action=AUDIT_VALUE&amp;DB=129&amp;ID1=20714230&amp;VALUEID=02001&amp;SDATE=200702&amp;PERIODTYPE=QTR_STD&amp;SCFT=3&amp;window=popup_no_bar&amp;width=385&amp;height=120&amp;START_MAXIMIZED=FALSE&amp;creator=factset&amp;display_string=Audit"}</definedName>
    <definedName name="_4345__FDSAUDITLINK__" hidden="1">{"fdsup://Directions/FactSet Auditing Viewer?action=AUDIT_VALUE&amp;DB=129&amp;ID1=20714230&amp;VALUEID=02001&amp;SDATE=200701&amp;PERIODTYPE=QTR_STD&amp;SCFT=3&amp;window=popup_no_bar&amp;width=385&amp;height=120&amp;START_MAXIMIZED=FALSE&amp;creator=factset&amp;display_string=Audit"}</definedName>
    <definedName name="_4346__FDSAUDITLINK__" hidden="1">{"fdsup://Directions/FactSet Auditing Viewer?action=AUDIT_VALUE&amp;DB=129&amp;ID1=20714230&amp;VALUEID=02001&amp;SDATE=200701&amp;PERIODTYPE=QTR_STD&amp;SCFT=3&amp;window=popup_no_bar&amp;width=385&amp;height=120&amp;START_MAXIMIZED=FALSE&amp;creator=factset&amp;display_string=Audit"}</definedName>
    <definedName name="_4347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4348__FDSAUDITLINK__" hidden="1">{"fdsup://Directions/FactSet Auditing Viewer?action=AUDIT_VALUE&amp;DB=129&amp;ID1=20714230&amp;VALUEID=02001&amp;SDATE=200603&amp;PERIODTYPE=QTR_STD&amp;SCFT=3&amp;window=popup_no_bar&amp;width=385&amp;height=120&amp;START_MAXIMIZED=FALSE&amp;creator=factset&amp;display_string=Audit"}</definedName>
    <definedName name="_4349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435__FDSAUDITLINK__" hidden="1">{"fdsup://Directions/FactSet Auditing Viewer?action=AUDIT_VALUE&amp;DB=129&amp;ID1=03822210&amp;VALUEID=02001&amp;SDATE=201004&amp;PERIODTYPE=QTR_STD&amp;SCFT=3&amp;window=popup_no_bar&amp;width=385&amp;height=120&amp;START_MAXIMIZED=FALSE&amp;creator=factset&amp;display_string=Audit"}</definedName>
    <definedName name="_4350__FDSAUDITLINK__" hidden="1">{"fdsup://Directions/FactSet Auditing Viewer?action=AUDIT_VALUE&amp;DB=129&amp;ID1=20714230&amp;VALUEID=02001&amp;SDATE=200602&amp;PERIODTYPE=QTR_STD&amp;SCFT=3&amp;window=popup_no_bar&amp;width=385&amp;height=120&amp;START_MAXIMIZED=FALSE&amp;creator=factset&amp;display_string=Audit"}</definedName>
    <definedName name="_4351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4352__FDSAUDITLINK__" hidden="1">{"fdsup://Directions/FactSet Auditing Viewer?action=AUDIT_VALUE&amp;DB=129&amp;ID1=20714230&amp;VALUEID=02001&amp;SDATE=200503&amp;PERIODTYPE=QTR_STD&amp;SCFT=3&amp;window=popup_no_bar&amp;width=385&amp;height=120&amp;START_MAXIMIZED=FALSE&amp;creator=factset&amp;display_string=Audit"}</definedName>
    <definedName name="_4353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4354__FDSAUDITLINK__" hidden="1">{"fdsup://Directions/FactSet Auditing Viewer?action=AUDIT_VALUE&amp;DB=129&amp;ID1=20714230&amp;VALUEID=02001&amp;SDATE=200502&amp;PERIODTYPE=QTR_STD&amp;SCFT=3&amp;window=popup_no_bar&amp;width=385&amp;height=120&amp;START_MAXIMIZED=FALSE&amp;creator=factset&amp;display_string=Audit"}</definedName>
    <definedName name="_4355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4356__FDSAUDITLINK__" hidden="1">{"fdsup://Directions/FactSet Auditing Viewer?action=AUDIT_VALUE&amp;DB=129&amp;ID1=20714230&amp;VALUEID=02001&amp;SDATE=200501&amp;PERIODTYPE=QTR_STD&amp;SCFT=3&amp;window=popup_no_bar&amp;width=385&amp;height=120&amp;START_MAXIMIZED=FALSE&amp;creator=factset&amp;display_string=Audit"}</definedName>
    <definedName name="_4357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4358__FDSAUDITLINK__" hidden="1">{"fdsup://Directions/FactSet Auditing Viewer?action=AUDIT_VALUE&amp;DB=129&amp;ID1=20714230&amp;VALUEID=02001&amp;SDATE=200403&amp;PERIODTYPE=QTR_STD&amp;SCFT=3&amp;window=popup_no_bar&amp;width=385&amp;height=120&amp;START_MAXIMIZED=FALSE&amp;creator=factset&amp;display_string=Audit"}</definedName>
    <definedName name="_4359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436__FDSAUDITLINK__" hidden="1">{"fdsup://Directions/FactSet Auditing Viewer?action=AUDIT_VALUE&amp;DB=129&amp;ID1=03822210&amp;VALUEID=02001&amp;SDATE=201004&amp;PERIODTYPE=QTR_STD&amp;SCFT=3&amp;window=popup_no_bar&amp;width=385&amp;height=120&amp;START_MAXIMIZED=FALSE&amp;creator=factset&amp;display_string=Audit"}</definedName>
    <definedName name="_4360__FDSAUDITLINK__" hidden="1">{"fdsup://Directions/FactSet Auditing Viewer?action=AUDIT_VALUE&amp;DB=129&amp;ID1=20714230&amp;VALUEID=02001&amp;SDATE=200402&amp;PERIODTYPE=QTR_STD&amp;SCFT=3&amp;window=popup_no_bar&amp;width=385&amp;height=120&amp;START_MAXIMIZED=FALSE&amp;creator=factset&amp;display_string=Audit"}</definedName>
    <definedName name="_4361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4362__FDSAUDITLINK__" hidden="1">{"fdsup://Directions/FactSet Auditing Viewer?action=AUDIT_VALUE&amp;DB=129&amp;ID1=12738710&amp;VALUEID=02001&amp;SDATE=200801&amp;PERIODTYPE=QTR_STD&amp;SCFT=3&amp;window=popup_no_bar&amp;width=385&amp;height=120&amp;START_MAXIMIZED=FALSE&amp;creator=factset&amp;display_string=Audit"}</definedName>
    <definedName name="_4363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4364__FDSAUDITLINK__" hidden="1">{"fdsup://Directions/FactSet Auditing Viewer?action=AUDIT_VALUE&amp;DB=129&amp;ID1=12738710&amp;VALUEID=02001&amp;SDATE=200703&amp;PERIODTYPE=QTR_STD&amp;SCFT=3&amp;window=popup_no_bar&amp;width=385&amp;height=120&amp;START_MAXIMIZED=FALSE&amp;creator=factset&amp;display_string=Audit"}</definedName>
    <definedName name="_4365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4366__FDSAUDITLINK__" hidden="1">{"fdsup://Directions/FactSet Auditing Viewer?action=AUDIT_VALUE&amp;DB=129&amp;ID1=12738710&amp;VALUEID=02001&amp;SDATE=200702&amp;PERIODTYPE=QTR_STD&amp;SCFT=3&amp;window=popup_no_bar&amp;width=385&amp;height=120&amp;START_MAXIMIZED=FALSE&amp;creator=factset&amp;display_string=Audit"}</definedName>
    <definedName name="_4367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4368__FDSAUDITLINK__" hidden="1">{"fdsup://Directions/FactSet Auditing Viewer?action=AUDIT_VALUE&amp;DB=129&amp;ID1=12738710&amp;VALUEID=02001&amp;SDATE=200701&amp;PERIODTYPE=QTR_STD&amp;SCFT=3&amp;window=popup_no_bar&amp;width=385&amp;height=120&amp;START_MAXIMIZED=FALSE&amp;creator=factset&amp;display_string=Audit"}</definedName>
    <definedName name="_4369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437__FDSAUDITLINK__" hidden="1">{"fdsup://Directions/FactSet Auditing Viewer?action=AUDIT_VALUE&amp;DB=129&amp;ID1=02144110&amp;VALUEID=02001&amp;SDATE=201003&amp;PERIODTYPE=QTR_STD&amp;SCFT=3&amp;window=popup_no_bar&amp;width=385&amp;height=120&amp;START_MAXIMIZED=FALSE&amp;creator=factset&amp;display_string=Audit"}</definedName>
    <definedName name="_4370__FDSAUDITLINK__" hidden="1">{"fdsup://Directions/FactSet Auditing Viewer?action=AUDIT_VALUE&amp;DB=129&amp;ID1=12738710&amp;VALUEID=02001&amp;SDATE=200603&amp;PERIODTYPE=QTR_STD&amp;SCFT=3&amp;window=popup_no_bar&amp;width=385&amp;height=120&amp;START_MAXIMIZED=FALSE&amp;creator=factset&amp;display_string=Audit"}</definedName>
    <definedName name="_4371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4372__FDSAUDITLINK__" hidden="1">{"fdsup://Directions/FactSet Auditing Viewer?action=AUDIT_VALUE&amp;DB=129&amp;ID1=12738710&amp;VALUEID=02001&amp;SDATE=200602&amp;PERIODTYPE=QTR_STD&amp;SCFT=3&amp;window=popup_no_bar&amp;width=385&amp;height=120&amp;START_MAXIMIZED=FALSE&amp;creator=factset&amp;display_string=Audit"}</definedName>
    <definedName name="_4373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4374__FDSAUDITLINK__" hidden="1">{"fdsup://Directions/FactSet Auditing Viewer?action=AUDIT_VALUE&amp;DB=129&amp;ID1=12738710&amp;VALUEID=02001&amp;SDATE=200601&amp;PERIODTYPE=QTR_STD&amp;SCFT=3&amp;window=popup_no_bar&amp;width=385&amp;height=120&amp;START_MAXIMIZED=FALSE&amp;creator=factset&amp;display_string=Audit"}</definedName>
    <definedName name="_4375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4376__FDSAUDITLINK__" hidden="1">{"fdsup://Directions/FactSet Auditing Viewer?action=AUDIT_VALUE&amp;DB=129&amp;ID1=12738710&amp;VALUEID=02001&amp;SDATE=200504&amp;PERIODTYPE=QTR_STD&amp;SCFT=3&amp;window=popup_no_bar&amp;width=385&amp;height=120&amp;START_MAXIMIZED=FALSE&amp;creator=factset&amp;display_string=Audit"}</definedName>
    <definedName name="_4377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4378__FDSAUDITLINK__" hidden="1">{"fdsup://Directions/FactSet Auditing Viewer?action=AUDIT_VALUE&amp;DB=129&amp;ID1=12738710&amp;VALUEID=02001&amp;SDATE=200503&amp;PERIODTYPE=QTR_STD&amp;SCFT=3&amp;window=popup_no_bar&amp;width=385&amp;height=120&amp;START_MAXIMIZED=FALSE&amp;creator=factset&amp;display_string=Audit"}</definedName>
    <definedName name="_4379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438__FDSAUDITLINK__" hidden="1">{"fdsup://Directions/FactSet Auditing Viewer?action=AUDIT_VALUE&amp;DB=129&amp;ID1=02144110&amp;VALUEID=02001&amp;SDATE=201003&amp;PERIODTYPE=QTR_STD&amp;SCFT=3&amp;window=popup_no_bar&amp;width=385&amp;height=120&amp;START_MAXIMIZED=FALSE&amp;creator=factset&amp;display_string=Audit"}</definedName>
    <definedName name="_4380__FDSAUDITLINK__" hidden="1">{"fdsup://Directions/FactSet Auditing Viewer?action=AUDIT_VALUE&amp;DB=129&amp;ID1=12738710&amp;VALUEID=02001&amp;SDATE=200502&amp;PERIODTYPE=QTR_STD&amp;SCFT=3&amp;window=popup_no_bar&amp;width=385&amp;height=120&amp;START_MAXIMIZED=FALSE&amp;creator=factset&amp;display_string=Audit"}</definedName>
    <definedName name="_4381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4382__FDSAUDITLINK__" hidden="1">{"fdsup://Directions/FactSet Auditing Viewer?action=AUDIT_VALUE&amp;DB=129&amp;ID1=12738710&amp;VALUEID=02001&amp;SDATE=200501&amp;PERIODTYPE=QTR_STD&amp;SCFT=3&amp;window=popup_no_bar&amp;width=385&amp;height=120&amp;START_MAXIMIZED=FALSE&amp;creator=factset&amp;display_string=Audit"}</definedName>
    <definedName name="_4383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4384__FDSAUDITLINK__" hidden="1">{"fdsup://Directions/FactSet Auditing Viewer?action=AUDIT_VALUE&amp;DB=129&amp;ID1=12738710&amp;VALUEID=02001&amp;SDATE=200403&amp;PERIODTYPE=QTR_STD&amp;SCFT=3&amp;window=popup_no_bar&amp;width=385&amp;height=120&amp;START_MAXIMIZED=FALSE&amp;creator=factset&amp;display_string=Audit"}</definedName>
    <definedName name="_4385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4386__FDSAUDITLINK__" hidden="1">{"fdsup://Directions/FactSet Auditing Viewer?action=AUDIT_VALUE&amp;DB=129&amp;ID1=12738710&amp;VALUEID=02001&amp;SDATE=200402&amp;PERIODTYPE=QTR_STD&amp;SCFT=3&amp;window=popup_no_bar&amp;width=385&amp;height=120&amp;START_MAXIMIZED=FALSE&amp;creator=factset&amp;display_string=Audit"}</definedName>
    <definedName name="_4387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4388__FDSAUDITLINK__" hidden="1">{"fdsup://Directions/FactSet Auditing Viewer?action=AUDIT_VALUE&amp;DB=129&amp;ID1=12738710&amp;VALUEID=02001&amp;SDATE=200401&amp;PERIODTYPE=QTR_STD&amp;SCFT=3&amp;window=popup_no_bar&amp;width=385&amp;height=120&amp;START_MAXIMIZED=FALSE&amp;creator=factset&amp;display_string=Audit"}</definedName>
    <definedName name="_4389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439__FDSAUDITLINK__" hidden="1">{"fdsup://Directions/FactSet Auditing Viewer?action=AUDIT_VALUE&amp;DB=129&amp;ID1=03265410&amp;VALUEID=02001&amp;SDATE=201004&amp;PERIODTYPE=QTR_STD&amp;SCFT=3&amp;window=popup_no_bar&amp;width=385&amp;height=120&amp;START_MAXIMIZED=FALSE&amp;creator=factset&amp;display_string=Audit"}</definedName>
    <definedName name="_4390__FDSAUDITLINK__" hidden="1">{"fdsup://Directions/FactSet Auditing Viewer?action=AUDIT_VALUE&amp;DB=129&amp;ID1=14964U10&amp;VALUEID=02001&amp;SDATE=200801&amp;PERIODTYPE=QTR_STD&amp;SCFT=3&amp;window=popup_no_bar&amp;width=385&amp;height=120&amp;START_MAXIMIZED=FALSE&amp;creator=factset&amp;display_string=Audit"}</definedName>
    <definedName name="_4391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4392__FDSAUDITLINK__" hidden="1">{"fdsup://Directions/FactSet Auditing Viewer?action=AUDIT_VALUE&amp;DB=129&amp;ID1=14964U10&amp;VALUEID=02001&amp;SDATE=200703&amp;PERIODTYPE=QTR_STD&amp;SCFT=3&amp;window=popup_no_bar&amp;width=385&amp;height=120&amp;START_MAXIMIZED=FALSE&amp;creator=factset&amp;display_string=Audit"}</definedName>
    <definedName name="_4393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4394__FDSAUDITLINK__" hidden="1">{"fdsup://Directions/FactSet Auditing Viewer?action=AUDIT_VALUE&amp;DB=129&amp;ID1=14964U10&amp;VALUEID=02001&amp;SDATE=200702&amp;PERIODTYPE=QTR_STD&amp;SCFT=3&amp;window=popup_no_bar&amp;width=385&amp;height=120&amp;START_MAXIMIZED=FALSE&amp;creator=factset&amp;display_string=Audit"}</definedName>
    <definedName name="_4395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4396__FDSAUDITLINK__" hidden="1">{"fdsup://Directions/FactSet Auditing Viewer?action=AUDIT_VALUE&amp;DB=129&amp;ID1=11162130&amp;VALUEID=02001&amp;SDATE=200802&amp;PERIODTYPE=QTR_STD&amp;SCFT=3&amp;window=popup_no_bar&amp;width=385&amp;height=120&amp;START_MAXIMIZED=FALSE&amp;creator=factset&amp;display_string=Audit"}</definedName>
    <definedName name="_4397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4398__FDSAUDITLINK__" hidden="1">{"fdsup://Directions/FactSet Auditing Viewer?action=AUDIT_VALUE&amp;DB=129&amp;ID1=11162130&amp;VALUEID=02001&amp;SDATE=200801&amp;PERIODTYPE=QTR_STD&amp;SCFT=3&amp;window=popup_no_bar&amp;width=385&amp;height=120&amp;START_MAXIMIZED=FALSE&amp;creator=factset&amp;display_string=Audit"}</definedName>
    <definedName name="_4399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44__FDSAUDITLINK__" hidden="1">{"fdsup://Directions/FactSet Auditing Viewer?action=AUDIT_VALUE&amp;DB=129&amp;ID1=72581M30&amp;VALUEID=02001&amp;SDATE=201101&amp;PERIODTYPE=QTR_STD&amp;SCFT=3&amp;window=popup_no_bar&amp;width=385&amp;height=120&amp;START_MAXIMIZED=FALSE&amp;creator=factset&amp;display_string=Audit"}</definedName>
    <definedName name="_440__FDSAUDITLINK__" hidden="1">{"fdsup://Directions/FactSet Auditing Viewer?action=AUDIT_VALUE&amp;DB=129&amp;ID1=03265410&amp;VALUEID=02001&amp;SDATE=201004&amp;PERIODTYPE=QTR_STD&amp;SCFT=3&amp;window=popup_no_bar&amp;width=385&amp;height=120&amp;START_MAXIMIZED=FALSE&amp;creator=factset&amp;display_string=Audit"}</definedName>
    <definedName name="_4400__FDSAUDITLINK__" hidden="1">{"fdsup://Directions/FactSet Auditing Viewer?action=AUDIT_VALUE&amp;DB=129&amp;ID1=11162130&amp;VALUEID=02001&amp;SDATE=200703&amp;PERIODTYPE=QTR_STD&amp;SCFT=3&amp;window=popup_no_bar&amp;width=385&amp;height=120&amp;START_MAXIMIZED=FALSE&amp;creator=factset&amp;display_string=Audit"}</definedName>
    <definedName name="_4401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4402__FDSAUDITLINK__" hidden="1">{"fdsup://Directions/FactSet Auditing Viewer?action=AUDIT_VALUE&amp;DB=129&amp;ID1=11162130&amp;VALUEID=02001&amp;SDATE=200702&amp;PERIODTYPE=QTR_STD&amp;SCFT=3&amp;window=popup_no_bar&amp;width=385&amp;height=120&amp;START_MAXIMIZED=FALSE&amp;creator=factset&amp;display_string=Audit"}</definedName>
    <definedName name="_4403__FDSAUDITLINK__" hidden="1">{"fdsup://Directions/FactSet Auditing Viewer?action=AUDIT_VALUE&amp;DB=129&amp;ID1=11162130&amp;VALUEID=02001&amp;SDATE=200701&amp;PERIODTYPE=QTR_STD&amp;SCFT=3&amp;window=popup_no_bar&amp;width=385&amp;height=120&amp;START_MAXIMIZED=FALSE&amp;creator=factset&amp;display_string=Audit"}</definedName>
    <definedName name="_4404__FDSAUDITLINK__" hidden="1">{"fdsup://Directions/FactSet Auditing Viewer?action=AUDIT_VALUE&amp;DB=129&amp;ID1=11162130&amp;VALUEID=02001&amp;SDATE=200701&amp;PERIODTYPE=QTR_STD&amp;SCFT=3&amp;window=popup_no_bar&amp;width=385&amp;height=120&amp;START_MAXIMIZED=FALSE&amp;creator=factset&amp;display_string=Audit"}</definedName>
    <definedName name="_4405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4406__FDSAUDITLINK__" hidden="1">{"fdsup://Directions/FactSet Auditing Viewer?action=AUDIT_VALUE&amp;DB=129&amp;ID1=11162130&amp;VALUEID=02001&amp;SDATE=200603&amp;PERIODTYPE=QTR_STD&amp;SCFT=3&amp;window=popup_no_bar&amp;width=385&amp;height=120&amp;START_MAXIMIZED=FALSE&amp;creator=factset&amp;display_string=Audit"}</definedName>
    <definedName name="_4407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4408__FDSAUDITLINK__" hidden="1">{"fdsup://Directions/FactSet Auditing Viewer?action=AUDIT_VALUE&amp;DB=129&amp;ID1=11162130&amp;VALUEID=02001&amp;SDATE=200602&amp;PERIODTYPE=QTR_STD&amp;SCFT=3&amp;window=popup_no_bar&amp;width=385&amp;height=120&amp;START_MAXIMIZED=FALSE&amp;creator=factset&amp;display_string=Audit"}</definedName>
    <definedName name="_4409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441__FDSAUDITLINK__" hidden="1">{"fdsup://Directions/FactSet Auditing Viewer?action=AUDIT_VALUE&amp;DB=129&amp;ID1=00752J10&amp;VALUEID=02001&amp;SDATE=201003&amp;PERIODTYPE=QTR_STD&amp;SCFT=3&amp;window=popup_no_bar&amp;width=385&amp;height=120&amp;START_MAXIMIZED=FALSE&amp;creator=factset&amp;display_string=Audit"}</definedName>
    <definedName name="_4410__FDSAUDITLINK__" hidden="1">{"fdsup://Directions/FactSet Auditing Viewer?action=AUDIT_VALUE&amp;DB=129&amp;ID1=11162130&amp;VALUEID=02001&amp;SDATE=200601&amp;PERIODTYPE=QTR_STD&amp;SCFT=3&amp;window=popup_no_bar&amp;width=385&amp;height=120&amp;START_MAXIMIZED=FALSE&amp;creator=factset&amp;display_string=Audit"}</definedName>
    <definedName name="_4411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4412__FDSAUDITLINK__" hidden="1">{"fdsup://Directions/FactSet Auditing Viewer?action=AUDIT_VALUE&amp;DB=129&amp;ID1=11162130&amp;VALUEID=02001&amp;SDATE=200503&amp;PERIODTYPE=QTR_STD&amp;SCFT=3&amp;window=popup_no_bar&amp;width=385&amp;height=120&amp;START_MAXIMIZED=FALSE&amp;creator=factset&amp;display_string=Audit"}</definedName>
    <definedName name="_4413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4414__FDSAUDITLINK__" hidden="1">{"fdsup://Directions/FactSet Auditing Viewer?action=AUDIT_VALUE&amp;DB=129&amp;ID1=11162130&amp;VALUEID=02001&amp;SDATE=200502&amp;PERIODTYPE=QTR_STD&amp;SCFT=3&amp;window=popup_no_bar&amp;width=385&amp;height=120&amp;START_MAXIMIZED=FALSE&amp;creator=factset&amp;display_string=Audit"}</definedName>
    <definedName name="_4415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4416__FDSAUDITLINK__" hidden="1">{"fdsup://Directions/FactSet Auditing Viewer?action=AUDIT_VALUE&amp;DB=129&amp;ID1=11162130&amp;VALUEID=02001&amp;SDATE=200403&amp;PERIODTYPE=QTR_STD&amp;SCFT=3&amp;window=popup_no_bar&amp;width=385&amp;height=120&amp;START_MAXIMIZED=FALSE&amp;creator=factset&amp;display_string=Audit"}</definedName>
    <definedName name="_4417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4418__FDSAUDITLINK__" hidden="1">{"fdsup://Directions/FactSet Auditing Viewer?action=AUDIT_VALUE&amp;DB=129&amp;ID1=11162130&amp;VALUEID=02001&amp;SDATE=200402&amp;PERIODTYPE=QTR_STD&amp;SCFT=3&amp;window=popup_no_bar&amp;width=385&amp;height=120&amp;START_MAXIMIZED=FALSE&amp;creator=factset&amp;display_string=Audit"}</definedName>
    <definedName name="_4419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442__FDSAUDITLINK__" hidden="1">{"fdsup://Directions/FactSet Auditing Viewer?action=AUDIT_VALUE&amp;DB=129&amp;ID1=00752J10&amp;VALUEID=02001&amp;SDATE=201003&amp;PERIODTYPE=QTR_STD&amp;SCFT=3&amp;window=popup_no_bar&amp;width=385&amp;height=120&amp;START_MAXIMIZED=FALSE&amp;creator=factset&amp;display_string=Audit"}</definedName>
    <definedName name="_4420__FDSAUDITLINK__" hidden="1">{"fdsup://Directions/FactSet Auditing Viewer?action=AUDIT_VALUE&amp;DB=129&amp;ID1=04743P10&amp;VALUEID=02001&amp;SDATE=200801&amp;PERIODTYPE=QTR_STD&amp;SCFT=3&amp;window=popup_no_bar&amp;width=385&amp;height=120&amp;START_MAXIMIZED=FALSE&amp;creator=factset&amp;display_string=Audit"}</definedName>
    <definedName name="_4421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4422__FDSAUDITLINK__" hidden="1">{"fdsup://Directions/FactSet Auditing Viewer?action=AUDIT_VALUE&amp;DB=129&amp;ID1=04743P10&amp;VALUEID=02001&amp;SDATE=200703&amp;PERIODTYPE=QTR_STD&amp;SCFT=3&amp;window=popup_no_bar&amp;width=385&amp;height=120&amp;START_MAXIMIZED=FALSE&amp;creator=factset&amp;display_string=Audit"}</definedName>
    <definedName name="_4423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4424__FDSAUDITLINK__" hidden="1">{"fdsup://Directions/FactSet Auditing Viewer?action=AUDIT_VALUE&amp;DB=129&amp;ID1=04743P10&amp;VALUEID=02001&amp;SDATE=200702&amp;PERIODTYPE=QTR_STD&amp;SCFT=3&amp;window=popup_no_bar&amp;width=385&amp;height=120&amp;START_MAXIMIZED=FALSE&amp;creator=factset&amp;display_string=Audit"}</definedName>
    <definedName name="_4425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4426__FDSAUDITLINK__" hidden="1">{"fdsup://Directions/FactSet Auditing Viewer?action=AUDIT_VALUE&amp;DB=129&amp;ID1=04743P10&amp;VALUEID=02001&amp;SDATE=200701&amp;PERIODTYPE=QTR_STD&amp;SCFT=3&amp;window=popup_no_bar&amp;width=385&amp;height=120&amp;START_MAXIMIZED=FALSE&amp;creator=factset&amp;display_string=Audit"}</definedName>
    <definedName name="_4427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4428__FDSAUDITLINK__" hidden="1">{"fdsup://Directions/FactSet Auditing Viewer?action=AUDIT_VALUE&amp;DB=129&amp;ID1=04743P10&amp;VALUEID=02001&amp;SDATE=200603&amp;PERIODTYPE=QTR_STD&amp;SCFT=3&amp;window=popup_no_bar&amp;width=385&amp;height=120&amp;START_MAXIMIZED=FALSE&amp;creator=factset&amp;display_string=Audit"}</definedName>
    <definedName name="_4429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443__FDSAUDITLINK__" hidden="1">{"fdsup://Directions/FactSet Auditing Viewer?action=AUDIT_VALUE&amp;DB=129&amp;ID1=98975F10&amp;VALUEID=02001&amp;SDATE=201002&amp;PERIODTYPE=QTR_STD&amp;SCFT=3&amp;window=popup_no_bar&amp;width=385&amp;height=120&amp;START_MAXIMIZED=FALSE&amp;creator=factset&amp;display_string=Audit"}</definedName>
    <definedName name="_4430__FDSAUDITLINK__" hidden="1">{"fdsup://Directions/FactSet Auditing Viewer?action=AUDIT_VALUE&amp;DB=129&amp;ID1=04743P10&amp;VALUEID=02001&amp;SDATE=200602&amp;PERIODTYPE=QTR_STD&amp;SCFT=3&amp;window=popup_no_bar&amp;width=385&amp;height=120&amp;START_MAXIMIZED=FALSE&amp;creator=factset&amp;display_string=Audit"}</definedName>
    <definedName name="_4431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4432__FDSAUDITLINK__" hidden="1">{"fdsup://Directions/FactSet Auditing Viewer?action=AUDIT_VALUE&amp;DB=129&amp;ID1=04743P10&amp;VALUEID=02001&amp;SDATE=200601&amp;PERIODTYPE=QTR_STD&amp;SCFT=3&amp;window=popup_no_bar&amp;width=385&amp;height=120&amp;START_MAXIMIZED=FALSE&amp;creator=factset&amp;display_string=Audit"}</definedName>
    <definedName name="_4433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4434__FDSAUDITLINK__" hidden="1">{"fdsup://Directions/FactSet Auditing Viewer?action=AUDIT_VALUE&amp;DB=129&amp;ID1=04743P10&amp;VALUEID=02001&amp;SDATE=200503&amp;PERIODTYPE=QTR_STD&amp;SCFT=3&amp;window=popup_no_bar&amp;width=385&amp;height=120&amp;START_MAXIMIZED=FALSE&amp;creator=factset&amp;display_string=Audit"}</definedName>
    <definedName name="_4435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4436__FDSAUDITLINK__" hidden="1">{"fdsup://Directions/FactSet Auditing Viewer?action=AUDIT_VALUE&amp;DB=129&amp;ID1=04743P10&amp;VALUEID=02001&amp;SDATE=200502&amp;PERIODTYPE=QTR_STD&amp;SCFT=3&amp;window=popup_no_bar&amp;width=385&amp;height=120&amp;START_MAXIMIZED=FALSE&amp;creator=factset&amp;display_string=Audit"}</definedName>
    <definedName name="_4437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4438__FDSAUDITLINK__" hidden="1">{"fdsup://Directions/FactSet Auditing Viewer?action=AUDIT_VALUE&amp;DB=129&amp;ID1=04743P10&amp;VALUEID=02001&amp;SDATE=200501&amp;PERIODTYPE=QTR_STD&amp;SCFT=3&amp;window=popup_no_bar&amp;width=385&amp;height=120&amp;START_MAXIMIZED=FALSE&amp;creator=factset&amp;display_string=Audit"}</definedName>
    <definedName name="_4439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444__FDSAUDITLINK__" hidden="1">{"fdsup://Directions/FactSet Auditing Viewer?action=AUDIT_VALUE&amp;DB=129&amp;ID1=98975F10&amp;VALUEID=02001&amp;SDATE=201002&amp;PERIODTYPE=QTR_STD&amp;SCFT=3&amp;window=popup_no_bar&amp;width=385&amp;height=120&amp;START_MAXIMIZED=FALSE&amp;creator=factset&amp;display_string=Audit"}</definedName>
    <definedName name="_4440__FDSAUDITLINK__" hidden="1">{"fdsup://Directions/FactSet Auditing Viewer?action=AUDIT_VALUE&amp;DB=129&amp;ID1=04743P10&amp;VALUEID=02001&amp;SDATE=200403&amp;PERIODTYPE=QTR_STD&amp;SCFT=3&amp;window=popup_no_bar&amp;width=385&amp;height=120&amp;START_MAXIMIZED=FALSE&amp;creator=factset&amp;display_string=Audit"}</definedName>
    <definedName name="_4441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4442__FDSAUDITLINK__" hidden="1">{"fdsup://Directions/FactSet Auditing Viewer?action=AUDIT_VALUE&amp;DB=129&amp;ID1=04743P10&amp;VALUEID=02001&amp;SDATE=200402&amp;PERIODTYPE=QTR_STD&amp;SCFT=3&amp;window=popup_no_bar&amp;width=385&amp;height=120&amp;START_MAXIMIZED=FALSE&amp;creator=factset&amp;display_string=Audit"}</definedName>
    <definedName name="_4443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4444__FDSAUDITLINK__" hidden="1">{"fdsup://Directions/FactSet Auditing Viewer?action=AUDIT_VALUE&amp;DB=129&amp;ID1=04743P10&amp;VALUEID=02001&amp;SDATE=200401&amp;PERIODTYPE=QTR_STD&amp;SCFT=3&amp;window=popup_no_bar&amp;width=385&amp;height=120&amp;START_MAXIMIZED=FALSE&amp;creator=factset&amp;display_string=Audit"}</definedName>
    <definedName name="_4445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4446__FDSAUDITLINK__" hidden="1">{"fdsup://Directions/FactSet Auditing Viewer?action=AUDIT_VALUE&amp;DB=129&amp;ID1=03251510&amp;VALUEID=02001&amp;SDATE=200801&amp;PERIODTYPE=QTR_STD&amp;SCFT=3&amp;window=popup_no_bar&amp;width=385&amp;height=120&amp;START_MAXIMIZED=FALSE&amp;creator=factset&amp;display_string=Audit"}</definedName>
    <definedName name="_4447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4448__FDSAUDITLINK__" hidden="1">{"fdsup://Directions/FactSet Auditing Viewer?action=AUDIT_VALUE&amp;DB=129&amp;ID1=03251510&amp;VALUEID=02001&amp;SDATE=200703&amp;PERIODTYPE=QTR_STD&amp;SCFT=3&amp;window=popup_no_bar&amp;width=385&amp;height=120&amp;START_MAXIMIZED=FALSE&amp;creator=factset&amp;display_string=Audit"}</definedName>
    <definedName name="_4449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445__FDSAUDITLINK__" hidden="1">{"fdsup://Directions/FactSet Auditing Viewer?action=AUDIT_VALUE&amp;DB=129&amp;ID1=98391910&amp;VALUEID=02001&amp;SDATE=201001&amp;PERIODTYPE=QTR_STD&amp;SCFT=3&amp;window=popup_no_bar&amp;width=385&amp;height=120&amp;START_MAXIMIZED=FALSE&amp;creator=factset&amp;display_string=Audit"}</definedName>
    <definedName name="_4450__FDSAUDITLINK__" hidden="1">{"fdsup://Directions/FactSet Auditing Viewer?action=AUDIT_VALUE&amp;DB=129&amp;ID1=03251510&amp;VALUEID=02001&amp;SDATE=200702&amp;PERIODTYPE=QTR_STD&amp;SCFT=3&amp;window=popup_no_bar&amp;width=385&amp;height=120&amp;START_MAXIMIZED=FALSE&amp;creator=factset&amp;display_string=Audit"}</definedName>
    <definedName name="_4451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4452__FDSAUDITLINK__" hidden="1">{"fdsup://Directions/FactSet Auditing Viewer?action=AUDIT_VALUE&amp;DB=129&amp;ID1=03251510&amp;VALUEID=02001&amp;SDATE=200701&amp;PERIODTYPE=QTR_STD&amp;SCFT=3&amp;window=popup_no_bar&amp;width=385&amp;height=120&amp;START_MAXIMIZED=FALSE&amp;creator=factset&amp;display_string=Audit"}</definedName>
    <definedName name="_4453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4454__FDSAUDITLINK__" hidden="1">{"fdsup://Directions/FactSet Auditing Viewer?action=AUDIT_VALUE&amp;DB=129&amp;ID1=03251510&amp;VALUEID=02001&amp;SDATE=200603&amp;PERIODTYPE=QTR_STD&amp;SCFT=3&amp;window=popup_no_bar&amp;width=385&amp;height=120&amp;START_MAXIMIZED=FALSE&amp;creator=factset&amp;display_string=Audit"}</definedName>
    <definedName name="_4455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4456__FDSAUDITLINK__" hidden="1">{"fdsup://Directions/FactSet Auditing Viewer?action=AUDIT_VALUE&amp;DB=129&amp;ID1=03251510&amp;VALUEID=02001&amp;SDATE=200602&amp;PERIODTYPE=QTR_STD&amp;SCFT=3&amp;window=popup_no_bar&amp;width=385&amp;height=120&amp;START_MAXIMIZED=FALSE&amp;creator=factset&amp;display_string=Audit"}</definedName>
    <definedName name="_4457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4458__FDSAUDITLINK__" hidden="1">{"fdsup://Directions/FactSet Auditing Viewer?action=AUDIT_VALUE&amp;DB=129&amp;ID1=03251510&amp;VALUEID=02001&amp;SDATE=200601&amp;PERIODTYPE=QTR_STD&amp;SCFT=3&amp;window=popup_no_bar&amp;width=385&amp;height=120&amp;START_MAXIMIZED=FALSE&amp;creator=factset&amp;display_string=Audit"}</definedName>
    <definedName name="_4459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446__FDSAUDITLINK__" hidden="1">{"fdsup://Directions/FactSet Auditing Viewer?action=AUDIT_VALUE&amp;DB=129&amp;ID1=98391910&amp;VALUEID=02001&amp;SDATE=201001&amp;PERIODTYPE=QTR_STD&amp;SCFT=3&amp;window=popup_no_bar&amp;width=385&amp;height=120&amp;START_MAXIMIZED=FALSE&amp;creator=factset&amp;display_string=Audit"}</definedName>
    <definedName name="_4460__FDSAUDITLINK__" hidden="1">{"fdsup://Directions/FactSet Auditing Viewer?action=AUDIT_VALUE&amp;DB=129&amp;ID1=00790310&amp;VALUEID=02001&amp;SDATE=200801&amp;PERIODTYPE=QTR_STD&amp;SCFT=3&amp;window=popup_no_bar&amp;width=385&amp;height=120&amp;START_MAXIMIZED=FALSE&amp;creator=factset&amp;display_string=Audit"}</definedName>
    <definedName name="_4461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4462__FDSAUDITLINK__" hidden="1">{"fdsup://Directions/FactSet Auditing Viewer?action=AUDIT_VALUE&amp;DB=129&amp;ID1=00790310&amp;VALUEID=02001&amp;SDATE=200703&amp;PERIODTYPE=QTR_STD&amp;SCFT=3&amp;window=popup_no_bar&amp;width=385&amp;height=120&amp;START_MAXIMIZED=FALSE&amp;creator=factset&amp;display_string=Audit"}</definedName>
    <definedName name="_4463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4464__FDSAUDITLINK__" hidden="1">{"fdsup://Directions/FactSet Auditing Viewer?action=AUDIT_VALUE&amp;DB=129&amp;ID1=00790310&amp;VALUEID=02001&amp;SDATE=200702&amp;PERIODTYPE=QTR_STD&amp;SCFT=3&amp;window=popup_no_bar&amp;width=385&amp;height=120&amp;START_MAXIMIZED=FALSE&amp;creator=factset&amp;display_string=Audit"}</definedName>
    <definedName name="_4465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4466__FDSAUDITLINK__" hidden="1">{"fdsup://Directions/FactSet Auditing Viewer?action=AUDIT_VALUE&amp;DB=129&amp;ID1=00790310&amp;VALUEID=02001&amp;SDATE=200701&amp;PERIODTYPE=QTR_STD&amp;SCFT=3&amp;window=popup_no_bar&amp;width=385&amp;height=120&amp;START_MAXIMIZED=FALSE&amp;creator=factset&amp;display_string=Audit"}</definedName>
    <definedName name="_4467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4468__FDSAUDITLINK__" hidden="1">{"fdsup://Directions/FactSet Auditing Viewer?action=AUDIT_VALUE&amp;DB=129&amp;ID1=00790310&amp;VALUEID=02001&amp;SDATE=200603&amp;PERIODTYPE=QTR_STD&amp;SCFT=3&amp;window=popup_no_bar&amp;width=385&amp;height=120&amp;START_MAXIMIZED=FALSE&amp;creator=factset&amp;display_string=Audit"}</definedName>
    <definedName name="_4469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447__FDSAUDITLINK__" hidden="1">{"fdsup://Directions/FactSet Auditing Viewer?action=AUDIT_VALUE&amp;DB=129&amp;ID1=95810210&amp;VALUEID=02001&amp;SDATE=201004&amp;PERIODTYPE=QTR_STD&amp;SCFT=3&amp;window=popup_no_bar&amp;width=385&amp;height=120&amp;START_MAXIMIZED=FALSE&amp;creator=factset&amp;display_string=Audit"}</definedName>
    <definedName name="_4470__FDSAUDITLINK__" hidden="1">{"fdsup://Directions/FactSet Auditing Viewer?action=AUDIT_VALUE&amp;DB=129&amp;ID1=00790310&amp;VALUEID=02001&amp;SDATE=200602&amp;PERIODTYPE=QTR_STD&amp;SCFT=3&amp;window=popup_no_bar&amp;width=385&amp;height=120&amp;START_MAXIMIZED=FALSE&amp;creator=factset&amp;display_string=Audit"}</definedName>
    <definedName name="_4471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4472__FDSAUDITLINK__" hidden="1">{"fdsup://Directions/FactSet Auditing Viewer?action=AUDIT_VALUE&amp;DB=129&amp;ID1=00790310&amp;VALUEID=02001&amp;SDATE=200601&amp;PERIODTYPE=QTR_STD&amp;SCFT=3&amp;window=popup_no_bar&amp;width=385&amp;height=120&amp;START_MAXIMIZED=FALSE&amp;creator=factset&amp;display_string=Audit"}</definedName>
    <definedName name="_4473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4474__FDSAUDITLINK__" hidden="1">{"fdsup://Directions/FactSet Auditing Viewer?action=AUDIT_VALUE&amp;DB=129&amp;ID1=00790310&amp;VALUEID=02001&amp;SDATE=200503&amp;PERIODTYPE=QTR_STD&amp;SCFT=3&amp;window=popup_no_bar&amp;width=385&amp;height=120&amp;START_MAXIMIZED=FALSE&amp;creator=factset&amp;display_string=Audit"}</definedName>
    <definedName name="_4475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4476__FDSAUDITLINK__" hidden="1">{"fdsup://Directions/FactSet Auditing Viewer?action=AUDIT_VALUE&amp;DB=129&amp;ID1=00790310&amp;VALUEID=02001&amp;SDATE=200502&amp;PERIODTYPE=QTR_STD&amp;SCFT=3&amp;window=popup_no_bar&amp;width=385&amp;height=120&amp;START_MAXIMIZED=FALSE&amp;creator=factset&amp;display_string=Audit"}</definedName>
    <definedName name="_4477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4478__FDSAUDITLINK__" hidden="1">{"fdsup://Directions/FactSet Auditing Viewer?action=AUDIT_VALUE&amp;DB=129&amp;ID1=00790310&amp;VALUEID=02001&amp;SDATE=200403&amp;PERIODTYPE=QTR_STD&amp;SCFT=3&amp;window=popup_no_bar&amp;width=385&amp;height=120&amp;START_MAXIMIZED=FALSE&amp;creator=factset&amp;display_string=Audit"}</definedName>
    <definedName name="_4479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448__FDSAUDITLINK__" hidden="1">{"fdsup://Directions/FactSet Auditing Viewer?action=AUDIT_VALUE&amp;DB=129&amp;ID1=95810210&amp;VALUEID=02001&amp;SDATE=201004&amp;PERIODTYPE=QTR_STD&amp;SCFT=3&amp;window=popup_no_bar&amp;width=385&amp;height=120&amp;START_MAXIMIZED=FALSE&amp;creator=factset&amp;display_string=Audit"}</definedName>
    <definedName name="_4480__FDSAUDITLINK__" hidden="1">{"fdsup://Directions/FactSet Auditing Viewer?action=AUDIT_VALUE&amp;DB=129&amp;ID1=00790310&amp;VALUEID=02001&amp;SDATE=200402&amp;PERIODTYPE=QTR_STD&amp;SCFT=3&amp;window=popup_no_bar&amp;width=385&amp;height=120&amp;START_MAXIMIZED=FALSE&amp;creator=factset&amp;display_string=Audit"}</definedName>
    <definedName name="_4481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4482__FDSAUDITLINK__" hidden="1">{"fdsup://Directions/FactSet Auditing Viewer?action=AUDIT_VALUE&amp;DB=129&amp;ID1=00790310&amp;VALUEID=02001&amp;SDATE=200401&amp;PERIODTYPE=QTR_STD&amp;SCFT=3&amp;window=popup_no_bar&amp;width=385&amp;height=120&amp;START_MAXIMIZED=FALSE&amp;creator=factset&amp;display_string=Audit"}</definedName>
    <definedName name="_4483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4484__FDSAUDITLINK__" hidden="1">{"fdsup://Directions/FactSet Auditing Viewer?action=AUDIT_VALUE&amp;DB=129&amp;ID1=03822W40&amp;VALUEID=02001&amp;SDATE=200703&amp;PERIODTYPE=QTR_STD&amp;SCFT=3&amp;window=popup_no_bar&amp;width=385&amp;height=120&amp;START_MAXIMIZED=FALSE&amp;creator=factset&amp;display_string=Audit"}</definedName>
    <definedName name="_4485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4486__FDSAUDITLINK__" hidden="1">{"fdsup://Directions/FactSet Auditing Viewer?action=AUDIT_VALUE&amp;DB=129&amp;ID1=03822W40&amp;VALUEID=02001&amp;SDATE=200702&amp;PERIODTYPE=QTR_STD&amp;SCFT=3&amp;window=popup_no_bar&amp;width=385&amp;height=120&amp;START_MAXIMIZED=FALSE&amp;creator=factset&amp;display_string=Audit"}</definedName>
    <definedName name="_4487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4488__FDSAUDITLINK__" hidden="1">{"fdsup://Directions/FactSet Auditing Viewer?action=AUDIT_VALUE&amp;DB=129&amp;ID1=03822W40&amp;VALUEID=02001&amp;SDATE=200701&amp;PERIODTYPE=QTR_STD&amp;SCFT=3&amp;window=popup_no_bar&amp;width=385&amp;height=120&amp;START_MAXIMIZED=FALSE&amp;creator=factset&amp;display_string=Audit"}</definedName>
    <definedName name="_4489__FDSAUDITLINK__" hidden="1">{"fdsup://Directions/FactSet Auditing Viewer?action=AUDIT_VALUE&amp;DB=129&amp;ID1=03822W40&amp;VALUEID=02001&amp;SDATE=200603&amp;PERIODTYPE=QTR_STD&amp;SCFT=3&amp;window=popup_no_bar&amp;width=385&amp;height=120&amp;START_MAXIMIZED=FALSE&amp;creator=factset&amp;display_string=Audit"}</definedName>
    <definedName name="_449__FDSAUDITLINK__" hidden="1">{"fdsup://Directions/FactSet Auditing Viewer?action=AUDIT_VALUE&amp;DB=129&amp;ID1=92849730&amp;VALUEID=02001&amp;SDATE=201003&amp;PERIODTYPE=QTR_STD&amp;SCFT=3&amp;window=popup_no_bar&amp;width=385&amp;height=120&amp;START_MAXIMIZED=FALSE&amp;creator=factset&amp;display_string=Audit"}</definedName>
    <definedName name="_4490__FDSAUDITLINK__" hidden="1">{"fdsup://Directions/FactSet Auditing Viewer?action=AUDIT_VALUE&amp;DB=129&amp;ID1=03822W40&amp;VALUEID=02001&amp;SDATE=200603&amp;PERIODTYPE=QTR_STD&amp;SCFT=3&amp;window=popup_no_bar&amp;width=385&amp;height=120&amp;START_MAXIMIZED=FALSE&amp;creator=factset&amp;display_string=Audit"}</definedName>
    <definedName name="_4491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4492__FDSAUDITLINK__" hidden="1">{"fdsup://Directions/FactSet Auditing Viewer?action=AUDIT_VALUE&amp;DB=129&amp;ID1=03822W40&amp;VALUEID=02001&amp;SDATE=200602&amp;PERIODTYPE=QTR_STD&amp;SCFT=3&amp;window=popup_no_bar&amp;width=385&amp;height=120&amp;START_MAXIMIZED=FALSE&amp;creator=factset&amp;display_string=Audit"}</definedName>
    <definedName name="_4493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4494__FDSAUDITLINK__" hidden="1">{"fdsup://Directions/FactSet Auditing Viewer?action=AUDIT_VALUE&amp;DB=129&amp;ID1=03822W40&amp;VALUEID=02001&amp;SDATE=200601&amp;PERIODTYPE=QTR_STD&amp;SCFT=3&amp;window=popup_no_bar&amp;width=385&amp;height=120&amp;START_MAXIMIZED=FALSE&amp;creator=factset&amp;display_string=Audit"}</definedName>
    <definedName name="_4495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4496__FDSAUDITLINK__" hidden="1">{"fdsup://Directions/FactSet Auditing Viewer?action=AUDIT_VALUE&amp;DB=129&amp;ID1=03822W40&amp;VALUEID=02001&amp;SDATE=200503&amp;PERIODTYPE=QTR_STD&amp;SCFT=3&amp;window=popup_no_bar&amp;width=385&amp;height=120&amp;START_MAXIMIZED=FALSE&amp;creator=factset&amp;display_string=Audit"}</definedName>
    <definedName name="_4497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4498__FDSAUDITLINK__" hidden="1">{"fdsup://Directions/FactSet Auditing Viewer?action=AUDIT_VALUE&amp;DB=129&amp;ID1=03822W40&amp;VALUEID=02001&amp;SDATE=200502&amp;PERIODTYPE=QTR_STD&amp;SCFT=3&amp;window=popup_no_bar&amp;width=385&amp;height=120&amp;START_MAXIMIZED=FALSE&amp;creator=factset&amp;display_string=Audit"}</definedName>
    <definedName name="_4499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45__FDSAUDITLINK__" hidden="1">{"fdsup://Directions/FactSet Auditing Viewer?action=AUDIT_VALUE&amp;DB=129&amp;ID1=73927610&amp;VALUEID=02001&amp;SDATE=201101&amp;PERIODTYPE=QTR_STD&amp;SCFT=3&amp;window=popup_no_bar&amp;width=385&amp;height=120&amp;START_MAXIMIZED=FALSE&amp;creator=factset&amp;display_string=Audit"}</definedName>
    <definedName name="_450__FDSAUDITLINK__" hidden="1">{"fdsup://Directions/FactSet Auditing Viewer?action=AUDIT_VALUE&amp;DB=129&amp;ID1=92849730&amp;VALUEID=02001&amp;SDATE=201003&amp;PERIODTYPE=QTR_STD&amp;SCFT=3&amp;window=popup_no_bar&amp;width=385&amp;height=120&amp;START_MAXIMIZED=FALSE&amp;creator=factset&amp;display_string=Audit"}</definedName>
    <definedName name="_4500__FDSAUDITLINK__" hidden="1">{"fdsup://Directions/FactSet Auditing Viewer?action=AUDIT_VALUE&amp;DB=129&amp;ID1=03822W40&amp;VALUEID=02001&amp;SDATE=200501&amp;PERIODTYPE=QTR_STD&amp;SCFT=3&amp;window=popup_no_bar&amp;width=385&amp;height=120&amp;START_MAXIMIZED=FALSE&amp;creator=factset&amp;display_string=Audit"}</definedName>
    <definedName name="_4501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4502__FDSAUDITLINK__" hidden="1">{"fdsup://Directions/FactSet Auditing Viewer?action=AUDIT_VALUE&amp;DB=129&amp;ID1=03822W40&amp;VALUEID=02001&amp;SDATE=200403&amp;PERIODTYPE=QTR_STD&amp;SCFT=3&amp;window=popup_no_bar&amp;width=385&amp;height=120&amp;START_MAXIMIZED=FALSE&amp;creator=factset&amp;display_string=Audit"}</definedName>
    <definedName name="_4503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4504__FDSAUDITLINK__" hidden="1">{"fdsup://Directions/FactSet Auditing Viewer?action=AUDIT_VALUE&amp;DB=129&amp;ID1=03822W40&amp;VALUEID=02001&amp;SDATE=200402&amp;PERIODTYPE=QTR_STD&amp;SCFT=3&amp;window=popup_no_bar&amp;width=385&amp;height=120&amp;START_MAXIMIZED=FALSE&amp;creator=factset&amp;display_string=Audit"}</definedName>
    <definedName name="_4505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4506__FDSAUDITLINK__" hidden="1">{"fdsup://Directions/FactSet Auditing Viewer?action=AUDIT_VALUE&amp;DB=129&amp;ID1=03822W40&amp;VALUEID=02001&amp;SDATE=200401&amp;PERIODTYPE=QTR_STD&amp;SCFT=3&amp;window=popup_no_bar&amp;width=385&amp;height=120&amp;START_MAXIMIZED=FALSE&amp;creator=factset&amp;display_string=Audit"}</definedName>
    <definedName name="_4507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4508__FDSAUDITLINK__" hidden="1">{"fdsup://Directions/FactSet Auditing Viewer?action=AUDIT_VALUE&amp;DB=129&amp;ID1=03822210&amp;VALUEID=02001&amp;SDATE=200802&amp;PERIODTYPE=QTR_STD&amp;SCFT=3&amp;window=popup_no_bar&amp;width=385&amp;height=120&amp;START_MAXIMIZED=FALSE&amp;creator=factset&amp;display_string=Audit"}</definedName>
    <definedName name="_4509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451__FDSAUDITLINK__" hidden="1">{"fdsup://Directions/FactSet Auditing Viewer?action=AUDIT_VALUE&amp;DB=129&amp;ID1=92829810&amp;VALUEID=02001&amp;SDATE=201002&amp;PERIODTYPE=QTR_STD&amp;SCFT=3&amp;window=popup_no_bar&amp;width=385&amp;height=120&amp;START_MAXIMIZED=FALSE&amp;creator=factset&amp;display_string=Audit"}</definedName>
    <definedName name="_4510__FDSAUDITLINK__" hidden="1">{"fdsup://Directions/FactSet Auditing Viewer?action=AUDIT_VALUE&amp;DB=129&amp;ID1=03822210&amp;VALUEID=02001&amp;SDATE=200801&amp;PERIODTYPE=QTR_STD&amp;SCFT=3&amp;window=popup_no_bar&amp;width=385&amp;height=120&amp;START_MAXIMIZED=FALSE&amp;creator=factset&amp;display_string=Audit"}</definedName>
    <definedName name="_4511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4512__FDSAUDITLINK__" hidden="1">{"fdsup://Directions/FactSet Auditing Viewer?action=AUDIT_VALUE&amp;DB=129&amp;ID1=03822210&amp;VALUEID=02001&amp;SDATE=200703&amp;PERIODTYPE=QTR_STD&amp;SCFT=3&amp;window=popup_no_bar&amp;width=385&amp;height=120&amp;START_MAXIMIZED=FALSE&amp;creator=factset&amp;display_string=Audit"}</definedName>
    <definedName name="_4513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4514__FDSAUDITLINK__" hidden="1">{"fdsup://Directions/FactSet Auditing Viewer?action=AUDIT_VALUE&amp;DB=129&amp;ID1=03822210&amp;VALUEID=02001&amp;SDATE=200702&amp;PERIODTYPE=QTR_STD&amp;SCFT=3&amp;window=popup_no_bar&amp;width=385&amp;height=120&amp;START_MAXIMIZED=FALSE&amp;creator=factset&amp;display_string=Audit"}</definedName>
    <definedName name="_4515__FDSAUDITLINK__" hidden="1">{"fdsup://Directions/FactSet Auditing Viewer?action=AUDIT_VALUE&amp;DB=129&amp;ID1=03822210&amp;VALUEID=02001&amp;SDATE=200701&amp;PERIODTYPE=QTR_STD&amp;SCFT=3&amp;window=popup_no_bar&amp;width=385&amp;height=120&amp;START_MAXIMIZED=FALSE&amp;creator=factset&amp;display_string=Audit"}</definedName>
    <definedName name="_4516__FDSAUDITLINK__" hidden="1">{"fdsup://Directions/FactSet Auditing Viewer?action=AUDIT_VALUE&amp;DB=129&amp;ID1=03822210&amp;VALUEID=02001&amp;SDATE=200701&amp;PERIODTYPE=QTR_STD&amp;SCFT=3&amp;window=popup_no_bar&amp;width=385&amp;height=120&amp;START_MAXIMIZED=FALSE&amp;creator=factset&amp;display_string=Audit"}</definedName>
    <definedName name="_4517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4518__FDSAUDITLINK__" hidden="1">{"fdsup://Directions/FactSet Auditing Viewer?action=AUDIT_VALUE&amp;DB=129&amp;ID1=03822210&amp;VALUEID=02001&amp;SDATE=200603&amp;PERIODTYPE=QTR_STD&amp;SCFT=3&amp;window=popup_no_bar&amp;width=385&amp;height=120&amp;START_MAXIMIZED=FALSE&amp;creator=factset&amp;display_string=Audit"}</definedName>
    <definedName name="_4519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452__FDSAUDITLINK__" hidden="1">{"fdsup://Directions/FactSet Auditing Viewer?action=AUDIT_VALUE&amp;DB=129&amp;ID1=92829810&amp;VALUEID=02001&amp;SDATE=201002&amp;PERIODTYPE=QTR_STD&amp;SCFT=3&amp;window=popup_no_bar&amp;width=385&amp;height=120&amp;START_MAXIMIZED=FALSE&amp;creator=factset&amp;display_string=Audit"}</definedName>
    <definedName name="_4520__FDSAUDITLINK__" hidden="1">{"fdsup://Directions/FactSet Auditing Viewer?action=AUDIT_VALUE&amp;DB=129&amp;ID1=03822210&amp;VALUEID=02001&amp;SDATE=200602&amp;PERIODTYPE=QTR_STD&amp;SCFT=3&amp;window=popup_no_bar&amp;width=385&amp;height=120&amp;START_MAXIMIZED=FALSE&amp;creator=factset&amp;display_string=Audit"}</definedName>
    <definedName name="_4521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4522__FDSAUDITLINK__" hidden="1">{"fdsup://Directions/FactSet Auditing Viewer?action=AUDIT_VALUE&amp;DB=129&amp;ID1=03822210&amp;VALUEID=02001&amp;SDATE=200601&amp;PERIODTYPE=QTR_STD&amp;SCFT=3&amp;window=popup_no_bar&amp;width=385&amp;height=120&amp;START_MAXIMIZED=FALSE&amp;creator=factset&amp;display_string=Audit"}</definedName>
    <definedName name="_4523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4524__FDSAUDITLINK__" hidden="1">{"fdsup://Directions/FactSet Auditing Viewer?action=AUDIT_VALUE&amp;DB=129&amp;ID1=03822210&amp;VALUEID=02001&amp;SDATE=200503&amp;PERIODTYPE=QTR_STD&amp;SCFT=3&amp;window=popup_no_bar&amp;width=385&amp;height=120&amp;START_MAXIMIZED=FALSE&amp;creator=factset&amp;display_string=Audit"}</definedName>
    <definedName name="_4525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4526__FDSAUDITLINK__" hidden="1">{"fdsup://Directions/FactSet Auditing Viewer?action=AUDIT_VALUE&amp;DB=129&amp;ID1=03822210&amp;VALUEID=02001&amp;SDATE=200502&amp;PERIODTYPE=QTR_STD&amp;SCFT=3&amp;window=popup_no_bar&amp;width=385&amp;height=120&amp;START_MAXIMIZED=FALSE&amp;creator=factset&amp;display_string=Audit"}</definedName>
    <definedName name="_4527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4528__FDSAUDITLINK__" hidden="1">{"fdsup://Directions/FactSet Auditing Viewer?action=AUDIT_VALUE&amp;DB=129&amp;ID1=03822210&amp;VALUEID=02001&amp;SDATE=200501&amp;PERIODTYPE=QTR_STD&amp;SCFT=3&amp;window=popup_no_bar&amp;width=385&amp;height=120&amp;START_MAXIMIZED=FALSE&amp;creator=factset&amp;display_string=Audit"}</definedName>
    <definedName name="_4529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453__FDSAUDITLINK__" hidden="1">{"fdsup://Directions/FactSet Auditing Viewer?action=AUDIT_VALUE&amp;DB=129&amp;ID1=88250810&amp;VALUEID=02001&amp;SDATE=201002&amp;PERIODTYPE=QTR_STD&amp;SCFT=3&amp;window=popup_no_bar&amp;width=385&amp;height=120&amp;START_MAXIMIZED=FALSE&amp;creator=factset&amp;display_string=Audit"}</definedName>
    <definedName name="_4530__FDSAUDITLINK__" hidden="1">{"fdsup://Directions/FactSet Auditing Viewer?action=AUDIT_VALUE&amp;DB=129&amp;ID1=03822210&amp;VALUEID=02001&amp;SDATE=200403&amp;PERIODTYPE=QTR_STD&amp;SCFT=3&amp;window=popup_no_bar&amp;width=385&amp;height=120&amp;START_MAXIMIZED=FALSE&amp;creator=factset&amp;display_string=Audit"}</definedName>
    <definedName name="_4531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4532__FDSAUDITLINK__" hidden="1">{"fdsup://Directions/FactSet Auditing Viewer?action=AUDIT_VALUE&amp;DB=129&amp;ID1=03822210&amp;VALUEID=02001&amp;SDATE=200402&amp;PERIODTYPE=QTR_STD&amp;SCFT=3&amp;window=popup_no_bar&amp;width=385&amp;height=120&amp;START_MAXIMIZED=FALSE&amp;creator=factset&amp;display_string=Audit"}</definedName>
    <definedName name="_4533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4534__FDSAUDITLINK__" hidden="1">{"fdsup://Directions/FactSet Auditing Viewer?action=AUDIT_VALUE&amp;DB=129&amp;ID1=02144110&amp;VALUEID=02001&amp;SDATE=200801&amp;PERIODTYPE=QTR_STD&amp;SCFT=3&amp;window=popup_no_bar&amp;width=385&amp;height=120&amp;START_MAXIMIZED=FALSE&amp;creator=factset&amp;display_string=Audit"}</definedName>
    <definedName name="_4535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4536__FDSAUDITLINK__" hidden="1">{"fdsup://Directions/FactSet Auditing Viewer?action=AUDIT_VALUE&amp;DB=129&amp;ID1=02144110&amp;VALUEID=02001&amp;SDATE=200703&amp;PERIODTYPE=QTR_STD&amp;SCFT=3&amp;window=popup_no_bar&amp;width=385&amp;height=120&amp;START_MAXIMIZED=FALSE&amp;creator=factset&amp;display_string=Audit"}</definedName>
    <definedName name="_4537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4538__FDSAUDITLINK__" hidden="1">{"fdsup://Directions/FactSet Auditing Viewer?action=AUDIT_VALUE&amp;DB=129&amp;ID1=02144110&amp;VALUEID=02001&amp;SDATE=200702&amp;PERIODTYPE=QTR_STD&amp;SCFT=3&amp;window=popup_no_bar&amp;width=385&amp;height=120&amp;START_MAXIMIZED=FALSE&amp;creator=factset&amp;display_string=Audit"}</definedName>
    <definedName name="_4539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454__FDSAUDITLINK__" hidden="1">{"fdsup://Directions/FactSet Auditing Viewer?action=AUDIT_VALUE&amp;DB=129&amp;ID1=88250810&amp;VALUEID=02001&amp;SDATE=201002&amp;PERIODTYPE=QTR_STD&amp;SCFT=3&amp;window=popup_no_bar&amp;width=385&amp;height=120&amp;START_MAXIMIZED=FALSE&amp;creator=factset&amp;display_string=Audit"}</definedName>
    <definedName name="_4540__FDSAUDITLINK__" hidden="1">{"fdsup://Directions/FactSet Auditing Viewer?action=AUDIT_VALUE&amp;DB=129&amp;ID1=02144110&amp;VALUEID=02001&amp;SDATE=200701&amp;PERIODTYPE=QTR_STD&amp;SCFT=3&amp;window=popup_no_bar&amp;width=385&amp;height=120&amp;START_MAXIMIZED=FALSE&amp;creator=factset&amp;display_string=Audit"}</definedName>
    <definedName name="_4541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4542__FDSAUDITLINK__" hidden="1">{"fdsup://Directions/FactSet Auditing Viewer?action=AUDIT_VALUE&amp;DB=129&amp;ID1=02144110&amp;VALUEID=02001&amp;SDATE=200603&amp;PERIODTYPE=QTR_STD&amp;SCFT=3&amp;window=popup_no_bar&amp;width=385&amp;height=120&amp;START_MAXIMIZED=FALSE&amp;creator=factset&amp;display_string=Audit"}</definedName>
    <definedName name="_4543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4544__FDSAUDITLINK__" hidden="1">{"fdsup://Directions/FactSet Auditing Viewer?action=AUDIT_VALUE&amp;DB=129&amp;ID1=02144110&amp;VALUEID=02001&amp;SDATE=200602&amp;PERIODTYPE=QTR_STD&amp;SCFT=3&amp;window=popup_no_bar&amp;width=385&amp;height=120&amp;START_MAXIMIZED=FALSE&amp;creator=factset&amp;display_string=Audit"}</definedName>
    <definedName name="_4545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4546__FDSAUDITLINK__" hidden="1">{"fdsup://Directions/FactSet Auditing Viewer?action=AUDIT_VALUE&amp;DB=129&amp;ID1=02144110&amp;VALUEID=02001&amp;SDATE=200601&amp;PERIODTYPE=QTR_STD&amp;SCFT=3&amp;window=popup_no_bar&amp;width=385&amp;height=120&amp;START_MAXIMIZED=FALSE&amp;creator=factset&amp;display_string=Audit"}</definedName>
    <definedName name="_4547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4548__FDSAUDITLINK__" hidden="1">{"fdsup://Directions/FactSet Auditing Viewer?action=AUDIT_VALUE&amp;DB=129&amp;ID1=02144110&amp;VALUEID=02001&amp;SDATE=200503&amp;PERIODTYPE=QTR_STD&amp;SCFT=3&amp;window=popup_no_bar&amp;width=385&amp;height=120&amp;START_MAXIMIZED=FALSE&amp;creator=factset&amp;display_string=Audit"}</definedName>
    <definedName name="_4549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455__FDSAUDITLINK__" hidden="1">{"fdsup://Directions/FactSet Auditing Viewer?action=AUDIT_VALUE&amp;DB=129&amp;ID1=89674K10&amp;VALUEID=02001&amp;SDATE=201002&amp;PERIODTYPE=QTR_STD&amp;SCFT=3&amp;window=popup_no_bar&amp;width=385&amp;height=120&amp;START_MAXIMIZED=FALSE&amp;creator=factset&amp;display_string=Audit"}</definedName>
    <definedName name="_4550__FDSAUDITLINK__" hidden="1">{"fdsup://Directions/FactSet Auditing Viewer?action=AUDIT_VALUE&amp;DB=129&amp;ID1=02144110&amp;VALUEID=02001&amp;SDATE=200502&amp;PERIODTYPE=QTR_STD&amp;SCFT=3&amp;window=popup_no_bar&amp;width=385&amp;height=120&amp;START_MAXIMIZED=FALSE&amp;creator=factset&amp;display_string=Audit"}</definedName>
    <definedName name="_4551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4552__FDSAUDITLINK__" hidden="1">{"fdsup://Directions/FactSet Auditing Viewer?action=AUDIT_VALUE&amp;DB=129&amp;ID1=02144110&amp;VALUEID=02001&amp;SDATE=200501&amp;PERIODTYPE=QTR_STD&amp;SCFT=3&amp;window=popup_no_bar&amp;width=385&amp;height=120&amp;START_MAXIMIZED=FALSE&amp;creator=factset&amp;display_string=Audit"}</definedName>
    <definedName name="_4553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4554__FDSAUDITLINK__" hidden="1">{"fdsup://Directions/FactSet Auditing Viewer?action=AUDIT_VALUE&amp;DB=129&amp;ID1=02144110&amp;VALUEID=02001&amp;SDATE=200403&amp;PERIODTYPE=QTR_STD&amp;SCFT=3&amp;window=popup_no_bar&amp;width=385&amp;height=120&amp;START_MAXIMIZED=FALSE&amp;creator=factset&amp;display_string=Audit"}</definedName>
    <definedName name="_4555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4556__FDSAUDITLINK__" hidden="1">{"fdsup://Directions/FactSet Auditing Viewer?action=AUDIT_VALUE&amp;DB=129&amp;ID1=02144110&amp;VALUEID=02001&amp;SDATE=200402&amp;PERIODTYPE=QTR_STD&amp;SCFT=3&amp;window=popup_no_bar&amp;width=385&amp;height=120&amp;START_MAXIMIZED=FALSE&amp;creator=factset&amp;display_string=Audit"}</definedName>
    <definedName name="_4557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4558__FDSAUDITLINK__" hidden="1">{"fdsup://Directions/FactSet Auditing Viewer?action=AUDIT_VALUE&amp;DB=129&amp;ID1=02144110&amp;VALUEID=02001&amp;SDATE=200401&amp;PERIODTYPE=QTR_STD&amp;SCFT=3&amp;window=popup_no_bar&amp;width=385&amp;height=120&amp;START_MAXIMIZED=FALSE&amp;creator=factset&amp;display_string=Audit"}</definedName>
    <definedName name="_4559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456__FDSAUDITLINK__" hidden="1">{"fdsup://Directions/FactSet Auditing Viewer?action=AUDIT_VALUE&amp;DB=129&amp;ID1=89674K10&amp;VALUEID=02001&amp;SDATE=201002&amp;PERIODTYPE=QTR_STD&amp;SCFT=3&amp;window=popup_no_bar&amp;width=385&amp;height=120&amp;START_MAXIMIZED=FALSE&amp;creator=factset&amp;display_string=Audit"}</definedName>
    <definedName name="_4560__FDSAUDITLINK__" hidden="1">{"fdsup://Directions/FactSet Auditing Viewer?action=AUDIT_VALUE&amp;DB=129&amp;ID1=03265410&amp;VALUEID=02001&amp;SDATE=200802&amp;PERIODTYPE=QTR_STD&amp;SCFT=3&amp;window=popup_no_bar&amp;width=385&amp;height=120&amp;START_MAXIMIZED=FALSE&amp;creator=factset&amp;display_string=Audit"}</definedName>
    <definedName name="_4561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4562__FDSAUDITLINK__" hidden="1">{"fdsup://Directions/FactSet Auditing Viewer?action=AUDIT_VALUE&amp;DB=129&amp;ID1=03265410&amp;VALUEID=02001&amp;SDATE=200801&amp;PERIODTYPE=QTR_STD&amp;SCFT=3&amp;window=popup_no_bar&amp;width=385&amp;height=120&amp;START_MAXIMIZED=FALSE&amp;creator=factset&amp;display_string=Audit"}</definedName>
    <definedName name="_4563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4564__FDSAUDITLINK__" hidden="1">{"fdsup://Directions/FactSet Auditing Viewer?action=AUDIT_VALUE&amp;DB=129&amp;ID1=03265410&amp;VALUEID=02001&amp;SDATE=200703&amp;PERIODTYPE=QTR_STD&amp;SCFT=3&amp;window=popup_no_bar&amp;width=385&amp;height=120&amp;START_MAXIMIZED=FALSE&amp;creator=factset&amp;display_string=Audit"}</definedName>
    <definedName name="_4565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4566__FDSAUDITLINK__" hidden="1">{"fdsup://Directions/FactSet Auditing Viewer?action=AUDIT_VALUE&amp;DB=129&amp;ID1=03265410&amp;VALUEID=02001&amp;SDATE=200702&amp;PERIODTYPE=QTR_STD&amp;SCFT=3&amp;window=popup_no_bar&amp;width=385&amp;height=120&amp;START_MAXIMIZED=FALSE&amp;creator=factset&amp;display_string=Audit"}</definedName>
    <definedName name="_4567__FDSAUDITLINK__" hidden="1">{"fdsup://Directions/FactSet Auditing Viewer?action=AUDIT_VALUE&amp;DB=129&amp;ID1=03265410&amp;VALUEID=02001&amp;SDATE=200701&amp;PERIODTYPE=QTR_STD&amp;SCFT=3&amp;window=popup_no_bar&amp;width=385&amp;height=120&amp;START_MAXIMIZED=FALSE&amp;creator=factset&amp;display_string=Audit"}</definedName>
    <definedName name="_4568__FDSAUDITLINK__" hidden="1">{"fdsup://Directions/FactSet Auditing Viewer?action=AUDIT_VALUE&amp;DB=129&amp;ID1=03265410&amp;VALUEID=02001&amp;SDATE=200701&amp;PERIODTYPE=QTR_STD&amp;SCFT=3&amp;window=popup_no_bar&amp;width=385&amp;height=120&amp;START_MAXIMIZED=FALSE&amp;creator=factset&amp;display_string=Audit"}</definedName>
    <definedName name="_4569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457__FDSAUDITLINK__" hidden="1">{"fdsup://Directions/FactSet Auditing Viewer?action=AUDIT_VALUE&amp;DB=129&amp;ID1=83088M10&amp;VALUEID=02001&amp;SDATE=201003&amp;PERIODTYPE=QTR_STD&amp;SCFT=3&amp;window=popup_no_bar&amp;width=385&amp;height=120&amp;START_MAXIMIZED=FALSE&amp;creator=factset&amp;display_string=Audit"}</definedName>
    <definedName name="_4570__FDSAUDITLINK__" hidden="1">{"fdsup://Directions/FactSet Auditing Viewer?action=AUDIT_VALUE&amp;DB=129&amp;ID1=03265410&amp;VALUEID=02001&amp;SDATE=200603&amp;PERIODTYPE=QTR_STD&amp;SCFT=3&amp;window=popup_no_bar&amp;width=385&amp;height=120&amp;START_MAXIMIZED=FALSE&amp;creator=factset&amp;display_string=Audit"}</definedName>
    <definedName name="_4571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4572__FDSAUDITLINK__" hidden="1">{"fdsup://Directions/FactSet Auditing Viewer?action=AUDIT_VALUE&amp;DB=129&amp;ID1=03265410&amp;VALUEID=02001&amp;SDATE=200601&amp;PERIODTYPE=QTR_STD&amp;SCFT=3&amp;window=popup_no_bar&amp;width=385&amp;height=120&amp;START_MAXIMIZED=FALSE&amp;creator=factset&amp;display_string=Audit"}</definedName>
    <definedName name="_4573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4574__FDSAUDITLINK__" hidden="1">{"fdsup://Directions/FactSet Auditing Viewer?action=AUDIT_VALUE&amp;DB=129&amp;ID1=03265410&amp;VALUEID=02001&amp;SDATE=200503&amp;PERIODTYPE=QTR_STD&amp;SCFT=3&amp;window=popup_no_bar&amp;width=385&amp;height=120&amp;START_MAXIMIZED=FALSE&amp;creator=factset&amp;display_string=Audit"}</definedName>
    <definedName name="_4575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4576__FDSAUDITLINK__" hidden="1">{"fdsup://Directions/FactSet Auditing Viewer?action=AUDIT_VALUE&amp;DB=129&amp;ID1=03265410&amp;VALUEID=02001&amp;SDATE=200502&amp;PERIODTYPE=QTR_STD&amp;SCFT=3&amp;window=popup_no_bar&amp;width=385&amp;height=120&amp;START_MAXIMIZED=FALSE&amp;creator=factset&amp;display_string=Audit"}</definedName>
    <definedName name="_4577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4578__FDSAUDITLINK__" hidden="1">{"fdsup://Directions/FactSet Auditing Viewer?action=AUDIT_VALUE&amp;DB=129&amp;ID1=03265410&amp;VALUEID=02001&amp;SDATE=200501&amp;PERIODTYPE=QTR_STD&amp;SCFT=3&amp;window=popup_no_bar&amp;width=385&amp;height=120&amp;START_MAXIMIZED=FALSE&amp;creator=factset&amp;display_string=Audit"}</definedName>
    <definedName name="_4579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458__FDSAUDITLINK__" hidden="1">{"fdsup://Directions/FactSet Auditing Viewer?action=AUDIT_VALUE&amp;DB=129&amp;ID1=83088M10&amp;VALUEID=02001&amp;SDATE=201003&amp;PERIODTYPE=QTR_STD&amp;SCFT=3&amp;window=popup_no_bar&amp;width=385&amp;height=120&amp;START_MAXIMIZED=FALSE&amp;creator=factset&amp;display_string=Audit"}</definedName>
    <definedName name="_4580__FDSAUDITLINK__" hidden="1">{"fdsup://Directions/FactSet Auditing Viewer?action=AUDIT_VALUE&amp;DB=129&amp;ID1=03265410&amp;VALUEID=02001&amp;SDATE=200403&amp;PERIODTYPE=QTR_STD&amp;SCFT=3&amp;window=popup_no_bar&amp;width=385&amp;height=120&amp;START_MAXIMIZED=FALSE&amp;creator=factset&amp;display_string=Audit"}</definedName>
    <definedName name="_4581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4582__FDSAUDITLINK__" hidden="1">{"fdsup://Directions/FactSet Auditing Viewer?action=AUDIT_VALUE&amp;DB=129&amp;ID1=03265410&amp;VALUEID=02001&amp;SDATE=200402&amp;PERIODTYPE=QTR_STD&amp;SCFT=3&amp;window=popup_no_bar&amp;width=385&amp;height=120&amp;START_MAXIMIZED=FALSE&amp;creator=factset&amp;display_string=Audit"}</definedName>
    <definedName name="_4583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4584__FDSAUDITLINK__" hidden="1">{"fdsup://Directions/FactSet Auditing Viewer?action=AUDIT_VALUE&amp;DB=129&amp;ID1=00752J10&amp;VALUEID=02001&amp;SDATE=200801&amp;PERIODTYPE=QTR_STD&amp;SCFT=3&amp;window=popup_no_bar&amp;width=385&amp;height=120&amp;START_MAXIMIZED=FALSE&amp;creator=factset&amp;display_string=Audit"}</definedName>
    <definedName name="_4585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4586__FDSAUDITLINK__" hidden="1">{"fdsup://Directions/FactSet Auditing Viewer?action=AUDIT_VALUE&amp;DB=129&amp;ID1=00752J10&amp;VALUEID=02001&amp;SDATE=200703&amp;PERIODTYPE=QTR_STD&amp;SCFT=3&amp;window=popup_no_bar&amp;width=385&amp;height=120&amp;START_MAXIMIZED=FALSE&amp;creator=factset&amp;display_string=Audit"}</definedName>
    <definedName name="_4587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4588__FDSAUDITLINK__" hidden="1">{"fdsup://Directions/FactSet Auditing Viewer?action=AUDIT_VALUE&amp;DB=129&amp;ID1=00752J10&amp;VALUEID=02001&amp;SDATE=200702&amp;PERIODTYPE=QTR_STD&amp;SCFT=3&amp;window=popup_no_bar&amp;width=385&amp;height=120&amp;START_MAXIMIZED=FALSE&amp;creator=factset&amp;display_string=Audit"}</definedName>
    <definedName name="_4589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459__FDSAUDITLINK__" hidden="1">{"fdsup://Directions/FactSet Auditing Viewer?action=AUDIT_VALUE&amp;DB=129&amp;ID1=G7945M10&amp;VALUEID=02001&amp;SDATE=201004&amp;PERIODTYPE=QTR_STD&amp;SCFT=3&amp;window=popup_no_bar&amp;width=385&amp;height=120&amp;START_MAXIMIZED=FALSE&amp;creator=factset&amp;display_string=Audit"}</definedName>
    <definedName name="_4590__FDSAUDITLINK__" hidden="1">{"fdsup://Directions/FactSet Auditing Viewer?action=AUDIT_VALUE&amp;DB=129&amp;ID1=00752J10&amp;VALUEID=02001&amp;SDATE=200701&amp;PERIODTYPE=QTR_STD&amp;SCFT=3&amp;window=popup_no_bar&amp;width=385&amp;height=120&amp;START_MAXIMIZED=FALSE&amp;creator=factset&amp;display_string=Audit"}</definedName>
    <definedName name="_4591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4592__FDSAUDITLINK__" hidden="1">{"fdsup://Directions/FactSet Auditing Viewer?action=AUDIT_VALUE&amp;DB=129&amp;ID1=00752J10&amp;VALUEID=02001&amp;SDATE=200603&amp;PERIODTYPE=QTR_STD&amp;SCFT=3&amp;window=popup_no_bar&amp;width=385&amp;height=120&amp;START_MAXIMIZED=FALSE&amp;creator=factset&amp;display_string=Audit"}</definedName>
    <definedName name="_4593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4594__FDSAUDITLINK__" hidden="1">{"fdsup://Directions/FactSet Auditing Viewer?action=AUDIT_VALUE&amp;DB=129&amp;ID1=00752J10&amp;VALUEID=02001&amp;SDATE=200602&amp;PERIODTYPE=QTR_STD&amp;SCFT=3&amp;window=popup_no_bar&amp;width=385&amp;height=120&amp;START_MAXIMIZED=FALSE&amp;creator=factset&amp;display_string=Audit"}</definedName>
    <definedName name="_4595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4596__FDSAUDITLINK__" hidden="1">{"fdsup://Directions/FactSet Auditing Viewer?action=AUDIT_VALUE&amp;DB=129&amp;ID1=00752J10&amp;VALUEID=02001&amp;SDATE=200601&amp;PERIODTYPE=QTR_STD&amp;SCFT=3&amp;window=popup_no_bar&amp;width=385&amp;height=120&amp;START_MAXIMIZED=FALSE&amp;creator=factset&amp;display_string=Audit"}</definedName>
    <definedName name="_4597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4598__FDSAUDITLINK__" hidden="1">{"fdsup://Directions/FactSet Auditing Viewer?action=AUDIT_VALUE&amp;DB=129&amp;ID1=00752J10&amp;VALUEID=02001&amp;SDATE=200503&amp;PERIODTYPE=QTR_STD&amp;SCFT=3&amp;window=popup_no_bar&amp;width=385&amp;height=120&amp;START_MAXIMIZED=FALSE&amp;creator=factset&amp;display_string=Audit"}</definedName>
    <definedName name="_4599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46__FDSAUDITLINK__" hidden="1">{"fdsup://Directions/FactSet Auditing Viewer?action=AUDIT_VALUE&amp;DB=129&amp;ID1=73927610&amp;VALUEID=02001&amp;SDATE=201101&amp;PERIODTYPE=QTR_STD&amp;SCFT=3&amp;window=popup_no_bar&amp;width=385&amp;height=120&amp;START_MAXIMIZED=FALSE&amp;creator=factset&amp;display_string=Audit"}</definedName>
    <definedName name="_460__FDSAUDITLINK__" hidden="1">{"fdsup://Directions/FactSet Auditing Viewer?action=AUDIT_VALUE&amp;DB=129&amp;ID1=G7945M10&amp;VALUEID=02001&amp;SDATE=201004&amp;PERIODTYPE=QTR_STD&amp;SCFT=3&amp;window=popup_no_bar&amp;width=385&amp;height=120&amp;START_MAXIMIZED=FALSE&amp;creator=factset&amp;display_string=Audit"}</definedName>
    <definedName name="_4600__FDSAUDITLINK__" hidden="1">{"fdsup://Directions/FactSet Auditing Viewer?action=AUDIT_VALUE&amp;DB=129&amp;ID1=00752J10&amp;VALUEID=02001&amp;SDATE=200502&amp;PERIODTYPE=QTR_STD&amp;SCFT=3&amp;window=popup_no_bar&amp;width=385&amp;height=120&amp;START_MAXIMIZED=FALSE&amp;creator=factset&amp;display_string=Audit"}</definedName>
    <definedName name="_4601__FDSAUDITLINK__" hidden="1">{"fdsup://Directions/FactSet Auditing Viewer?action=AUDIT_VALUE&amp;DB=129&amp;ID1=03265410&amp;VALUEID=02001&amp;SDATE=201102&amp;PERIODTYPE=QTR_STD&amp;SCFT=3&amp;window=popup_no_bar&amp;width=385&amp;height=120&amp;START_MAXIMIZED=FALSE&amp;creator=factset&amp;display_string=Audit"}</definedName>
    <definedName name="_4602__FDSAUDITLINK__" hidden="1">{"fdsup://Directions/FactSet Auditing Viewer?action=AUDIT_VALUE&amp;DB=129&amp;ID1=03265410&amp;VALUEID=05194&amp;SDATE=201102&amp;PERIODTYPE=QTR_STD&amp;SCFT=3&amp;window=popup_no_bar&amp;width=385&amp;height=120&amp;START_MAXIMIZED=FALSE&amp;creator=factset&amp;display_string=Audit"}</definedName>
    <definedName name="_4603__FDSAUDITLINK__" hidden="1">{"fdsup://Directions/FactSet Auditing Viewer?action=AUDIT_VALUE&amp;DB=129&amp;ID1=74752510&amp;VALUEID=02001&amp;SDATE=201102&amp;PERIODTYPE=QTR_STD&amp;SCFT=3&amp;window=popup_no_bar&amp;width=385&amp;height=120&amp;START_MAXIMIZED=FALSE&amp;creator=factset&amp;display_string=Audit"}</definedName>
    <definedName name="_4604__FDSAUDITLINK__" hidden="1">{"fdsup://Directions/FactSet Auditing Viewer?action=AUDIT_VALUE&amp;DB=129&amp;ID1=67066G10&amp;VALUEID=02001&amp;SDATE=201101&amp;PERIODTYPE=QTR_STD&amp;SCFT=3&amp;window=popup_no_bar&amp;width=385&amp;height=120&amp;START_MAXIMIZED=FALSE&amp;creator=factset&amp;display_string=Audit"}</definedName>
    <definedName name="_4605__FDSAUDITLINK__" hidden="1">{"fdsup://Directions/FactSet Auditing Viewer?action=AUDIT_VALUE&amp;DB=129&amp;ID1=74752510&amp;VALUEID=05194&amp;SDATE=201102&amp;PERIODTYPE=QTR_STD&amp;SCFT=3&amp;window=popup_no_bar&amp;width=385&amp;height=120&amp;START_MAXIMIZED=FALSE&amp;creator=factset&amp;display_string=Audit"}</definedName>
    <definedName name="_4606__FDSAUDITLINK__" hidden="1">{"fdsup://Directions/FactSet Auditing Viewer?action=AUDIT_VALUE&amp;DB=129&amp;ID1=67066G10&amp;VALUEID=05194&amp;SDATE=201101&amp;PERIODTYPE=QTR_STD&amp;SCFT=3&amp;window=popup_no_bar&amp;width=385&amp;height=120&amp;START_MAXIMIZED=FALSE&amp;creator=factset&amp;display_string=Audit"}</definedName>
    <definedName name="_4607__FDSAUDITLINK__" hidden="1">{"fdsup://Directions/FactSet Auditing Viewer?action=AUDIT_VALUE&amp;DB=129&amp;ID1=637248&amp;VALUEID=02001&amp;SDATE=201101&amp;PERIODTYPE=QTR_STD&amp;SCFT=3&amp;window=popup_no_bar&amp;width=385&amp;height=120&amp;START_MAXIMIZED=FALSE&amp;creator=factset&amp;display_string=Audit"}</definedName>
    <definedName name="_4608__FDSAUDITLINK__" hidden="1">{"fdsup://Directions/FactSet Auditing Viewer?action=AUDIT_VALUE&amp;DB=129&amp;ID1=45814010&amp;VALUEID=02001&amp;SDATE=201101&amp;PERIODTYPE=QTR_STD&amp;SCFT=3&amp;window=popup_no_bar&amp;width=385&amp;height=120&amp;START_MAXIMIZED=FALSE&amp;creator=factset&amp;display_string=Audit"}</definedName>
    <definedName name="_4609__FDSAUDITLINK__" hidden="1">{"fdsup://Directions/FactSet Auditing Viewer?action=AUDIT_VALUE&amp;DB=129&amp;ID1=45814010&amp;VALUEID=05194&amp;SDATE=201101&amp;PERIODTYPE=QTR_STD&amp;SCFT=3&amp;window=popup_no_bar&amp;width=385&amp;height=120&amp;START_MAXIMIZED=FALSE&amp;creator=factset&amp;display_string=Audit"}</definedName>
    <definedName name="_461__FDSAUDITLINK__" hidden="1">{"fdsup://Directions/FactSet Auditing Viewer?action=AUDIT_VALUE&amp;DB=129&amp;ID1=78477410&amp;VALUEID=02001&amp;SDATE=201002&amp;PERIODTYPE=QTR_STD&amp;SCFT=3&amp;window=popup_no_bar&amp;width=385&amp;height=120&amp;START_MAXIMIZED=FALSE&amp;creator=factset&amp;display_string=Audit"}</definedName>
    <definedName name="_462__FDSAUDITLINK__" hidden="1">{"fdsup://Directions/FactSet Auditing Viewer?action=AUDIT_VALUE&amp;DB=129&amp;ID1=78477410&amp;VALUEID=02001&amp;SDATE=201002&amp;PERIODTYPE=QTR_STD&amp;SCFT=3&amp;window=popup_no_bar&amp;width=385&amp;height=120&amp;START_MAXIMIZED=FALSE&amp;creator=factset&amp;display_string=Audit"}</definedName>
    <definedName name="_463__FDSAUDITLINK__" hidden="1">{"fdsup://Directions/FactSet Auditing Viewer?action=AUDIT_VALUE&amp;DB=129&amp;ID1=87160710&amp;VALUEID=02001&amp;SDATE=201003&amp;PERIODTYPE=QTR_STD&amp;SCFT=3&amp;window=popup_no_bar&amp;width=385&amp;height=120&amp;START_MAXIMIZED=FALSE&amp;creator=factset&amp;display_string=Audit"}</definedName>
    <definedName name="_464__FDSAUDITLINK__" hidden="1">{"fdsup://Directions/FactSet Auditing Viewer?action=AUDIT_VALUE&amp;DB=129&amp;ID1=87160710&amp;VALUEID=02001&amp;SDATE=201003&amp;PERIODTYPE=QTR_STD&amp;SCFT=3&amp;window=popup_no_bar&amp;width=385&amp;height=120&amp;START_MAXIMIZED=FALSE&amp;creator=factset&amp;display_string=Audit"}</definedName>
    <definedName name="_465__FDSAUDITLINK__" hidden="1">{"fdsup://Directions/FactSet Auditing Viewer?action=AUDIT_VALUE&amp;DB=129&amp;ID1=80004C10&amp;VALUEID=02001&amp;SDATE=201002&amp;PERIODTYPE=QTR_STD&amp;SCFT=3&amp;window=popup_no_bar&amp;width=385&amp;height=120&amp;START_MAXIMIZED=FALSE&amp;creator=factset&amp;display_string=Audit"}</definedName>
    <definedName name="_466__FDSAUDITLINK__" hidden="1">{"fdsup://Directions/FactSet Auditing Viewer?action=AUDIT_VALUE&amp;DB=129&amp;ID1=80004C10&amp;VALUEID=02001&amp;SDATE=201002&amp;PERIODTYPE=QTR_STD&amp;SCFT=3&amp;window=popup_no_bar&amp;width=385&amp;height=120&amp;START_MAXIMIZED=FALSE&amp;creator=factset&amp;display_string=Audit"}</definedName>
    <definedName name="_467__FDSAUDITLINK__" hidden="1">{"fdsup://Directions/FactSet Auditing Viewer?action=AUDIT_VALUE&amp;DB=129&amp;ID1=81685010&amp;VALUEID=02001&amp;SDATE=201002&amp;PERIODTYPE=QTR_STD&amp;SCFT=3&amp;window=popup_no_bar&amp;width=385&amp;height=120&amp;START_MAXIMIZED=FALSE&amp;creator=factset&amp;display_string=Audit"}</definedName>
    <definedName name="_468__FDSAUDITLINK__" hidden="1">{"fdsup://Directions/FactSet Auditing Viewer?action=AUDIT_VALUE&amp;DB=129&amp;ID1=81685010&amp;VALUEID=02001&amp;SDATE=201002&amp;PERIODTYPE=QTR_STD&amp;SCFT=3&amp;window=popup_no_bar&amp;width=385&amp;height=120&amp;START_MAXIMIZED=FALSE&amp;creator=factset&amp;display_string=Audit"}</definedName>
    <definedName name="_469__FDSAUDITLINK__" hidden="1">{"fdsup://Directions/FactSet Auditing Viewer?action=AUDIT_VALUE&amp;DB=129&amp;ID1=82691910&amp;VALUEID=02001&amp;SDATE=201002&amp;PERIODTYPE=QTR_STD&amp;SCFT=3&amp;window=popup_no_bar&amp;width=385&amp;height=120&amp;START_MAXIMIZED=FALSE&amp;creator=factset&amp;display_string=Audit"}</definedName>
    <definedName name="_47__FDSAUDITLINK__" hidden="1">{"fdsup://Directions/FactSet Auditing Viewer?action=AUDIT_VALUE&amp;DB=129&amp;ID1=69344F10&amp;VALUEID=02001&amp;SDATE=201101&amp;PERIODTYPE=QTR_STD&amp;SCFT=3&amp;window=popup_no_bar&amp;width=385&amp;height=120&amp;START_MAXIMIZED=FALSE&amp;creator=factset&amp;display_string=Audit"}</definedName>
    <definedName name="_470__FDSAUDITLINK__" hidden="1">{"fdsup://Directions/FactSet Auditing Viewer?action=AUDIT_VALUE&amp;DB=129&amp;ID1=82691910&amp;VALUEID=02001&amp;SDATE=201002&amp;PERIODTYPE=QTR_STD&amp;SCFT=3&amp;window=popup_no_bar&amp;width=385&amp;height=120&amp;START_MAXIMIZED=FALSE&amp;creator=factset&amp;display_string=Audit"}</definedName>
    <definedName name="_471__FDSAUDITLINK__" hidden="1">{"fdsup://Directions/FactSet Auditing Viewer?action=AUDIT_VALUE&amp;DB=129&amp;ID1=82705T10&amp;VALUEID=02001&amp;SDATE=201002&amp;PERIODTYPE=QTR_STD&amp;SCFT=3&amp;window=popup_no_bar&amp;width=385&amp;height=120&amp;START_MAXIMIZED=FALSE&amp;creator=factset&amp;display_string=Audit"}</definedName>
    <definedName name="_472__FDSAUDITLINK__" hidden="1">{"fdsup://Directions/FactSet Auditing Viewer?action=AUDIT_VALUE&amp;DB=129&amp;ID1=82705T10&amp;VALUEID=02001&amp;SDATE=201002&amp;PERIODTYPE=QTR_STD&amp;SCFT=3&amp;window=popup_no_bar&amp;width=385&amp;height=120&amp;START_MAXIMIZED=FALSE&amp;creator=factset&amp;display_string=Audit"}</definedName>
    <definedName name="_473__FDSAUDITLINK__" hidden="1">{"fdsup://Directions/FactSet Auditing Viewer?action=AUDIT_VALUE&amp;DB=129&amp;ID1=75091710&amp;VALUEID=02001&amp;SDATE=201002&amp;PERIODTYPE=QTR_STD&amp;SCFT=3&amp;window=popup_no_bar&amp;width=385&amp;height=120&amp;START_MAXIMIZED=FALSE&amp;creator=factset&amp;display_string=Audit"}</definedName>
    <definedName name="_474__FDSAUDITLINK__" hidden="1">{"fdsup://Directions/FactSet Auditing Viewer?action=AUDIT_VALUE&amp;DB=129&amp;ID1=75091710&amp;VALUEID=02001&amp;SDATE=201002&amp;PERIODTYPE=QTR_STD&amp;SCFT=3&amp;window=popup_no_bar&amp;width=385&amp;height=120&amp;START_MAXIMIZED=FALSE&amp;creator=factset&amp;display_string=Audit"}</definedName>
    <definedName name="_475__FDSAUDITLINK__" hidden="1">{"fdsup://Directions/FactSet Auditing Viewer?action=AUDIT_VALUE&amp;DB=129&amp;ID1=74994110&amp;VALUEID=02001&amp;SDATE=201001&amp;PERIODTYPE=QTR_STD&amp;SCFT=3&amp;window=popup_no_bar&amp;width=385&amp;height=120&amp;START_MAXIMIZED=FALSE&amp;creator=factset&amp;display_string=Audit"}</definedName>
    <definedName name="_476__FDSAUDITLINK__" hidden="1">{"fdsup://Directions/FactSet Auditing Viewer?action=AUDIT_VALUE&amp;DB=129&amp;ID1=74994110&amp;VALUEID=02001&amp;SDATE=201001&amp;PERIODTYPE=QTR_STD&amp;SCFT=3&amp;window=popup_no_bar&amp;width=385&amp;height=120&amp;START_MAXIMIZED=FALSE&amp;creator=factset&amp;display_string=Audit"}</definedName>
    <definedName name="_477__FDSAUDITLINK__" hidden="1">{"fdsup://Directions/FactSet Auditing Viewer?action=AUDIT_VALUE&amp;DB=129&amp;ID1=74727710&amp;VALUEID=02001&amp;SDATE=201001&amp;PERIODTYPE=QTR_STD&amp;SCFT=3&amp;window=popup_no_bar&amp;width=385&amp;height=120&amp;START_MAXIMIZED=FALSE&amp;creator=factset&amp;display_string=Audit"}</definedName>
    <definedName name="_478__FDSAUDITLINK__" hidden="1">{"fdsup://Directions/FactSet Auditing Viewer?action=AUDIT_VALUE&amp;DB=129&amp;ID1=74727710&amp;VALUEID=02001&amp;SDATE=201001&amp;PERIODTYPE=QTR_STD&amp;SCFT=3&amp;window=popup_no_bar&amp;width=385&amp;height=120&amp;START_MAXIMIZED=FALSE&amp;creator=factset&amp;display_string=Audit"}</definedName>
    <definedName name="_479__FDSAUDITLINK__" hidden="1">{"fdsup://Directions/FactSet Auditing Viewer?action=AUDIT_VALUE&amp;DB=129&amp;ID1=74752510&amp;VALUEID=02001&amp;SDATE=201003&amp;PERIODTYPE=QTR_STD&amp;SCFT=3&amp;window=popup_no_bar&amp;width=385&amp;height=120&amp;START_MAXIMIZED=FALSE&amp;creator=factset&amp;display_string=Audit"}</definedName>
    <definedName name="_48__FDSAUDITLINK__" hidden="1">{"fdsup://Directions/FactSet Auditing Viewer?action=AUDIT_VALUE&amp;DB=129&amp;ID1=69344F10&amp;VALUEID=02001&amp;SDATE=201101&amp;PERIODTYPE=QTR_STD&amp;SCFT=3&amp;window=popup_no_bar&amp;width=385&amp;height=120&amp;START_MAXIMIZED=FALSE&amp;creator=factset&amp;display_string=Audit"}</definedName>
    <definedName name="_480__FDSAUDITLINK__" hidden="1">{"fdsup://Directions/FactSet Auditing Viewer?action=AUDIT_VALUE&amp;DB=129&amp;ID1=74752510&amp;VALUEID=02001&amp;SDATE=201003&amp;PERIODTYPE=QTR_STD&amp;SCFT=3&amp;window=popup_no_bar&amp;width=385&amp;height=120&amp;START_MAXIMIZED=FALSE&amp;creator=factset&amp;display_string=Audit"}</definedName>
    <definedName name="_481__FDSAUDITLINK__" hidden="1">{"fdsup://Directions/FactSet Auditing Viewer?action=AUDIT_VALUE&amp;DB=129&amp;ID1=72581M30&amp;VALUEID=02001&amp;SDATE=201002&amp;PERIODTYPE=QTR_STD&amp;SCFT=3&amp;window=popup_no_bar&amp;width=385&amp;height=120&amp;START_MAXIMIZED=FALSE&amp;creator=factset&amp;display_string=Audit"}</definedName>
    <definedName name="_482__FDSAUDITLINK__" hidden="1">{"fdsup://Directions/FactSet Auditing Viewer?action=AUDIT_VALUE&amp;DB=129&amp;ID1=72581M30&amp;VALUEID=02001&amp;SDATE=201002&amp;PERIODTYPE=QTR_STD&amp;SCFT=3&amp;window=popup_no_bar&amp;width=385&amp;height=120&amp;START_MAXIMIZED=FALSE&amp;creator=factset&amp;display_string=Audit"}</definedName>
    <definedName name="_483__FDSAUDITLINK__" hidden="1">{"fdsup://Directions/FactSet Auditing Viewer?action=AUDIT_VALUE&amp;DB=129&amp;ID1=73927610&amp;VALUEID=02001&amp;SDATE=201002&amp;PERIODTYPE=QTR_STD&amp;SCFT=3&amp;window=popup_no_bar&amp;width=385&amp;height=120&amp;START_MAXIMIZED=FALSE&amp;creator=factset&amp;display_string=Audit"}</definedName>
    <definedName name="_484__FDSAUDITLINK__" hidden="1">{"fdsup://Directions/FactSet Auditing Viewer?action=AUDIT_VALUE&amp;DB=129&amp;ID1=73927610&amp;VALUEID=02001&amp;SDATE=201002&amp;PERIODTYPE=QTR_STD&amp;SCFT=3&amp;window=popup_no_bar&amp;width=385&amp;height=120&amp;START_MAXIMIZED=FALSE&amp;creator=factset&amp;display_string=Audit"}</definedName>
    <definedName name="_485__FDSAUDITLINK__" hidden="1">{"fdsup://Directions/FactSet Auditing Viewer?action=AUDIT_VALUE&amp;DB=129&amp;ID1=69344F10&amp;VALUEID=02001&amp;SDATE=201002&amp;PERIODTYPE=QTR_STD&amp;SCFT=3&amp;window=popup_no_bar&amp;width=385&amp;height=120&amp;START_MAXIMIZED=FALSE&amp;creator=factset&amp;display_string=Audit"}</definedName>
    <definedName name="_486__FDSAUDITLINK__" hidden="1">{"fdsup://Directions/FactSet Auditing Viewer?action=AUDIT_VALUE&amp;DB=129&amp;ID1=69344F10&amp;VALUEID=02001&amp;SDATE=201002&amp;PERIODTYPE=QTR_STD&amp;SCFT=3&amp;window=popup_no_bar&amp;width=385&amp;height=120&amp;START_MAXIMIZED=FALSE&amp;creator=factset&amp;display_string=Audit"}</definedName>
    <definedName name="_487__FDSAUDITLINK__" hidden="1">{"fdsup://Directions/FactSet Auditing Viewer?action=AUDIT_VALUE&amp;DB=129&amp;ID1=69341710&amp;VALUEID=02001&amp;SDATE=201002&amp;PERIODTYPE=QTR_STD&amp;SCFT=3&amp;window=popup_no_bar&amp;width=385&amp;height=120&amp;START_MAXIMIZED=FALSE&amp;creator=factset&amp;display_string=Audit"}</definedName>
    <definedName name="_488__FDSAUDITLINK__" hidden="1">{"fdsup://Directions/FactSet Auditing Viewer?action=AUDIT_VALUE&amp;DB=129&amp;ID1=69341710&amp;VALUEID=02001&amp;SDATE=201002&amp;PERIODTYPE=QTR_STD&amp;SCFT=3&amp;window=popup_no_bar&amp;width=385&amp;height=120&amp;START_MAXIMIZED=FALSE&amp;creator=factset&amp;display_string=Audit"}</definedName>
    <definedName name="_489__FDSAUDITLINK__" hidden="1">{"fdsup://Directions/FactSet Auditing Viewer?action=AUDIT_VALUE&amp;DB=129&amp;ID1=68218910&amp;VALUEID=02001&amp;SDATE=201002&amp;PERIODTYPE=QTR_STD&amp;SCFT=3&amp;window=popup_no_bar&amp;width=385&amp;height=120&amp;START_MAXIMIZED=FALSE&amp;creator=factset&amp;display_string=Audit"}</definedName>
    <definedName name="_49__FDSAUDITLINK__" hidden="1">{"fdsup://Directions/FactSet Auditing Viewer?action=AUDIT_VALUE&amp;DB=129&amp;ID1=69341710&amp;VALUEID=02001&amp;SDATE=201101&amp;PERIODTYPE=QTR_STD&amp;SCFT=3&amp;window=popup_no_bar&amp;width=385&amp;height=120&amp;START_MAXIMIZED=FALSE&amp;creator=factset&amp;display_string=Audit"}</definedName>
    <definedName name="_490__FDSAUDITLINK__" hidden="1">{"fdsup://Directions/FactSet Auditing Viewer?action=AUDIT_VALUE&amp;DB=129&amp;ID1=68218910&amp;VALUEID=02001&amp;SDATE=201002&amp;PERIODTYPE=QTR_STD&amp;SCFT=3&amp;window=popup_no_bar&amp;width=385&amp;height=120&amp;START_MAXIMIZED=FALSE&amp;creator=factset&amp;display_string=Audit"}</definedName>
    <definedName name="_491__FDSAUDITLINK__" hidden="1">{"fdsup://Directions/FactSet Auditing Viewer?action=AUDIT_VALUE&amp;DB=129&amp;ID1=B505PN&amp;VALUEID=02001&amp;SDATE=201002&amp;PERIODTYPE=QTR_STD&amp;SCFT=3&amp;window=popup_no_bar&amp;width=385&amp;height=120&amp;START_MAXIMIZED=FALSE&amp;creator=factset&amp;display_string=Audit"}</definedName>
    <definedName name="_492__FDSAUDITLINK__" hidden="1">{"fdsup://Directions/FactSet Auditing Viewer?action=AUDIT_VALUE&amp;DB=129&amp;ID1=B505PN&amp;VALUEID=02001&amp;SDATE=201002&amp;PERIODTYPE=QTR_STD&amp;SCFT=3&amp;window=popup_no_bar&amp;width=385&amp;height=120&amp;START_MAXIMIZED=FALSE&amp;creator=factset&amp;display_string=Audit"}</definedName>
    <definedName name="_493__FDSAUDITLINK__" hidden="1">{"fdsup://Directions/FactSet Auditing Viewer?action=AUDIT_VALUE&amp;DB=129&amp;ID1=67000810&amp;VALUEID=02001&amp;SDATE=201002&amp;PERIODTYPE=QTR_STD&amp;SCFT=3&amp;window=popup_no_bar&amp;width=385&amp;height=120&amp;START_MAXIMIZED=FALSE&amp;creator=factset&amp;display_string=Audit"}</definedName>
    <definedName name="_494__FDSAUDITLINK__" hidden="1">{"fdsup://Directions/FactSet Auditing Viewer?action=AUDIT_VALUE&amp;DB=129&amp;ID1=67000810&amp;VALUEID=02001&amp;SDATE=201002&amp;PERIODTYPE=QTR_STD&amp;SCFT=3&amp;window=popup_no_bar&amp;width=385&amp;height=120&amp;START_MAXIMIZED=FALSE&amp;creator=factset&amp;display_string=Audit"}</definedName>
    <definedName name="_495__FDSAUDITLINK__" hidden="1">{"fdsup://Directions/FactSet Auditing Viewer?action=AUDIT_VALUE&amp;DB=129&amp;ID1=67066G10&amp;VALUEID=02001&amp;SDATE=201002&amp;PERIODTYPE=QTR_STD&amp;SCFT=3&amp;window=popup_no_bar&amp;width=385&amp;height=120&amp;START_MAXIMIZED=FALSE&amp;creator=factset&amp;display_string=Audit"}</definedName>
    <definedName name="_496__FDSAUDITLINK__" hidden="1">{"fdsup://Directions/FactSet Auditing Viewer?action=AUDIT_VALUE&amp;DB=129&amp;ID1=67066G10&amp;VALUEID=02001&amp;SDATE=201002&amp;PERIODTYPE=QTR_STD&amp;SCFT=3&amp;window=popup_no_bar&amp;width=385&amp;height=120&amp;START_MAXIMIZED=FALSE&amp;creator=factset&amp;display_string=Audit"}</definedName>
    <definedName name="_497__FDSAUDITLINK__" hidden="1">{"fdsup://Directions/FactSet Auditing Viewer?action=AUDIT_VALUE&amp;DB=129&amp;ID1=64118B10&amp;VALUEID=02001&amp;SDATE=201002&amp;PERIODTYPE=QTR_STD&amp;SCFT=3&amp;window=popup_no_bar&amp;width=385&amp;height=120&amp;START_MAXIMIZED=FALSE&amp;creator=factset&amp;display_string=Audit"}</definedName>
    <definedName name="_498__FDSAUDITLINK__" hidden="1">{"fdsup://Directions/FactSet Auditing Viewer?action=AUDIT_VALUE&amp;DB=129&amp;ID1=64118B10&amp;VALUEID=02001&amp;SDATE=201002&amp;PERIODTYPE=QTR_STD&amp;SCFT=3&amp;window=popup_no_bar&amp;width=385&amp;height=120&amp;START_MAXIMIZED=FALSE&amp;creator=factset&amp;display_string=Audit"}</definedName>
    <definedName name="_499__FDSAUDITLINK__" hidden="1">{"fdsup://Directions/FactSet Auditing Viewer?action=AUDIT_VALUE&amp;DB=129&amp;ID1=57772K10&amp;VALUEID=02001&amp;SDATE=201004&amp;PERIODTYPE=QTR_STD&amp;SCFT=3&amp;window=popup_no_bar&amp;width=385&amp;height=120&amp;START_MAXIMIZED=FALSE&amp;creator=factset&amp;display_string=Audit"}</definedName>
    <definedName name="_5__FDSAUDITLINK__" hidden="1">{"fdsup://Directions/FactSet Auditing Viewer?action=AUDIT_VALUE&amp;DB=129&amp;ID1=637248&amp;VALUEID=02001&amp;SDATE=201102&amp;PERIODTYPE=QTR_STD&amp;SCFT=3&amp;window=popup_no_bar&amp;width=385&amp;height=120&amp;START_MAXIMIZED=FALSE&amp;creator=factset&amp;display_string=Audit"}</definedName>
    <definedName name="_50__FDSAUDITLINK__" hidden="1">{"fdsup://Directions/FactSet Auditing Viewer?action=AUDIT_VALUE&amp;DB=129&amp;ID1=69341710&amp;VALUEID=02001&amp;SDATE=201101&amp;PERIODTYPE=QTR_STD&amp;SCFT=3&amp;window=popup_no_bar&amp;width=385&amp;height=120&amp;START_MAXIMIZED=FALSE&amp;creator=factset&amp;display_string=Audit"}</definedName>
    <definedName name="_500__FDSAUDITLINK__" hidden="1">{"fdsup://Directions/FactSet Auditing Viewer?action=AUDIT_VALUE&amp;DB=129&amp;ID1=57772K10&amp;VALUEID=02001&amp;SDATE=201004&amp;PERIODTYPE=QTR_STD&amp;SCFT=3&amp;window=popup_no_bar&amp;width=385&amp;height=120&amp;START_MAXIMIZED=FALSE&amp;creator=factset&amp;display_string=Audit"}</definedName>
    <definedName name="_501__FDSAUDITLINK__" hidden="1">{"fdsup://Directions/FactSet Auditing Viewer?action=AUDIT_VALUE&amp;DB=129&amp;ID1=59511210&amp;VALUEID=02001&amp;SDATE=201003&amp;PERIODTYPE=QTR_STD&amp;SCFT=3&amp;window=popup_no_bar&amp;width=385&amp;height=120&amp;START_MAXIMIZED=FALSE&amp;creator=factset&amp;display_string=Audit"}</definedName>
    <definedName name="_502__FDSAUDITLINK__" hidden="1">{"fdsup://Directions/FactSet Auditing Viewer?action=AUDIT_VALUE&amp;DB=129&amp;ID1=59511210&amp;VALUEID=02001&amp;SDATE=201003&amp;PERIODTYPE=QTR_STD&amp;SCFT=3&amp;window=popup_no_bar&amp;width=385&amp;height=120&amp;START_MAXIMIZED=FALSE&amp;creator=factset&amp;display_string=Audit"}</definedName>
    <definedName name="_503__FDSAUDITLINK__" hidden="1">{"fdsup://Directions/FactSet Auditing Viewer?action=AUDIT_VALUE&amp;DB=129&amp;ID1=59513710&amp;VALUEID=02001&amp;SDATE=201003&amp;PERIODTYPE=QTR_STD&amp;SCFT=3&amp;window=popup_no_bar&amp;width=385&amp;height=120&amp;START_MAXIMIZED=FALSE&amp;creator=factset&amp;display_string=Audit"}</definedName>
    <definedName name="_504__FDSAUDITLINK__" hidden="1">{"fdsup://Directions/FactSet Auditing Viewer?action=AUDIT_VALUE&amp;DB=129&amp;ID1=59513710&amp;VALUEID=02001&amp;SDATE=201003&amp;PERIODTYPE=QTR_STD&amp;SCFT=3&amp;window=popup_no_bar&amp;width=385&amp;height=120&amp;START_MAXIMIZED=FALSE&amp;creator=factset&amp;display_string=Audit"}</definedName>
    <definedName name="_505__FDSAUDITLINK__" hidden="1">{"fdsup://Directions/FactSet Auditing Viewer?action=AUDIT_VALUE&amp;DB=129&amp;ID1=G5876H10&amp;VALUEID=02001&amp;SDATE=201002&amp;PERIODTYPE=QTR_STD&amp;SCFT=3&amp;window=popup_no_bar&amp;width=385&amp;height=120&amp;START_MAXIMIZED=FALSE&amp;creator=factset&amp;display_string=Audit"}</definedName>
    <definedName name="_506__FDSAUDITLINK__" hidden="1">{"fdsup://Directions/FactSet Auditing Viewer?action=AUDIT_VALUE&amp;DB=129&amp;ID1=G5876H10&amp;VALUEID=02001&amp;SDATE=201002&amp;PERIODTYPE=QTR_STD&amp;SCFT=3&amp;window=popup_no_bar&amp;width=385&amp;height=120&amp;START_MAXIMIZED=FALSE&amp;creator=factset&amp;display_string=Audit"}</definedName>
    <definedName name="_507__FDSAUDITLINK__" hidden="1">{"fdsup://Directions/FactSet Auditing Viewer?action=AUDIT_VALUE&amp;DB=129&amp;ID1=62007630&amp;VALUEID=02001&amp;SDATE=201002&amp;PERIODTYPE=QTR_STD&amp;SCFT=3&amp;window=popup_no_bar&amp;width=385&amp;height=120&amp;START_MAXIMIZED=FALSE&amp;creator=factset&amp;display_string=Audit"}</definedName>
    <definedName name="_508__FDSAUDITLINK__" hidden="1">{"fdsup://Directions/FactSet Auditing Viewer?action=AUDIT_VALUE&amp;DB=129&amp;ID1=62007630&amp;VALUEID=02001&amp;SDATE=201002&amp;PERIODTYPE=QTR_STD&amp;SCFT=3&amp;window=popup_no_bar&amp;width=385&amp;height=120&amp;START_MAXIMIZED=FALSE&amp;creator=factset&amp;display_string=Audit"}</definedName>
    <definedName name="_509__FDSAUDITLINK__" hidden="1">{"fdsup://Directions/FactSet Auditing Viewer?action=AUDIT_VALUE&amp;DB=129&amp;ID1=60456710&amp;VALUEID=02001&amp;SDATE=201004&amp;PERIODTYPE=QTR_STD&amp;SCFT=3&amp;window=popup_no_bar&amp;width=385&amp;height=120&amp;START_MAXIMIZED=FALSE&amp;creator=factset&amp;display_string=Audit"}</definedName>
    <definedName name="_51__FDSAUDITLINK__" hidden="1">{"fdsup://Directions/FactSet Auditing Viewer?action=AUDIT_VALUE&amp;DB=129&amp;ID1=68218910&amp;VALUEID=02001&amp;SDATE=201101&amp;PERIODTYPE=QTR_STD&amp;SCFT=3&amp;window=popup_no_bar&amp;width=385&amp;height=120&amp;START_MAXIMIZED=FALSE&amp;creator=factset&amp;display_string=Audit"}</definedName>
    <definedName name="_510__FDSAUDITLINK__" hidden="1">{"fdsup://Directions/FactSet Auditing Viewer?action=AUDIT_VALUE&amp;DB=129&amp;ID1=60456710&amp;VALUEID=02001&amp;SDATE=201004&amp;PERIODTYPE=QTR_STD&amp;SCFT=3&amp;window=popup_no_bar&amp;width=385&amp;height=120&amp;START_MAXIMIZED=FALSE&amp;creator=factset&amp;display_string=Audit"}</definedName>
    <definedName name="_511__FDSAUDITLINK__" hidden="1">{"fdsup://Directions/FactSet Auditing Viewer?action=AUDIT_VALUE&amp;DB=129&amp;ID1=59479310&amp;VALUEID=02001&amp;SDATE=201002&amp;PERIODTYPE=QTR_STD&amp;SCFT=3&amp;window=popup_no_bar&amp;width=385&amp;height=120&amp;START_MAXIMIZED=FALSE&amp;creator=factset&amp;display_string=Audit"}</definedName>
    <definedName name="_512__FDSAUDITLINK__" hidden="1">{"fdsup://Directions/FactSet Auditing Viewer?action=AUDIT_VALUE&amp;DB=129&amp;ID1=59479310&amp;VALUEID=02001&amp;SDATE=201002&amp;PERIODTYPE=QTR_STD&amp;SCFT=3&amp;window=popup_no_bar&amp;width=385&amp;height=120&amp;START_MAXIMIZED=FALSE&amp;creator=factset&amp;display_string=Audit"}</definedName>
    <definedName name="_513__FDSAUDITLINK__" hidden="1">{"fdsup://Directions/FactSet Auditing Viewer?action=AUDIT_VALUE&amp;DB=129&amp;ID1=59501710&amp;VALUEID=02001&amp;SDATE=201001&amp;PERIODTYPE=QTR_STD&amp;SCFT=3&amp;window=popup_no_bar&amp;width=385&amp;height=120&amp;START_MAXIMIZED=FALSE&amp;creator=factset&amp;display_string=Audit"}</definedName>
    <definedName name="_514__FDSAUDITLINK__" hidden="1">{"fdsup://Directions/FactSet Auditing Viewer?action=AUDIT_VALUE&amp;DB=129&amp;ID1=59501710&amp;VALUEID=02001&amp;SDATE=201001&amp;PERIODTYPE=QTR_STD&amp;SCFT=3&amp;window=popup_no_bar&amp;width=385&amp;height=120&amp;START_MAXIMIZED=FALSE&amp;creator=factset&amp;display_string=Audit"}</definedName>
    <definedName name="_515__FDSAUDITLINK__" hidden="1">{"fdsup://Directions/FactSet Auditing Viewer?action=AUDIT_VALUE&amp;DB=129&amp;ID1=50216110&amp;VALUEID=02001&amp;SDATE=201002&amp;PERIODTYPE=QTR_STD&amp;SCFT=3&amp;window=popup_no_bar&amp;width=385&amp;height=120&amp;START_MAXIMIZED=FALSE&amp;creator=factset&amp;display_string=Audit"}</definedName>
    <definedName name="_516__FDSAUDITLINK__" hidden="1">{"fdsup://Directions/FactSet Auditing Viewer?action=AUDIT_VALUE&amp;DB=129&amp;ID1=50216110&amp;VALUEID=02001&amp;SDATE=201002&amp;PERIODTYPE=QTR_STD&amp;SCFT=3&amp;window=popup_no_bar&amp;width=385&amp;height=120&amp;START_MAXIMIZED=FALSE&amp;creator=factset&amp;display_string=Audit"}</definedName>
    <definedName name="_517__FDSAUDITLINK__" hidden="1">{"fdsup://Directions/FactSet Auditing Viewer?action=AUDIT_VALUE&amp;DB=129&amp;ID1=51841510&amp;VALUEID=02001&amp;SDATE=201002&amp;PERIODTYPE=QTR_STD&amp;SCFT=3&amp;window=popup_no_bar&amp;width=385&amp;height=120&amp;START_MAXIMIZED=FALSE&amp;creator=factset&amp;display_string=Audit"}</definedName>
    <definedName name="_518__FDSAUDITLINK__" hidden="1">{"fdsup://Directions/FactSet Auditing Viewer?action=AUDIT_VALUE&amp;DB=129&amp;ID1=51841510&amp;VALUEID=02001&amp;SDATE=201002&amp;PERIODTYPE=QTR_STD&amp;SCFT=3&amp;window=popup_no_bar&amp;width=385&amp;height=120&amp;START_MAXIMIZED=FALSE&amp;creator=factset&amp;display_string=Audit"}</definedName>
    <definedName name="_519__FDSAUDITLINK__" hidden="1">{"fdsup://Directions/FactSet Auditing Viewer?action=AUDIT_VALUE&amp;DB=129&amp;ID1=51280710&amp;VALUEID=02001&amp;SDATE=201004&amp;PERIODTYPE=QTR_STD&amp;SCFT=3&amp;window=popup_no_bar&amp;width=385&amp;height=120&amp;START_MAXIMIZED=FALSE&amp;creator=factset&amp;display_string=Audit"}</definedName>
    <definedName name="_52__FDSAUDITLINK__" hidden="1">{"fdsup://Directions/FactSet Auditing Viewer?action=AUDIT_VALUE&amp;DB=129&amp;ID1=68218910&amp;VALUEID=02001&amp;SDATE=201101&amp;PERIODTYPE=QTR_STD&amp;SCFT=3&amp;window=popup_no_bar&amp;width=385&amp;height=120&amp;START_MAXIMIZED=FALSE&amp;creator=factset&amp;display_string=Audit"}</definedName>
    <definedName name="_520__FDSAUDITLINK__" hidden="1">{"fdsup://Directions/FactSet Auditing Viewer?action=AUDIT_VALUE&amp;DB=129&amp;ID1=51280710&amp;VALUEID=02001&amp;SDATE=201004&amp;PERIODTYPE=QTR_STD&amp;SCFT=3&amp;window=popup_no_bar&amp;width=385&amp;height=120&amp;START_MAXIMIZED=FALSE&amp;creator=factset&amp;display_string=Audit"}</definedName>
    <definedName name="_521__FDSAUDITLINK__" hidden="1">{"fdsup://Directions/FactSet Auditing Viewer?action=AUDIT_VALUE&amp;DB=129&amp;ID1=53567810&amp;VALUEID=02001&amp;SDATE=201004&amp;PERIODTYPE=QTR_STD&amp;SCFT=3&amp;window=popup_no_bar&amp;width=385&amp;height=120&amp;START_MAXIMIZED=FALSE&amp;creator=factset&amp;display_string=Audit"}</definedName>
    <definedName name="_522__FDSAUDITLINK__" hidden="1">{"fdsup://Directions/FactSet Auditing Viewer?action=AUDIT_VALUE&amp;DB=129&amp;ID1=53567810&amp;VALUEID=02001&amp;SDATE=201004&amp;PERIODTYPE=QTR_STD&amp;SCFT=3&amp;window=popup_no_bar&amp;width=385&amp;height=120&amp;START_MAXIMIZED=FALSE&amp;creator=factset&amp;display_string=Audit"}</definedName>
    <definedName name="_523__FDSAUDITLINK__" hidden="1">{"fdsup://Directions/FactSet Auditing Viewer?action=AUDIT_VALUE&amp;DB=129&amp;ID1=48248010&amp;VALUEID=02001&amp;SDATE=201004&amp;PERIODTYPE=QTR_STD&amp;SCFT=3&amp;window=popup_no_bar&amp;width=385&amp;height=120&amp;START_MAXIMIZED=FALSE&amp;creator=factset&amp;display_string=Audit"}</definedName>
    <definedName name="_524__FDSAUDITLINK__" hidden="1">{"fdsup://Directions/FactSet Auditing Viewer?action=AUDIT_VALUE&amp;DB=129&amp;ID1=48248010&amp;VALUEID=02001&amp;SDATE=201004&amp;PERIODTYPE=QTR_STD&amp;SCFT=3&amp;window=popup_no_bar&amp;width=385&amp;height=120&amp;START_MAXIMIZED=FALSE&amp;creator=factset&amp;display_string=Audit"}</definedName>
    <definedName name="_525__FDSAUDITLINK__" hidden="1">{"fdsup://Directions/FactSet Auditing Viewer?action=AUDIT_VALUE&amp;DB=129&amp;ID1=48836020&amp;VALUEID=02001&amp;SDATE=201001&amp;PERIODTYPE=QTR_STD&amp;SCFT=3&amp;window=popup_no_bar&amp;width=385&amp;height=120&amp;START_MAXIMIZED=FALSE&amp;creator=factset&amp;display_string=Audit"}</definedName>
    <definedName name="_526__FDSAUDITLINK__" hidden="1">{"fdsup://Directions/FactSet Auditing Viewer?action=AUDIT_VALUE&amp;DB=129&amp;ID1=48836020&amp;VALUEID=02001&amp;SDATE=201001&amp;PERIODTYPE=QTR_STD&amp;SCFT=3&amp;window=popup_no_bar&amp;width=385&amp;height=120&amp;START_MAXIMIZED=FALSE&amp;creator=factset&amp;display_string=Audit"}</definedName>
    <definedName name="_527__FDSAUDITLINK__" hidden="1">{"fdsup://Directions/FactSet Auditing Viewer?action=AUDIT_VALUE&amp;DB=129&amp;ID1=48203R10&amp;VALUEID=02001&amp;SDATE=201002&amp;PERIODTYPE=QTR_STD&amp;SCFT=3&amp;window=popup_no_bar&amp;width=385&amp;height=120&amp;START_MAXIMIZED=FALSE&amp;creator=factset&amp;display_string=Audit"}</definedName>
    <definedName name="_528__FDSAUDITLINK__" hidden="1">{"fdsup://Directions/FactSet Auditing Viewer?action=AUDIT_VALUE&amp;DB=129&amp;ID1=48203R10&amp;VALUEID=02001&amp;SDATE=201002&amp;PERIODTYPE=QTR_STD&amp;SCFT=3&amp;window=popup_no_bar&amp;width=385&amp;height=120&amp;START_MAXIMIZED=FALSE&amp;creator=factset&amp;display_string=Audit"}</definedName>
    <definedName name="_529__FDSAUDITLINK__" hidden="1">{"fdsup://Directions/FactSet Auditing Viewer?action=AUDIT_VALUE&amp;DB=129&amp;ID1=46069S10&amp;VALUEID=02001&amp;SDATE=201002&amp;PERIODTYPE=QTR_STD&amp;SCFT=3&amp;window=popup_no_bar&amp;width=385&amp;height=120&amp;START_MAXIMIZED=FALSE&amp;creator=factset&amp;display_string=Audit"}</definedName>
    <definedName name="_53__FDSAUDITLINK__" hidden="1">{"fdsup://Directions/FactSet Auditing Viewer?action=AUDIT_VALUE&amp;DB=129&amp;ID1=B505PN&amp;VALUEID=02001&amp;SDATE=201101&amp;PERIODTYPE=QTR_STD&amp;SCFT=3&amp;window=popup_no_bar&amp;width=385&amp;height=120&amp;START_MAXIMIZED=FALSE&amp;creator=factset&amp;display_string=Audit"}</definedName>
    <definedName name="_530__FDSAUDITLINK__" hidden="1">{"fdsup://Directions/FactSet Auditing Viewer?action=AUDIT_VALUE&amp;DB=129&amp;ID1=46069S10&amp;VALUEID=02001&amp;SDATE=201002&amp;PERIODTYPE=QTR_STD&amp;SCFT=3&amp;window=popup_no_bar&amp;width=385&amp;height=120&amp;START_MAXIMIZED=FALSE&amp;creator=factset&amp;display_string=Audit"}</definedName>
    <definedName name="_531__FDSAUDITLINK__" hidden="1">{"fdsup://Directions/FactSet Auditing Viewer?action=AUDIT_VALUE&amp;DB=129&amp;ID1=46025410&amp;VALUEID=02001&amp;SDATE=201004&amp;PERIODTYPE=QTR_STD&amp;SCFT=3&amp;window=popup_no_bar&amp;width=385&amp;height=120&amp;START_MAXIMIZED=FALSE&amp;creator=factset&amp;display_string=Audit"}</definedName>
    <definedName name="_532__FDSAUDITLINK__" hidden="1">{"fdsup://Directions/FactSet Auditing Viewer?action=AUDIT_VALUE&amp;DB=129&amp;ID1=46025410&amp;VALUEID=02001&amp;SDATE=201004&amp;PERIODTYPE=QTR_STD&amp;SCFT=3&amp;window=popup_no_bar&amp;width=385&amp;height=120&amp;START_MAXIMIZED=FALSE&amp;creator=factset&amp;display_string=Audit"}</definedName>
    <definedName name="_533__FDSAUDITLINK__" hidden="1">{"fdsup://Directions/FactSet Auditing Viewer?action=AUDIT_VALUE&amp;DB=129&amp;ID1=45814010&amp;VALUEID=02001&amp;SDATE=201002&amp;PERIODTYPE=QTR_STD&amp;SCFT=3&amp;window=popup_no_bar&amp;width=385&amp;height=120&amp;START_MAXIMIZED=FALSE&amp;creator=factset&amp;display_string=Audit"}</definedName>
    <definedName name="_534__FDSAUDITLINK__" hidden="1">{"fdsup://Directions/FactSet Auditing Viewer?action=AUDIT_VALUE&amp;DB=129&amp;ID1=45814010&amp;VALUEID=02001&amp;SDATE=201002&amp;PERIODTYPE=QTR_STD&amp;SCFT=3&amp;window=popup_no_bar&amp;width=385&amp;height=120&amp;START_MAXIMIZED=FALSE&amp;creator=factset&amp;display_string=Audit"}</definedName>
    <definedName name="_535__FDSAUDITLINK__" hidden="1">{"fdsup://Directions/FactSet Auditing Viewer?action=AUDIT_VALUE&amp;DB=129&amp;ID1=45811810&amp;VALUEID=02001&amp;SDATE=201001&amp;PERIODTYPE=QTR_STD&amp;SCFT=3&amp;window=popup_no_bar&amp;width=385&amp;height=120&amp;START_MAXIMIZED=FALSE&amp;creator=factset&amp;display_string=Audit"}</definedName>
    <definedName name="_536__FDSAUDITLINK__" hidden="1">{"fdsup://Directions/FactSet Auditing Viewer?action=AUDIT_VALUE&amp;DB=129&amp;ID1=45811810&amp;VALUEID=02001&amp;SDATE=201001&amp;PERIODTYPE=QTR_STD&amp;SCFT=3&amp;window=popup_no_bar&amp;width=385&amp;height=120&amp;START_MAXIMIZED=FALSE&amp;creator=factset&amp;display_string=Audit"}</definedName>
    <definedName name="_537__FDSAUDITLINK__" hidden="1">{"fdsup://Directions/FactSet Auditing Viewer?action=AUDIT_VALUE&amp;DB=129&amp;ID1=42823610&amp;VALUEID=02001&amp;SDATE=201003&amp;PERIODTYPE=QTR_STD&amp;SCFT=3&amp;window=popup_no_bar&amp;width=385&amp;height=120&amp;START_MAXIMIZED=FALSE&amp;creator=factset&amp;display_string=Audit"}</definedName>
    <definedName name="_538__FDSAUDITLINK__" hidden="1">{"fdsup://Directions/FactSet Auditing Viewer?action=AUDIT_VALUE&amp;DB=129&amp;ID1=42823610&amp;VALUEID=02001&amp;SDATE=201003&amp;PERIODTYPE=QTR_STD&amp;SCFT=3&amp;window=popup_no_bar&amp;width=385&amp;height=120&amp;START_MAXIMIZED=FALSE&amp;creator=factset&amp;display_string=Audit"}</definedName>
    <definedName name="_539__FDSAUDITLINK__" hidden="1">{"fdsup://Directions/FactSet Auditing Viewer?action=AUDIT_VALUE&amp;DB=129&amp;ID1=H2906T10&amp;VALUEID=02001&amp;SDATE=201002&amp;PERIODTYPE=QTR_STD&amp;SCFT=3&amp;window=popup_no_bar&amp;width=385&amp;height=120&amp;START_MAXIMIZED=FALSE&amp;creator=factset&amp;display_string=Audit"}</definedName>
    <definedName name="_54__FDSAUDITLINK__" hidden="1">{"fdsup://Directions/FactSet Auditing Viewer?action=AUDIT_VALUE&amp;DB=129&amp;ID1=B505PN&amp;VALUEID=02001&amp;SDATE=201101&amp;PERIODTYPE=QTR_STD&amp;SCFT=3&amp;window=popup_no_bar&amp;width=385&amp;height=120&amp;START_MAXIMIZED=FALSE&amp;creator=factset&amp;display_string=Audit"}</definedName>
    <definedName name="_540__FDSAUDITLINK__" hidden="1">{"fdsup://Directions/FactSet Auditing Viewer?action=AUDIT_VALUE&amp;DB=129&amp;ID1=H2906T10&amp;VALUEID=02001&amp;SDATE=201002&amp;PERIODTYPE=QTR_STD&amp;SCFT=3&amp;window=popup_no_bar&amp;width=385&amp;height=120&amp;START_MAXIMIZED=FALSE&amp;creator=factset&amp;display_string=Audit"}</definedName>
    <definedName name="_541__FDSAUDITLINK__" hidden="1">{"fdsup://Directions/FactSet Auditing Viewer?action=AUDIT_VALUE&amp;DB=129&amp;ID1=34637510&amp;VALUEID=02001&amp;SDATE=201002&amp;PERIODTYPE=QTR_STD&amp;SCFT=3&amp;window=popup_no_bar&amp;width=385&amp;height=120&amp;START_MAXIMIZED=FALSE&amp;creator=factset&amp;display_string=Audit"}</definedName>
    <definedName name="_542__FDSAUDITLINK__" hidden="1">{"fdsup://Directions/FactSet Auditing Viewer?action=AUDIT_VALUE&amp;DB=129&amp;ID1=34637510&amp;VALUEID=02001&amp;SDATE=201002&amp;PERIODTYPE=QTR_STD&amp;SCFT=3&amp;window=popup_no_bar&amp;width=385&amp;height=120&amp;START_MAXIMIZED=FALSE&amp;creator=factset&amp;display_string=Audit"}</definedName>
    <definedName name="_543__FDSAUDITLINK__" hidden="1">{"fdsup://Directions/FactSet Auditing Viewer?action=AUDIT_VALUE&amp;DB=129&amp;ID1=31561610&amp;VALUEID=02001&amp;SDATE=201003&amp;PERIODTYPE=QTR_STD&amp;SCFT=3&amp;window=popup_no_bar&amp;width=385&amp;height=120&amp;START_MAXIMIZED=FALSE&amp;creator=factset&amp;display_string=Audit"}</definedName>
    <definedName name="_544__FDSAUDITLINK__" hidden="1">{"fdsup://Directions/FactSet Auditing Viewer?action=AUDIT_VALUE&amp;DB=129&amp;ID1=31561610&amp;VALUEID=02001&amp;SDATE=201003&amp;PERIODTYPE=QTR_STD&amp;SCFT=3&amp;window=popup_no_bar&amp;width=385&amp;height=120&amp;START_MAXIMIZED=FALSE&amp;creator=factset&amp;display_string=Audit"}</definedName>
    <definedName name="_545__FDSAUDITLINK__" hidden="1">{"fdsup://Directions/FactSet Auditing Viewer?action=AUDIT_VALUE&amp;DB=129&amp;ID1=29247520&amp;VALUEID=02001&amp;SDATE=201004&amp;PERIODTYPE=QTR_STD&amp;SCFT=3&amp;window=popup_no_bar&amp;width=385&amp;height=120&amp;START_MAXIMIZED=FALSE&amp;creator=factset&amp;display_string=Audit"}</definedName>
    <definedName name="_546__FDSAUDITLINK__" hidden="1">{"fdsup://Directions/FactSet Auditing Viewer?action=AUDIT_VALUE&amp;DB=129&amp;ID1=29247520&amp;VALUEID=02001&amp;SDATE=201004&amp;PERIODTYPE=QTR_STD&amp;SCFT=3&amp;window=popup_no_bar&amp;width=385&amp;height=120&amp;START_MAXIMIZED=FALSE&amp;creator=factset&amp;display_string=Audit"}</definedName>
    <definedName name="_547__FDSAUDITLINK__" hidden="1">{"fdsup://Directions/FactSet Auditing Viewer?action=AUDIT_VALUE&amp;DB=129&amp;ID1=25454310&amp;VALUEID=02001&amp;SDATE=201002&amp;PERIODTYPE=QTR_STD&amp;SCFT=3&amp;window=popup_no_bar&amp;width=385&amp;height=120&amp;START_MAXIMIZED=FALSE&amp;creator=factset&amp;display_string=Audit"}</definedName>
    <definedName name="_548__FDSAUDITLINK__" hidden="1">{"fdsup://Directions/FactSet Auditing Viewer?action=AUDIT_VALUE&amp;DB=129&amp;ID1=25454310&amp;VALUEID=02001&amp;SDATE=201002&amp;PERIODTYPE=QTR_STD&amp;SCFT=3&amp;window=popup_no_bar&amp;width=385&amp;height=120&amp;START_MAXIMIZED=FALSE&amp;creator=factset&amp;display_string=Audit"}</definedName>
    <definedName name="_549__FDSAUDITLINK__" hidden="1">{"fdsup://Directions/FactSet Auditing Viewer?action=AUDIT_VALUE&amp;DB=129&amp;ID1=24702R10&amp;VALUEID=02001&amp;SDATE=201002&amp;PERIODTYPE=QTR_STD&amp;SCFT=3&amp;window=popup_no_bar&amp;width=385&amp;height=120&amp;START_MAXIMIZED=FALSE&amp;creator=factset&amp;display_string=Audit"}</definedName>
    <definedName name="_55__FDSAUDITLINK__" hidden="1">{"fdsup://Directions/FactSet Auditing Viewer?action=AUDIT_VALUE&amp;DB=129&amp;ID1=67000810&amp;VALUEID=02001&amp;SDATE=201101&amp;PERIODTYPE=QTR_STD&amp;SCFT=3&amp;window=popup_no_bar&amp;width=385&amp;height=120&amp;START_MAXIMIZED=FALSE&amp;creator=factset&amp;display_string=Audit"}</definedName>
    <definedName name="_550__FDSAUDITLINK__" hidden="1">{"fdsup://Directions/FactSet Auditing Viewer?action=AUDIT_VALUE&amp;DB=129&amp;ID1=24702R10&amp;VALUEID=02001&amp;SDATE=201002&amp;PERIODTYPE=QTR_STD&amp;SCFT=3&amp;window=popup_no_bar&amp;width=385&amp;height=120&amp;START_MAXIMIZED=FALSE&amp;creator=factset&amp;display_string=Audit"}</definedName>
    <definedName name="_551__FDSAUDITLINK__" hidden="1">{"fdsup://Directions/FactSet Auditing Viewer?action=AUDIT_VALUE&amp;DB=129&amp;ID1=23257210&amp;VALUEID=02001&amp;SDATE=201002&amp;PERIODTYPE=QTR_STD&amp;SCFT=3&amp;window=popup_no_bar&amp;width=385&amp;height=120&amp;START_MAXIMIZED=FALSE&amp;creator=factset&amp;display_string=Audit"}</definedName>
    <definedName name="_552__FDSAUDITLINK__" hidden="1">{"fdsup://Directions/FactSet Auditing Viewer?action=AUDIT_VALUE&amp;DB=129&amp;ID1=23257210&amp;VALUEID=02001&amp;SDATE=201002&amp;PERIODTYPE=QTR_STD&amp;SCFT=3&amp;window=popup_no_bar&amp;width=385&amp;height=120&amp;START_MAXIMIZED=FALSE&amp;creator=factset&amp;display_string=Audit"}</definedName>
    <definedName name="_553__FDSAUDITLINK__" hidden="1">{"fdsup://Directions/FactSet Auditing Viewer?action=AUDIT_VALUE&amp;DB=129&amp;ID1=23280610&amp;VALUEID=02001&amp;SDATE=201002&amp;PERIODTYPE=QTR_STD&amp;SCFT=3&amp;window=popup_no_bar&amp;width=385&amp;height=120&amp;START_MAXIMIZED=FALSE&amp;creator=factset&amp;display_string=Audit"}</definedName>
    <definedName name="_554__FDSAUDITLINK__" hidden="1">{"fdsup://Directions/FactSet Auditing Viewer?action=AUDIT_VALUE&amp;DB=129&amp;ID1=23280610&amp;VALUEID=02001&amp;SDATE=201002&amp;PERIODTYPE=QTR_STD&amp;SCFT=3&amp;window=popup_no_bar&amp;width=385&amp;height=120&amp;START_MAXIMIZED=FALSE&amp;creator=factset&amp;display_string=Audit"}</definedName>
    <definedName name="_555__FDSAUDITLINK__" hidden="1">{"fdsup://Directions/FactSet Auditing Viewer?action=AUDIT_VALUE&amp;DB=129&amp;ID1=17275R10&amp;VALUEID=02001&amp;SDATE=201004&amp;PERIODTYPE=QTR_STD&amp;SCFT=3&amp;window=popup_no_bar&amp;width=385&amp;height=120&amp;START_MAXIMIZED=FALSE&amp;creator=factset&amp;display_string=Audit"}</definedName>
    <definedName name="_556__FDSAUDITLINK__" hidden="1">{"fdsup://Directions/FactSet Auditing Viewer?action=AUDIT_VALUE&amp;DB=129&amp;ID1=17275R10&amp;VALUEID=02001&amp;SDATE=201004&amp;PERIODTYPE=QTR_STD&amp;SCFT=3&amp;window=popup_no_bar&amp;width=385&amp;height=120&amp;START_MAXIMIZED=FALSE&amp;creator=factset&amp;display_string=Audit"}</definedName>
    <definedName name="_557__FDSAUDITLINK__" hidden="1">{"fdsup://Directions/FactSet Auditing Viewer?action=AUDIT_VALUE&amp;DB=129&amp;ID1=22544710&amp;VALUEID=02001&amp;SDATE=201004&amp;PERIODTYPE=QTR_STD&amp;SCFT=3&amp;window=popup_no_bar&amp;width=385&amp;height=120&amp;START_MAXIMIZED=FALSE&amp;creator=factset&amp;display_string=Audit"}</definedName>
    <definedName name="_558__FDSAUDITLINK__" hidden="1">{"fdsup://Directions/FactSet Auditing Viewer?action=AUDIT_VALUE&amp;DB=129&amp;ID1=22544710&amp;VALUEID=02001&amp;SDATE=201004&amp;PERIODTYPE=QTR_STD&amp;SCFT=3&amp;window=popup_no_bar&amp;width=385&amp;height=120&amp;START_MAXIMIZED=FALSE&amp;creator=factset&amp;display_string=Audit"}</definedName>
    <definedName name="_559__FDSAUDITLINK__" hidden="1">{"fdsup://Directions/FactSet Auditing Viewer?action=AUDIT_VALUE&amp;DB=129&amp;ID1=20714230&amp;VALUEID=02001&amp;SDATE=201003&amp;PERIODTYPE=QTR_STD&amp;SCFT=3&amp;window=popup_no_bar&amp;width=385&amp;height=120&amp;START_MAXIMIZED=FALSE&amp;creator=factset&amp;display_string=Audit"}</definedName>
    <definedName name="_56__FDSAUDITLINK__" hidden="1">{"fdsup://Directions/FactSet Auditing Viewer?action=AUDIT_VALUE&amp;DB=129&amp;ID1=67000810&amp;VALUEID=02001&amp;SDATE=201101&amp;PERIODTYPE=QTR_STD&amp;SCFT=3&amp;window=popup_no_bar&amp;width=385&amp;height=120&amp;START_MAXIMIZED=FALSE&amp;creator=factset&amp;display_string=Audit"}</definedName>
    <definedName name="_560__FDSAUDITLINK__" hidden="1">{"fdsup://Directions/FactSet Auditing Viewer?action=AUDIT_VALUE&amp;DB=129&amp;ID1=20714230&amp;VALUEID=02001&amp;SDATE=201003&amp;PERIODTYPE=QTR_STD&amp;SCFT=3&amp;window=popup_no_bar&amp;width=385&amp;height=120&amp;START_MAXIMIZED=FALSE&amp;creator=factset&amp;display_string=Audit"}</definedName>
    <definedName name="_561__FDSAUDITLINK__" hidden="1">{"fdsup://Directions/FactSet Auditing Viewer?action=AUDIT_VALUE&amp;DB=129&amp;ID1=12738710&amp;VALUEID=02001&amp;SDATE=201002&amp;PERIODTYPE=QTR_STD&amp;SCFT=3&amp;window=popup_no_bar&amp;width=385&amp;height=120&amp;START_MAXIMIZED=FALSE&amp;creator=factset&amp;display_string=Audit"}</definedName>
    <definedName name="_562__FDSAUDITLINK__" hidden="1">{"fdsup://Directions/FactSet Auditing Viewer?action=AUDIT_VALUE&amp;DB=129&amp;ID1=12738710&amp;VALUEID=02001&amp;SDATE=201002&amp;PERIODTYPE=QTR_STD&amp;SCFT=3&amp;window=popup_no_bar&amp;width=385&amp;height=120&amp;START_MAXIMIZED=FALSE&amp;creator=factset&amp;display_string=Audit"}</definedName>
    <definedName name="_563__FDSAUDITLINK__" hidden="1">{"fdsup://Directions/FactSet Auditing Viewer?action=AUDIT_VALUE&amp;DB=129&amp;ID1=14964U10&amp;VALUEID=02001&amp;SDATE=201002&amp;PERIODTYPE=QTR_STD&amp;SCFT=3&amp;window=popup_no_bar&amp;width=385&amp;height=120&amp;START_MAXIMIZED=FALSE&amp;creator=factset&amp;display_string=Audit"}</definedName>
    <definedName name="_564__FDSAUDITLINK__" hidden="1">{"fdsup://Directions/FactSet Auditing Viewer?action=AUDIT_VALUE&amp;DB=129&amp;ID1=14964U10&amp;VALUEID=02001&amp;SDATE=201002&amp;PERIODTYPE=QTR_STD&amp;SCFT=3&amp;window=popup_no_bar&amp;width=385&amp;height=120&amp;START_MAXIMIZED=FALSE&amp;creator=factset&amp;display_string=Audit"}</definedName>
    <definedName name="_565__FDSAUDITLINK__" hidden="1">{"fdsup://Directions/FactSet Auditing Viewer?action=AUDIT_VALUE&amp;DB=129&amp;ID1=11162130&amp;VALUEID=02001&amp;SDATE=201003&amp;PERIODTYPE=QTR_STD&amp;SCFT=3&amp;window=popup_no_bar&amp;width=385&amp;height=120&amp;START_MAXIMIZED=FALSE&amp;creator=factset&amp;display_string=Audit"}</definedName>
    <definedName name="_566__FDSAUDITLINK__" hidden="1">{"fdsup://Directions/FactSet Auditing Viewer?action=AUDIT_VALUE&amp;DB=129&amp;ID1=11162130&amp;VALUEID=02001&amp;SDATE=201003&amp;PERIODTYPE=QTR_STD&amp;SCFT=3&amp;window=popup_no_bar&amp;width=385&amp;height=120&amp;START_MAXIMIZED=FALSE&amp;creator=factset&amp;display_string=Audit"}</definedName>
    <definedName name="_567__FDSAUDITLINK__" hidden="1">{"fdsup://Directions/FactSet Auditing Viewer?action=AUDIT_VALUE&amp;DB=129&amp;ID1=Y0486S10&amp;VALUEID=02001&amp;SDATE=201003&amp;PERIODTYPE=QTR_STD&amp;SCFT=3&amp;window=popup_no_bar&amp;width=385&amp;height=120&amp;START_MAXIMIZED=FALSE&amp;creator=factset&amp;display_string=Audit"}</definedName>
    <definedName name="_568__FDSAUDITLINK__" hidden="1">{"fdsup://Directions/FactSet Auditing Viewer?action=AUDIT_VALUE&amp;DB=129&amp;ID1=Y0486S10&amp;VALUEID=02001&amp;SDATE=201003&amp;PERIODTYPE=QTR_STD&amp;SCFT=3&amp;window=popup_no_bar&amp;width=385&amp;height=120&amp;START_MAXIMIZED=FALSE&amp;creator=factset&amp;display_string=Audit"}</definedName>
    <definedName name="_569__FDSAUDITLINK__" hidden="1">{"fdsup://Directions/FactSet Auditing Viewer?action=AUDIT_VALUE&amp;DB=129&amp;ID1=04743P10&amp;VALUEID=02001&amp;SDATE=201002&amp;PERIODTYPE=QTR_STD&amp;SCFT=3&amp;window=popup_no_bar&amp;width=385&amp;height=120&amp;START_MAXIMIZED=FALSE&amp;creator=factset&amp;display_string=Audit"}</definedName>
    <definedName name="_57__FDSAUDITLINK__" hidden="1">{"fdsup://Directions/FactSet Auditing Viewer?action=AUDIT_VALUE&amp;DB=129&amp;ID1=67066G10&amp;VALUEID=02001&amp;SDATE=201101&amp;PERIODTYPE=QTR_STD&amp;SCFT=3&amp;window=popup_no_bar&amp;width=385&amp;height=120&amp;START_MAXIMIZED=FALSE&amp;creator=factset&amp;display_string=Audit"}</definedName>
    <definedName name="_570__FDSAUDITLINK__" hidden="1">{"fdsup://Directions/FactSet Auditing Viewer?action=AUDIT_VALUE&amp;DB=129&amp;ID1=04743P10&amp;VALUEID=02001&amp;SDATE=201002&amp;PERIODTYPE=QTR_STD&amp;SCFT=3&amp;window=popup_no_bar&amp;width=385&amp;height=120&amp;START_MAXIMIZED=FALSE&amp;creator=factset&amp;display_string=Audit"}</definedName>
    <definedName name="_571__FDSAUDITLINK__" hidden="1">{"fdsup://Directions/FactSet Auditing Viewer?action=AUDIT_VALUE&amp;DB=129&amp;ID1=03251510&amp;VALUEID=02001&amp;SDATE=201002&amp;PERIODTYPE=QTR_STD&amp;SCFT=3&amp;window=popup_no_bar&amp;width=385&amp;height=120&amp;START_MAXIMIZED=FALSE&amp;creator=factset&amp;display_string=Audit"}</definedName>
    <definedName name="_572__FDSAUDITLINK__" hidden="1">{"fdsup://Directions/FactSet Auditing Viewer?action=AUDIT_VALUE&amp;DB=129&amp;ID1=03251510&amp;VALUEID=02001&amp;SDATE=201002&amp;PERIODTYPE=QTR_STD&amp;SCFT=3&amp;window=popup_no_bar&amp;width=385&amp;height=120&amp;START_MAXIMIZED=FALSE&amp;creator=factset&amp;display_string=Audit"}</definedName>
    <definedName name="_573__FDSAUDITLINK__" hidden="1">{"fdsup://Directions/FactSet Auditing Viewer?action=AUDIT_VALUE&amp;DB=129&amp;ID1=00790310&amp;VALUEID=02001&amp;SDATE=201002&amp;PERIODTYPE=QTR_STD&amp;SCFT=3&amp;window=popup_no_bar&amp;width=385&amp;height=120&amp;START_MAXIMIZED=FALSE&amp;creator=factset&amp;display_string=Audit"}</definedName>
    <definedName name="_574__FDSAUDITLINK__" hidden="1">{"fdsup://Directions/FactSet Auditing Viewer?action=AUDIT_VALUE&amp;DB=129&amp;ID1=00790310&amp;VALUEID=02001&amp;SDATE=201002&amp;PERIODTYPE=QTR_STD&amp;SCFT=3&amp;window=popup_no_bar&amp;width=385&amp;height=120&amp;START_MAXIMIZED=FALSE&amp;creator=factset&amp;display_string=Audit"}</definedName>
    <definedName name="_575__FDSAUDITLINK__" hidden="1">{"fdsup://Directions/FactSet Auditing Viewer?action=AUDIT_VALUE&amp;DB=129&amp;ID1=03822W40&amp;VALUEID=02001&amp;SDATE=201001&amp;PERIODTYPE=QTR_STD&amp;SCFT=3&amp;window=popup_no_bar&amp;width=385&amp;height=120&amp;START_MAXIMIZED=FALSE&amp;creator=factset&amp;display_string=Audit"}</definedName>
    <definedName name="_576__FDSAUDITLINK__" hidden="1">{"fdsup://Directions/FactSet Auditing Viewer?action=AUDIT_VALUE&amp;DB=129&amp;ID1=03822W40&amp;VALUEID=02001&amp;SDATE=201001&amp;PERIODTYPE=QTR_STD&amp;SCFT=3&amp;window=popup_no_bar&amp;width=385&amp;height=120&amp;START_MAXIMIZED=FALSE&amp;creator=factset&amp;display_string=Audit"}</definedName>
    <definedName name="_577__FDSAUDITLINK__" hidden="1">{"fdsup://Directions/FactSet Auditing Viewer?action=AUDIT_VALUE&amp;DB=129&amp;ID1=03822210&amp;VALUEID=02001&amp;SDATE=201003&amp;PERIODTYPE=QTR_STD&amp;SCFT=3&amp;window=popup_no_bar&amp;width=385&amp;height=120&amp;START_MAXIMIZED=FALSE&amp;creator=factset&amp;display_string=Audit"}</definedName>
    <definedName name="_578__FDSAUDITLINK__" hidden="1">{"fdsup://Directions/FactSet Auditing Viewer?action=AUDIT_VALUE&amp;DB=129&amp;ID1=03822210&amp;VALUEID=02001&amp;SDATE=201003&amp;PERIODTYPE=QTR_STD&amp;SCFT=3&amp;window=popup_no_bar&amp;width=385&amp;height=120&amp;START_MAXIMIZED=FALSE&amp;creator=factset&amp;display_string=Audit"}</definedName>
    <definedName name="_579__FDSAUDITLINK__" hidden="1">{"fdsup://Directions/FactSet Auditing Viewer?action=AUDIT_VALUE&amp;DB=129&amp;ID1=02144110&amp;VALUEID=02001&amp;SDATE=201002&amp;PERIODTYPE=QTR_STD&amp;SCFT=3&amp;window=popup_no_bar&amp;width=385&amp;height=120&amp;START_MAXIMIZED=FALSE&amp;creator=factset&amp;display_string=Audit"}</definedName>
    <definedName name="_58__FDSAUDITLINK__" hidden="1">{"fdsup://Directions/FactSet Auditing Viewer?action=AUDIT_VALUE&amp;DB=129&amp;ID1=67066G10&amp;VALUEID=02001&amp;SDATE=201101&amp;PERIODTYPE=QTR_STD&amp;SCFT=3&amp;window=popup_no_bar&amp;width=385&amp;height=120&amp;START_MAXIMIZED=FALSE&amp;creator=factset&amp;display_string=Audit"}</definedName>
    <definedName name="_580__FDSAUDITLINK__" hidden="1">{"fdsup://Directions/FactSet Auditing Viewer?action=AUDIT_VALUE&amp;DB=129&amp;ID1=02144110&amp;VALUEID=02001&amp;SDATE=201002&amp;PERIODTYPE=QTR_STD&amp;SCFT=3&amp;window=popup_no_bar&amp;width=385&amp;height=120&amp;START_MAXIMIZED=FALSE&amp;creator=factset&amp;display_string=Audit"}</definedName>
    <definedName name="_581__FDSAUDITLINK__" hidden="1">{"fdsup://Directions/FactSet Auditing Viewer?action=AUDIT_VALUE&amp;DB=129&amp;ID1=03265410&amp;VALUEID=02001&amp;SDATE=201003&amp;PERIODTYPE=QTR_STD&amp;SCFT=3&amp;window=popup_no_bar&amp;width=385&amp;height=120&amp;START_MAXIMIZED=FALSE&amp;creator=factset&amp;display_string=Audit"}</definedName>
    <definedName name="_582__FDSAUDITLINK__" hidden="1">{"fdsup://Directions/FactSet Auditing Viewer?action=AUDIT_VALUE&amp;DB=129&amp;ID1=03265410&amp;VALUEID=02001&amp;SDATE=201003&amp;PERIODTYPE=QTR_STD&amp;SCFT=3&amp;window=popup_no_bar&amp;width=385&amp;height=120&amp;START_MAXIMIZED=FALSE&amp;creator=factset&amp;display_string=Audit"}</definedName>
    <definedName name="_583__FDSAUDITLINK__" hidden="1">{"fdsup://Directions/FactSet Auditing Viewer?action=AUDIT_VALUE&amp;DB=129&amp;ID1=00752J10&amp;VALUEID=02001&amp;SDATE=201002&amp;PERIODTYPE=QTR_STD&amp;SCFT=3&amp;window=popup_no_bar&amp;width=385&amp;height=120&amp;START_MAXIMIZED=FALSE&amp;creator=factset&amp;display_string=Audit"}</definedName>
    <definedName name="_584__FDSAUDITLINK__" hidden="1">{"fdsup://Directions/FactSet Auditing Viewer?action=AUDIT_VALUE&amp;DB=129&amp;ID1=00752J10&amp;VALUEID=02001&amp;SDATE=201002&amp;PERIODTYPE=QTR_STD&amp;SCFT=3&amp;window=popup_no_bar&amp;width=385&amp;height=120&amp;START_MAXIMIZED=FALSE&amp;creator=factset&amp;display_string=Audit"}</definedName>
    <definedName name="_585__FDSAUDITLINK__" hidden="1">{"fdsup://Directions/FactSet Auditing Viewer?action=AUDIT_VALUE&amp;DB=129&amp;ID1=98975F10&amp;VALUEID=02001&amp;SDATE=201001&amp;PERIODTYPE=QTR_STD&amp;SCFT=3&amp;window=popup_no_bar&amp;width=385&amp;height=120&amp;START_MAXIMIZED=FALSE&amp;creator=factset&amp;display_string=Audit"}</definedName>
    <definedName name="_586__FDSAUDITLINK__" hidden="1">{"fdsup://Directions/FactSet Auditing Viewer?action=AUDIT_VALUE&amp;DB=129&amp;ID1=98975F10&amp;VALUEID=02001&amp;SDATE=201001&amp;PERIODTYPE=QTR_STD&amp;SCFT=3&amp;window=popup_no_bar&amp;width=385&amp;height=120&amp;START_MAXIMIZED=FALSE&amp;creator=factset&amp;display_string=Audit"}</definedName>
    <definedName name="_587__FDSAUDITLINK__" hidden="1">{"fdsup://Directions/FactSet Auditing Viewer?action=AUDIT_VALUE&amp;DB=129&amp;ID1=95810210&amp;VALUEID=02001&amp;SDATE=201003&amp;PERIODTYPE=QTR_STD&amp;SCFT=3&amp;window=popup_no_bar&amp;width=385&amp;height=120&amp;START_MAXIMIZED=FALSE&amp;creator=factset&amp;display_string=Audit"}</definedName>
    <definedName name="_588__FDSAUDITLINK__" hidden="1">{"fdsup://Directions/FactSet Auditing Viewer?action=AUDIT_VALUE&amp;DB=129&amp;ID1=95810210&amp;VALUEID=02001&amp;SDATE=201003&amp;PERIODTYPE=QTR_STD&amp;SCFT=3&amp;window=popup_no_bar&amp;width=385&amp;height=120&amp;START_MAXIMIZED=FALSE&amp;creator=factset&amp;display_string=Audit"}</definedName>
    <definedName name="_589__FDSAUDITLINK__" hidden="1">{"fdsup://Directions/FactSet Auditing Viewer?action=AUDIT_VALUE&amp;DB=129&amp;ID1=92849730&amp;VALUEID=02001&amp;SDATE=201002&amp;PERIODTYPE=QTR_STD&amp;SCFT=3&amp;window=popup_no_bar&amp;width=385&amp;height=120&amp;START_MAXIMIZED=FALSE&amp;creator=factset&amp;display_string=Audit"}</definedName>
    <definedName name="_59__FDSAUDITLINK__" hidden="1">{"fdsup://Directions/FactSet Auditing Viewer?action=AUDIT_VALUE&amp;DB=129&amp;ID1=63764010&amp;VALUEID=02001&amp;SDATE=201003&amp;PERIODTYPE=QTR_STD&amp;SCFT=3&amp;window=popup_no_bar&amp;width=385&amp;height=120&amp;START_MAXIMIZED=FALSE&amp;creator=factset&amp;display_string=Audit"}</definedName>
    <definedName name="_590__FDSAUDITLINK__" hidden="1">{"fdsup://Directions/FactSet Auditing Viewer?action=AUDIT_VALUE&amp;DB=129&amp;ID1=92849730&amp;VALUEID=02001&amp;SDATE=201002&amp;PERIODTYPE=QTR_STD&amp;SCFT=3&amp;window=popup_no_bar&amp;width=385&amp;height=120&amp;START_MAXIMIZED=FALSE&amp;creator=factset&amp;display_string=Audit"}</definedName>
    <definedName name="_591__FDSAUDITLINK__" hidden="1">{"fdsup://Directions/FactSet Auditing Viewer?action=AUDIT_VALUE&amp;DB=129&amp;ID1=92829810&amp;VALUEID=02001&amp;SDATE=201001&amp;PERIODTYPE=QTR_STD&amp;SCFT=3&amp;window=popup_no_bar&amp;width=385&amp;height=120&amp;START_MAXIMIZED=FALSE&amp;creator=factset&amp;display_string=Audit"}</definedName>
    <definedName name="_592__FDSAUDITLINK__" hidden="1">{"fdsup://Directions/FactSet Auditing Viewer?action=AUDIT_VALUE&amp;DB=129&amp;ID1=92829810&amp;VALUEID=02001&amp;SDATE=201001&amp;PERIODTYPE=QTR_STD&amp;SCFT=3&amp;window=popup_no_bar&amp;width=385&amp;height=120&amp;START_MAXIMIZED=FALSE&amp;creator=factset&amp;display_string=Audit"}</definedName>
    <definedName name="_593__FDSAUDITLINK__" hidden="1">{"fdsup://Directions/FactSet Auditing Viewer?action=AUDIT_VALUE&amp;DB=129&amp;ID1=88250810&amp;VALUEID=02001&amp;SDATE=201001&amp;PERIODTYPE=QTR_STD&amp;SCFT=3&amp;window=popup_no_bar&amp;width=385&amp;height=120&amp;START_MAXIMIZED=FALSE&amp;creator=factset&amp;display_string=Audit"}</definedName>
    <definedName name="_594__FDSAUDITLINK__" hidden="1">{"fdsup://Directions/FactSet Auditing Viewer?action=AUDIT_VALUE&amp;DB=129&amp;ID1=88250810&amp;VALUEID=02001&amp;SDATE=201001&amp;PERIODTYPE=QTR_STD&amp;SCFT=3&amp;window=popup_no_bar&amp;width=385&amp;height=120&amp;START_MAXIMIZED=FALSE&amp;creator=factset&amp;display_string=Audit"}</definedName>
    <definedName name="_595__FDSAUDITLINK__" hidden="1">{"fdsup://Directions/FactSet Auditing Viewer?action=AUDIT_VALUE&amp;DB=129&amp;ID1=89674K10&amp;VALUEID=02001&amp;SDATE=201001&amp;PERIODTYPE=QTR_STD&amp;SCFT=3&amp;window=popup_no_bar&amp;width=385&amp;height=120&amp;START_MAXIMIZED=FALSE&amp;creator=factset&amp;display_string=Audit"}</definedName>
    <definedName name="_596__FDSAUDITLINK__" hidden="1">{"fdsup://Directions/FactSet Auditing Viewer?action=AUDIT_VALUE&amp;DB=129&amp;ID1=89674K10&amp;VALUEID=02001&amp;SDATE=201001&amp;PERIODTYPE=QTR_STD&amp;SCFT=3&amp;window=popup_no_bar&amp;width=385&amp;height=120&amp;START_MAXIMIZED=FALSE&amp;creator=factset&amp;display_string=Audit"}</definedName>
    <definedName name="_597__FDSAUDITLINK__" hidden="1">{"fdsup://Directions/FactSet Auditing Viewer?action=AUDIT_VALUE&amp;DB=129&amp;ID1=83088M10&amp;VALUEID=02001&amp;SDATE=201002&amp;PERIODTYPE=QTR_STD&amp;SCFT=3&amp;window=popup_no_bar&amp;width=385&amp;height=120&amp;START_MAXIMIZED=FALSE&amp;creator=factset&amp;display_string=Audit"}</definedName>
    <definedName name="_598__FDSAUDITLINK__" hidden="1">{"fdsup://Directions/FactSet Auditing Viewer?action=AUDIT_VALUE&amp;DB=129&amp;ID1=83088M10&amp;VALUEID=02001&amp;SDATE=201002&amp;PERIODTYPE=QTR_STD&amp;SCFT=3&amp;window=popup_no_bar&amp;width=385&amp;height=120&amp;START_MAXIMIZED=FALSE&amp;creator=factset&amp;display_string=Audit"}</definedName>
    <definedName name="_599__FDSAUDITLINK__" hidden="1">{"fdsup://Directions/FactSet Auditing Viewer?action=AUDIT_VALUE&amp;DB=129&amp;ID1=G7945M10&amp;VALUEID=02001&amp;SDATE=201003&amp;PERIODTYPE=QTR_STD&amp;SCFT=3&amp;window=popup_no_bar&amp;width=385&amp;height=120&amp;START_MAXIMIZED=FALSE&amp;creator=factset&amp;display_string=Audit"}</definedName>
    <definedName name="_6__FDSAUDITLINK__" hidden="1">{"fdsup://Directions/FactSet Auditing Viewer?action=AUDIT_VALUE&amp;DB=129&amp;ID1=45814010&amp;VALUEID=02001&amp;SDATE=201103&amp;PERIODTYPE=QTR_STD&amp;SCFT=3&amp;window=popup_no_bar&amp;width=385&amp;height=120&amp;START_MAXIMIZED=FALSE&amp;creator=factset&amp;display_string=Audit"}</definedName>
    <definedName name="_60__FDSAUDITLINK__" hidden="1">{"fdsup://Directions/FactSet Auditing Viewer?action=AUDIT_VALUE&amp;DB=129&amp;ID1=63764010&amp;VALUEID=02001&amp;SDATE=201003&amp;PERIODTYPE=QTR_STD&amp;SCFT=3&amp;window=popup_no_bar&amp;width=385&amp;height=120&amp;START_MAXIMIZED=FALSE&amp;creator=factset&amp;display_string=Audit"}</definedName>
    <definedName name="_600__FDSAUDITLINK__" hidden="1">{"fdsup://Directions/FactSet Auditing Viewer?action=AUDIT_VALUE&amp;DB=129&amp;ID1=G7945M10&amp;VALUEID=02001&amp;SDATE=201003&amp;PERIODTYPE=QTR_STD&amp;SCFT=3&amp;window=popup_no_bar&amp;width=385&amp;height=120&amp;START_MAXIMIZED=FALSE&amp;creator=factset&amp;display_string=Audit"}</definedName>
    <definedName name="_601__FDSAUDITLINK__" hidden="1">{"fdsup://Directions/FactSet Auditing Viewer?action=AUDIT_VALUE&amp;DB=129&amp;ID1=78477410&amp;VALUEID=02001&amp;SDATE=201001&amp;PERIODTYPE=QTR_STD&amp;SCFT=3&amp;window=popup_no_bar&amp;width=385&amp;height=120&amp;START_MAXIMIZED=FALSE&amp;creator=factset&amp;display_string=Audit"}</definedName>
    <definedName name="_602__FDSAUDITLINK__" hidden="1">{"fdsup://Directions/FactSet Auditing Viewer?action=AUDIT_VALUE&amp;DB=129&amp;ID1=78477410&amp;VALUEID=02001&amp;SDATE=201001&amp;PERIODTYPE=QTR_STD&amp;SCFT=3&amp;window=popup_no_bar&amp;width=385&amp;height=120&amp;START_MAXIMIZED=FALSE&amp;creator=factset&amp;display_string=Audit"}</definedName>
    <definedName name="_603__FDSAUDITLINK__" hidden="1">{"fdsup://Directions/FactSet Auditing Viewer?action=AUDIT_VALUE&amp;DB=129&amp;ID1=83547010&amp;VALUEID=02001&amp;SDATE=201001&amp;PERIODTYPE=QTR_STD&amp;SCFT=3&amp;window=popup_no_bar&amp;width=385&amp;height=120&amp;START_MAXIMIZED=FALSE&amp;creator=factset&amp;display_string=Audit"}</definedName>
    <definedName name="_604__FDSAUDITLINK__" hidden="1">{"fdsup://Directions/FactSet Auditing Viewer?action=AUDIT_VALUE&amp;DB=129&amp;ID1=83547010&amp;VALUEID=02001&amp;SDATE=201001&amp;PERIODTYPE=QTR_STD&amp;SCFT=3&amp;window=popup_no_bar&amp;width=385&amp;height=120&amp;START_MAXIMIZED=FALSE&amp;creator=factset&amp;display_string=Audit"}</definedName>
    <definedName name="_605__FDSAUDITLINK__" hidden="1">{"fdsup://Directions/FactSet Auditing Viewer?action=AUDIT_VALUE&amp;DB=129&amp;ID1=87160710&amp;VALUEID=02001&amp;SDATE=201002&amp;PERIODTYPE=QTR_STD&amp;SCFT=3&amp;window=popup_no_bar&amp;width=385&amp;height=120&amp;START_MAXIMIZED=FALSE&amp;creator=factset&amp;display_string=Audit"}</definedName>
    <definedName name="_606__FDSAUDITLINK__" hidden="1">{"fdsup://Directions/FactSet Auditing Viewer?action=AUDIT_VALUE&amp;DB=129&amp;ID1=87160710&amp;VALUEID=02001&amp;SDATE=201002&amp;PERIODTYPE=QTR_STD&amp;SCFT=3&amp;window=popup_no_bar&amp;width=385&amp;height=120&amp;START_MAXIMIZED=FALSE&amp;creator=factset&amp;display_string=Audit"}</definedName>
    <definedName name="_607__FDSAUDITLINK__" hidden="1">{"fdsup://Directions/FactSet Auditing Viewer?action=AUDIT_VALUE&amp;DB=129&amp;ID1=80004C10&amp;VALUEID=02001&amp;SDATE=201001&amp;PERIODTYPE=QTR_STD&amp;SCFT=3&amp;window=popup_no_bar&amp;width=385&amp;height=120&amp;START_MAXIMIZED=FALSE&amp;creator=factset&amp;display_string=Audit"}</definedName>
    <definedName name="_608__FDSAUDITLINK__" hidden="1">{"fdsup://Directions/FactSet Auditing Viewer?action=AUDIT_VALUE&amp;DB=129&amp;ID1=80004C10&amp;VALUEID=02001&amp;SDATE=201001&amp;PERIODTYPE=QTR_STD&amp;SCFT=3&amp;window=popup_no_bar&amp;width=385&amp;height=120&amp;START_MAXIMIZED=FALSE&amp;creator=factset&amp;display_string=Audit"}</definedName>
    <definedName name="_609__FDSAUDITLINK__" hidden="1">{"fdsup://Directions/FactSet Auditing Viewer?action=AUDIT_VALUE&amp;DB=129&amp;ID1=81685010&amp;VALUEID=02001&amp;SDATE=201001&amp;PERIODTYPE=QTR_STD&amp;SCFT=3&amp;window=popup_no_bar&amp;width=385&amp;height=120&amp;START_MAXIMIZED=FALSE&amp;creator=factset&amp;display_string=Audit"}</definedName>
    <definedName name="_61__FDSAUDITLINK__" hidden="1">{"fdsup://Directions/FactSet Auditing Viewer?action=AUDIT_VALUE&amp;DB=129&amp;ID1=64118B10&amp;VALUEID=02001&amp;SDATE=201101&amp;PERIODTYPE=QTR_STD&amp;SCFT=3&amp;window=popup_no_bar&amp;width=385&amp;height=120&amp;START_MAXIMIZED=FALSE&amp;creator=factset&amp;display_string=Audit"}</definedName>
    <definedName name="_610__FDSAUDITLINK__" hidden="1">{"fdsup://Directions/FactSet Auditing Viewer?action=AUDIT_VALUE&amp;DB=129&amp;ID1=81685010&amp;VALUEID=02001&amp;SDATE=201001&amp;PERIODTYPE=QTR_STD&amp;SCFT=3&amp;window=popup_no_bar&amp;width=385&amp;height=120&amp;START_MAXIMIZED=FALSE&amp;creator=factset&amp;display_string=Audit"}</definedName>
    <definedName name="_611__FDSAUDITLINK__" hidden="1">{"fdsup://Directions/FactSet Auditing Viewer?action=AUDIT_VALUE&amp;DB=129&amp;ID1=82691910&amp;VALUEID=02001&amp;SDATE=201001&amp;PERIODTYPE=QTR_STD&amp;SCFT=3&amp;window=popup_no_bar&amp;width=385&amp;height=120&amp;START_MAXIMIZED=FALSE&amp;creator=factset&amp;display_string=Audit"}</definedName>
    <definedName name="_612__FDSAUDITLINK__" hidden="1">{"fdsup://Directions/FactSet Auditing Viewer?action=AUDIT_VALUE&amp;DB=129&amp;ID1=82691910&amp;VALUEID=02001&amp;SDATE=201001&amp;PERIODTYPE=QTR_STD&amp;SCFT=3&amp;window=popup_no_bar&amp;width=385&amp;height=120&amp;START_MAXIMIZED=FALSE&amp;creator=factset&amp;display_string=Audit"}</definedName>
    <definedName name="_613__FDSAUDITLINK__" hidden="1">{"fdsup://Directions/FactSet Auditing Viewer?action=AUDIT_VALUE&amp;DB=129&amp;ID1=82705T10&amp;VALUEID=02001&amp;SDATE=201001&amp;PERIODTYPE=QTR_STD&amp;SCFT=3&amp;window=popup_no_bar&amp;width=385&amp;height=120&amp;START_MAXIMIZED=FALSE&amp;creator=factset&amp;display_string=Audit"}</definedName>
    <definedName name="_614__FDSAUDITLINK__" hidden="1">{"fdsup://Directions/FactSet Auditing Viewer?action=AUDIT_VALUE&amp;DB=129&amp;ID1=82705T10&amp;VALUEID=02001&amp;SDATE=201001&amp;PERIODTYPE=QTR_STD&amp;SCFT=3&amp;window=popup_no_bar&amp;width=385&amp;height=120&amp;START_MAXIMIZED=FALSE&amp;creator=factset&amp;display_string=Audit"}</definedName>
    <definedName name="_615__FDSAUDITLINK__" hidden="1">{"fdsup://Directions/FactSet Auditing Viewer?action=AUDIT_VALUE&amp;DB=129&amp;ID1=75091710&amp;VALUEID=02001&amp;SDATE=201001&amp;PERIODTYPE=QTR_STD&amp;SCFT=3&amp;window=popup_no_bar&amp;width=385&amp;height=120&amp;START_MAXIMIZED=FALSE&amp;creator=factset&amp;display_string=Audit"}</definedName>
    <definedName name="_616__FDSAUDITLINK__" hidden="1">{"fdsup://Directions/FactSet Auditing Viewer?action=AUDIT_VALUE&amp;DB=129&amp;ID1=75091710&amp;VALUEID=02001&amp;SDATE=201001&amp;PERIODTYPE=QTR_STD&amp;SCFT=3&amp;window=popup_no_bar&amp;width=385&amp;height=120&amp;START_MAXIMIZED=FALSE&amp;creator=factset&amp;display_string=Audit"}</definedName>
    <definedName name="_617__FDSAUDITLINK__" hidden="1">{"fdsup://Directions/FactSet Auditing Viewer?action=AUDIT_VALUE&amp;DB=129&amp;ID1=74752510&amp;VALUEID=02001&amp;SDATE=201002&amp;PERIODTYPE=QTR_STD&amp;SCFT=3&amp;window=popup_no_bar&amp;width=385&amp;height=120&amp;START_MAXIMIZED=FALSE&amp;creator=factset&amp;display_string=Audit"}</definedName>
    <definedName name="_618__FDSAUDITLINK__" hidden="1">{"fdsup://Directions/FactSet Auditing Viewer?action=AUDIT_VALUE&amp;DB=129&amp;ID1=74752510&amp;VALUEID=02001&amp;SDATE=201002&amp;PERIODTYPE=QTR_STD&amp;SCFT=3&amp;window=popup_no_bar&amp;width=385&amp;height=120&amp;START_MAXIMIZED=FALSE&amp;creator=factset&amp;display_string=Audit"}</definedName>
    <definedName name="_619__FDSAUDITLINK__" hidden="1">{"fdsup://Directions/FactSet Auditing Viewer?action=AUDIT_VALUE&amp;DB=129&amp;ID1=72581M30&amp;VALUEID=02001&amp;SDATE=201001&amp;PERIODTYPE=QTR_STD&amp;SCFT=3&amp;window=popup_no_bar&amp;width=385&amp;height=120&amp;START_MAXIMIZED=FALSE&amp;creator=factset&amp;display_string=Audit"}</definedName>
    <definedName name="_62__FDSAUDITLINK__" hidden="1">{"fdsup://Directions/FactSet Auditing Viewer?action=AUDIT_VALUE&amp;DB=129&amp;ID1=64118B10&amp;VALUEID=02001&amp;SDATE=201101&amp;PERIODTYPE=QTR_STD&amp;SCFT=3&amp;window=popup_no_bar&amp;width=385&amp;height=120&amp;START_MAXIMIZED=FALSE&amp;creator=factset&amp;display_string=Audit"}</definedName>
    <definedName name="_620__FDSAUDITLINK__" hidden="1">{"fdsup://Directions/FactSet Auditing Viewer?action=AUDIT_VALUE&amp;DB=129&amp;ID1=72581M30&amp;VALUEID=02001&amp;SDATE=201001&amp;PERIODTYPE=QTR_STD&amp;SCFT=3&amp;window=popup_no_bar&amp;width=385&amp;height=120&amp;START_MAXIMIZED=FALSE&amp;creator=factset&amp;display_string=Audit"}</definedName>
    <definedName name="_621__FDSAUDITLINK__" hidden="1">{"fdsup://Directions/FactSet Auditing Viewer?action=AUDIT_VALUE&amp;DB=129&amp;ID1=73927610&amp;VALUEID=02001&amp;SDATE=201001&amp;PERIODTYPE=QTR_STD&amp;SCFT=3&amp;window=popup_no_bar&amp;width=385&amp;height=120&amp;START_MAXIMIZED=FALSE&amp;creator=factset&amp;display_string=Audit"}</definedName>
    <definedName name="_622__FDSAUDITLINK__" hidden="1">{"fdsup://Directions/FactSet Auditing Viewer?action=AUDIT_VALUE&amp;DB=129&amp;ID1=73927610&amp;VALUEID=02001&amp;SDATE=201001&amp;PERIODTYPE=QTR_STD&amp;SCFT=3&amp;window=popup_no_bar&amp;width=385&amp;height=120&amp;START_MAXIMIZED=FALSE&amp;creator=factset&amp;display_string=Audit"}</definedName>
    <definedName name="_623__FDSAUDITLINK__" hidden="1">{"fdsup://Directions/FactSet Auditing Viewer?action=AUDIT_VALUE&amp;DB=129&amp;ID1=69344F10&amp;VALUEID=02001&amp;SDATE=201001&amp;PERIODTYPE=QTR_STD&amp;SCFT=3&amp;window=popup_no_bar&amp;width=385&amp;height=120&amp;START_MAXIMIZED=FALSE&amp;creator=factset&amp;display_string=Audit"}</definedName>
    <definedName name="_624__FDSAUDITLINK__" hidden="1">{"fdsup://Directions/FactSet Auditing Viewer?action=AUDIT_VALUE&amp;DB=129&amp;ID1=69344F10&amp;VALUEID=02001&amp;SDATE=201001&amp;PERIODTYPE=QTR_STD&amp;SCFT=3&amp;window=popup_no_bar&amp;width=385&amp;height=120&amp;START_MAXIMIZED=FALSE&amp;creator=factset&amp;display_string=Audit"}</definedName>
    <definedName name="_625__FDSAUDITLINK__" hidden="1">{"fdsup://Directions/FactSet Auditing Viewer?action=AUDIT_VALUE&amp;DB=129&amp;ID1=69341710&amp;VALUEID=02001&amp;SDATE=201001&amp;PERIODTYPE=QTR_STD&amp;SCFT=3&amp;window=popup_no_bar&amp;width=385&amp;height=120&amp;START_MAXIMIZED=FALSE&amp;creator=factset&amp;display_string=Audit"}</definedName>
    <definedName name="_626__FDSAUDITLINK__" hidden="1">{"fdsup://Directions/FactSet Auditing Viewer?action=AUDIT_VALUE&amp;DB=129&amp;ID1=69341710&amp;VALUEID=02001&amp;SDATE=201001&amp;PERIODTYPE=QTR_STD&amp;SCFT=3&amp;window=popup_no_bar&amp;width=385&amp;height=120&amp;START_MAXIMIZED=FALSE&amp;creator=factset&amp;display_string=Audit"}</definedName>
    <definedName name="_627__FDSAUDITLINK__" hidden="1">{"fdsup://Directions/FactSet Auditing Viewer?action=AUDIT_VALUE&amp;DB=129&amp;ID1=68218910&amp;VALUEID=02001&amp;SDATE=201001&amp;PERIODTYPE=QTR_STD&amp;SCFT=3&amp;window=popup_no_bar&amp;width=385&amp;height=120&amp;START_MAXIMIZED=FALSE&amp;creator=factset&amp;display_string=Audit"}</definedName>
    <definedName name="_628__FDSAUDITLINK__" hidden="1">{"fdsup://Directions/FactSet Auditing Viewer?action=AUDIT_VALUE&amp;DB=129&amp;ID1=68218910&amp;VALUEID=02001&amp;SDATE=201001&amp;PERIODTYPE=QTR_STD&amp;SCFT=3&amp;window=popup_no_bar&amp;width=385&amp;height=120&amp;START_MAXIMIZED=FALSE&amp;creator=factset&amp;display_string=Audit"}</definedName>
    <definedName name="_629__FDSAUDITLINK__" hidden="1">{"fdsup://Directions/FactSet Auditing Viewer?action=AUDIT_VALUE&amp;DB=129&amp;ID1=B505PN&amp;VALUEID=02001&amp;SDATE=201001&amp;PERIODTYPE=QTR_STD&amp;SCFT=3&amp;window=popup_no_bar&amp;width=385&amp;height=120&amp;START_MAXIMIZED=FALSE&amp;creator=factset&amp;display_string=Audit"}</definedName>
    <definedName name="_63__FDSAUDITLINK__" hidden="1">{"fdsup://Directions/FactSet Auditing Viewer?action=AUDIT_VALUE&amp;DB=129&amp;ID1=57772K10&amp;VALUEID=02001&amp;SDATE=201103&amp;PERIODTYPE=QTR_STD&amp;SCFT=3&amp;window=popup_no_bar&amp;width=385&amp;height=120&amp;START_MAXIMIZED=FALSE&amp;creator=factset&amp;display_string=Audit"}</definedName>
    <definedName name="_630__FDSAUDITLINK__" hidden="1">{"fdsup://Directions/FactSet Auditing Viewer?action=AUDIT_VALUE&amp;DB=129&amp;ID1=B505PN&amp;VALUEID=02001&amp;SDATE=201001&amp;PERIODTYPE=QTR_STD&amp;SCFT=3&amp;window=popup_no_bar&amp;width=385&amp;height=120&amp;START_MAXIMIZED=FALSE&amp;creator=factset&amp;display_string=Audit"}</definedName>
    <definedName name="_631__FDSAUDITLINK__" hidden="1">{"fdsup://Directions/FactSet Auditing Viewer?action=AUDIT_VALUE&amp;DB=129&amp;ID1=67000810&amp;VALUEID=02001&amp;SDATE=201001&amp;PERIODTYPE=QTR_STD&amp;SCFT=3&amp;window=popup_no_bar&amp;width=385&amp;height=120&amp;START_MAXIMIZED=FALSE&amp;creator=factset&amp;display_string=Audit"}</definedName>
    <definedName name="_632__FDSAUDITLINK__" hidden="1">{"fdsup://Directions/FactSet Auditing Viewer?action=AUDIT_VALUE&amp;DB=129&amp;ID1=67000810&amp;VALUEID=02001&amp;SDATE=201001&amp;PERIODTYPE=QTR_STD&amp;SCFT=3&amp;window=popup_no_bar&amp;width=385&amp;height=120&amp;START_MAXIMIZED=FALSE&amp;creator=factset&amp;display_string=Audit"}</definedName>
    <definedName name="_633__FDSAUDITLINK__" hidden="1">{"fdsup://Directions/FactSet Auditing Viewer?action=AUDIT_VALUE&amp;DB=129&amp;ID1=67066G10&amp;VALUEID=02001&amp;SDATE=201001&amp;PERIODTYPE=QTR_STD&amp;SCFT=3&amp;window=popup_no_bar&amp;width=385&amp;height=120&amp;START_MAXIMIZED=FALSE&amp;creator=factset&amp;display_string=Audit"}</definedName>
    <definedName name="_634__FDSAUDITLINK__" hidden="1">{"fdsup://Directions/FactSet Auditing Viewer?action=AUDIT_VALUE&amp;DB=129&amp;ID1=67066G10&amp;VALUEID=02001&amp;SDATE=201001&amp;PERIODTYPE=QTR_STD&amp;SCFT=3&amp;window=popup_no_bar&amp;width=385&amp;height=120&amp;START_MAXIMIZED=FALSE&amp;creator=factset&amp;display_string=Audit"}</definedName>
    <definedName name="_635__FDSAUDITLINK__" hidden="1">{"fdsup://Directions/FactSet Auditing Viewer?action=AUDIT_VALUE&amp;DB=129&amp;ID1=63764010&amp;VALUEID=02001&amp;SDATE=200903&amp;PERIODTYPE=QTR_STD&amp;SCFT=3&amp;window=popup_no_bar&amp;width=385&amp;height=120&amp;START_MAXIMIZED=FALSE&amp;creator=factset&amp;display_string=Audit"}</definedName>
    <definedName name="_636__FDSAUDITLINK__" hidden="1">{"fdsup://Directions/FactSet Auditing Viewer?action=AUDIT_VALUE&amp;DB=129&amp;ID1=63764010&amp;VALUEID=02001&amp;SDATE=200903&amp;PERIODTYPE=QTR_STD&amp;SCFT=3&amp;window=popup_no_bar&amp;width=385&amp;height=120&amp;START_MAXIMIZED=FALSE&amp;creator=factset&amp;display_string=Audit"}</definedName>
    <definedName name="_637__FDSAUDITLINK__" hidden="1">{"fdsup://Directions/FactSet Auditing Viewer?action=AUDIT_VALUE&amp;DB=129&amp;ID1=64118B10&amp;VALUEID=02001&amp;SDATE=201001&amp;PERIODTYPE=QTR_STD&amp;SCFT=3&amp;window=popup_no_bar&amp;width=385&amp;height=120&amp;START_MAXIMIZED=FALSE&amp;creator=factset&amp;display_string=Audit"}</definedName>
    <definedName name="_638__FDSAUDITLINK__" hidden="1">{"fdsup://Directions/FactSet Auditing Viewer?action=AUDIT_VALUE&amp;DB=129&amp;ID1=64118B10&amp;VALUEID=02001&amp;SDATE=201001&amp;PERIODTYPE=QTR_STD&amp;SCFT=3&amp;window=popup_no_bar&amp;width=385&amp;height=120&amp;START_MAXIMIZED=FALSE&amp;creator=factset&amp;display_string=Audit"}</definedName>
    <definedName name="_639__FDSAUDITLINK__" hidden="1">{"fdsup://Directions/FactSet Auditing Viewer?action=AUDIT_VALUE&amp;DB=129&amp;ID1=57772K10&amp;VALUEID=02001&amp;SDATE=201003&amp;PERIODTYPE=QTR_STD&amp;SCFT=3&amp;window=popup_no_bar&amp;width=385&amp;height=120&amp;START_MAXIMIZED=FALSE&amp;creator=factset&amp;display_string=Audit"}</definedName>
    <definedName name="_64__FDSAUDITLINK__" hidden="1">{"fdsup://Directions/FactSet Auditing Viewer?action=AUDIT_VALUE&amp;DB=129&amp;ID1=57772K10&amp;VALUEID=02001&amp;SDATE=201103&amp;PERIODTYPE=QTR_STD&amp;SCFT=3&amp;window=popup_no_bar&amp;width=385&amp;height=120&amp;START_MAXIMIZED=FALSE&amp;creator=factset&amp;display_string=Audit"}</definedName>
    <definedName name="_640__FDSAUDITLINK__" hidden="1">{"fdsup://Directions/FactSet Auditing Viewer?action=AUDIT_VALUE&amp;DB=129&amp;ID1=57772K10&amp;VALUEID=02001&amp;SDATE=201003&amp;PERIODTYPE=QTR_STD&amp;SCFT=3&amp;window=popup_no_bar&amp;width=385&amp;height=120&amp;START_MAXIMIZED=FALSE&amp;creator=factset&amp;display_string=Audit"}</definedName>
    <definedName name="_641__FDSAUDITLINK__" hidden="1">{"fdsup://Directions/FactSet Auditing Viewer?action=AUDIT_VALUE&amp;DB=129&amp;ID1=59511210&amp;VALUEID=02001&amp;SDATE=201002&amp;PERIODTYPE=QTR_STD&amp;SCFT=3&amp;window=popup_no_bar&amp;width=385&amp;height=120&amp;START_MAXIMIZED=FALSE&amp;creator=factset&amp;display_string=Audit"}</definedName>
    <definedName name="_642__FDSAUDITLINK__" hidden="1">{"fdsup://Directions/FactSet Auditing Viewer?action=AUDIT_VALUE&amp;DB=129&amp;ID1=59511210&amp;VALUEID=02001&amp;SDATE=201002&amp;PERIODTYPE=QTR_STD&amp;SCFT=3&amp;window=popup_no_bar&amp;width=385&amp;height=120&amp;START_MAXIMIZED=FALSE&amp;creator=factset&amp;display_string=Audit"}</definedName>
    <definedName name="_643__FDSAUDITLINK__" hidden="1">{"fdsup://Directions/FactSet Auditing Viewer?action=AUDIT_VALUE&amp;DB=129&amp;ID1=59513710&amp;VALUEID=02001&amp;SDATE=201002&amp;PERIODTYPE=QTR_STD&amp;SCFT=3&amp;window=popup_no_bar&amp;width=385&amp;height=120&amp;START_MAXIMIZED=FALSE&amp;creator=factset&amp;display_string=Audit"}</definedName>
    <definedName name="_644__FDSAUDITLINK__" hidden="1">{"fdsup://Directions/FactSet Auditing Viewer?action=AUDIT_VALUE&amp;DB=129&amp;ID1=59513710&amp;VALUEID=02001&amp;SDATE=201002&amp;PERIODTYPE=QTR_STD&amp;SCFT=3&amp;window=popup_no_bar&amp;width=385&amp;height=120&amp;START_MAXIMIZED=FALSE&amp;creator=factset&amp;display_string=Audit"}</definedName>
    <definedName name="_645__FDSAUDITLINK__" hidden="1">{"fdsup://Directions/FactSet Auditing Viewer?action=AUDIT_VALUE&amp;DB=129&amp;ID1=G5876H10&amp;VALUEID=02001&amp;SDATE=201001&amp;PERIODTYPE=QTR_STD&amp;SCFT=3&amp;window=popup_no_bar&amp;width=385&amp;height=120&amp;START_MAXIMIZED=FALSE&amp;creator=factset&amp;display_string=Audit"}</definedName>
    <definedName name="_646__FDSAUDITLINK__" hidden="1">{"fdsup://Directions/FactSet Auditing Viewer?action=AUDIT_VALUE&amp;DB=129&amp;ID1=G5876H10&amp;VALUEID=02001&amp;SDATE=201001&amp;PERIODTYPE=QTR_STD&amp;SCFT=3&amp;window=popup_no_bar&amp;width=385&amp;height=120&amp;START_MAXIMIZED=FALSE&amp;creator=factset&amp;display_string=Audit"}</definedName>
    <definedName name="_647__FDSAUDITLINK__" hidden="1">{"fdsup://Directions/FactSet Auditing Viewer?action=AUDIT_VALUE&amp;DB=129&amp;ID1=62007630&amp;VALUEID=02001&amp;SDATE=201001&amp;PERIODTYPE=QTR_STD&amp;SCFT=3&amp;window=popup_no_bar&amp;width=385&amp;height=120&amp;START_MAXIMIZED=FALSE&amp;creator=factset&amp;display_string=Audit"}</definedName>
    <definedName name="_648__FDSAUDITLINK__" hidden="1">{"fdsup://Directions/FactSet Auditing Viewer?action=AUDIT_VALUE&amp;DB=129&amp;ID1=62007630&amp;VALUEID=02001&amp;SDATE=201001&amp;PERIODTYPE=QTR_STD&amp;SCFT=3&amp;window=popup_no_bar&amp;width=385&amp;height=120&amp;START_MAXIMIZED=FALSE&amp;creator=factset&amp;display_string=Audit"}</definedName>
    <definedName name="_649__FDSAUDITLINK__" hidden="1">{"fdsup://Directions/FactSet Auditing Viewer?action=AUDIT_VALUE&amp;DB=129&amp;ID1=60456710&amp;VALUEID=02001&amp;SDATE=201003&amp;PERIODTYPE=QTR_STD&amp;SCFT=3&amp;window=popup_no_bar&amp;width=385&amp;height=120&amp;START_MAXIMIZED=FALSE&amp;creator=factset&amp;display_string=Audit"}</definedName>
    <definedName name="_65__FDSAUDITLINK__" hidden="1">{"fdsup://Directions/FactSet Auditing Viewer?action=AUDIT_VALUE&amp;DB=129&amp;ID1=59511210&amp;VALUEID=02001&amp;SDATE=201102&amp;PERIODTYPE=QTR_STD&amp;SCFT=3&amp;window=popup_no_bar&amp;width=385&amp;height=120&amp;START_MAXIMIZED=FALSE&amp;creator=factset&amp;display_string=Audit"}</definedName>
    <definedName name="_650__FDSAUDITLINK__" hidden="1">{"fdsup://Directions/FactSet Auditing Viewer?action=AUDIT_VALUE&amp;DB=129&amp;ID1=60456710&amp;VALUEID=02001&amp;SDATE=201003&amp;PERIODTYPE=QTR_STD&amp;SCFT=3&amp;window=popup_no_bar&amp;width=385&amp;height=120&amp;START_MAXIMIZED=FALSE&amp;creator=factset&amp;display_string=Audit"}</definedName>
    <definedName name="_651__FDSAUDITLINK__" hidden="1">{"fdsup://Directions/FactSet Auditing Viewer?action=AUDIT_VALUE&amp;DB=129&amp;ID1=59479310&amp;VALUEID=02001&amp;SDATE=201001&amp;PERIODTYPE=QTR_STD&amp;SCFT=3&amp;window=popup_no_bar&amp;width=385&amp;height=120&amp;START_MAXIMIZED=FALSE&amp;creator=factset&amp;display_string=Audit"}</definedName>
    <definedName name="_652__FDSAUDITLINK__" hidden="1">{"fdsup://Directions/FactSet Auditing Viewer?action=AUDIT_VALUE&amp;DB=129&amp;ID1=59479310&amp;VALUEID=02001&amp;SDATE=201001&amp;PERIODTYPE=QTR_STD&amp;SCFT=3&amp;window=popup_no_bar&amp;width=385&amp;height=120&amp;START_MAXIMIZED=FALSE&amp;creator=factset&amp;display_string=Audit"}</definedName>
    <definedName name="_653__FDSAUDITLINK__" hidden="1">{"fdsup://Directions/FactSet Auditing Viewer?action=AUDIT_VALUE&amp;DB=129&amp;ID1=50216110&amp;VALUEID=02001&amp;SDATE=201001&amp;PERIODTYPE=QTR_STD&amp;SCFT=3&amp;window=popup_no_bar&amp;width=385&amp;height=120&amp;START_MAXIMIZED=FALSE&amp;creator=factset&amp;display_string=Audit"}</definedName>
    <definedName name="_654__FDSAUDITLINK__" hidden="1">{"fdsup://Directions/FactSet Auditing Viewer?action=AUDIT_VALUE&amp;DB=129&amp;ID1=50216110&amp;VALUEID=02001&amp;SDATE=201001&amp;PERIODTYPE=QTR_STD&amp;SCFT=3&amp;window=popup_no_bar&amp;width=385&amp;height=120&amp;START_MAXIMIZED=FALSE&amp;creator=factset&amp;display_string=Audit"}</definedName>
    <definedName name="_655__FDSAUDITLINK__" hidden="1">{"fdsup://Directions/FactSet Auditing Viewer?action=AUDIT_VALUE&amp;DB=129&amp;ID1=51841510&amp;VALUEID=02001&amp;SDATE=201001&amp;PERIODTYPE=QTR_STD&amp;SCFT=3&amp;window=popup_no_bar&amp;width=385&amp;height=120&amp;START_MAXIMIZED=FALSE&amp;creator=factset&amp;display_string=Audit"}</definedName>
    <definedName name="_656__FDSAUDITLINK__" hidden="1">{"fdsup://Directions/FactSet Auditing Viewer?action=AUDIT_VALUE&amp;DB=129&amp;ID1=51841510&amp;VALUEID=02001&amp;SDATE=201001&amp;PERIODTYPE=QTR_STD&amp;SCFT=3&amp;window=popup_no_bar&amp;width=385&amp;height=120&amp;START_MAXIMIZED=FALSE&amp;creator=factset&amp;display_string=Audit"}</definedName>
    <definedName name="_657__FDSAUDITLINK__" hidden="1">{"fdsup://Directions/FactSet Auditing Viewer?action=AUDIT_VALUE&amp;DB=129&amp;ID1=51280710&amp;VALUEID=02001&amp;SDATE=201003&amp;PERIODTYPE=QTR_STD&amp;SCFT=3&amp;window=popup_no_bar&amp;width=385&amp;height=120&amp;START_MAXIMIZED=FALSE&amp;creator=factset&amp;display_string=Audit"}</definedName>
    <definedName name="_658__FDSAUDITLINK__" hidden="1">{"fdsup://Directions/FactSet Auditing Viewer?action=AUDIT_VALUE&amp;DB=129&amp;ID1=51280710&amp;VALUEID=02001&amp;SDATE=201003&amp;PERIODTYPE=QTR_STD&amp;SCFT=3&amp;window=popup_no_bar&amp;width=385&amp;height=120&amp;START_MAXIMIZED=FALSE&amp;creator=factset&amp;display_string=Audit"}</definedName>
    <definedName name="_659__FDSAUDITLINK__" hidden="1">{"fdsup://Directions/FactSet Auditing Viewer?action=AUDIT_VALUE&amp;DB=129&amp;ID1=53567810&amp;VALUEID=02001&amp;SDATE=201003&amp;PERIODTYPE=QTR_STD&amp;SCFT=3&amp;window=popup_no_bar&amp;width=385&amp;height=120&amp;START_MAXIMIZED=FALSE&amp;creator=factset&amp;display_string=Audit"}</definedName>
    <definedName name="_66__FDSAUDITLINK__" hidden="1">{"fdsup://Directions/FactSet Auditing Viewer?action=AUDIT_VALUE&amp;DB=129&amp;ID1=59511210&amp;VALUEID=02001&amp;SDATE=201102&amp;PERIODTYPE=QTR_STD&amp;SCFT=3&amp;window=popup_no_bar&amp;width=385&amp;height=120&amp;START_MAXIMIZED=FALSE&amp;creator=factset&amp;display_string=Audit"}</definedName>
    <definedName name="_660__FDSAUDITLINK__" hidden="1">{"fdsup://Directions/FactSet Auditing Viewer?action=AUDIT_VALUE&amp;DB=129&amp;ID1=53567810&amp;VALUEID=02001&amp;SDATE=201003&amp;PERIODTYPE=QTR_STD&amp;SCFT=3&amp;window=popup_no_bar&amp;width=385&amp;height=120&amp;START_MAXIMIZED=FALSE&amp;creator=factset&amp;display_string=Audit"}</definedName>
    <definedName name="_661__FDSAUDITLINK__" hidden="1">{"fdsup://Directions/FactSet Auditing Viewer?action=AUDIT_VALUE&amp;DB=129&amp;ID1=48248010&amp;VALUEID=02001&amp;SDATE=201003&amp;PERIODTYPE=QTR_STD&amp;SCFT=3&amp;window=popup_no_bar&amp;width=385&amp;height=120&amp;START_MAXIMIZED=FALSE&amp;creator=factset&amp;display_string=Audit"}</definedName>
    <definedName name="_662__FDSAUDITLINK__" hidden="1">{"fdsup://Directions/FactSet Auditing Viewer?action=AUDIT_VALUE&amp;DB=129&amp;ID1=48248010&amp;VALUEID=02001&amp;SDATE=201003&amp;PERIODTYPE=QTR_STD&amp;SCFT=3&amp;window=popup_no_bar&amp;width=385&amp;height=120&amp;START_MAXIMIZED=FALSE&amp;creator=factset&amp;display_string=Audit"}</definedName>
    <definedName name="_663__FDSAUDITLINK__" hidden="1">{"fdsup://Directions/FactSet Auditing Viewer?action=AUDIT_VALUE&amp;DB=129&amp;ID1=48203R10&amp;VALUEID=02001&amp;SDATE=201001&amp;PERIODTYPE=QTR_STD&amp;SCFT=3&amp;window=popup_no_bar&amp;width=385&amp;height=120&amp;START_MAXIMIZED=FALSE&amp;creator=factset&amp;display_string=Audit"}</definedName>
    <definedName name="_664__FDSAUDITLINK__" hidden="1">{"fdsup://Directions/FactSet Auditing Viewer?action=AUDIT_VALUE&amp;DB=129&amp;ID1=48203R10&amp;VALUEID=02001&amp;SDATE=201001&amp;PERIODTYPE=QTR_STD&amp;SCFT=3&amp;window=popup_no_bar&amp;width=385&amp;height=120&amp;START_MAXIMIZED=FALSE&amp;creator=factset&amp;display_string=Audit"}</definedName>
    <definedName name="_665__FDSAUDITLINK__" hidden="1">{"fdsup://Directions/FactSet Auditing Viewer?action=AUDIT_VALUE&amp;DB=129&amp;ID1=46069S10&amp;VALUEID=02001&amp;SDATE=201001&amp;PERIODTYPE=QTR_STD&amp;SCFT=3&amp;window=popup_no_bar&amp;width=385&amp;height=120&amp;START_MAXIMIZED=FALSE&amp;creator=factset&amp;display_string=Audit"}</definedName>
    <definedName name="_666__FDSAUDITLINK__" hidden="1">{"fdsup://Directions/FactSet Auditing Viewer?action=AUDIT_VALUE&amp;DB=129&amp;ID1=46069S10&amp;VALUEID=02001&amp;SDATE=201001&amp;PERIODTYPE=QTR_STD&amp;SCFT=3&amp;window=popup_no_bar&amp;width=385&amp;height=120&amp;START_MAXIMIZED=FALSE&amp;creator=factset&amp;display_string=Audit"}</definedName>
    <definedName name="_667__FDSAUDITLINK__" hidden="1">{"fdsup://Directions/FactSet Auditing Viewer?action=AUDIT_VALUE&amp;DB=129&amp;ID1=46025410&amp;VALUEID=02001&amp;SDATE=201003&amp;PERIODTYPE=QTR_STD&amp;SCFT=3&amp;window=popup_no_bar&amp;width=385&amp;height=120&amp;START_MAXIMIZED=FALSE&amp;creator=factset&amp;display_string=Audit"}</definedName>
    <definedName name="_668__FDSAUDITLINK__" hidden="1">{"fdsup://Directions/FactSet Auditing Viewer?action=AUDIT_VALUE&amp;DB=129&amp;ID1=46025410&amp;VALUEID=02001&amp;SDATE=201003&amp;PERIODTYPE=QTR_STD&amp;SCFT=3&amp;window=popup_no_bar&amp;width=385&amp;height=120&amp;START_MAXIMIZED=FALSE&amp;creator=factset&amp;display_string=Audit"}</definedName>
    <definedName name="_669__FDSAUDITLINK__" hidden="1">{"fdsup://Directions/FactSet Auditing Viewer?action=AUDIT_VALUE&amp;DB=129&amp;ID1=45814010&amp;VALUEID=02001&amp;SDATE=201001&amp;PERIODTYPE=QTR_STD&amp;SCFT=3&amp;window=popup_no_bar&amp;width=385&amp;height=120&amp;START_MAXIMIZED=FALSE&amp;creator=factset&amp;display_string=Audit"}</definedName>
    <definedName name="_67__FDSAUDITLINK__" hidden="1">{"fdsup://Directions/FactSet Auditing Viewer?action=AUDIT_VALUE&amp;DB=129&amp;ID1=59513710&amp;VALUEID=02001&amp;SDATE=201102&amp;PERIODTYPE=QTR_STD&amp;SCFT=3&amp;window=popup_no_bar&amp;width=385&amp;height=120&amp;START_MAXIMIZED=FALSE&amp;creator=factset&amp;display_string=Audit"}</definedName>
    <definedName name="_670__FDSAUDITLINK__" hidden="1">{"fdsup://Directions/FactSet Auditing Viewer?action=AUDIT_VALUE&amp;DB=129&amp;ID1=45814010&amp;VALUEID=02001&amp;SDATE=201001&amp;PERIODTYPE=QTR_STD&amp;SCFT=3&amp;window=popup_no_bar&amp;width=385&amp;height=120&amp;START_MAXIMIZED=FALSE&amp;creator=factset&amp;display_string=Audit"}</definedName>
    <definedName name="_671__FDSAUDITLINK__" hidden="1">{"fdsup://Directions/FactSet Auditing Viewer?action=AUDIT_VALUE&amp;DB=129&amp;ID1=42823610&amp;VALUEID=02001&amp;SDATE=201002&amp;PERIODTYPE=QTR_STD&amp;SCFT=3&amp;window=popup_no_bar&amp;width=385&amp;height=120&amp;START_MAXIMIZED=FALSE&amp;creator=factset&amp;display_string=Audit"}</definedName>
    <definedName name="_672__FDSAUDITLINK__" hidden="1">{"fdsup://Directions/FactSet Auditing Viewer?action=AUDIT_VALUE&amp;DB=129&amp;ID1=42823610&amp;VALUEID=02001&amp;SDATE=201002&amp;PERIODTYPE=QTR_STD&amp;SCFT=3&amp;window=popup_no_bar&amp;width=385&amp;height=120&amp;START_MAXIMIZED=FALSE&amp;creator=factset&amp;display_string=Audit"}</definedName>
    <definedName name="_673__FDSAUDITLINK__" hidden="1">{"fdsup://Directions/FactSet Auditing Viewer?action=AUDIT_VALUE&amp;DB=129&amp;ID1=H2906T10&amp;VALUEID=02001&amp;SDATE=201001&amp;PERIODTYPE=QTR_STD&amp;SCFT=3&amp;window=popup_no_bar&amp;width=385&amp;height=120&amp;START_MAXIMIZED=FALSE&amp;creator=factset&amp;display_string=Audit"}</definedName>
    <definedName name="_674__FDSAUDITLINK__" hidden="1">{"fdsup://Directions/FactSet Auditing Viewer?action=AUDIT_VALUE&amp;DB=129&amp;ID1=H2906T10&amp;VALUEID=02001&amp;SDATE=201001&amp;PERIODTYPE=QTR_STD&amp;SCFT=3&amp;window=popup_no_bar&amp;width=385&amp;height=120&amp;START_MAXIMIZED=FALSE&amp;creator=factset&amp;display_string=Audit"}</definedName>
    <definedName name="_675__FDSAUDITLINK__" hidden="1">{"fdsup://Directions/FactSet Auditing Viewer?action=AUDIT_VALUE&amp;DB=129&amp;ID1=34637510&amp;VALUEID=02001&amp;SDATE=201001&amp;PERIODTYPE=QTR_STD&amp;SCFT=3&amp;window=popup_no_bar&amp;width=385&amp;height=120&amp;START_MAXIMIZED=FALSE&amp;creator=factset&amp;display_string=Audit"}</definedName>
    <definedName name="_676__FDSAUDITLINK__" hidden="1">{"fdsup://Directions/FactSet Auditing Viewer?action=AUDIT_VALUE&amp;DB=129&amp;ID1=34637510&amp;VALUEID=02001&amp;SDATE=201001&amp;PERIODTYPE=QTR_STD&amp;SCFT=3&amp;window=popup_no_bar&amp;width=385&amp;height=120&amp;START_MAXIMIZED=FALSE&amp;creator=factset&amp;display_string=Audit"}</definedName>
    <definedName name="_677__FDSAUDITLINK__" hidden="1">{"fdsup://Directions/FactSet Auditing Viewer?action=AUDIT_VALUE&amp;DB=129&amp;ID1=31561610&amp;VALUEID=02001&amp;SDATE=201002&amp;PERIODTYPE=QTR_STD&amp;SCFT=3&amp;window=popup_no_bar&amp;width=385&amp;height=120&amp;START_MAXIMIZED=FALSE&amp;creator=factset&amp;display_string=Audit"}</definedName>
    <definedName name="_678__FDSAUDITLINK__" hidden="1">{"fdsup://Directions/FactSet Auditing Viewer?action=AUDIT_VALUE&amp;DB=129&amp;ID1=31561610&amp;VALUEID=02001&amp;SDATE=201002&amp;PERIODTYPE=QTR_STD&amp;SCFT=3&amp;window=popup_no_bar&amp;width=385&amp;height=120&amp;START_MAXIMIZED=FALSE&amp;creator=factset&amp;display_string=Audit"}</definedName>
    <definedName name="_679__FDSAUDITLINK__" hidden="1">{"fdsup://Directions/FactSet Auditing Viewer?action=AUDIT_VALUE&amp;DB=129&amp;ID1=29247520&amp;VALUEID=02001&amp;SDATE=201003&amp;PERIODTYPE=QTR_STD&amp;SCFT=3&amp;window=popup_no_bar&amp;width=385&amp;height=120&amp;START_MAXIMIZED=FALSE&amp;creator=factset&amp;display_string=Audit"}</definedName>
    <definedName name="_68__FDSAUDITLINK__" hidden="1">{"fdsup://Directions/FactSet Auditing Viewer?action=AUDIT_VALUE&amp;DB=129&amp;ID1=59513710&amp;VALUEID=02001&amp;SDATE=201102&amp;PERIODTYPE=QTR_STD&amp;SCFT=3&amp;window=popup_no_bar&amp;width=385&amp;height=120&amp;START_MAXIMIZED=FALSE&amp;creator=factset&amp;display_string=Audit"}</definedName>
    <definedName name="_680__FDSAUDITLINK__" hidden="1">{"fdsup://Directions/FactSet Auditing Viewer?action=AUDIT_VALUE&amp;DB=129&amp;ID1=29247520&amp;VALUEID=02001&amp;SDATE=201003&amp;PERIODTYPE=QTR_STD&amp;SCFT=3&amp;window=popup_no_bar&amp;width=385&amp;height=120&amp;START_MAXIMIZED=FALSE&amp;creator=factset&amp;display_string=Audit"}</definedName>
    <definedName name="_681__FDSAUDITLINK__" hidden="1">{"fdsup://Directions/FactSet Auditing Viewer?action=AUDIT_VALUE&amp;DB=129&amp;ID1=25454310&amp;VALUEID=02001&amp;SDATE=201001&amp;PERIODTYPE=QTR_STD&amp;SCFT=3&amp;window=popup_no_bar&amp;width=385&amp;height=120&amp;START_MAXIMIZED=FALSE&amp;creator=factset&amp;display_string=Audit"}</definedName>
    <definedName name="_682__FDSAUDITLINK__" hidden="1">{"fdsup://Directions/FactSet Auditing Viewer?action=AUDIT_VALUE&amp;DB=129&amp;ID1=25454310&amp;VALUEID=02001&amp;SDATE=201001&amp;PERIODTYPE=QTR_STD&amp;SCFT=3&amp;window=popup_no_bar&amp;width=385&amp;height=120&amp;START_MAXIMIZED=FALSE&amp;creator=factset&amp;display_string=Audit"}</definedName>
    <definedName name="_683__FDSAUDITLINK__" hidden="1">{"fdsup://Directions/FactSet Auditing Viewer?action=AUDIT_VALUE&amp;DB=129&amp;ID1=24702R10&amp;VALUEID=02001&amp;SDATE=201001&amp;PERIODTYPE=QTR_STD&amp;SCFT=3&amp;window=popup_no_bar&amp;width=385&amp;height=120&amp;START_MAXIMIZED=FALSE&amp;creator=factset&amp;display_string=Audit"}</definedName>
    <definedName name="_684__FDSAUDITLINK__" hidden="1">{"fdsup://Directions/FactSet Auditing Viewer?action=AUDIT_VALUE&amp;DB=129&amp;ID1=24702R10&amp;VALUEID=02001&amp;SDATE=201001&amp;PERIODTYPE=QTR_STD&amp;SCFT=3&amp;window=popup_no_bar&amp;width=385&amp;height=120&amp;START_MAXIMIZED=FALSE&amp;creator=factset&amp;display_string=Audit"}</definedName>
    <definedName name="_685__FDSAUDITLINK__" hidden="1">{"fdsup://Directions/FactSet Auditing Viewer?action=AUDIT_VALUE&amp;DB=129&amp;ID1=23257210&amp;VALUEID=02001&amp;SDATE=201001&amp;PERIODTYPE=QTR_STD&amp;SCFT=3&amp;window=popup_no_bar&amp;width=385&amp;height=120&amp;START_MAXIMIZED=FALSE&amp;creator=factset&amp;display_string=Audit"}</definedName>
    <definedName name="_686__FDSAUDITLINK__" hidden="1">{"fdsup://Directions/FactSet Auditing Viewer?action=AUDIT_VALUE&amp;DB=129&amp;ID1=23257210&amp;VALUEID=02001&amp;SDATE=201001&amp;PERIODTYPE=QTR_STD&amp;SCFT=3&amp;window=popup_no_bar&amp;width=385&amp;height=120&amp;START_MAXIMIZED=FALSE&amp;creator=factset&amp;display_string=Audit"}</definedName>
    <definedName name="_687__FDSAUDITLINK__" hidden="1">{"fdsup://Directions/FactSet Auditing Viewer?action=AUDIT_VALUE&amp;DB=129&amp;ID1=23280610&amp;VALUEID=02001&amp;SDATE=201001&amp;PERIODTYPE=QTR_STD&amp;SCFT=3&amp;window=popup_no_bar&amp;width=385&amp;height=120&amp;START_MAXIMIZED=FALSE&amp;creator=factset&amp;display_string=Audit"}</definedName>
    <definedName name="_688__FDSAUDITLINK__" hidden="1">{"fdsup://Directions/FactSet Auditing Viewer?action=AUDIT_VALUE&amp;DB=129&amp;ID1=23280610&amp;VALUEID=02001&amp;SDATE=201001&amp;PERIODTYPE=QTR_STD&amp;SCFT=3&amp;window=popup_no_bar&amp;width=385&amp;height=120&amp;START_MAXIMIZED=FALSE&amp;creator=factset&amp;display_string=Audit"}</definedName>
    <definedName name="_689__FDSAUDITLINK__" hidden="1">{"fdsup://Directions/FactSet Auditing Viewer?action=AUDIT_VALUE&amp;DB=129&amp;ID1=17275R10&amp;VALUEID=02001&amp;SDATE=201003&amp;PERIODTYPE=QTR_STD&amp;SCFT=3&amp;window=popup_no_bar&amp;width=385&amp;height=120&amp;START_MAXIMIZED=FALSE&amp;creator=factset&amp;display_string=Audit"}</definedName>
    <definedName name="_69__FDSAUDITLINK__" hidden="1">{"fdsup://Directions/FactSet Auditing Viewer?action=AUDIT_VALUE&amp;DB=129&amp;ID1=G5876H10&amp;VALUEID=02001&amp;SDATE=201101&amp;PERIODTYPE=QTR_STD&amp;SCFT=3&amp;window=popup_no_bar&amp;width=385&amp;height=120&amp;START_MAXIMIZED=FALSE&amp;creator=factset&amp;display_string=Audit"}</definedName>
    <definedName name="_690__FDSAUDITLINK__" hidden="1">{"fdsup://Directions/FactSet Auditing Viewer?action=AUDIT_VALUE&amp;DB=129&amp;ID1=17275R10&amp;VALUEID=02001&amp;SDATE=201003&amp;PERIODTYPE=QTR_STD&amp;SCFT=3&amp;window=popup_no_bar&amp;width=385&amp;height=120&amp;START_MAXIMIZED=FALSE&amp;creator=factset&amp;display_string=Audit"}</definedName>
    <definedName name="_691__FDSAUDITLINK__" hidden="1">{"fdsup://Directions/FactSet Auditing Viewer?action=AUDIT_VALUE&amp;DB=129&amp;ID1=22544710&amp;VALUEID=02001&amp;SDATE=201003&amp;PERIODTYPE=QTR_STD&amp;SCFT=3&amp;window=popup_no_bar&amp;width=385&amp;height=120&amp;START_MAXIMIZED=FALSE&amp;creator=factset&amp;display_string=Audit"}</definedName>
    <definedName name="_692__FDSAUDITLINK__" hidden="1">{"fdsup://Directions/FactSet Auditing Viewer?action=AUDIT_VALUE&amp;DB=129&amp;ID1=22544710&amp;VALUEID=02001&amp;SDATE=201003&amp;PERIODTYPE=QTR_STD&amp;SCFT=3&amp;window=popup_no_bar&amp;width=385&amp;height=120&amp;START_MAXIMIZED=FALSE&amp;creator=factset&amp;display_string=Audit"}</definedName>
    <definedName name="_693__FDSAUDITLINK__" hidden="1">{"fdsup://Directions/FactSet Auditing Viewer?action=AUDIT_VALUE&amp;DB=129&amp;ID1=20714230&amp;VALUEID=02001&amp;SDATE=201002&amp;PERIODTYPE=QTR_STD&amp;SCFT=3&amp;window=popup_no_bar&amp;width=385&amp;height=120&amp;START_MAXIMIZED=FALSE&amp;creator=factset&amp;display_string=Audit"}</definedName>
    <definedName name="_694__FDSAUDITLINK__" hidden="1">{"fdsup://Directions/FactSet Auditing Viewer?action=AUDIT_VALUE&amp;DB=129&amp;ID1=20714230&amp;VALUEID=02001&amp;SDATE=201002&amp;PERIODTYPE=QTR_STD&amp;SCFT=3&amp;window=popup_no_bar&amp;width=385&amp;height=120&amp;START_MAXIMIZED=FALSE&amp;creator=factset&amp;display_string=Audit"}</definedName>
    <definedName name="_695__FDSAUDITLINK__" hidden="1">{"fdsup://Directions/FactSet Auditing Viewer?action=AUDIT_VALUE&amp;DB=129&amp;ID1=12738710&amp;VALUEID=02001&amp;SDATE=201001&amp;PERIODTYPE=QTR_STD&amp;SCFT=3&amp;window=popup_no_bar&amp;width=385&amp;height=120&amp;START_MAXIMIZED=FALSE&amp;creator=factset&amp;display_string=Audit"}</definedName>
    <definedName name="_696__FDSAUDITLINK__" hidden="1">{"fdsup://Directions/FactSet Auditing Viewer?action=AUDIT_VALUE&amp;DB=129&amp;ID1=12738710&amp;VALUEID=02001&amp;SDATE=201001&amp;PERIODTYPE=QTR_STD&amp;SCFT=3&amp;window=popup_no_bar&amp;width=385&amp;height=120&amp;START_MAXIMIZED=FALSE&amp;creator=factset&amp;display_string=Audit"}</definedName>
    <definedName name="_697__FDSAUDITLINK__" hidden="1">{"fdsup://Directions/FactSet Auditing Viewer?action=AUDIT_VALUE&amp;DB=129&amp;ID1=14964U10&amp;VALUEID=02001&amp;SDATE=201001&amp;PERIODTYPE=QTR_STD&amp;SCFT=3&amp;window=popup_no_bar&amp;width=385&amp;height=120&amp;START_MAXIMIZED=FALSE&amp;creator=factset&amp;display_string=Audit"}</definedName>
    <definedName name="_698__FDSAUDITLINK__" hidden="1">{"fdsup://Directions/FactSet Auditing Viewer?action=AUDIT_VALUE&amp;DB=129&amp;ID1=14964U10&amp;VALUEID=02001&amp;SDATE=201001&amp;PERIODTYPE=QTR_STD&amp;SCFT=3&amp;window=popup_no_bar&amp;width=385&amp;height=120&amp;START_MAXIMIZED=FALSE&amp;creator=factset&amp;display_string=Audit"}</definedName>
    <definedName name="_699__FDSAUDITLINK__" hidden="1">{"fdsup://Directions/FactSet Auditing Viewer?action=AUDIT_VALUE&amp;DB=129&amp;ID1=11162130&amp;VALUEID=02001&amp;SDATE=201002&amp;PERIODTYPE=QTR_STD&amp;SCFT=3&amp;window=popup_no_bar&amp;width=385&amp;height=120&amp;START_MAXIMIZED=FALSE&amp;creator=factset&amp;display_string=Audit"}</definedName>
    <definedName name="_7__FDSAUDITLINK__" hidden="1">{"fdsup://Directions/FactSet Auditing Viewer?action=AUDIT_VALUE&amp;DB=129&amp;ID1=637248&amp;VALUEID=05194&amp;SDATE=201102&amp;PERIODTYPE=QTR_STD&amp;SCFT=3&amp;window=popup_no_bar&amp;width=385&amp;height=120&amp;START_MAXIMIZED=FALSE&amp;creator=factset&amp;display_string=Audit"}</definedName>
    <definedName name="_70__FDSAUDITLINK__" hidden="1">{"fdsup://Directions/FactSet Auditing Viewer?action=AUDIT_VALUE&amp;DB=129&amp;ID1=G5876H10&amp;VALUEID=02001&amp;SDATE=201101&amp;PERIODTYPE=QTR_STD&amp;SCFT=3&amp;window=popup_no_bar&amp;width=385&amp;height=120&amp;START_MAXIMIZED=FALSE&amp;creator=factset&amp;display_string=Audit"}</definedName>
    <definedName name="_700__FDSAUDITLINK__" hidden="1">{"fdsup://Directions/FactSet Auditing Viewer?action=AUDIT_VALUE&amp;DB=129&amp;ID1=11162130&amp;VALUEID=02001&amp;SDATE=201002&amp;PERIODTYPE=QTR_STD&amp;SCFT=3&amp;window=popup_no_bar&amp;width=385&amp;height=120&amp;START_MAXIMIZED=FALSE&amp;creator=factset&amp;display_string=Audit"}</definedName>
    <definedName name="_701__FDSAUDITLINK__" hidden="1">{"fdsup://Directions/FactSet Auditing Viewer?action=AUDIT_VALUE&amp;DB=129&amp;ID1=Y0486S10&amp;VALUEID=02001&amp;SDATE=201002&amp;PERIODTYPE=QTR_STD&amp;SCFT=3&amp;window=popup_no_bar&amp;width=385&amp;height=120&amp;START_MAXIMIZED=FALSE&amp;creator=factset&amp;display_string=Audit"}</definedName>
    <definedName name="_702__FDSAUDITLINK__" hidden="1">{"fdsup://Directions/FactSet Auditing Viewer?action=AUDIT_VALUE&amp;DB=129&amp;ID1=Y0486S10&amp;VALUEID=02001&amp;SDATE=201002&amp;PERIODTYPE=QTR_STD&amp;SCFT=3&amp;window=popup_no_bar&amp;width=385&amp;height=120&amp;START_MAXIMIZED=FALSE&amp;creator=factset&amp;display_string=Audit"}</definedName>
    <definedName name="_703__FDSAUDITLINK__" hidden="1">{"fdsup://Directions/FactSet Auditing Viewer?action=AUDIT_VALUE&amp;DB=129&amp;ID1=04743P10&amp;VALUEID=02001&amp;SDATE=201001&amp;PERIODTYPE=QTR_STD&amp;SCFT=3&amp;window=popup_no_bar&amp;width=385&amp;height=120&amp;START_MAXIMIZED=FALSE&amp;creator=factset&amp;display_string=Audit"}</definedName>
    <definedName name="_704__FDSAUDITLINK__" hidden="1">{"fdsup://Directions/FactSet Auditing Viewer?action=AUDIT_VALUE&amp;DB=129&amp;ID1=04743P10&amp;VALUEID=02001&amp;SDATE=201001&amp;PERIODTYPE=QTR_STD&amp;SCFT=3&amp;window=popup_no_bar&amp;width=385&amp;height=120&amp;START_MAXIMIZED=FALSE&amp;creator=factset&amp;display_string=Audit"}</definedName>
    <definedName name="_705__FDSAUDITLINK__" hidden="1">{"fdsup://Directions/FactSet Auditing Viewer?action=AUDIT_VALUE&amp;DB=129&amp;ID1=03251510&amp;VALUEID=02001&amp;SDATE=201001&amp;PERIODTYPE=QTR_STD&amp;SCFT=3&amp;window=popup_no_bar&amp;width=385&amp;height=120&amp;START_MAXIMIZED=FALSE&amp;creator=factset&amp;display_string=Audit"}</definedName>
    <definedName name="_706__FDSAUDITLINK__" hidden="1">{"fdsup://Directions/FactSet Auditing Viewer?action=AUDIT_VALUE&amp;DB=129&amp;ID1=03251510&amp;VALUEID=02001&amp;SDATE=201001&amp;PERIODTYPE=QTR_STD&amp;SCFT=3&amp;window=popup_no_bar&amp;width=385&amp;height=120&amp;START_MAXIMIZED=FALSE&amp;creator=factset&amp;display_string=Audit"}</definedName>
    <definedName name="_707__FDSAUDITLINK__" hidden="1">{"fdsup://Directions/FactSet Auditing Viewer?action=AUDIT_VALUE&amp;DB=129&amp;ID1=00790310&amp;VALUEID=02001&amp;SDATE=201001&amp;PERIODTYPE=QTR_STD&amp;SCFT=3&amp;window=popup_no_bar&amp;width=385&amp;height=120&amp;START_MAXIMIZED=FALSE&amp;creator=factset&amp;display_string=Audit"}</definedName>
    <definedName name="_708__FDSAUDITLINK__" hidden="1">{"fdsup://Directions/FactSet Auditing Viewer?action=AUDIT_VALUE&amp;DB=129&amp;ID1=00790310&amp;VALUEID=02001&amp;SDATE=201001&amp;PERIODTYPE=QTR_STD&amp;SCFT=3&amp;window=popup_no_bar&amp;width=385&amp;height=120&amp;START_MAXIMIZED=FALSE&amp;creator=factset&amp;display_string=Audit"}</definedName>
    <definedName name="_709__FDSAUDITLINK__" hidden="1">{"fdsup://Directions/FactSet Auditing Viewer?action=AUDIT_VALUE&amp;DB=129&amp;ID1=03822210&amp;VALUEID=02001&amp;SDATE=201002&amp;PERIODTYPE=QTR_STD&amp;SCFT=3&amp;window=popup_no_bar&amp;width=385&amp;height=120&amp;START_MAXIMIZED=FALSE&amp;creator=factset&amp;display_string=Audit"}</definedName>
    <definedName name="_71__FDSAUDITLINK__" hidden="1">{"fdsup://Directions/FactSet Auditing Viewer?action=AUDIT_VALUE&amp;DB=129&amp;ID1=62007630&amp;VALUEID=02001&amp;SDATE=201101&amp;PERIODTYPE=QTR_STD&amp;SCFT=3&amp;window=popup_no_bar&amp;width=385&amp;height=120&amp;START_MAXIMIZED=FALSE&amp;creator=factset&amp;display_string=Audit"}</definedName>
    <definedName name="_710__FDSAUDITLINK__" hidden="1">{"fdsup://Directions/FactSet Auditing Viewer?action=AUDIT_VALUE&amp;DB=129&amp;ID1=03822210&amp;VALUEID=02001&amp;SDATE=201002&amp;PERIODTYPE=QTR_STD&amp;SCFT=3&amp;window=popup_no_bar&amp;width=385&amp;height=120&amp;START_MAXIMIZED=FALSE&amp;creator=factset&amp;display_string=Audit"}</definedName>
    <definedName name="_711__FDSAUDITLINK__" hidden="1">{"fdsup://Directions/FactSet Auditing Viewer?action=AUDIT_VALUE&amp;DB=129&amp;ID1=02144110&amp;VALUEID=02001&amp;SDATE=201001&amp;PERIODTYPE=QTR_STD&amp;SCFT=3&amp;window=popup_no_bar&amp;width=385&amp;height=120&amp;START_MAXIMIZED=FALSE&amp;creator=factset&amp;display_string=Audit"}</definedName>
    <definedName name="_712__FDSAUDITLINK__" hidden="1">{"fdsup://Directions/FactSet Auditing Viewer?action=AUDIT_VALUE&amp;DB=129&amp;ID1=02144110&amp;VALUEID=02001&amp;SDATE=201001&amp;PERIODTYPE=QTR_STD&amp;SCFT=3&amp;window=popup_no_bar&amp;width=385&amp;height=120&amp;START_MAXIMIZED=FALSE&amp;creator=factset&amp;display_string=Audit"}</definedName>
    <definedName name="_713__FDSAUDITLINK__" hidden="1">{"fdsup://Directions/FactSet Auditing Viewer?action=AUDIT_VALUE&amp;DB=129&amp;ID1=03265410&amp;VALUEID=02001&amp;SDATE=201002&amp;PERIODTYPE=QTR_STD&amp;SCFT=3&amp;window=popup_no_bar&amp;width=385&amp;height=120&amp;START_MAXIMIZED=FALSE&amp;creator=factset&amp;display_string=Audit"}</definedName>
    <definedName name="_714__FDSAUDITLINK__" hidden="1">{"fdsup://Directions/FactSet Auditing Viewer?action=AUDIT_VALUE&amp;DB=129&amp;ID1=03265410&amp;VALUEID=02001&amp;SDATE=201002&amp;PERIODTYPE=QTR_STD&amp;SCFT=3&amp;window=popup_no_bar&amp;width=385&amp;height=120&amp;START_MAXIMIZED=FALSE&amp;creator=factset&amp;display_string=Audit"}</definedName>
    <definedName name="_715__FDSAUDITLINK__" hidden="1">{"fdsup://Directions/FactSet Auditing Viewer?action=AUDIT_VALUE&amp;DB=129&amp;ID1=00752J10&amp;VALUEID=02001&amp;SDATE=201001&amp;PERIODTYPE=QTR_STD&amp;SCFT=3&amp;window=popup_no_bar&amp;width=385&amp;height=120&amp;START_MAXIMIZED=FALSE&amp;creator=factset&amp;display_string=Audit"}</definedName>
    <definedName name="_716__FDSAUDITLINK__" hidden="1">{"fdsup://Directions/FactSet Auditing Viewer?action=AUDIT_VALUE&amp;DB=129&amp;ID1=00752J10&amp;VALUEID=02001&amp;SDATE=201001&amp;PERIODTYPE=QTR_STD&amp;SCFT=3&amp;window=popup_no_bar&amp;width=385&amp;height=120&amp;START_MAXIMIZED=FALSE&amp;creator=factset&amp;display_string=Audit"}</definedName>
    <definedName name="_717__FDSAUDITLINK__" hidden="1">{"fdsup://Directions/FactSet Auditing Viewer?action=AUDIT_VALUE&amp;DB=129&amp;ID1=98391910&amp;VALUEID=02001&amp;SDATE=200903&amp;PERIODTYPE=QTR_STD&amp;SCFT=3&amp;window=popup_no_bar&amp;width=385&amp;height=120&amp;START_MAXIMIZED=FALSE&amp;creator=factset&amp;display_string=Audit"}</definedName>
    <definedName name="_718__FDSAUDITLINK__" hidden="1">{"fdsup://Directions/FactSet Auditing Viewer?action=AUDIT_VALUE&amp;DB=129&amp;ID1=98391910&amp;VALUEID=02001&amp;SDATE=200903&amp;PERIODTYPE=QTR_STD&amp;SCFT=3&amp;window=popup_no_bar&amp;width=385&amp;height=120&amp;START_MAXIMIZED=FALSE&amp;creator=factset&amp;display_string=Audit"}</definedName>
    <definedName name="_719__FDSAUDITLINK__" hidden="1">{"fdsup://Directions/FactSet Auditing Viewer?action=AUDIT_VALUE&amp;DB=129&amp;ID1=95810210&amp;VALUEID=02001&amp;SDATE=201002&amp;PERIODTYPE=QTR_STD&amp;SCFT=3&amp;window=popup_no_bar&amp;width=385&amp;height=120&amp;START_MAXIMIZED=FALSE&amp;creator=factset&amp;display_string=Audit"}</definedName>
    <definedName name="_72__FDSAUDITLINK__" hidden="1">{"fdsup://Directions/FactSet Auditing Viewer?action=AUDIT_VALUE&amp;DB=129&amp;ID1=62007630&amp;VALUEID=02001&amp;SDATE=201101&amp;PERIODTYPE=QTR_STD&amp;SCFT=3&amp;window=popup_no_bar&amp;width=385&amp;height=120&amp;START_MAXIMIZED=FALSE&amp;creator=factset&amp;display_string=Audit"}</definedName>
    <definedName name="_720__FDSAUDITLINK__" hidden="1">{"fdsup://Directions/FactSet Auditing Viewer?action=AUDIT_VALUE&amp;DB=129&amp;ID1=95810210&amp;VALUEID=02001&amp;SDATE=201002&amp;PERIODTYPE=QTR_STD&amp;SCFT=3&amp;window=popup_no_bar&amp;width=385&amp;height=120&amp;START_MAXIMIZED=FALSE&amp;creator=factset&amp;display_string=Audit"}</definedName>
    <definedName name="_721__FDSAUDITLINK__" hidden="1">{"fdsup://Directions/FactSet Auditing Viewer?action=AUDIT_VALUE&amp;DB=129&amp;ID1=92849730&amp;VALUEID=02001&amp;SDATE=201001&amp;PERIODTYPE=QTR_STD&amp;SCFT=3&amp;window=popup_no_bar&amp;width=385&amp;height=120&amp;START_MAXIMIZED=FALSE&amp;creator=factset&amp;display_string=Audit"}</definedName>
    <definedName name="_722__FDSAUDITLINK__" hidden="1">{"fdsup://Directions/FactSet Auditing Viewer?action=AUDIT_VALUE&amp;DB=129&amp;ID1=92849730&amp;VALUEID=02001&amp;SDATE=201001&amp;PERIODTYPE=QTR_STD&amp;SCFT=3&amp;window=popup_no_bar&amp;width=385&amp;height=120&amp;START_MAXIMIZED=FALSE&amp;creator=factset&amp;display_string=Audit"}</definedName>
    <definedName name="_723__FDSAUDITLINK__" hidden="1">{"fdsup://Directions/FactSet Auditing Viewer?action=AUDIT_VALUE&amp;DB=129&amp;ID1=83088M10&amp;VALUEID=02001&amp;SDATE=201001&amp;PERIODTYPE=QTR_STD&amp;SCFT=3&amp;window=popup_no_bar&amp;width=385&amp;height=120&amp;START_MAXIMIZED=FALSE&amp;creator=factset&amp;display_string=Audit"}</definedName>
    <definedName name="_724__FDSAUDITLINK__" hidden="1">{"fdsup://Directions/FactSet Auditing Viewer?action=AUDIT_VALUE&amp;DB=129&amp;ID1=83088M10&amp;VALUEID=02001&amp;SDATE=201001&amp;PERIODTYPE=QTR_STD&amp;SCFT=3&amp;window=popup_no_bar&amp;width=385&amp;height=120&amp;START_MAXIMIZED=FALSE&amp;creator=factset&amp;display_string=Audit"}</definedName>
    <definedName name="_725__FDSAUDITLINK__" hidden="1">{"fdsup://Directions/FactSet Auditing Viewer?action=AUDIT_VALUE&amp;DB=129&amp;ID1=G7945M10&amp;VALUEID=02001&amp;SDATE=201002&amp;PERIODTYPE=QTR_STD&amp;SCFT=3&amp;window=popup_no_bar&amp;width=385&amp;height=120&amp;START_MAXIMIZED=FALSE&amp;creator=factset&amp;display_string=Audit"}</definedName>
    <definedName name="_726__FDSAUDITLINK__" hidden="1">{"fdsup://Directions/FactSet Auditing Viewer?action=AUDIT_VALUE&amp;DB=129&amp;ID1=G7945M10&amp;VALUEID=02001&amp;SDATE=201002&amp;PERIODTYPE=QTR_STD&amp;SCFT=3&amp;window=popup_no_bar&amp;width=385&amp;height=120&amp;START_MAXIMIZED=FALSE&amp;creator=factset&amp;display_string=Audit"}</definedName>
    <definedName name="_727__FDSAUDITLINK__" hidden="1">{"fdsup://Directions/FactSet Auditing Viewer?action=AUDIT_VALUE&amp;DB=129&amp;ID1=87160710&amp;VALUEID=02001&amp;SDATE=201001&amp;PERIODTYPE=QTR_STD&amp;SCFT=3&amp;window=popup_no_bar&amp;width=385&amp;height=120&amp;START_MAXIMIZED=FALSE&amp;creator=factset&amp;display_string=Audit"}</definedName>
    <definedName name="_728__FDSAUDITLINK__" hidden="1">{"fdsup://Directions/FactSet Auditing Viewer?action=AUDIT_VALUE&amp;DB=129&amp;ID1=87160710&amp;VALUEID=02001&amp;SDATE=201001&amp;PERIODTYPE=QTR_STD&amp;SCFT=3&amp;window=popup_no_bar&amp;width=385&amp;height=120&amp;START_MAXIMIZED=FALSE&amp;creator=factset&amp;display_string=Audit"}</definedName>
    <definedName name="_729__FDSAUDITLINK__" hidden="1">{"fdsup://Directions/FactSet Auditing Viewer?action=AUDIT_VALUE&amp;DB=129&amp;ID1=81685010&amp;VALUEID=02001&amp;SDATE=200904&amp;PERIODTYPE=QTR_STD&amp;SCFT=3&amp;window=popup_no_bar&amp;width=385&amp;height=120&amp;START_MAXIMIZED=FALSE&amp;creator=factset&amp;display_string=Audit"}</definedName>
    <definedName name="_73__FDSAUDITLINK__" hidden="1">{"fdsup://Directions/FactSet Auditing Viewer?action=AUDIT_VALUE&amp;DB=129&amp;ID1=60456710&amp;VALUEID=02001&amp;SDATE=201103&amp;PERIODTYPE=QTR_STD&amp;SCFT=3&amp;window=popup_no_bar&amp;width=385&amp;height=120&amp;START_MAXIMIZED=FALSE&amp;creator=factset&amp;display_string=Audit"}</definedName>
    <definedName name="_730__FDSAUDITLINK__" hidden="1">{"fdsup://Directions/FactSet Auditing Viewer?action=AUDIT_VALUE&amp;DB=129&amp;ID1=81685010&amp;VALUEID=02001&amp;SDATE=200904&amp;PERIODTYPE=QTR_STD&amp;SCFT=3&amp;window=popup_no_bar&amp;width=385&amp;height=120&amp;START_MAXIMIZED=FALSE&amp;creator=factset&amp;display_string=Audit"}</definedName>
    <definedName name="_731__FDSAUDITLINK__" hidden="1">{"fdsup://Directions/FactSet Auditing Viewer?action=AUDIT_VALUE&amp;DB=129&amp;ID1=74994110&amp;VALUEID=02001&amp;SDATE=200903&amp;PERIODTYPE=QTR_STD&amp;SCFT=3&amp;window=popup_no_bar&amp;width=385&amp;height=120&amp;START_MAXIMIZED=FALSE&amp;creator=factset&amp;display_string=Audit"}</definedName>
    <definedName name="_732__FDSAUDITLINK__" hidden="1">{"fdsup://Directions/FactSet Auditing Viewer?action=AUDIT_VALUE&amp;DB=129&amp;ID1=74994110&amp;VALUEID=02001&amp;SDATE=200903&amp;PERIODTYPE=QTR_STD&amp;SCFT=3&amp;window=popup_no_bar&amp;width=385&amp;height=120&amp;START_MAXIMIZED=FALSE&amp;creator=factset&amp;display_string=Audit"}</definedName>
    <definedName name="_733__FDSAUDITLINK__" hidden="1">{"fdsup://Directions/FactSet Auditing Viewer?action=AUDIT_VALUE&amp;DB=129&amp;ID1=74727710&amp;VALUEID=02001&amp;SDATE=200903&amp;PERIODTYPE=QTR_STD&amp;SCFT=3&amp;window=popup_no_bar&amp;width=385&amp;height=120&amp;START_MAXIMIZED=FALSE&amp;creator=factset&amp;display_string=Audit"}</definedName>
    <definedName name="_734__FDSAUDITLINK__" hidden="1">{"fdsup://Directions/FactSet Auditing Viewer?action=AUDIT_VALUE&amp;DB=129&amp;ID1=74727710&amp;VALUEID=02001&amp;SDATE=200903&amp;PERIODTYPE=QTR_STD&amp;SCFT=3&amp;window=popup_no_bar&amp;width=385&amp;height=120&amp;START_MAXIMIZED=FALSE&amp;creator=factset&amp;display_string=Audit"}</definedName>
    <definedName name="_735__FDSAUDITLINK__" hidden="1">{"fdsup://Directions/FactSet Auditing Viewer?action=AUDIT_VALUE&amp;DB=129&amp;ID1=74752510&amp;VALUEID=02001&amp;SDATE=201001&amp;PERIODTYPE=QTR_STD&amp;SCFT=3&amp;window=popup_no_bar&amp;width=385&amp;height=120&amp;START_MAXIMIZED=FALSE&amp;creator=factset&amp;display_string=Audit"}</definedName>
    <definedName name="_736__FDSAUDITLINK__" hidden="1">{"fdsup://Directions/FactSet Auditing Viewer?action=AUDIT_VALUE&amp;DB=129&amp;ID1=74752510&amp;VALUEID=02001&amp;SDATE=201001&amp;PERIODTYPE=QTR_STD&amp;SCFT=3&amp;window=popup_no_bar&amp;width=385&amp;height=120&amp;START_MAXIMIZED=FALSE&amp;creator=factset&amp;display_string=Audit"}</definedName>
    <definedName name="_737__FDSAUDITLINK__" hidden="1">{"fdsup://Directions/FactSet Auditing Viewer?action=AUDIT_VALUE&amp;DB=129&amp;ID1=B505PN&amp;VALUEID=02001&amp;SDATE=200904&amp;PERIODTYPE=QTR_STD&amp;SCFT=3&amp;window=popup_no_bar&amp;width=385&amp;height=120&amp;START_MAXIMIZED=FALSE&amp;creator=factset&amp;display_string=Audit"}</definedName>
    <definedName name="_738__FDSAUDITLINK__" hidden="1">{"fdsup://Directions/FactSet Auditing Viewer?action=AUDIT_VALUE&amp;DB=129&amp;ID1=B505PN&amp;VALUEID=02001&amp;SDATE=200904&amp;PERIODTYPE=QTR_STD&amp;SCFT=3&amp;window=popup_no_bar&amp;width=385&amp;height=120&amp;START_MAXIMIZED=FALSE&amp;creator=factset&amp;display_string=Audit"}</definedName>
    <definedName name="_739__FDSAUDITLINK__" hidden="1">{"fdsup://Directions/FactSet Auditing Viewer?action=AUDIT_VALUE&amp;DB=129&amp;ID1=63764010&amp;VALUEID=02001&amp;SDATE=200902&amp;PERIODTYPE=QTR_STD&amp;SCFT=3&amp;window=popup_no_bar&amp;width=385&amp;height=120&amp;START_MAXIMIZED=FALSE&amp;creator=factset&amp;display_string=Audit"}</definedName>
    <definedName name="_74__FDSAUDITLINK__" hidden="1">{"fdsup://Directions/FactSet Auditing Viewer?action=AUDIT_VALUE&amp;DB=129&amp;ID1=60456710&amp;VALUEID=02001&amp;SDATE=201103&amp;PERIODTYPE=QTR_STD&amp;SCFT=3&amp;window=popup_no_bar&amp;width=385&amp;height=120&amp;START_MAXIMIZED=FALSE&amp;creator=factset&amp;display_string=Audit"}</definedName>
    <definedName name="_740__FDSAUDITLINK__" hidden="1">{"fdsup://Directions/FactSet Auditing Viewer?action=AUDIT_VALUE&amp;DB=129&amp;ID1=63764010&amp;VALUEID=02001&amp;SDATE=200902&amp;PERIODTYPE=QTR_STD&amp;SCFT=3&amp;window=popup_no_bar&amp;width=385&amp;height=120&amp;START_MAXIMIZED=FALSE&amp;creator=factset&amp;display_string=Audit"}</definedName>
    <definedName name="_741__FDSAUDITLINK__" hidden="1">{"fdsup://Directions/FactSet Auditing Viewer?action=AUDIT_VALUE&amp;DB=129&amp;ID1=57772K10&amp;VALUEID=02001&amp;SDATE=201002&amp;PERIODTYPE=QTR_STD&amp;SCFT=3&amp;window=popup_no_bar&amp;width=385&amp;height=120&amp;START_MAXIMIZED=FALSE&amp;creator=factset&amp;display_string=Audit"}</definedName>
    <definedName name="_742__FDSAUDITLINK__" hidden="1">{"fdsup://Directions/FactSet Auditing Viewer?action=AUDIT_VALUE&amp;DB=129&amp;ID1=57772K10&amp;VALUEID=02001&amp;SDATE=201002&amp;PERIODTYPE=QTR_STD&amp;SCFT=3&amp;window=popup_no_bar&amp;width=385&amp;height=120&amp;START_MAXIMIZED=FALSE&amp;creator=factset&amp;display_string=Audit"}</definedName>
    <definedName name="_743__FDSAUDITLINK__" hidden="1">{"fdsup://Directions/FactSet Auditing Viewer?action=AUDIT_VALUE&amp;DB=129&amp;ID1=59511210&amp;VALUEID=02001&amp;SDATE=201001&amp;PERIODTYPE=QTR_STD&amp;SCFT=3&amp;window=popup_no_bar&amp;width=385&amp;height=120&amp;START_MAXIMIZED=FALSE&amp;creator=factset&amp;display_string=Audit"}</definedName>
    <definedName name="_744__FDSAUDITLINK__" hidden="1">{"fdsup://Directions/FactSet Auditing Viewer?action=AUDIT_VALUE&amp;DB=129&amp;ID1=59511210&amp;VALUEID=02001&amp;SDATE=201001&amp;PERIODTYPE=QTR_STD&amp;SCFT=3&amp;window=popup_no_bar&amp;width=385&amp;height=120&amp;START_MAXIMIZED=FALSE&amp;creator=factset&amp;display_string=Audit"}</definedName>
    <definedName name="_745__FDSAUDITLINK__" hidden="1">{"fdsup://Directions/FactSet Auditing Viewer?action=AUDIT_VALUE&amp;DB=129&amp;ID1=59513710&amp;VALUEID=02001&amp;SDATE=201001&amp;PERIODTYPE=QTR_STD&amp;SCFT=3&amp;window=popup_no_bar&amp;width=385&amp;height=120&amp;START_MAXIMIZED=FALSE&amp;creator=factset&amp;display_string=Audit"}</definedName>
    <definedName name="_746__FDSAUDITLINK__" hidden="1">{"fdsup://Directions/FactSet Auditing Viewer?action=AUDIT_VALUE&amp;DB=129&amp;ID1=59513710&amp;VALUEID=02001&amp;SDATE=201001&amp;PERIODTYPE=QTR_STD&amp;SCFT=3&amp;window=popup_no_bar&amp;width=385&amp;height=120&amp;START_MAXIMIZED=FALSE&amp;creator=factset&amp;display_string=Audit"}</definedName>
    <definedName name="_747__FDSAUDITLINK__" hidden="1">{"fdsup://Directions/FactSet Auditing Viewer?action=AUDIT_VALUE&amp;DB=129&amp;ID1=60456710&amp;VALUEID=02001&amp;SDATE=201002&amp;PERIODTYPE=QTR_STD&amp;SCFT=3&amp;window=popup_no_bar&amp;width=385&amp;height=120&amp;START_MAXIMIZED=FALSE&amp;creator=factset&amp;display_string=Audit"}</definedName>
    <definedName name="_748__FDSAUDITLINK__" hidden="1">{"fdsup://Directions/FactSet Auditing Viewer?action=AUDIT_VALUE&amp;DB=129&amp;ID1=60456710&amp;VALUEID=02001&amp;SDATE=201002&amp;PERIODTYPE=QTR_STD&amp;SCFT=3&amp;window=popup_no_bar&amp;width=385&amp;height=120&amp;START_MAXIMIZED=FALSE&amp;creator=factset&amp;display_string=Audit"}</definedName>
    <definedName name="_749__FDSAUDITLINK__" hidden="1">{"fdsup://Directions/FactSet Auditing Viewer?action=AUDIT_VALUE&amp;DB=129&amp;ID1=59501710&amp;VALUEID=02001&amp;SDATE=200903&amp;PERIODTYPE=QTR_STD&amp;SCFT=3&amp;window=popup_no_bar&amp;width=385&amp;height=120&amp;START_MAXIMIZED=FALSE&amp;creator=factset&amp;display_string=Audit"}</definedName>
    <definedName name="_75__FDSAUDITLINK__" hidden="1">{"fdsup://Directions/FactSet Auditing Viewer?action=AUDIT_VALUE&amp;DB=129&amp;ID1=59479310&amp;VALUEID=02001&amp;SDATE=201101&amp;PERIODTYPE=QTR_STD&amp;SCFT=3&amp;window=popup_no_bar&amp;width=385&amp;height=120&amp;START_MAXIMIZED=FALSE&amp;creator=factset&amp;display_string=Audit"}</definedName>
    <definedName name="_750__FDSAUDITLINK__" hidden="1">{"fdsup://Directions/FactSet Auditing Viewer?action=AUDIT_VALUE&amp;DB=129&amp;ID1=59501710&amp;VALUEID=02001&amp;SDATE=200903&amp;PERIODTYPE=QTR_STD&amp;SCFT=3&amp;window=popup_no_bar&amp;width=385&amp;height=120&amp;START_MAXIMIZED=FALSE&amp;creator=factset&amp;display_string=Audit"}</definedName>
    <definedName name="_751__FDSAUDITLINK__" hidden="1">{"fdsup://Directions/FactSet Auditing Viewer?action=AUDIT_VALUE&amp;DB=129&amp;ID1=51280710&amp;VALUEID=02001&amp;SDATE=201002&amp;PERIODTYPE=QTR_STD&amp;SCFT=3&amp;window=popup_no_bar&amp;width=385&amp;height=120&amp;START_MAXIMIZED=FALSE&amp;creator=factset&amp;display_string=Audit"}</definedName>
    <definedName name="_752__FDSAUDITLINK__" hidden="1">{"fdsup://Directions/FactSet Auditing Viewer?action=AUDIT_VALUE&amp;DB=129&amp;ID1=51280710&amp;VALUEID=02001&amp;SDATE=201002&amp;PERIODTYPE=QTR_STD&amp;SCFT=3&amp;window=popup_no_bar&amp;width=385&amp;height=120&amp;START_MAXIMIZED=FALSE&amp;creator=factset&amp;display_string=Audit"}</definedName>
    <definedName name="_753__FDSAUDITLINK__" hidden="1">{"fdsup://Directions/FactSet Auditing Viewer?action=AUDIT_VALUE&amp;DB=129&amp;ID1=53567810&amp;VALUEID=02001&amp;SDATE=201002&amp;PERIODTYPE=QTR_STD&amp;SCFT=3&amp;window=popup_no_bar&amp;width=385&amp;height=120&amp;START_MAXIMIZED=FALSE&amp;creator=factset&amp;display_string=Audit"}</definedName>
    <definedName name="_754__FDSAUDITLINK__" hidden="1">{"fdsup://Directions/FactSet Auditing Viewer?action=AUDIT_VALUE&amp;DB=129&amp;ID1=53567810&amp;VALUEID=02001&amp;SDATE=201002&amp;PERIODTYPE=QTR_STD&amp;SCFT=3&amp;window=popup_no_bar&amp;width=385&amp;height=120&amp;START_MAXIMIZED=FALSE&amp;creator=factset&amp;display_string=Audit"}</definedName>
    <definedName name="_755__FDSAUDITLINK__" hidden="1">{"fdsup://Directions/FactSet Auditing Viewer?action=AUDIT_VALUE&amp;DB=129&amp;ID1=48248010&amp;VALUEID=02001&amp;SDATE=201002&amp;PERIODTYPE=QTR_STD&amp;SCFT=3&amp;window=popup_no_bar&amp;width=385&amp;height=120&amp;START_MAXIMIZED=FALSE&amp;creator=factset&amp;display_string=Audit"}</definedName>
    <definedName name="_756__FDSAUDITLINK__" hidden="1">{"fdsup://Directions/FactSet Auditing Viewer?action=AUDIT_VALUE&amp;DB=129&amp;ID1=48248010&amp;VALUEID=02001&amp;SDATE=201002&amp;PERIODTYPE=QTR_STD&amp;SCFT=3&amp;window=popup_no_bar&amp;width=385&amp;height=120&amp;START_MAXIMIZED=FALSE&amp;creator=factset&amp;display_string=Audit"}</definedName>
    <definedName name="_757__FDSAUDITLINK__" hidden="1">{"fdsup://Directions/FactSet Auditing Viewer?action=AUDIT_VALUE&amp;DB=129&amp;ID1=48836020&amp;VALUEID=02001&amp;SDATE=200903&amp;PERIODTYPE=QTR_STD&amp;SCFT=3&amp;window=popup_no_bar&amp;width=385&amp;height=120&amp;START_MAXIMIZED=FALSE&amp;creator=factset&amp;display_string=Audit"}</definedName>
    <definedName name="_758__FDSAUDITLINK__" hidden="1">{"fdsup://Directions/FactSet Auditing Viewer?action=AUDIT_VALUE&amp;DB=129&amp;ID1=48836020&amp;VALUEID=02001&amp;SDATE=200903&amp;PERIODTYPE=QTR_STD&amp;SCFT=3&amp;window=popup_no_bar&amp;width=385&amp;height=120&amp;START_MAXIMIZED=FALSE&amp;creator=factset&amp;display_string=Audit"}</definedName>
    <definedName name="_759__FDSAUDITLINK__" hidden="1">{"fdsup://Directions/FactSet Auditing Viewer?action=AUDIT_VALUE&amp;DB=129&amp;ID1=46025410&amp;VALUEID=02001&amp;SDATE=201002&amp;PERIODTYPE=QTR_STD&amp;SCFT=3&amp;window=popup_no_bar&amp;width=385&amp;height=120&amp;START_MAXIMIZED=FALSE&amp;creator=factset&amp;display_string=Audit"}</definedName>
    <definedName name="_76__FDSAUDITLINK__" hidden="1">{"fdsup://Directions/FactSet Auditing Viewer?action=AUDIT_VALUE&amp;DB=129&amp;ID1=59479310&amp;VALUEID=02001&amp;SDATE=201101&amp;PERIODTYPE=QTR_STD&amp;SCFT=3&amp;window=popup_no_bar&amp;width=385&amp;height=120&amp;START_MAXIMIZED=FALSE&amp;creator=factset&amp;display_string=Audit"}</definedName>
    <definedName name="_760__FDSAUDITLINK__" hidden="1">{"fdsup://Directions/FactSet Auditing Viewer?action=AUDIT_VALUE&amp;DB=129&amp;ID1=46025410&amp;VALUEID=02001&amp;SDATE=201002&amp;PERIODTYPE=QTR_STD&amp;SCFT=3&amp;window=popup_no_bar&amp;width=385&amp;height=120&amp;START_MAXIMIZED=FALSE&amp;creator=factset&amp;display_string=Audit"}</definedName>
    <definedName name="_761__FDSAUDITLINK__" hidden="1">{"fdsup://Directions/FactSet Auditing Viewer?action=AUDIT_VALUE&amp;DB=129&amp;ID1=45811810&amp;VALUEID=02001&amp;SDATE=200903&amp;PERIODTYPE=QTR_STD&amp;SCFT=3&amp;window=popup_no_bar&amp;width=385&amp;height=120&amp;START_MAXIMIZED=FALSE&amp;creator=factset&amp;display_string=Audit"}</definedName>
    <definedName name="_762__FDSAUDITLINK__" hidden="1">{"fdsup://Directions/FactSet Auditing Viewer?action=AUDIT_VALUE&amp;DB=129&amp;ID1=45811810&amp;VALUEID=02001&amp;SDATE=200903&amp;PERIODTYPE=QTR_STD&amp;SCFT=3&amp;window=popup_no_bar&amp;width=385&amp;height=120&amp;START_MAXIMIZED=FALSE&amp;creator=factset&amp;display_string=Audit"}</definedName>
    <definedName name="_763__FDSAUDITLINK__" hidden="1">{"fdsup://Directions/FactSet Auditing Viewer?action=AUDIT_VALUE&amp;DB=129&amp;ID1=42823610&amp;VALUEID=02001&amp;SDATE=201001&amp;PERIODTYPE=QTR_STD&amp;SCFT=3&amp;window=popup_no_bar&amp;width=385&amp;height=120&amp;START_MAXIMIZED=FALSE&amp;creator=factset&amp;display_string=Audit"}</definedName>
    <definedName name="_764__FDSAUDITLINK__" hidden="1">{"fdsup://Directions/FactSet Auditing Viewer?action=AUDIT_VALUE&amp;DB=129&amp;ID1=42823610&amp;VALUEID=02001&amp;SDATE=201001&amp;PERIODTYPE=QTR_STD&amp;SCFT=3&amp;window=popup_no_bar&amp;width=385&amp;height=120&amp;START_MAXIMIZED=FALSE&amp;creator=factset&amp;display_string=Audit"}</definedName>
    <definedName name="_765__FDSAUDITLINK__" hidden="1">{"fdsup://Directions/FactSet Auditing Viewer?action=AUDIT_VALUE&amp;DB=129&amp;ID1=31561610&amp;VALUEID=02001&amp;SDATE=201001&amp;PERIODTYPE=QTR_STD&amp;SCFT=3&amp;window=popup_no_bar&amp;width=385&amp;height=120&amp;START_MAXIMIZED=FALSE&amp;creator=factset&amp;display_string=Audit"}</definedName>
    <definedName name="_766__FDSAUDITLINK__" hidden="1">{"fdsup://Directions/FactSet Auditing Viewer?action=AUDIT_VALUE&amp;DB=129&amp;ID1=31561610&amp;VALUEID=02001&amp;SDATE=201001&amp;PERIODTYPE=QTR_STD&amp;SCFT=3&amp;window=popup_no_bar&amp;width=385&amp;height=120&amp;START_MAXIMIZED=FALSE&amp;creator=factset&amp;display_string=Audit"}</definedName>
    <definedName name="_767__FDSAUDITLINK__" hidden="1">{"fdsup://Directions/FactSet Auditing Viewer?action=AUDIT_VALUE&amp;DB=129&amp;ID1=29247520&amp;VALUEID=02001&amp;SDATE=201002&amp;PERIODTYPE=QTR_STD&amp;SCFT=3&amp;window=popup_no_bar&amp;width=385&amp;height=120&amp;START_MAXIMIZED=FALSE&amp;creator=factset&amp;display_string=Audit"}</definedName>
    <definedName name="_768__FDSAUDITLINK__" hidden="1">{"fdsup://Directions/FactSet Auditing Viewer?action=AUDIT_VALUE&amp;DB=129&amp;ID1=29247520&amp;VALUEID=02001&amp;SDATE=201002&amp;PERIODTYPE=QTR_STD&amp;SCFT=3&amp;window=popup_no_bar&amp;width=385&amp;height=120&amp;START_MAXIMIZED=FALSE&amp;creator=factset&amp;display_string=Audit"}</definedName>
    <definedName name="_769__FDSAUDITLINK__" hidden="1">{"fdsup://Directions/FactSet Auditing Viewer?action=AUDIT_VALUE&amp;DB=129&amp;ID1=17275R10&amp;VALUEID=02001&amp;SDATE=201002&amp;PERIODTYPE=QTR_STD&amp;SCFT=3&amp;window=popup_no_bar&amp;width=385&amp;height=120&amp;START_MAXIMIZED=FALSE&amp;creator=factset&amp;display_string=Audit"}</definedName>
    <definedName name="_77__FDSAUDITLINK__" hidden="1">{"fdsup://Directions/FactSet Auditing Viewer?action=AUDIT_VALUE&amp;DB=129&amp;ID1=59501710&amp;VALUEID=02001&amp;SDATE=201004&amp;PERIODTYPE=QTR_STD&amp;SCFT=3&amp;window=popup_no_bar&amp;width=385&amp;height=120&amp;START_MAXIMIZED=FALSE&amp;creator=factset&amp;display_string=Audit"}</definedName>
    <definedName name="_770__FDSAUDITLINK__" hidden="1">{"fdsup://Directions/FactSet Auditing Viewer?action=AUDIT_VALUE&amp;DB=129&amp;ID1=17275R10&amp;VALUEID=02001&amp;SDATE=201002&amp;PERIODTYPE=QTR_STD&amp;SCFT=3&amp;window=popup_no_bar&amp;width=385&amp;height=120&amp;START_MAXIMIZED=FALSE&amp;creator=factset&amp;display_string=Audit"}</definedName>
    <definedName name="_771__FDSAUDITLINK__" hidden="1">{"fdsup://Directions/FactSet Auditing Viewer?action=AUDIT_VALUE&amp;DB=129&amp;ID1=22544710&amp;VALUEID=02001&amp;SDATE=201002&amp;PERIODTYPE=QTR_STD&amp;SCFT=3&amp;window=popup_no_bar&amp;width=385&amp;height=120&amp;START_MAXIMIZED=FALSE&amp;creator=factset&amp;display_string=Audit"}</definedName>
    <definedName name="_772__FDSAUDITLINK__" hidden="1">{"fdsup://Directions/FactSet Auditing Viewer?action=AUDIT_VALUE&amp;DB=129&amp;ID1=22544710&amp;VALUEID=02001&amp;SDATE=201002&amp;PERIODTYPE=QTR_STD&amp;SCFT=3&amp;window=popup_no_bar&amp;width=385&amp;height=120&amp;START_MAXIMIZED=FALSE&amp;creator=factset&amp;display_string=Audit"}</definedName>
    <definedName name="_773__FDSAUDITLINK__" hidden="1">{"fdsup://Directions/FactSet Auditing Viewer?action=AUDIT_VALUE&amp;DB=129&amp;ID1=20714230&amp;VALUEID=02001&amp;SDATE=201001&amp;PERIODTYPE=QTR_STD&amp;SCFT=3&amp;window=popup_no_bar&amp;width=385&amp;height=120&amp;START_MAXIMIZED=FALSE&amp;creator=factset&amp;display_string=Audit"}</definedName>
    <definedName name="_774__FDSAUDITLINK__" hidden="1">{"fdsup://Directions/FactSet Auditing Viewer?action=AUDIT_VALUE&amp;DB=129&amp;ID1=20714230&amp;VALUEID=02001&amp;SDATE=201001&amp;PERIODTYPE=QTR_STD&amp;SCFT=3&amp;window=popup_no_bar&amp;width=385&amp;height=120&amp;START_MAXIMIZED=FALSE&amp;creator=factset&amp;display_string=Audit"}</definedName>
    <definedName name="_775__FDSAUDITLINK__" hidden="1">{"fdsup://Directions/FactSet Auditing Viewer?action=AUDIT_VALUE&amp;DB=129&amp;ID1=12738710&amp;VALUEID=02001&amp;SDATE=200904&amp;PERIODTYPE=QTR_STD&amp;SCFT=3&amp;window=popup_no_bar&amp;width=385&amp;height=120&amp;START_MAXIMIZED=FALSE&amp;creator=factset&amp;display_string=Audit"}</definedName>
    <definedName name="_776__FDSAUDITLINK__" hidden="1">{"fdsup://Directions/FactSet Auditing Viewer?action=AUDIT_VALUE&amp;DB=129&amp;ID1=12738710&amp;VALUEID=02001&amp;SDATE=200904&amp;PERIODTYPE=QTR_STD&amp;SCFT=3&amp;window=popup_no_bar&amp;width=385&amp;height=120&amp;START_MAXIMIZED=FALSE&amp;creator=factset&amp;display_string=Audit"}</definedName>
    <definedName name="_777__FDSAUDITLINK__" hidden="1">{"fdsup://Directions/FactSet Auditing Viewer?action=AUDIT_VALUE&amp;DB=129&amp;ID1=11162130&amp;VALUEID=02001&amp;SDATE=201001&amp;PERIODTYPE=QTR_STD&amp;SCFT=3&amp;window=popup_no_bar&amp;width=385&amp;height=120&amp;START_MAXIMIZED=FALSE&amp;creator=factset&amp;display_string=Audit"}</definedName>
    <definedName name="_778__FDSAUDITLINK__" hidden="1">{"fdsup://Directions/FactSet Auditing Viewer?action=AUDIT_VALUE&amp;DB=129&amp;ID1=11162130&amp;VALUEID=02001&amp;SDATE=201001&amp;PERIODTYPE=QTR_STD&amp;SCFT=3&amp;window=popup_no_bar&amp;width=385&amp;height=120&amp;START_MAXIMIZED=FALSE&amp;creator=factset&amp;display_string=Audit"}</definedName>
    <definedName name="_779__FDSAUDITLINK__" hidden="1">{"fdsup://Directions/FactSet Auditing Viewer?action=AUDIT_VALUE&amp;DB=129&amp;ID1=Y0486S10&amp;VALUEID=02001&amp;SDATE=201001&amp;PERIODTYPE=QTR_STD&amp;SCFT=3&amp;window=popup_no_bar&amp;width=385&amp;height=120&amp;START_MAXIMIZED=FALSE&amp;creator=factset&amp;display_string=Audit"}</definedName>
    <definedName name="_78__FDSAUDITLINK__" hidden="1">{"fdsup://Directions/FactSet Auditing Viewer?action=AUDIT_VALUE&amp;DB=129&amp;ID1=59501710&amp;VALUEID=02001&amp;SDATE=201004&amp;PERIODTYPE=QTR_STD&amp;SCFT=3&amp;window=popup_no_bar&amp;width=385&amp;height=120&amp;START_MAXIMIZED=FALSE&amp;creator=factset&amp;display_string=Audit"}</definedName>
    <definedName name="_780__FDSAUDITLINK__" hidden="1">{"fdsup://Directions/FactSet Auditing Viewer?action=AUDIT_VALUE&amp;DB=129&amp;ID1=Y0486S10&amp;VALUEID=02001&amp;SDATE=201001&amp;PERIODTYPE=QTR_STD&amp;SCFT=3&amp;window=popup_no_bar&amp;width=385&amp;height=120&amp;START_MAXIMIZED=FALSE&amp;creator=factset&amp;display_string=Audit"}</definedName>
    <definedName name="_781__FDSAUDITLINK__" hidden="1">{"fdsup://Directions/FactSet Auditing Viewer?action=AUDIT_VALUE&amp;DB=129&amp;ID1=03822W40&amp;VALUEID=02001&amp;SDATE=200903&amp;PERIODTYPE=QTR_STD&amp;SCFT=3&amp;window=popup_no_bar&amp;width=385&amp;height=120&amp;START_MAXIMIZED=FALSE&amp;creator=factset&amp;display_string=Audit"}</definedName>
    <definedName name="_782__FDSAUDITLINK__" hidden="1">{"fdsup://Directions/FactSet Auditing Viewer?action=AUDIT_VALUE&amp;DB=129&amp;ID1=03822W40&amp;VALUEID=02001&amp;SDATE=200903&amp;PERIODTYPE=QTR_STD&amp;SCFT=3&amp;window=popup_no_bar&amp;width=385&amp;height=120&amp;START_MAXIMIZED=FALSE&amp;creator=factset&amp;display_string=Audit"}</definedName>
    <definedName name="_783__FDSAUDITLINK__" hidden="1">{"fdsup://Directions/FactSet Auditing Viewer?action=AUDIT_VALUE&amp;DB=129&amp;ID1=03822210&amp;VALUEID=02001&amp;SDATE=201001&amp;PERIODTYPE=QTR_STD&amp;SCFT=3&amp;window=popup_no_bar&amp;width=385&amp;height=120&amp;START_MAXIMIZED=FALSE&amp;creator=factset&amp;display_string=Audit"}</definedName>
    <definedName name="_784__FDSAUDITLINK__" hidden="1">{"fdsup://Directions/FactSet Auditing Viewer?action=AUDIT_VALUE&amp;DB=129&amp;ID1=03822210&amp;VALUEID=02001&amp;SDATE=201001&amp;PERIODTYPE=QTR_STD&amp;SCFT=3&amp;window=popup_no_bar&amp;width=385&amp;height=120&amp;START_MAXIMIZED=FALSE&amp;creator=factset&amp;display_string=Audit"}</definedName>
    <definedName name="_785__FDSAUDITLINK__" hidden="1">{"fdsup://Directions/FactSet Auditing Viewer?action=AUDIT_VALUE&amp;DB=129&amp;ID1=03265410&amp;VALUEID=02001&amp;SDATE=201001&amp;PERIODTYPE=QTR_STD&amp;SCFT=3&amp;window=popup_no_bar&amp;width=385&amp;height=120&amp;START_MAXIMIZED=FALSE&amp;creator=factset&amp;display_string=Audit"}</definedName>
    <definedName name="_786__FDSAUDITLINK__" hidden="1">{"fdsup://Directions/FactSet Auditing Viewer?action=AUDIT_VALUE&amp;DB=129&amp;ID1=03265410&amp;VALUEID=02001&amp;SDATE=201001&amp;PERIODTYPE=QTR_STD&amp;SCFT=3&amp;window=popup_no_bar&amp;width=385&amp;height=120&amp;START_MAXIMIZED=FALSE&amp;creator=factset&amp;display_string=Audit"}</definedName>
    <definedName name="_787__FDSAUDITLINK__" hidden="1">{"fdsup://Directions/FactSet Auditing Viewer?action=AUDIT_VALUE&amp;DB=129&amp;ID1=98975F10&amp;VALUEID=02001&amp;SDATE=200903&amp;PERIODTYPE=QTR_STD&amp;SCFT=3&amp;window=popup_no_bar&amp;width=385&amp;height=120&amp;START_MAXIMIZED=FALSE&amp;creator=factset&amp;display_string=Audit"}</definedName>
    <definedName name="_788__FDSAUDITLINK__" hidden="1">{"fdsup://Directions/FactSet Auditing Viewer?action=AUDIT_VALUE&amp;DB=129&amp;ID1=98975F10&amp;VALUEID=02001&amp;SDATE=200903&amp;PERIODTYPE=QTR_STD&amp;SCFT=3&amp;window=popup_no_bar&amp;width=385&amp;height=120&amp;START_MAXIMIZED=FALSE&amp;creator=factset&amp;display_string=Audit"}</definedName>
    <definedName name="_789__FDSAUDITLINK__" hidden="1">{"fdsup://Directions/FactSet Auditing Viewer?action=AUDIT_VALUE&amp;DB=129&amp;ID1=98391910&amp;VALUEID=02001&amp;SDATE=200902&amp;PERIODTYPE=QTR_STD&amp;SCFT=3&amp;window=popup_no_bar&amp;width=385&amp;height=120&amp;START_MAXIMIZED=FALSE&amp;creator=factset&amp;display_string=Audit"}</definedName>
    <definedName name="_79__FDSAUDITLINK__" hidden="1">{"fdsup://Directions/FactSet Auditing Viewer?action=AUDIT_VALUE&amp;DB=129&amp;ID1=50216110&amp;VALUEID=02001&amp;SDATE=201101&amp;PERIODTYPE=QTR_STD&amp;SCFT=3&amp;window=popup_no_bar&amp;width=385&amp;height=120&amp;START_MAXIMIZED=FALSE&amp;creator=factset&amp;display_string=Audit"}</definedName>
    <definedName name="_790__FDSAUDITLINK__" hidden="1">{"fdsup://Directions/FactSet Auditing Viewer?action=AUDIT_VALUE&amp;DB=129&amp;ID1=98391910&amp;VALUEID=02001&amp;SDATE=200902&amp;PERIODTYPE=QTR_STD&amp;SCFT=3&amp;window=popup_no_bar&amp;width=385&amp;height=120&amp;START_MAXIMIZED=FALSE&amp;creator=factset&amp;display_string=Audit"}</definedName>
    <definedName name="_791__FDSAUDITLINK__" hidden="1">{"fdsup://Directions/FactSet Auditing Viewer?action=AUDIT_VALUE&amp;DB=129&amp;ID1=95810210&amp;VALUEID=02001&amp;SDATE=201001&amp;PERIODTYPE=QTR_STD&amp;SCFT=3&amp;window=popup_no_bar&amp;width=385&amp;height=120&amp;START_MAXIMIZED=FALSE&amp;creator=factset&amp;display_string=Audit"}</definedName>
    <definedName name="_792__FDSAUDITLINK__" hidden="1">{"fdsup://Directions/FactSet Auditing Viewer?action=AUDIT_VALUE&amp;DB=129&amp;ID1=95810210&amp;VALUEID=02001&amp;SDATE=201001&amp;PERIODTYPE=QTR_STD&amp;SCFT=3&amp;window=popup_no_bar&amp;width=385&amp;height=120&amp;START_MAXIMIZED=FALSE&amp;creator=factset&amp;display_string=Audit"}</definedName>
    <definedName name="_793__FDSAUDITLINK__" hidden="1">{"fdsup://Directions/FactSet Auditing Viewer?action=AUDIT_VALUE&amp;DB=129&amp;ID1=92829810&amp;VALUEID=02001&amp;SDATE=200903&amp;PERIODTYPE=QTR_STD&amp;SCFT=3&amp;window=popup_no_bar&amp;width=385&amp;height=120&amp;START_MAXIMIZED=FALSE&amp;creator=factset&amp;display_string=Audit"}</definedName>
    <definedName name="_794__FDSAUDITLINK__" hidden="1">{"fdsup://Directions/FactSet Auditing Viewer?action=AUDIT_VALUE&amp;DB=129&amp;ID1=92829810&amp;VALUEID=02001&amp;SDATE=200903&amp;PERIODTYPE=QTR_STD&amp;SCFT=3&amp;window=popup_no_bar&amp;width=385&amp;height=120&amp;START_MAXIMIZED=FALSE&amp;creator=factset&amp;display_string=Audit"}</definedName>
    <definedName name="_795__FDSAUDITLINK__" hidden="1">{"fdsup://Directions/FactSet Auditing Viewer?action=AUDIT_VALUE&amp;DB=129&amp;ID1=88250810&amp;VALUEID=02001&amp;SDATE=200903&amp;PERIODTYPE=QTR_STD&amp;SCFT=3&amp;window=popup_no_bar&amp;width=385&amp;height=120&amp;START_MAXIMIZED=FALSE&amp;creator=factset&amp;display_string=Audit"}</definedName>
    <definedName name="_796__FDSAUDITLINK__" hidden="1">{"fdsup://Directions/FactSet Auditing Viewer?action=AUDIT_VALUE&amp;DB=129&amp;ID1=88250810&amp;VALUEID=02001&amp;SDATE=200903&amp;PERIODTYPE=QTR_STD&amp;SCFT=3&amp;window=popup_no_bar&amp;width=385&amp;height=120&amp;START_MAXIMIZED=FALSE&amp;creator=factset&amp;display_string=Audit"}</definedName>
    <definedName name="_797__FDSAUDITLINK__" hidden="1">{"fdsup://Directions/FactSet Auditing Viewer?action=AUDIT_VALUE&amp;DB=129&amp;ID1=89674K10&amp;VALUEID=02001&amp;SDATE=200903&amp;PERIODTYPE=QTR_STD&amp;SCFT=3&amp;window=popup_no_bar&amp;width=385&amp;height=120&amp;START_MAXIMIZED=FALSE&amp;creator=factset&amp;display_string=Audit"}</definedName>
    <definedName name="_798__FDSAUDITLINK__" hidden="1">{"fdsup://Directions/FactSet Auditing Viewer?action=AUDIT_VALUE&amp;DB=129&amp;ID1=89674K10&amp;VALUEID=02001&amp;SDATE=200903&amp;PERIODTYPE=QTR_STD&amp;SCFT=3&amp;window=popup_no_bar&amp;width=385&amp;height=120&amp;START_MAXIMIZED=FALSE&amp;creator=factset&amp;display_string=Audit"}</definedName>
    <definedName name="_799__FDSAUDITLINK__" hidden="1">{"fdsup://Directions/FactSet Auditing Viewer?action=AUDIT_VALUE&amp;DB=129&amp;ID1=G7945M10&amp;VALUEID=02001&amp;SDATE=201001&amp;PERIODTYPE=QTR_STD&amp;SCFT=3&amp;window=popup_no_bar&amp;width=385&amp;height=120&amp;START_MAXIMIZED=FALSE&amp;creator=factset&amp;display_string=Audit"}</definedName>
    <definedName name="_8__FDSAUDITLINK__" hidden="1">{"fdsup://Directions/FactSet Auditing Viewer?action=AUDIT_VALUE&amp;DB=129&amp;ID1=45814010&amp;VALUEID=05194&amp;SDATE=201103&amp;PERIODTYPE=QTR_STD&amp;SCFT=3&amp;window=popup_no_bar&amp;width=385&amp;height=120&amp;START_MAXIMIZED=FALSE&amp;creator=factset&amp;display_string=Audit"}</definedName>
    <definedName name="_80__FDSAUDITLINK__" hidden="1">{"fdsup://Directions/FactSet Auditing Viewer?action=AUDIT_VALUE&amp;DB=129&amp;ID1=50216110&amp;VALUEID=02001&amp;SDATE=201101&amp;PERIODTYPE=QTR_STD&amp;SCFT=3&amp;window=popup_no_bar&amp;width=385&amp;height=120&amp;START_MAXIMIZED=FALSE&amp;creator=factset&amp;display_string=Audit"}</definedName>
    <definedName name="_800__FDSAUDITLINK__" hidden="1">{"fdsup://Directions/FactSet Auditing Viewer?action=AUDIT_VALUE&amp;DB=129&amp;ID1=G7945M10&amp;VALUEID=02001&amp;SDATE=201001&amp;PERIODTYPE=QTR_STD&amp;SCFT=3&amp;window=popup_no_bar&amp;width=385&amp;height=120&amp;START_MAXIMIZED=FALSE&amp;creator=factset&amp;display_string=Audit"}</definedName>
    <definedName name="_801__FDSAUDITLINK__" hidden="1">{"fdsup://Directions/FactSet Auditing Viewer?action=AUDIT_VALUE&amp;DB=129&amp;ID1=78477410&amp;VALUEID=02001&amp;SDATE=200903&amp;PERIODTYPE=QTR_STD&amp;SCFT=3&amp;window=popup_no_bar&amp;width=385&amp;height=120&amp;START_MAXIMIZED=FALSE&amp;creator=factset&amp;display_string=Audit"}</definedName>
    <definedName name="_802__FDSAUDITLINK__" hidden="1">{"fdsup://Directions/FactSet Auditing Viewer?action=AUDIT_VALUE&amp;DB=129&amp;ID1=78477410&amp;VALUEID=02001&amp;SDATE=200903&amp;PERIODTYPE=QTR_STD&amp;SCFT=3&amp;window=popup_no_bar&amp;width=385&amp;height=120&amp;START_MAXIMIZED=FALSE&amp;creator=factset&amp;display_string=Audit"}</definedName>
    <definedName name="_803__FDSAUDITLINK__" hidden="1">{"fdsup://Directions/FactSet Auditing Viewer?action=AUDIT_VALUE&amp;DB=129&amp;ID1=82705710&amp;VALUEID=02001&amp;SDATE=200903&amp;PERIODTYPE=QTR_STD&amp;SCFT=3&amp;window=popup_no_bar&amp;width=385&amp;height=120&amp;START_MAXIMIZED=FALSE&amp;creator=factset&amp;display_string=Audit"}</definedName>
    <definedName name="_804__FDSAUDITLINK__" hidden="1">{"fdsup://Directions/FactSet Auditing Viewer?action=AUDIT_VALUE&amp;DB=129&amp;ID1=82705710&amp;VALUEID=02001&amp;SDATE=200903&amp;PERIODTYPE=QTR_STD&amp;SCFT=3&amp;window=popup_no_bar&amp;width=385&amp;height=120&amp;START_MAXIMIZED=FALSE&amp;creator=factset&amp;display_string=Audit"}</definedName>
    <definedName name="_805__FDSAUDITLINK__" hidden="1">{"fdsup://Directions/FactSet Auditing Viewer?action=AUDIT_VALUE&amp;DB=129&amp;ID1=83547010&amp;VALUEID=02001&amp;SDATE=200903&amp;PERIODTYPE=QTR_STD&amp;SCFT=3&amp;window=popup_no_bar&amp;width=385&amp;height=120&amp;START_MAXIMIZED=FALSE&amp;creator=factset&amp;display_string=Audit"}</definedName>
    <definedName name="_806__FDSAUDITLINK__" hidden="1">{"fdsup://Directions/FactSet Auditing Viewer?action=AUDIT_VALUE&amp;DB=129&amp;ID1=83547010&amp;VALUEID=02001&amp;SDATE=200903&amp;PERIODTYPE=QTR_STD&amp;SCFT=3&amp;window=popup_no_bar&amp;width=385&amp;height=120&amp;START_MAXIMIZED=FALSE&amp;creator=factset&amp;display_string=Audit"}</definedName>
    <definedName name="_807__FDSAUDITLINK__" hidden="1">{"fdsup://Directions/FactSet Auditing Viewer?action=AUDIT_VALUE&amp;DB=129&amp;ID1=80004C10&amp;VALUEID=02001&amp;SDATE=200903&amp;PERIODTYPE=QTR_STD&amp;SCFT=3&amp;window=popup_no_bar&amp;width=385&amp;height=120&amp;START_MAXIMIZED=FALSE&amp;creator=factset&amp;display_string=Audit"}</definedName>
    <definedName name="_808__FDSAUDITLINK__" hidden="1">{"fdsup://Directions/FactSet Auditing Viewer?action=AUDIT_VALUE&amp;DB=129&amp;ID1=80004C10&amp;VALUEID=02001&amp;SDATE=200903&amp;PERIODTYPE=QTR_STD&amp;SCFT=3&amp;window=popup_no_bar&amp;width=385&amp;height=120&amp;START_MAXIMIZED=FALSE&amp;creator=factset&amp;display_string=Audit"}</definedName>
    <definedName name="_809__FDSAUDITLINK__" hidden="1">{"fdsup://Directions/FactSet Auditing Viewer?action=AUDIT_VALUE&amp;DB=129&amp;ID1=81685010&amp;VALUEID=02001&amp;SDATE=200903&amp;PERIODTYPE=QTR_STD&amp;SCFT=3&amp;window=popup_no_bar&amp;width=385&amp;height=120&amp;START_MAXIMIZED=FALSE&amp;creator=factset&amp;display_string=Audit"}</definedName>
    <definedName name="_81__FDSAUDITLINK__" hidden="1">{"fdsup://Directions/FactSet Auditing Viewer?action=AUDIT_VALUE&amp;DB=129&amp;ID1=51841510&amp;VALUEID=02001&amp;SDATE=201101&amp;PERIODTYPE=QTR_STD&amp;SCFT=3&amp;window=popup_no_bar&amp;width=385&amp;height=120&amp;START_MAXIMIZED=FALSE&amp;creator=factset&amp;display_string=Audit"}</definedName>
    <definedName name="_810__FDSAUDITLINK__" hidden="1">{"fdsup://Directions/FactSet Auditing Viewer?action=AUDIT_VALUE&amp;DB=129&amp;ID1=81685010&amp;VALUEID=02001&amp;SDATE=200903&amp;PERIODTYPE=QTR_STD&amp;SCFT=3&amp;window=popup_no_bar&amp;width=385&amp;height=120&amp;START_MAXIMIZED=FALSE&amp;creator=factset&amp;display_string=Audit"}</definedName>
    <definedName name="_811__FDSAUDITLINK__" hidden="1">{"fdsup://Directions/FactSet Auditing Viewer?action=AUDIT_VALUE&amp;DB=129&amp;ID1=82691910&amp;VALUEID=02001&amp;SDATE=200903&amp;PERIODTYPE=QTR_STD&amp;SCFT=3&amp;window=popup_no_bar&amp;width=385&amp;height=120&amp;START_MAXIMIZED=FALSE&amp;creator=factset&amp;display_string=Audit"}</definedName>
    <definedName name="_812__FDSAUDITLINK__" hidden="1">{"fdsup://Directions/FactSet Auditing Viewer?action=AUDIT_VALUE&amp;DB=129&amp;ID1=82691910&amp;VALUEID=02001&amp;SDATE=200903&amp;PERIODTYPE=QTR_STD&amp;SCFT=3&amp;window=popup_no_bar&amp;width=385&amp;height=120&amp;START_MAXIMIZED=FALSE&amp;creator=factset&amp;display_string=Audit"}</definedName>
    <definedName name="_813__FDSAUDITLINK__" hidden="1">{"fdsup://Directions/FactSet Auditing Viewer?action=AUDIT_VALUE&amp;DB=129&amp;ID1=82705T10&amp;VALUEID=02001&amp;SDATE=200903&amp;PERIODTYPE=QTR_STD&amp;SCFT=3&amp;window=popup_no_bar&amp;width=385&amp;height=120&amp;START_MAXIMIZED=FALSE&amp;creator=factset&amp;display_string=Audit"}</definedName>
    <definedName name="_814__FDSAUDITLINK__" hidden="1">{"fdsup://Directions/FactSet Auditing Viewer?action=AUDIT_VALUE&amp;DB=129&amp;ID1=82705T10&amp;VALUEID=02001&amp;SDATE=200903&amp;PERIODTYPE=QTR_STD&amp;SCFT=3&amp;window=popup_no_bar&amp;width=385&amp;height=120&amp;START_MAXIMIZED=FALSE&amp;creator=factset&amp;display_string=Audit"}</definedName>
    <definedName name="_815__FDSAUDITLINK__" hidden="1">{"fdsup://Directions/FactSet Auditing Viewer?action=AUDIT_VALUE&amp;DB=129&amp;ID1=75091710&amp;VALUEID=02001&amp;SDATE=200903&amp;PERIODTYPE=QTR_STD&amp;SCFT=3&amp;window=popup_no_bar&amp;width=385&amp;height=120&amp;START_MAXIMIZED=FALSE&amp;creator=factset&amp;display_string=Audit"}</definedName>
    <definedName name="_816__FDSAUDITLINK__" hidden="1">{"fdsup://Directions/FactSet Auditing Viewer?action=AUDIT_VALUE&amp;DB=129&amp;ID1=75091710&amp;VALUEID=02001&amp;SDATE=200903&amp;PERIODTYPE=QTR_STD&amp;SCFT=3&amp;window=popup_no_bar&amp;width=385&amp;height=120&amp;START_MAXIMIZED=FALSE&amp;creator=factset&amp;display_string=Audit"}</definedName>
    <definedName name="_817__FDSAUDITLINK__" hidden="1">{"fdsup://Directions/FactSet Auditing Viewer?action=AUDIT_VALUE&amp;DB=129&amp;ID1=74994110&amp;VALUEID=02001&amp;SDATE=200902&amp;PERIODTYPE=QTR_STD&amp;SCFT=3&amp;window=popup_no_bar&amp;width=385&amp;height=120&amp;START_MAXIMIZED=FALSE&amp;creator=factset&amp;display_string=Audit"}</definedName>
    <definedName name="_818__FDSAUDITLINK__" hidden="1">{"fdsup://Directions/FactSet Auditing Viewer?action=AUDIT_VALUE&amp;DB=129&amp;ID1=74994110&amp;VALUEID=02001&amp;SDATE=200902&amp;PERIODTYPE=QTR_STD&amp;SCFT=3&amp;window=popup_no_bar&amp;width=385&amp;height=120&amp;START_MAXIMIZED=FALSE&amp;creator=factset&amp;display_string=Audit"}</definedName>
    <definedName name="_819__FDSAUDITLINK__" hidden="1">{"fdsup://Directions/FactSet Auditing Viewer?action=AUDIT_VALUE&amp;DB=129&amp;ID1=74727710&amp;VALUEID=02001&amp;SDATE=200902&amp;PERIODTYPE=QTR_STD&amp;SCFT=3&amp;window=popup_no_bar&amp;width=385&amp;height=120&amp;START_MAXIMIZED=FALSE&amp;creator=factset&amp;display_string=Audit"}</definedName>
    <definedName name="_82__FDSAUDITLINK__" hidden="1">{"fdsup://Directions/FactSet Auditing Viewer?action=AUDIT_VALUE&amp;DB=129&amp;ID1=51841510&amp;VALUEID=02001&amp;SDATE=201101&amp;PERIODTYPE=QTR_STD&amp;SCFT=3&amp;window=popup_no_bar&amp;width=385&amp;height=120&amp;START_MAXIMIZED=FALSE&amp;creator=factset&amp;display_string=Audit"}</definedName>
    <definedName name="_820__FDSAUDITLINK__" hidden="1">{"fdsup://Directions/FactSet Auditing Viewer?action=AUDIT_VALUE&amp;DB=129&amp;ID1=74727710&amp;VALUEID=02001&amp;SDATE=200902&amp;PERIODTYPE=QTR_STD&amp;SCFT=3&amp;window=popup_no_bar&amp;width=385&amp;height=120&amp;START_MAXIMIZED=FALSE&amp;creator=factset&amp;display_string=Audit"}</definedName>
    <definedName name="_821__FDSAUDITLINK__" hidden="1">{"fdsup://Directions/FactSet Auditing Viewer?action=AUDIT_VALUE&amp;DB=129&amp;ID1=72581M30&amp;VALUEID=02001&amp;SDATE=200903&amp;PERIODTYPE=QTR_STD&amp;SCFT=3&amp;window=popup_no_bar&amp;width=385&amp;height=120&amp;START_MAXIMIZED=FALSE&amp;creator=factset&amp;display_string=Audit"}</definedName>
    <definedName name="_822__FDSAUDITLINK__" hidden="1">{"fdsup://Directions/FactSet Auditing Viewer?action=AUDIT_VALUE&amp;DB=129&amp;ID1=72581M30&amp;VALUEID=02001&amp;SDATE=200903&amp;PERIODTYPE=QTR_STD&amp;SCFT=3&amp;window=popup_no_bar&amp;width=385&amp;height=120&amp;START_MAXIMIZED=FALSE&amp;creator=factset&amp;display_string=Audit"}</definedName>
    <definedName name="_823__FDSAUDITLINK__" hidden="1">{"fdsup://Directions/FactSet Auditing Viewer?action=AUDIT_VALUE&amp;DB=129&amp;ID1=73927610&amp;VALUEID=02001&amp;SDATE=200903&amp;PERIODTYPE=QTR_STD&amp;SCFT=3&amp;window=popup_no_bar&amp;width=385&amp;height=120&amp;START_MAXIMIZED=FALSE&amp;creator=factset&amp;display_string=Audit"}</definedName>
    <definedName name="_824__FDSAUDITLINK__" hidden="1">{"fdsup://Directions/FactSet Auditing Viewer?action=AUDIT_VALUE&amp;DB=129&amp;ID1=73927610&amp;VALUEID=02001&amp;SDATE=200903&amp;PERIODTYPE=QTR_STD&amp;SCFT=3&amp;window=popup_no_bar&amp;width=385&amp;height=120&amp;START_MAXIMIZED=FALSE&amp;creator=factset&amp;display_string=Audit"}</definedName>
    <definedName name="_825__FDSAUDITLINK__" hidden="1">{"fdsup://Directions/FactSet Auditing Viewer?action=AUDIT_VALUE&amp;DB=129&amp;ID1=69344F10&amp;VALUEID=02001&amp;SDATE=200903&amp;PERIODTYPE=QTR_STD&amp;SCFT=3&amp;window=popup_no_bar&amp;width=385&amp;height=120&amp;START_MAXIMIZED=FALSE&amp;creator=factset&amp;display_string=Audit"}</definedName>
    <definedName name="_826__FDSAUDITLINK__" hidden="1">{"fdsup://Directions/FactSet Auditing Viewer?action=AUDIT_VALUE&amp;DB=129&amp;ID1=69344F10&amp;VALUEID=02001&amp;SDATE=200903&amp;PERIODTYPE=QTR_STD&amp;SCFT=3&amp;window=popup_no_bar&amp;width=385&amp;height=120&amp;START_MAXIMIZED=FALSE&amp;creator=factset&amp;display_string=Audit"}</definedName>
    <definedName name="_827__FDSAUDITLINK__" hidden="1">{"fdsup://Directions/FactSet Auditing Viewer?action=AUDIT_VALUE&amp;DB=129&amp;ID1=69341710&amp;VALUEID=02001&amp;SDATE=200903&amp;PERIODTYPE=QTR_STD&amp;SCFT=3&amp;window=popup_no_bar&amp;width=385&amp;height=120&amp;START_MAXIMIZED=FALSE&amp;creator=factset&amp;display_string=Audit"}</definedName>
    <definedName name="_828__FDSAUDITLINK__" hidden="1">{"fdsup://Directions/FactSet Auditing Viewer?action=AUDIT_VALUE&amp;DB=129&amp;ID1=69341710&amp;VALUEID=02001&amp;SDATE=200903&amp;PERIODTYPE=QTR_STD&amp;SCFT=3&amp;window=popup_no_bar&amp;width=385&amp;height=120&amp;START_MAXIMIZED=FALSE&amp;creator=factset&amp;display_string=Audit"}</definedName>
    <definedName name="_829__FDSAUDITLINK__" hidden="1">{"fdsup://Directions/FactSet Auditing Viewer?action=AUDIT_VALUE&amp;DB=129&amp;ID1=68218910&amp;VALUEID=02001&amp;SDATE=200903&amp;PERIODTYPE=QTR_STD&amp;SCFT=3&amp;window=popup_no_bar&amp;width=385&amp;height=120&amp;START_MAXIMIZED=FALSE&amp;creator=factset&amp;display_string=Audit"}</definedName>
    <definedName name="_83__FDSAUDITLINK__" hidden="1">{"fdsup://Directions/FactSet Auditing Viewer?action=AUDIT_VALUE&amp;DB=129&amp;ID1=51280710&amp;VALUEID=02001&amp;SDATE=201103&amp;PERIODTYPE=QTR_STD&amp;SCFT=3&amp;window=popup_no_bar&amp;width=385&amp;height=120&amp;START_MAXIMIZED=FALSE&amp;creator=factset&amp;display_string=Audit"}</definedName>
    <definedName name="_830__FDSAUDITLINK__" hidden="1">{"fdsup://Directions/FactSet Auditing Viewer?action=AUDIT_VALUE&amp;DB=129&amp;ID1=68218910&amp;VALUEID=02001&amp;SDATE=200903&amp;PERIODTYPE=QTR_STD&amp;SCFT=3&amp;window=popup_no_bar&amp;width=385&amp;height=120&amp;START_MAXIMIZED=FALSE&amp;creator=factset&amp;display_string=Audit"}</definedName>
    <definedName name="_831__FDSAUDITLINK__" hidden="1">{"fdsup://Directions/FactSet Auditing Viewer?action=AUDIT_VALUE&amp;DB=129&amp;ID1=B505PN&amp;VALUEID=02001&amp;SDATE=200903&amp;PERIODTYPE=QTR_STD&amp;SCFT=3&amp;window=popup_no_bar&amp;width=385&amp;height=120&amp;START_MAXIMIZED=FALSE&amp;creator=factset&amp;display_string=Audit"}</definedName>
    <definedName name="_832__FDSAUDITLINK__" hidden="1">{"fdsup://Directions/FactSet Auditing Viewer?action=AUDIT_VALUE&amp;DB=129&amp;ID1=B505PN&amp;VALUEID=02001&amp;SDATE=200903&amp;PERIODTYPE=QTR_STD&amp;SCFT=3&amp;window=popup_no_bar&amp;width=385&amp;height=120&amp;START_MAXIMIZED=FALSE&amp;creator=factset&amp;display_string=Audit"}</definedName>
    <definedName name="_833__FDSAUDITLINK__" hidden="1">{"fdsup://Directions/FactSet Auditing Viewer?action=AUDIT_VALUE&amp;DB=129&amp;ID1=67000810&amp;VALUEID=02001&amp;SDATE=200903&amp;PERIODTYPE=QTR_STD&amp;SCFT=3&amp;window=popup_no_bar&amp;width=385&amp;height=120&amp;START_MAXIMIZED=FALSE&amp;creator=factset&amp;display_string=Audit"}</definedName>
    <definedName name="_834__FDSAUDITLINK__" hidden="1">{"fdsup://Directions/FactSet Auditing Viewer?action=AUDIT_VALUE&amp;DB=129&amp;ID1=67000810&amp;VALUEID=02001&amp;SDATE=200903&amp;PERIODTYPE=QTR_STD&amp;SCFT=3&amp;window=popup_no_bar&amp;width=385&amp;height=120&amp;START_MAXIMIZED=FALSE&amp;creator=factset&amp;display_string=Audit"}</definedName>
    <definedName name="_835__FDSAUDITLINK__" hidden="1">{"fdsup://Directions/FactSet Auditing Viewer?action=AUDIT_VALUE&amp;DB=129&amp;ID1=67066G10&amp;VALUEID=02001&amp;SDATE=200903&amp;PERIODTYPE=QTR_STD&amp;SCFT=3&amp;window=popup_no_bar&amp;width=385&amp;height=120&amp;START_MAXIMIZED=FALSE&amp;creator=factset&amp;display_string=Audit"}</definedName>
    <definedName name="_836__FDSAUDITLINK__" hidden="1">{"fdsup://Directions/FactSet Auditing Viewer?action=AUDIT_VALUE&amp;DB=129&amp;ID1=67066G10&amp;VALUEID=02001&amp;SDATE=200903&amp;PERIODTYPE=QTR_STD&amp;SCFT=3&amp;window=popup_no_bar&amp;width=385&amp;height=120&amp;START_MAXIMIZED=FALSE&amp;creator=factset&amp;display_string=Audit"}</definedName>
    <definedName name="_837__FDSAUDITLINK__" hidden="1">{"fdsup://Directions/FactSet Auditing Viewer?action=AUDIT_VALUE&amp;DB=129&amp;ID1=63764010&amp;VALUEID=02001&amp;SDATE=200901&amp;PERIODTYPE=QTR_STD&amp;SCFT=3&amp;window=popup_no_bar&amp;width=385&amp;height=120&amp;START_MAXIMIZED=FALSE&amp;creator=factset&amp;display_string=Audit"}</definedName>
    <definedName name="_838__FDSAUDITLINK__" hidden="1">{"fdsup://Directions/FactSet Auditing Viewer?action=AUDIT_VALUE&amp;DB=129&amp;ID1=63764010&amp;VALUEID=02001&amp;SDATE=200901&amp;PERIODTYPE=QTR_STD&amp;SCFT=3&amp;window=popup_no_bar&amp;width=385&amp;height=120&amp;START_MAXIMIZED=FALSE&amp;creator=factset&amp;display_string=Audit"}</definedName>
    <definedName name="_839__FDSAUDITLINK__" hidden="1">{"fdsup://Directions/FactSet Auditing Viewer?action=AUDIT_VALUE&amp;DB=129&amp;ID1=64118B10&amp;VALUEID=02001&amp;SDATE=200903&amp;PERIODTYPE=QTR_STD&amp;SCFT=3&amp;window=popup_no_bar&amp;width=385&amp;height=120&amp;START_MAXIMIZED=FALSE&amp;creator=factset&amp;display_string=Audit"}</definedName>
    <definedName name="_84__FDSAUDITLINK__" hidden="1">{"fdsup://Directions/FactSet Auditing Viewer?action=AUDIT_VALUE&amp;DB=129&amp;ID1=51280710&amp;VALUEID=02001&amp;SDATE=201103&amp;PERIODTYPE=QTR_STD&amp;SCFT=3&amp;window=popup_no_bar&amp;width=385&amp;height=120&amp;START_MAXIMIZED=FALSE&amp;creator=factset&amp;display_string=Audit"}</definedName>
    <definedName name="_840__FDSAUDITLINK__" hidden="1">{"fdsup://Directions/FactSet Auditing Viewer?action=AUDIT_VALUE&amp;DB=129&amp;ID1=64118B10&amp;VALUEID=02001&amp;SDATE=200903&amp;PERIODTYPE=QTR_STD&amp;SCFT=3&amp;window=popup_no_bar&amp;width=385&amp;height=120&amp;START_MAXIMIZED=FALSE&amp;creator=factset&amp;display_string=Audit"}</definedName>
    <definedName name="_841__FDSAUDITLINK__" hidden="1">{"fdsup://Directions/FactSet Auditing Viewer?action=AUDIT_VALUE&amp;DB=129&amp;ID1=57772K10&amp;VALUEID=02001&amp;SDATE=201001&amp;PERIODTYPE=QTR_STD&amp;SCFT=3&amp;window=popup_no_bar&amp;width=385&amp;height=120&amp;START_MAXIMIZED=FALSE&amp;creator=factset&amp;display_string=Audit"}</definedName>
    <definedName name="_842__FDSAUDITLINK__" hidden="1">{"fdsup://Directions/FactSet Auditing Viewer?action=AUDIT_VALUE&amp;DB=129&amp;ID1=57772K10&amp;VALUEID=02001&amp;SDATE=201001&amp;PERIODTYPE=QTR_STD&amp;SCFT=3&amp;window=popup_no_bar&amp;width=385&amp;height=120&amp;START_MAXIMIZED=FALSE&amp;creator=factset&amp;display_string=Audit"}</definedName>
    <definedName name="_843__FDSAUDITLINK__" hidden="1">{"fdsup://Directions/FactSet Auditing Viewer?action=AUDIT_VALUE&amp;DB=129&amp;ID1=G5876H10&amp;VALUEID=02001&amp;SDATE=200903&amp;PERIODTYPE=QTR_STD&amp;SCFT=3&amp;window=popup_no_bar&amp;width=385&amp;height=120&amp;START_MAXIMIZED=FALSE&amp;creator=factset&amp;display_string=Audit"}</definedName>
    <definedName name="_844__FDSAUDITLINK__" hidden="1">{"fdsup://Directions/FactSet Auditing Viewer?action=AUDIT_VALUE&amp;DB=129&amp;ID1=G5876H10&amp;VALUEID=02001&amp;SDATE=200903&amp;PERIODTYPE=QTR_STD&amp;SCFT=3&amp;window=popup_no_bar&amp;width=385&amp;height=120&amp;START_MAXIMIZED=FALSE&amp;creator=factset&amp;display_string=Audit"}</definedName>
    <definedName name="_845__FDSAUDITLINK__" hidden="1">{"fdsup://Directions/FactSet Auditing Viewer?action=AUDIT_VALUE&amp;DB=129&amp;ID1=62007630&amp;VALUEID=02001&amp;SDATE=200903&amp;PERIODTYPE=QTR_STD&amp;SCFT=3&amp;window=popup_no_bar&amp;width=385&amp;height=120&amp;START_MAXIMIZED=FALSE&amp;creator=factset&amp;display_string=Audit"}</definedName>
    <definedName name="_846__FDSAUDITLINK__" hidden="1">{"fdsup://Directions/FactSet Auditing Viewer?action=AUDIT_VALUE&amp;DB=129&amp;ID1=62007630&amp;VALUEID=02001&amp;SDATE=200903&amp;PERIODTYPE=QTR_STD&amp;SCFT=3&amp;window=popup_no_bar&amp;width=385&amp;height=120&amp;START_MAXIMIZED=FALSE&amp;creator=factset&amp;display_string=Audit"}</definedName>
    <definedName name="_847__FDSAUDITLINK__" hidden="1">{"fdsup://Directions/FactSet Auditing Viewer?action=AUDIT_VALUE&amp;DB=129&amp;ID1=60456710&amp;VALUEID=02001&amp;SDATE=201001&amp;PERIODTYPE=QTR_STD&amp;SCFT=3&amp;window=popup_no_bar&amp;width=385&amp;height=120&amp;START_MAXIMIZED=FALSE&amp;creator=factset&amp;display_string=Audit"}</definedName>
    <definedName name="_848__FDSAUDITLINK__" hidden="1">{"fdsup://Directions/FactSet Auditing Viewer?action=AUDIT_VALUE&amp;DB=129&amp;ID1=60456710&amp;VALUEID=02001&amp;SDATE=201001&amp;PERIODTYPE=QTR_STD&amp;SCFT=3&amp;window=popup_no_bar&amp;width=385&amp;height=120&amp;START_MAXIMIZED=FALSE&amp;creator=factset&amp;display_string=Audit"}</definedName>
    <definedName name="_849__FDSAUDITLINK__" hidden="1">{"fdsup://Directions/FactSet Auditing Viewer?action=AUDIT_VALUE&amp;DB=129&amp;ID1=59479310&amp;VALUEID=02001&amp;SDATE=200903&amp;PERIODTYPE=QTR_STD&amp;SCFT=3&amp;window=popup_no_bar&amp;width=385&amp;height=120&amp;START_MAXIMIZED=FALSE&amp;creator=factset&amp;display_string=Audit"}</definedName>
    <definedName name="_85__FDSAUDITLINK__" hidden="1">{"fdsup://Directions/FactSet Auditing Viewer?action=AUDIT_VALUE&amp;DB=129&amp;ID1=53567810&amp;VALUEID=02001&amp;SDATE=201103&amp;PERIODTYPE=QTR_STD&amp;SCFT=3&amp;window=popup_no_bar&amp;width=385&amp;height=120&amp;START_MAXIMIZED=FALSE&amp;creator=factset&amp;display_string=Audit"}</definedName>
    <definedName name="_850__FDSAUDITLINK__" hidden="1">{"fdsup://Directions/FactSet Auditing Viewer?action=AUDIT_VALUE&amp;DB=129&amp;ID1=59479310&amp;VALUEID=02001&amp;SDATE=200903&amp;PERIODTYPE=QTR_STD&amp;SCFT=3&amp;window=popup_no_bar&amp;width=385&amp;height=120&amp;START_MAXIMIZED=FALSE&amp;creator=factset&amp;display_string=Audit"}</definedName>
    <definedName name="_851__FDSAUDITLINK__" hidden="1">{"fdsup://Directions/FactSet Auditing Viewer?action=AUDIT_VALUE&amp;DB=129&amp;ID1=59501710&amp;VALUEID=02001&amp;SDATE=200902&amp;PERIODTYPE=QTR_STD&amp;SCFT=3&amp;window=popup_no_bar&amp;width=385&amp;height=120&amp;START_MAXIMIZED=FALSE&amp;creator=factset&amp;display_string=Audit"}</definedName>
    <definedName name="_852__FDSAUDITLINK__" hidden="1">{"fdsup://Directions/FactSet Auditing Viewer?action=AUDIT_VALUE&amp;DB=129&amp;ID1=59501710&amp;VALUEID=02001&amp;SDATE=200902&amp;PERIODTYPE=QTR_STD&amp;SCFT=3&amp;window=popup_no_bar&amp;width=385&amp;height=120&amp;START_MAXIMIZED=FALSE&amp;creator=factset&amp;display_string=Audit"}</definedName>
    <definedName name="_853__FDSAUDITLINK__" hidden="1">{"fdsup://Directions/FactSet Auditing Viewer?action=AUDIT_VALUE&amp;DB=129&amp;ID1=50216110&amp;VALUEID=02001&amp;SDATE=200903&amp;PERIODTYPE=QTR_STD&amp;SCFT=3&amp;window=popup_no_bar&amp;width=385&amp;height=120&amp;START_MAXIMIZED=FALSE&amp;creator=factset&amp;display_string=Audit"}</definedName>
    <definedName name="_854__FDSAUDITLINK__" hidden="1">{"fdsup://Directions/FactSet Auditing Viewer?action=AUDIT_VALUE&amp;DB=129&amp;ID1=50216110&amp;VALUEID=02001&amp;SDATE=200903&amp;PERIODTYPE=QTR_STD&amp;SCFT=3&amp;window=popup_no_bar&amp;width=385&amp;height=120&amp;START_MAXIMIZED=FALSE&amp;creator=factset&amp;display_string=Audit"}</definedName>
    <definedName name="_855__FDSAUDITLINK__" hidden="1">{"fdsup://Directions/FactSet Auditing Viewer?action=AUDIT_VALUE&amp;DB=129&amp;ID1=51841510&amp;VALUEID=02001&amp;SDATE=200903&amp;PERIODTYPE=QTR_STD&amp;SCFT=3&amp;window=popup_no_bar&amp;width=385&amp;height=120&amp;START_MAXIMIZED=FALSE&amp;creator=factset&amp;display_string=Audit"}</definedName>
    <definedName name="_856__FDSAUDITLINK__" hidden="1">{"fdsup://Directions/FactSet Auditing Viewer?action=AUDIT_VALUE&amp;DB=129&amp;ID1=51841510&amp;VALUEID=02001&amp;SDATE=200903&amp;PERIODTYPE=QTR_STD&amp;SCFT=3&amp;window=popup_no_bar&amp;width=385&amp;height=120&amp;START_MAXIMIZED=FALSE&amp;creator=factset&amp;display_string=Audit"}</definedName>
    <definedName name="_857__FDSAUDITLINK__" hidden="1">{"fdsup://Directions/FactSet Auditing Viewer?action=AUDIT_VALUE&amp;DB=129&amp;ID1=51280710&amp;VALUEID=02001&amp;SDATE=201001&amp;PERIODTYPE=QTR_STD&amp;SCFT=3&amp;window=popup_no_bar&amp;width=385&amp;height=120&amp;START_MAXIMIZED=FALSE&amp;creator=factset&amp;display_string=Audit"}</definedName>
    <definedName name="_858__FDSAUDITLINK__" hidden="1">{"fdsup://Directions/FactSet Auditing Viewer?action=AUDIT_VALUE&amp;DB=129&amp;ID1=51280710&amp;VALUEID=02001&amp;SDATE=201001&amp;PERIODTYPE=QTR_STD&amp;SCFT=3&amp;window=popup_no_bar&amp;width=385&amp;height=120&amp;START_MAXIMIZED=FALSE&amp;creator=factset&amp;display_string=Audit"}</definedName>
    <definedName name="_859__FDSAUDITLINK__" hidden="1">{"fdsup://Directions/FactSet Auditing Viewer?action=AUDIT_VALUE&amp;DB=129&amp;ID1=53567810&amp;VALUEID=02001&amp;SDATE=201001&amp;PERIODTYPE=QTR_STD&amp;SCFT=3&amp;window=popup_no_bar&amp;width=385&amp;height=120&amp;START_MAXIMIZED=FALSE&amp;creator=factset&amp;display_string=Audit"}</definedName>
    <definedName name="_86__FDSAUDITLINK__" hidden="1">{"fdsup://Directions/FactSet Auditing Viewer?action=AUDIT_VALUE&amp;DB=129&amp;ID1=53567810&amp;VALUEID=02001&amp;SDATE=201103&amp;PERIODTYPE=QTR_STD&amp;SCFT=3&amp;window=popup_no_bar&amp;width=385&amp;height=120&amp;START_MAXIMIZED=FALSE&amp;creator=factset&amp;display_string=Audit"}</definedName>
    <definedName name="_860__FDSAUDITLINK__" hidden="1">{"fdsup://Directions/FactSet Auditing Viewer?action=AUDIT_VALUE&amp;DB=129&amp;ID1=53567810&amp;VALUEID=02001&amp;SDATE=201001&amp;PERIODTYPE=QTR_STD&amp;SCFT=3&amp;window=popup_no_bar&amp;width=385&amp;height=120&amp;START_MAXIMIZED=FALSE&amp;creator=factset&amp;display_string=Audit"}</definedName>
    <definedName name="_861__FDSAUDITLINK__" hidden="1">{"fdsup://Directions/FactSet Auditing Viewer?action=AUDIT_VALUE&amp;DB=129&amp;ID1=48248010&amp;VALUEID=02001&amp;SDATE=201001&amp;PERIODTYPE=QTR_STD&amp;SCFT=3&amp;window=popup_no_bar&amp;width=385&amp;height=120&amp;START_MAXIMIZED=FALSE&amp;creator=factset&amp;display_string=Audit"}</definedName>
    <definedName name="_862__FDSAUDITLINK__" hidden="1">{"fdsup://Directions/FactSet Auditing Viewer?action=AUDIT_VALUE&amp;DB=129&amp;ID1=48248010&amp;VALUEID=02001&amp;SDATE=201001&amp;PERIODTYPE=QTR_STD&amp;SCFT=3&amp;window=popup_no_bar&amp;width=385&amp;height=120&amp;START_MAXIMIZED=FALSE&amp;creator=factset&amp;display_string=Audit"}</definedName>
    <definedName name="_863__FDSAUDITLINK__" hidden="1">{"fdsup://Directions/FactSet Auditing Viewer?action=AUDIT_VALUE&amp;DB=129&amp;ID1=48836020&amp;VALUEID=02001&amp;SDATE=200902&amp;PERIODTYPE=QTR_STD&amp;SCFT=3&amp;window=popup_no_bar&amp;width=385&amp;height=120&amp;START_MAXIMIZED=FALSE&amp;creator=factset&amp;display_string=Audit"}</definedName>
    <definedName name="_864__FDSAUDITLINK__" hidden="1">{"fdsup://Directions/FactSet Auditing Viewer?action=AUDIT_VALUE&amp;DB=129&amp;ID1=48836020&amp;VALUEID=02001&amp;SDATE=200902&amp;PERIODTYPE=QTR_STD&amp;SCFT=3&amp;window=popup_no_bar&amp;width=385&amp;height=120&amp;START_MAXIMIZED=FALSE&amp;creator=factset&amp;display_string=Audit"}</definedName>
    <definedName name="_865__FDSAUDITLINK__" hidden="1">{"fdsup://Directions/FactSet Auditing Viewer?action=AUDIT_VALUE&amp;DB=129&amp;ID1=48203R10&amp;VALUEID=02001&amp;SDATE=200903&amp;PERIODTYPE=QTR_STD&amp;SCFT=3&amp;window=popup_no_bar&amp;width=385&amp;height=120&amp;START_MAXIMIZED=FALSE&amp;creator=factset&amp;display_string=Audit"}</definedName>
    <definedName name="_866__FDSAUDITLINK__" hidden="1">{"fdsup://Directions/FactSet Auditing Viewer?action=AUDIT_VALUE&amp;DB=129&amp;ID1=48203R10&amp;VALUEID=02001&amp;SDATE=200903&amp;PERIODTYPE=QTR_STD&amp;SCFT=3&amp;window=popup_no_bar&amp;width=385&amp;height=120&amp;START_MAXIMIZED=FALSE&amp;creator=factset&amp;display_string=Audit"}</definedName>
    <definedName name="_867__FDSAUDITLINK__" hidden="1">{"fdsup://Directions/FactSet Auditing Viewer?action=AUDIT_VALUE&amp;DB=129&amp;ID1=86681020&amp;VALUEID=02001&amp;SDATE=201001&amp;PERIODTYPE=QTR_STD&amp;SCFT=3&amp;window=popup_no_bar&amp;width=385&amp;height=120&amp;START_MAXIMIZED=FALSE&amp;creator=factset&amp;display_string=Audit"}</definedName>
    <definedName name="_868__FDSAUDITLINK__" hidden="1">{"fdsup://Directions/FactSet Auditing Viewer?action=AUDIT_VALUE&amp;DB=129&amp;ID1=86681020&amp;VALUEID=02001&amp;SDATE=201001&amp;PERIODTYPE=QTR_STD&amp;SCFT=3&amp;window=popup_no_bar&amp;width=385&amp;height=120&amp;START_MAXIMIZED=FALSE&amp;creator=factset&amp;display_string=Audit"}</definedName>
    <definedName name="_869__FDSAUDITLINK__" hidden="1">{"fdsup://Directions/FactSet Auditing Viewer?action=AUDIT_VALUE&amp;DB=129&amp;ID1=46069S10&amp;VALUEID=02001&amp;SDATE=200903&amp;PERIODTYPE=QTR_STD&amp;SCFT=3&amp;window=popup_no_bar&amp;width=385&amp;height=120&amp;START_MAXIMIZED=FALSE&amp;creator=factset&amp;display_string=Audit"}</definedName>
    <definedName name="_87__FDSAUDITLINK__" hidden="1">{"fdsup://Directions/FactSet Auditing Viewer?action=AUDIT_VALUE&amp;DB=129&amp;ID1=48248010&amp;VALUEID=02001&amp;SDATE=201103&amp;PERIODTYPE=QTR_STD&amp;SCFT=3&amp;window=popup_no_bar&amp;width=385&amp;height=120&amp;START_MAXIMIZED=FALSE&amp;creator=factset&amp;display_string=Audit"}</definedName>
    <definedName name="_870__FDSAUDITLINK__" hidden="1">{"fdsup://Directions/FactSet Auditing Viewer?action=AUDIT_VALUE&amp;DB=129&amp;ID1=46069S10&amp;VALUEID=02001&amp;SDATE=200903&amp;PERIODTYPE=QTR_STD&amp;SCFT=3&amp;window=popup_no_bar&amp;width=385&amp;height=120&amp;START_MAXIMIZED=FALSE&amp;creator=factset&amp;display_string=Audit"}</definedName>
    <definedName name="_871__FDSAUDITLINK__" hidden="1">{"fdsup://Directions/FactSet Auditing Viewer?action=AUDIT_VALUE&amp;DB=129&amp;ID1=46025410&amp;VALUEID=02001&amp;SDATE=201001&amp;PERIODTYPE=QTR_STD&amp;SCFT=3&amp;window=popup_no_bar&amp;width=385&amp;height=120&amp;START_MAXIMIZED=FALSE&amp;creator=factset&amp;display_string=Audit"}</definedName>
    <definedName name="_872__FDSAUDITLINK__" hidden="1">{"fdsup://Directions/FactSet Auditing Viewer?action=AUDIT_VALUE&amp;DB=129&amp;ID1=46025410&amp;VALUEID=02001&amp;SDATE=201001&amp;PERIODTYPE=QTR_STD&amp;SCFT=3&amp;window=popup_no_bar&amp;width=385&amp;height=120&amp;START_MAXIMIZED=FALSE&amp;creator=factset&amp;display_string=Audit"}</definedName>
    <definedName name="_873__FDSAUDITLINK__" hidden="1">{"fdsup://Directions/FactSet Auditing Viewer?action=AUDIT_VALUE&amp;DB=129&amp;ID1=45814010&amp;VALUEID=02001&amp;SDATE=200903&amp;PERIODTYPE=QTR_STD&amp;SCFT=3&amp;window=popup_no_bar&amp;width=385&amp;height=120&amp;START_MAXIMIZED=FALSE&amp;creator=factset&amp;display_string=Audit"}</definedName>
    <definedName name="_874__FDSAUDITLINK__" hidden="1">{"fdsup://Directions/FactSet Auditing Viewer?action=AUDIT_VALUE&amp;DB=129&amp;ID1=45814010&amp;VALUEID=02001&amp;SDATE=200903&amp;PERIODTYPE=QTR_STD&amp;SCFT=3&amp;window=popup_no_bar&amp;width=385&amp;height=120&amp;START_MAXIMIZED=FALSE&amp;creator=factset&amp;display_string=Audit"}</definedName>
    <definedName name="_875__FDSAUDITLINK__" hidden="1">{"fdsup://Directions/FactSet Auditing Viewer?action=AUDIT_VALUE&amp;DB=129&amp;ID1=45811810&amp;VALUEID=02001&amp;SDATE=200902&amp;PERIODTYPE=QTR_STD&amp;SCFT=3&amp;window=popup_no_bar&amp;width=385&amp;height=120&amp;START_MAXIMIZED=FALSE&amp;creator=factset&amp;display_string=Audit"}</definedName>
    <definedName name="_876__FDSAUDITLINK__" hidden="1">{"fdsup://Directions/FactSet Auditing Viewer?action=AUDIT_VALUE&amp;DB=129&amp;ID1=45811810&amp;VALUEID=02001&amp;SDATE=200902&amp;PERIODTYPE=QTR_STD&amp;SCFT=3&amp;window=popup_no_bar&amp;width=385&amp;height=120&amp;START_MAXIMIZED=FALSE&amp;creator=factset&amp;display_string=Audit"}</definedName>
    <definedName name="_877__FDSAUDITLINK__" hidden="1">{"fdsup://Directions/FactSet Auditing Viewer?action=AUDIT_VALUE&amp;DB=129&amp;ID1=H2906T10&amp;VALUEID=02001&amp;SDATE=200903&amp;PERIODTYPE=QTR_STD&amp;SCFT=3&amp;window=popup_no_bar&amp;width=385&amp;height=120&amp;START_MAXIMIZED=FALSE&amp;creator=factset&amp;display_string=Audit"}</definedName>
    <definedName name="_878__FDSAUDITLINK__" hidden="1">{"fdsup://Directions/FactSet Auditing Viewer?action=AUDIT_VALUE&amp;DB=129&amp;ID1=H2906T10&amp;VALUEID=02001&amp;SDATE=200903&amp;PERIODTYPE=QTR_STD&amp;SCFT=3&amp;window=popup_no_bar&amp;width=385&amp;height=120&amp;START_MAXIMIZED=FALSE&amp;creator=factset&amp;display_string=Audit"}</definedName>
    <definedName name="_879__FDSAUDITLINK__" hidden="1">{"fdsup://Directions/FactSet Auditing Viewer?action=AUDIT_VALUE&amp;DB=129&amp;ID1=34637510&amp;VALUEID=02001&amp;SDATE=200903&amp;PERIODTYPE=QTR_STD&amp;SCFT=3&amp;window=popup_no_bar&amp;width=385&amp;height=120&amp;START_MAXIMIZED=FALSE&amp;creator=factset&amp;display_string=Audit"}</definedName>
    <definedName name="_88__FDSAUDITLINK__" hidden="1">{"fdsup://Directions/FactSet Auditing Viewer?action=AUDIT_VALUE&amp;DB=129&amp;ID1=48248010&amp;VALUEID=02001&amp;SDATE=201103&amp;PERIODTYPE=QTR_STD&amp;SCFT=3&amp;window=popup_no_bar&amp;width=385&amp;height=120&amp;START_MAXIMIZED=FALSE&amp;creator=factset&amp;display_string=Audit"}</definedName>
    <definedName name="_880__FDSAUDITLINK__" hidden="1">{"fdsup://Directions/FactSet Auditing Viewer?action=AUDIT_VALUE&amp;DB=129&amp;ID1=34637510&amp;VALUEID=02001&amp;SDATE=200903&amp;PERIODTYPE=QTR_STD&amp;SCFT=3&amp;window=popup_no_bar&amp;width=385&amp;height=120&amp;START_MAXIMIZED=FALSE&amp;creator=factset&amp;display_string=Audit"}</definedName>
    <definedName name="_881__FDSAUDITLINK__" hidden="1">{"fdsup://Directions/FactSet Auditing Viewer?action=AUDIT_VALUE&amp;DB=129&amp;ID1=29247520&amp;VALUEID=02001&amp;SDATE=201001&amp;PERIODTYPE=QTR_STD&amp;SCFT=3&amp;window=popup_no_bar&amp;width=385&amp;height=120&amp;START_MAXIMIZED=FALSE&amp;creator=factset&amp;display_string=Audit"}</definedName>
    <definedName name="_882__FDSAUDITLINK__" hidden="1">{"fdsup://Directions/FactSet Auditing Viewer?action=AUDIT_VALUE&amp;DB=129&amp;ID1=29247520&amp;VALUEID=02001&amp;SDATE=201001&amp;PERIODTYPE=QTR_STD&amp;SCFT=3&amp;window=popup_no_bar&amp;width=385&amp;height=120&amp;START_MAXIMIZED=FALSE&amp;creator=factset&amp;display_string=Audit"}</definedName>
    <definedName name="_883__FDSAUDITLINK__" hidden="1">{"fdsup://Directions/FactSet Auditing Viewer?action=AUDIT_VALUE&amp;DB=129&amp;ID1=25454310&amp;VALUEID=02001&amp;SDATE=200903&amp;PERIODTYPE=QTR_STD&amp;SCFT=3&amp;window=popup_no_bar&amp;width=385&amp;height=120&amp;START_MAXIMIZED=FALSE&amp;creator=factset&amp;display_string=Audit"}</definedName>
    <definedName name="_884__FDSAUDITLINK__" hidden="1">{"fdsup://Directions/FactSet Auditing Viewer?action=AUDIT_VALUE&amp;DB=129&amp;ID1=25454310&amp;VALUEID=02001&amp;SDATE=200903&amp;PERIODTYPE=QTR_STD&amp;SCFT=3&amp;window=popup_no_bar&amp;width=385&amp;height=120&amp;START_MAXIMIZED=FALSE&amp;creator=factset&amp;display_string=Audit"}</definedName>
    <definedName name="_885__FDSAUDITLINK__" hidden="1">{"fdsup://Directions/FactSet Auditing Viewer?action=AUDIT_VALUE&amp;DB=129&amp;ID1=24702R10&amp;VALUEID=02001&amp;SDATE=200903&amp;PERIODTYPE=QTR_STD&amp;SCFT=3&amp;window=popup_no_bar&amp;width=385&amp;height=120&amp;START_MAXIMIZED=FALSE&amp;creator=factset&amp;display_string=Audit"}</definedName>
    <definedName name="_886__FDSAUDITLINK__" hidden="1">{"fdsup://Directions/FactSet Auditing Viewer?action=AUDIT_VALUE&amp;DB=129&amp;ID1=24702R10&amp;VALUEID=02001&amp;SDATE=200903&amp;PERIODTYPE=QTR_STD&amp;SCFT=3&amp;window=popup_no_bar&amp;width=385&amp;height=120&amp;START_MAXIMIZED=FALSE&amp;creator=factset&amp;display_string=Audit"}</definedName>
    <definedName name="_887__FDSAUDITLINK__" hidden="1">{"fdsup://Directions/FactSet Auditing Viewer?action=AUDIT_VALUE&amp;DB=129&amp;ID1=23257210&amp;VALUEID=02001&amp;SDATE=200903&amp;PERIODTYPE=QTR_STD&amp;SCFT=3&amp;window=popup_no_bar&amp;width=385&amp;height=120&amp;START_MAXIMIZED=FALSE&amp;creator=factset&amp;display_string=Audit"}</definedName>
    <definedName name="_888__FDSAUDITLINK__" hidden="1">{"fdsup://Directions/FactSet Auditing Viewer?action=AUDIT_VALUE&amp;DB=129&amp;ID1=23257210&amp;VALUEID=02001&amp;SDATE=200903&amp;PERIODTYPE=QTR_STD&amp;SCFT=3&amp;window=popup_no_bar&amp;width=385&amp;height=120&amp;START_MAXIMIZED=FALSE&amp;creator=factset&amp;display_string=Audit"}</definedName>
    <definedName name="_889__FDSAUDITLINK__" hidden="1">{"fdsup://Directions/FactSet Auditing Viewer?action=AUDIT_VALUE&amp;DB=129&amp;ID1=23280610&amp;VALUEID=02001&amp;SDATE=200903&amp;PERIODTYPE=QTR_STD&amp;SCFT=3&amp;window=popup_no_bar&amp;width=385&amp;height=120&amp;START_MAXIMIZED=FALSE&amp;creator=factset&amp;display_string=Audit"}</definedName>
    <definedName name="_89__FDSAUDITLINK__" hidden="1">{"fdsup://Directions/FactSet Auditing Viewer?action=AUDIT_VALUE&amp;DB=129&amp;ID1=48836020&amp;VALUEID=02001&amp;SDATE=201004&amp;PERIODTYPE=QTR_STD&amp;SCFT=3&amp;window=popup_no_bar&amp;width=385&amp;height=120&amp;START_MAXIMIZED=FALSE&amp;creator=factset&amp;display_string=Audit"}</definedName>
    <definedName name="_890__FDSAUDITLINK__" hidden="1">{"fdsup://Directions/FactSet Auditing Viewer?action=AUDIT_VALUE&amp;DB=129&amp;ID1=23280610&amp;VALUEID=02001&amp;SDATE=200903&amp;PERIODTYPE=QTR_STD&amp;SCFT=3&amp;window=popup_no_bar&amp;width=385&amp;height=120&amp;START_MAXIMIZED=FALSE&amp;creator=factset&amp;display_string=Audit"}</definedName>
    <definedName name="_891__FDSAUDITLINK__" hidden="1">{"fdsup://Directions/FactSet Auditing Viewer?action=AUDIT_VALUE&amp;DB=129&amp;ID1=17275R10&amp;VALUEID=02001&amp;SDATE=201001&amp;PERIODTYPE=QTR_STD&amp;SCFT=3&amp;window=popup_no_bar&amp;width=385&amp;height=120&amp;START_MAXIMIZED=FALSE&amp;creator=factset&amp;display_string=Audit"}</definedName>
    <definedName name="_892__FDSAUDITLINK__" hidden="1">{"fdsup://Directions/FactSet Auditing Viewer?action=AUDIT_VALUE&amp;DB=129&amp;ID1=17275R10&amp;VALUEID=02001&amp;SDATE=201001&amp;PERIODTYPE=QTR_STD&amp;SCFT=3&amp;window=popup_no_bar&amp;width=385&amp;height=120&amp;START_MAXIMIZED=FALSE&amp;creator=factset&amp;display_string=Audit"}</definedName>
    <definedName name="_893__FDSAUDITLINK__" hidden="1">{"fdsup://Directions/FactSet Auditing Viewer?action=AUDIT_VALUE&amp;DB=129&amp;ID1=22544710&amp;VALUEID=02001&amp;SDATE=201001&amp;PERIODTYPE=QTR_STD&amp;SCFT=3&amp;window=popup_no_bar&amp;width=385&amp;height=120&amp;START_MAXIMIZED=FALSE&amp;creator=factset&amp;display_string=Audit"}</definedName>
    <definedName name="_894__FDSAUDITLINK__" hidden="1">{"fdsup://Directions/FactSet Auditing Viewer?action=AUDIT_VALUE&amp;DB=129&amp;ID1=22544710&amp;VALUEID=02001&amp;SDATE=201001&amp;PERIODTYPE=QTR_STD&amp;SCFT=3&amp;window=popup_no_bar&amp;width=385&amp;height=120&amp;START_MAXIMIZED=FALSE&amp;creator=factset&amp;display_string=Audit"}</definedName>
    <definedName name="_895__FDSAUDITLINK__" hidden="1">{"fdsup://Directions/FactSet Auditing Viewer?action=AUDIT_VALUE&amp;DB=129&amp;ID1=12738710&amp;VALUEID=02001&amp;SDATE=200903&amp;PERIODTYPE=QTR_STD&amp;SCFT=3&amp;window=popup_no_bar&amp;width=385&amp;height=120&amp;START_MAXIMIZED=FALSE&amp;creator=factset&amp;display_string=Audit"}</definedName>
    <definedName name="_896__FDSAUDITLINK__" hidden="1">{"fdsup://Directions/FactSet Auditing Viewer?action=AUDIT_VALUE&amp;DB=129&amp;ID1=12738710&amp;VALUEID=02001&amp;SDATE=200903&amp;PERIODTYPE=QTR_STD&amp;SCFT=3&amp;window=popup_no_bar&amp;width=385&amp;height=120&amp;START_MAXIMIZED=FALSE&amp;creator=factset&amp;display_string=Audit"}</definedName>
    <definedName name="_897__FDSAUDITLINK__" hidden="1">{"fdsup://Directions/FactSet Auditing Viewer?action=AUDIT_VALUE&amp;DB=129&amp;ID1=14964U10&amp;VALUEID=02001&amp;SDATE=200903&amp;PERIODTYPE=QTR_STD&amp;SCFT=3&amp;window=popup_no_bar&amp;width=385&amp;height=120&amp;START_MAXIMIZED=FALSE&amp;creator=factset&amp;display_string=Audit"}</definedName>
    <definedName name="_898__FDSAUDITLINK__" hidden="1">{"fdsup://Directions/FactSet Auditing Viewer?action=AUDIT_VALUE&amp;DB=129&amp;ID1=14964U10&amp;VALUEID=02001&amp;SDATE=200903&amp;PERIODTYPE=QTR_STD&amp;SCFT=3&amp;window=popup_no_bar&amp;width=385&amp;height=120&amp;START_MAXIMIZED=FALSE&amp;creator=factset&amp;display_string=Audit"}</definedName>
    <definedName name="_899__FDSAUDITLINK__" hidden="1">{"fdsup://Directions/FactSet Auditing Viewer?action=AUDIT_VALUE&amp;DB=129&amp;ID1=04743P10&amp;VALUEID=02001&amp;SDATE=200903&amp;PERIODTYPE=QTR_STD&amp;SCFT=3&amp;window=popup_no_bar&amp;width=385&amp;height=120&amp;START_MAXIMIZED=FALSE&amp;creator=factset&amp;display_string=Audit"}</definedName>
    <definedName name="_9__FDSAUDITLINK__" hidden="1">{"fdsup://Directions/FactSet Auditing Viewer?action=AUDIT_VALUE&amp;DB=129&amp;ID1=74752510&amp;VALUEID=02001&amp;SDATE=201103&amp;PERIODTYPE=QTR_STD&amp;SCFT=3&amp;window=popup_no_bar&amp;width=385&amp;height=120&amp;START_MAXIMIZED=FALSE&amp;creator=factset&amp;display_string=Audit"}</definedName>
    <definedName name="_90__FDSAUDITLINK__" hidden="1">{"fdsup://Directions/FactSet Auditing Viewer?action=AUDIT_VALUE&amp;DB=129&amp;ID1=48836020&amp;VALUEID=02001&amp;SDATE=201004&amp;PERIODTYPE=QTR_STD&amp;SCFT=3&amp;window=popup_no_bar&amp;width=385&amp;height=120&amp;START_MAXIMIZED=FALSE&amp;creator=factset&amp;display_string=Audit"}</definedName>
    <definedName name="_900__FDSAUDITLINK__" hidden="1">{"fdsup://Directions/FactSet Auditing Viewer?action=AUDIT_VALUE&amp;DB=129&amp;ID1=04743P10&amp;VALUEID=02001&amp;SDATE=200903&amp;PERIODTYPE=QTR_STD&amp;SCFT=3&amp;window=popup_no_bar&amp;width=385&amp;height=120&amp;START_MAXIMIZED=FALSE&amp;creator=factset&amp;display_string=Audit"}</definedName>
    <definedName name="_901__FDSAUDITLINK__" hidden="1">{"fdsup://Directions/FactSet Auditing Viewer?action=AUDIT_VALUE&amp;DB=129&amp;ID1=03251510&amp;VALUEID=02001&amp;SDATE=200903&amp;PERIODTYPE=QTR_STD&amp;SCFT=3&amp;window=popup_no_bar&amp;width=385&amp;height=120&amp;START_MAXIMIZED=FALSE&amp;creator=factset&amp;display_string=Audit"}</definedName>
    <definedName name="_902__FDSAUDITLINK__" hidden="1">{"fdsup://Directions/FactSet Auditing Viewer?action=AUDIT_VALUE&amp;DB=129&amp;ID1=03251510&amp;VALUEID=02001&amp;SDATE=200903&amp;PERIODTYPE=QTR_STD&amp;SCFT=3&amp;window=popup_no_bar&amp;width=385&amp;height=120&amp;START_MAXIMIZED=FALSE&amp;creator=factset&amp;display_string=Audit"}</definedName>
    <definedName name="_903__FDSAUDITLINK__" hidden="1">{"fdsup://Directions/FactSet Auditing Viewer?action=AUDIT_VALUE&amp;DB=129&amp;ID1=00790310&amp;VALUEID=02001&amp;SDATE=200903&amp;PERIODTYPE=QTR_STD&amp;SCFT=3&amp;window=popup_no_bar&amp;width=385&amp;height=120&amp;START_MAXIMIZED=FALSE&amp;creator=factset&amp;display_string=Audit"}</definedName>
    <definedName name="_904__FDSAUDITLINK__" hidden="1">{"fdsup://Directions/FactSet Auditing Viewer?action=AUDIT_VALUE&amp;DB=129&amp;ID1=00790310&amp;VALUEID=02001&amp;SDATE=200903&amp;PERIODTYPE=QTR_STD&amp;SCFT=3&amp;window=popup_no_bar&amp;width=385&amp;height=120&amp;START_MAXIMIZED=FALSE&amp;creator=factset&amp;display_string=Audit"}</definedName>
    <definedName name="_905__FDSAUDITLINK__" hidden="1">{"fdsup://Directions/FactSet Auditing Viewer?action=AUDIT_VALUE&amp;DB=129&amp;ID1=03822W40&amp;VALUEID=02001&amp;SDATE=200902&amp;PERIODTYPE=QTR_STD&amp;SCFT=3&amp;window=popup_no_bar&amp;width=385&amp;height=120&amp;START_MAXIMIZED=FALSE&amp;creator=factset&amp;display_string=Audit"}</definedName>
    <definedName name="_906__FDSAUDITLINK__" hidden="1">{"fdsup://Directions/FactSet Auditing Viewer?action=AUDIT_VALUE&amp;DB=129&amp;ID1=03822W40&amp;VALUEID=02001&amp;SDATE=200902&amp;PERIODTYPE=QTR_STD&amp;SCFT=3&amp;window=popup_no_bar&amp;width=385&amp;height=120&amp;START_MAXIMIZED=FALSE&amp;creator=factset&amp;display_string=Audit"}</definedName>
    <definedName name="_907__FDSAUDITLINK__" hidden="1">{"fdsup://Directions/FactSet Auditing Viewer?action=AUDIT_VALUE&amp;DB=129&amp;ID1=02144110&amp;VALUEID=02001&amp;SDATE=200903&amp;PERIODTYPE=QTR_STD&amp;SCFT=3&amp;window=popup_no_bar&amp;width=385&amp;height=120&amp;START_MAXIMIZED=FALSE&amp;creator=factset&amp;display_string=Audit"}</definedName>
    <definedName name="_908__FDSAUDITLINK__" hidden="1">{"fdsup://Directions/FactSet Auditing Viewer?action=AUDIT_VALUE&amp;DB=129&amp;ID1=02144110&amp;VALUEID=02001&amp;SDATE=200903&amp;PERIODTYPE=QTR_STD&amp;SCFT=3&amp;window=popup_no_bar&amp;width=385&amp;height=120&amp;START_MAXIMIZED=FALSE&amp;creator=factset&amp;display_string=Audit"}</definedName>
    <definedName name="_909__FDSAUDITLINK__" hidden="1">{"fdsup://Directions/FactSet Auditing Viewer?action=AUDIT_VALUE&amp;DB=129&amp;ID1=00752J10&amp;VALUEID=02001&amp;SDATE=200903&amp;PERIODTYPE=QTR_STD&amp;SCFT=3&amp;window=popup_no_bar&amp;width=385&amp;height=120&amp;START_MAXIMIZED=FALSE&amp;creator=factset&amp;display_string=Audit"}</definedName>
    <definedName name="_91__FDSAUDITLINK__" hidden="1">{"fdsup://Directions/FactSet Auditing Viewer?action=AUDIT_VALUE&amp;DB=129&amp;ID1=48203R10&amp;VALUEID=02001&amp;SDATE=201101&amp;PERIODTYPE=QTR_STD&amp;SCFT=3&amp;window=popup_no_bar&amp;width=385&amp;height=120&amp;START_MAXIMIZED=FALSE&amp;creator=factset&amp;display_string=Audit"}</definedName>
    <definedName name="_910__FDSAUDITLINK__" hidden="1">{"fdsup://Directions/FactSet Auditing Viewer?action=AUDIT_VALUE&amp;DB=129&amp;ID1=00752J10&amp;VALUEID=02001&amp;SDATE=200903&amp;PERIODTYPE=QTR_STD&amp;SCFT=3&amp;window=popup_no_bar&amp;width=385&amp;height=120&amp;START_MAXIMIZED=FALSE&amp;creator=factset&amp;display_string=Audit"}</definedName>
    <definedName name="_911__FDSAUDITLINK__" hidden="1">{"fdsup://Directions/FactSet Auditing Viewer?action=AUDIT_VALUE&amp;DB=129&amp;ID1=98975F10&amp;VALUEID=02001&amp;SDATE=200902&amp;PERIODTYPE=QTR_STD&amp;SCFT=3&amp;window=popup_no_bar&amp;width=385&amp;height=120&amp;START_MAXIMIZED=FALSE&amp;creator=factset&amp;display_string=Audit"}</definedName>
    <definedName name="_912__FDSAUDITLINK__" hidden="1">{"fdsup://Directions/FactSet Auditing Viewer?action=AUDIT_VALUE&amp;DB=129&amp;ID1=98975F10&amp;VALUEID=02001&amp;SDATE=200902&amp;PERIODTYPE=QTR_STD&amp;SCFT=3&amp;window=popup_no_bar&amp;width=385&amp;height=120&amp;START_MAXIMIZED=FALSE&amp;creator=factset&amp;display_string=Audit"}</definedName>
    <definedName name="_913__FDSAUDITLINK__" hidden="1">{"fdsup://Directions/FactSet Auditing Viewer?action=AUDIT_VALUE&amp;DB=129&amp;ID1=98391910&amp;VALUEID=02001&amp;SDATE=200901&amp;PERIODTYPE=QTR_STD&amp;SCFT=3&amp;window=popup_no_bar&amp;width=385&amp;height=120&amp;START_MAXIMIZED=FALSE&amp;creator=factset&amp;display_string=Audit"}</definedName>
    <definedName name="_914__FDSAUDITLINK__" hidden="1">{"fdsup://Directions/FactSet Auditing Viewer?action=AUDIT_VALUE&amp;DB=129&amp;ID1=98391910&amp;VALUEID=02001&amp;SDATE=200901&amp;PERIODTYPE=QTR_STD&amp;SCFT=3&amp;window=popup_no_bar&amp;width=385&amp;height=120&amp;START_MAXIMIZED=FALSE&amp;creator=factset&amp;display_string=Audit"}</definedName>
    <definedName name="_915__FDSAUDITLINK__" hidden="1">{"fdsup://Directions/FactSet Auditing Viewer?action=AUDIT_VALUE&amp;DB=129&amp;ID1=92849730&amp;VALUEID=02001&amp;SDATE=200903&amp;PERIODTYPE=QTR_STD&amp;SCFT=3&amp;window=popup_no_bar&amp;width=385&amp;height=120&amp;START_MAXIMIZED=FALSE&amp;creator=factset&amp;display_string=Audit"}</definedName>
    <definedName name="_916__FDSAUDITLINK__" hidden="1">{"fdsup://Directions/FactSet Auditing Viewer?action=AUDIT_VALUE&amp;DB=129&amp;ID1=92849730&amp;VALUEID=02001&amp;SDATE=200903&amp;PERIODTYPE=QTR_STD&amp;SCFT=3&amp;window=popup_no_bar&amp;width=385&amp;height=120&amp;START_MAXIMIZED=FALSE&amp;creator=factset&amp;display_string=Audit"}</definedName>
    <definedName name="_917__FDSAUDITLINK__" hidden="1">{"fdsup://Directions/FactSet Auditing Viewer?action=AUDIT_VALUE&amp;DB=129&amp;ID1=92829810&amp;VALUEID=02001&amp;SDATE=200902&amp;PERIODTYPE=QTR_STD&amp;SCFT=3&amp;window=popup_no_bar&amp;width=385&amp;height=120&amp;START_MAXIMIZED=FALSE&amp;creator=factset&amp;display_string=Audit"}</definedName>
    <definedName name="_918__FDSAUDITLINK__" hidden="1">{"fdsup://Directions/FactSet Auditing Viewer?action=AUDIT_VALUE&amp;DB=129&amp;ID1=92829810&amp;VALUEID=02001&amp;SDATE=200902&amp;PERIODTYPE=QTR_STD&amp;SCFT=3&amp;window=popup_no_bar&amp;width=385&amp;height=120&amp;START_MAXIMIZED=FALSE&amp;creator=factset&amp;display_string=Audit"}</definedName>
    <definedName name="_919__FDSAUDITLINK__" hidden="1">{"fdsup://Directions/FactSet Auditing Viewer?action=AUDIT_VALUE&amp;DB=129&amp;ID1=88250810&amp;VALUEID=02001&amp;SDATE=200902&amp;PERIODTYPE=QTR_STD&amp;SCFT=3&amp;window=popup_no_bar&amp;width=385&amp;height=120&amp;START_MAXIMIZED=FALSE&amp;creator=factset&amp;display_string=Audit"}</definedName>
    <definedName name="_92__FDSAUDITLINK__" hidden="1">{"fdsup://Directions/FactSet Auditing Viewer?action=AUDIT_VALUE&amp;DB=129&amp;ID1=48203R10&amp;VALUEID=02001&amp;SDATE=201101&amp;PERIODTYPE=QTR_STD&amp;SCFT=3&amp;window=popup_no_bar&amp;width=385&amp;height=120&amp;START_MAXIMIZED=FALSE&amp;creator=factset&amp;display_string=Audit"}</definedName>
    <definedName name="_920__FDSAUDITLINK__" hidden="1">{"fdsup://Directions/FactSet Auditing Viewer?action=AUDIT_VALUE&amp;DB=129&amp;ID1=88250810&amp;VALUEID=02001&amp;SDATE=200902&amp;PERIODTYPE=QTR_STD&amp;SCFT=3&amp;window=popup_no_bar&amp;width=385&amp;height=120&amp;START_MAXIMIZED=FALSE&amp;creator=factset&amp;display_string=Audit"}</definedName>
    <definedName name="_921__FDSAUDITLINK__" hidden="1">{"fdsup://Directions/FactSet Auditing Viewer?action=AUDIT_VALUE&amp;DB=129&amp;ID1=89674K10&amp;VALUEID=02001&amp;SDATE=200902&amp;PERIODTYPE=QTR_STD&amp;SCFT=3&amp;window=popup_no_bar&amp;width=385&amp;height=120&amp;START_MAXIMIZED=FALSE&amp;creator=factset&amp;display_string=Audit"}</definedName>
    <definedName name="_922__FDSAUDITLINK__" hidden="1">{"fdsup://Directions/FactSet Auditing Viewer?action=AUDIT_VALUE&amp;DB=129&amp;ID1=89674K10&amp;VALUEID=02001&amp;SDATE=200902&amp;PERIODTYPE=QTR_STD&amp;SCFT=3&amp;window=popup_no_bar&amp;width=385&amp;height=120&amp;START_MAXIMIZED=FALSE&amp;creator=factset&amp;display_string=Audit"}</definedName>
    <definedName name="_923__FDSAUDITLINK__" hidden="1">{"fdsup://Directions/FactSet Auditing Viewer?action=AUDIT_VALUE&amp;DB=129&amp;ID1=83088M10&amp;VALUEID=02001&amp;SDATE=200903&amp;PERIODTYPE=QTR_STD&amp;SCFT=3&amp;window=popup_no_bar&amp;width=385&amp;height=120&amp;START_MAXIMIZED=FALSE&amp;creator=factset&amp;display_string=Audit"}</definedName>
    <definedName name="_924__FDSAUDITLINK__" hidden="1">{"fdsup://Directions/FactSet Auditing Viewer?action=AUDIT_VALUE&amp;DB=129&amp;ID1=83088M10&amp;VALUEID=02001&amp;SDATE=200903&amp;PERIODTYPE=QTR_STD&amp;SCFT=3&amp;window=popup_no_bar&amp;width=385&amp;height=120&amp;START_MAXIMIZED=FALSE&amp;creator=factset&amp;display_string=Audit"}</definedName>
    <definedName name="_925__FDSAUDITLINK__" hidden="1">{"fdsup://Directions/FactSet Auditing Viewer?action=AUDIT_VALUE&amp;DB=129&amp;ID1=78477410&amp;VALUEID=02001&amp;SDATE=200902&amp;PERIODTYPE=QTR_STD&amp;SCFT=3&amp;window=popup_no_bar&amp;width=385&amp;height=120&amp;START_MAXIMIZED=FALSE&amp;creator=factset&amp;display_string=Audit"}</definedName>
    <definedName name="_926__FDSAUDITLINK__" hidden="1">{"fdsup://Directions/FactSet Auditing Viewer?action=AUDIT_VALUE&amp;DB=129&amp;ID1=78477410&amp;VALUEID=02001&amp;SDATE=200902&amp;PERIODTYPE=QTR_STD&amp;SCFT=3&amp;window=popup_no_bar&amp;width=385&amp;height=120&amp;START_MAXIMIZED=FALSE&amp;creator=factset&amp;display_string=Audit"}</definedName>
    <definedName name="_927__FDSAUDITLINK__" hidden="1">{"fdsup://Directions/FactSet Auditing Viewer?action=AUDIT_VALUE&amp;DB=129&amp;ID1=82705710&amp;VALUEID=02001&amp;SDATE=200902&amp;PERIODTYPE=QTR_STD&amp;SCFT=3&amp;window=popup_no_bar&amp;width=385&amp;height=120&amp;START_MAXIMIZED=FALSE&amp;creator=factset&amp;display_string=Audit"}</definedName>
    <definedName name="_928__FDSAUDITLINK__" hidden="1">{"fdsup://Directions/FactSet Auditing Viewer?action=AUDIT_VALUE&amp;DB=129&amp;ID1=82705710&amp;VALUEID=02001&amp;SDATE=200902&amp;PERIODTYPE=QTR_STD&amp;SCFT=3&amp;window=popup_no_bar&amp;width=385&amp;height=120&amp;START_MAXIMIZED=FALSE&amp;creator=factset&amp;display_string=Audit"}</definedName>
    <definedName name="_929__FDSAUDITLINK__" hidden="1">{"fdsup://Directions/FactSet Auditing Viewer?action=AUDIT_VALUE&amp;DB=129&amp;ID1=83547010&amp;VALUEID=02001&amp;SDATE=200902&amp;PERIODTYPE=QTR_STD&amp;SCFT=3&amp;window=popup_no_bar&amp;width=385&amp;height=120&amp;START_MAXIMIZED=FALSE&amp;creator=factset&amp;display_string=Audit"}</definedName>
    <definedName name="_93__FDSAUDITLINK__" hidden="1">{"fdsup://Directions/FactSet Auditing Viewer?action=AUDIT_VALUE&amp;DB=129&amp;ID1=46069S10&amp;VALUEID=02001&amp;SDATE=201101&amp;PERIODTYPE=QTR_STD&amp;SCFT=3&amp;window=popup_no_bar&amp;width=385&amp;height=120&amp;START_MAXIMIZED=FALSE&amp;creator=factset&amp;display_string=Audit"}</definedName>
    <definedName name="_930__FDSAUDITLINK__" hidden="1">{"fdsup://Directions/FactSet Auditing Viewer?action=AUDIT_VALUE&amp;DB=129&amp;ID1=83547010&amp;VALUEID=02001&amp;SDATE=200902&amp;PERIODTYPE=QTR_STD&amp;SCFT=3&amp;window=popup_no_bar&amp;width=385&amp;height=120&amp;START_MAXIMIZED=FALSE&amp;creator=factset&amp;display_string=Audit"}</definedName>
    <definedName name="_931__FDSAUDITLINK__" hidden="1">{"fdsup://Directions/FactSet Auditing Viewer?action=AUDIT_VALUE&amp;DB=129&amp;ID1=87160710&amp;VALUEID=02001&amp;SDATE=200903&amp;PERIODTYPE=QTR_STD&amp;SCFT=3&amp;window=popup_no_bar&amp;width=385&amp;height=120&amp;START_MAXIMIZED=FALSE&amp;creator=factset&amp;display_string=Audit"}</definedName>
    <definedName name="_932__FDSAUDITLINK__" hidden="1">{"fdsup://Directions/FactSet Auditing Viewer?action=AUDIT_VALUE&amp;DB=129&amp;ID1=87160710&amp;VALUEID=02001&amp;SDATE=200903&amp;PERIODTYPE=QTR_STD&amp;SCFT=3&amp;window=popup_no_bar&amp;width=385&amp;height=120&amp;START_MAXIMIZED=FALSE&amp;creator=factset&amp;display_string=Audit"}</definedName>
    <definedName name="_933__FDSAUDITLINK__" hidden="1">{"fdsup://Directions/FactSet Auditing Viewer?action=AUDIT_VALUE&amp;DB=129&amp;ID1=80004C10&amp;VALUEID=02001&amp;SDATE=200902&amp;PERIODTYPE=QTR_STD&amp;SCFT=3&amp;window=popup_no_bar&amp;width=385&amp;height=120&amp;START_MAXIMIZED=FALSE&amp;creator=factset&amp;display_string=Audit"}</definedName>
    <definedName name="_934__FDSAUDITLINK__" hidden="1">{"fdsup://Directions/FactSet Auditing Viewer?action=AUDIT_VALUE&amp;DB=129&amp;ID1=80004C10&amp;VALUEID=02001&amp;SDATE=200902&amp;PERIODTYPE=QTR_STD&amp;SCFT=3&amp;window=popup_no_bar&amp;width=385&amp;height=120&amp;START_MAXIMIZED=FALSE&amp;creator=factset&amp;display_string=Audit"}</definedName>
    <definedName name="_935__FDSAUDITLINK__" hidden="1">{"fdsup://Directions/FactSet Auditing Viewer?action=AUDIT_VALUE&amp;DB=129&amp;ID1=81685010&amp;VALUEID=02001&amp;SDATE=200902&amp;PERIODTYPE=QTR_STD&amp;SCFT=3&amp;window=popup_no_bar&amp;width=385&amp;height=120&amp;START_MAXIMIZED=FALSE&amp;creator=factset&amp;display_string=Audit"}</definedName>
    <definedName name="_936__FDSAUDITLINK__" hidden="1">{"fdsup://Directions/FactSet Auditing Viewer?action=AUDIT_VALUE&amp;DB=129&amp;ID1=81685010&amp;VALUEID=02001&amp;SDATE=200902&amp;PERIODTYPE=QTR_STD&amp;SCFT=3&amp;window=popup_no_bar&amp;width=385&amp;height=120&amp;START_MAXIMIZED=FALSE&amp;creator=factset&amp;display_string=Audit"}</definedName>
    <definedName name="_937__FDSAUDITLINK__" hidden="1">{"fdsup://Directions/FactSet Auditing Viewer?action=AUDIT_VALUE&amp;DB=129&amp;ID1=82691910&amp;VALUEID=02001&amp;SDATE=200902&amp;PERIODTYPE=QTR_STD&amp;SCFT=3&amp;window=popup_no_bar&amp;width=385&amp;height=120&amp;START_MAXIMIZED=FALSE&amp;creator=factset&amp;display_string=Audit"}</definedName>
    <definedName name="_938__FDSAUDITLINK__" hidden="1">{"fdsup://Directions/FactSet Auditing Viewer?action=AUDIT_VALUE&amp;DB=129&amp;ID1=82691910&amp;VALUEID=02001&amp;SDATE=200902&amp;PERIODTYPE=QTR_STD&amp;SCFT=3&amp;window=popup_no_bar&amp;width=385&amp;height=120&amp;START_MAXIMIZED=FALSE&amp;creator=factset&amp;display_string=Audit"}</definedName>
    <definedName name="_939__FDSAUDITLINK__" hidden="1">{"fdsup://Directions/FactSet Auditing Viewer?action=AUDIT_VALUE&amp;DB=129&amp;ID1=82705T10&amp;VALUEID=02001&amp;SDATE=200902&amp;PERIODTYPE=QTR_STD&amp;SCFT=3&amp;window=popup_no_bar&amp;width=385&amp;height=120&amp;START_MAXIMIZED=FALSE&amp;creator=factset&amp;display_string=Audit"}</definedName>
    <definedName name="_94__FDSAUDITLINK__" hidden="1">{"fdsup://Directions/FactSet Auditing Viewer?action=AUDIT_VALUE&amp;DB=129&amp;ID1=46069S10&amp;VALUEID=02001&amp;SDATE=201101&amp;PERIODTYPE=QTR_STD&amp;SCFT=3&amp;window=popup_no_bar&amp;width=385&amp;height=120&amp;START_MAXIMIZED=FALSE&amp;creator=factset&amp;display_string=Audit"}</definedName>
    <definedName name="_940__FDSAUDITLINK__" hidden="1">{"fdsup://Directions/FactSet Auditing Viewer?action=AUDIT_VALUE&amp;DB=129&amp;ID1=82705T10&amp;VALUEID=02001&amp;SDATE=200902&amp;PERIODTYPE=QTR_STD&amp;SCFT=3&amp;window=popup_no_bar&amp;width=385&amp;height=120&amp;START_MAXIMIZED=FALSE&amp;creator=factset&amp;display_string=Audit"}</definedName>
    <definedName name="_941__FDSAUDITLINK__" hidden="1">{"fdsup://Directions/FactSet Auditing Viewer?action=AUDIT_VALUE&amp;DB=129&amp;ID1=75091710&amp;VALUEID=02001&amp;SDATE=200902&amp;PERIODTYPE=QTR_STD&amp;SCFT=3&amp;window=popup_no_bar&amp;width=385&amp;height=120&amp;START_MAXIMIZED=FALSE&amp;creator=factset&amp;display_string=Audit"}</definedName>
    <definedName name="_942__FDSAUDITLINK__" hidden="1">{"fdsup://Directions/FactSet Auditing Viewer?action=AUDIT_VALUE&amp;DB=129&amp;ID1=75091710&amp;VALUEID=02001&amp;SDATE=200902&amp;PERIODTYPE=QTR_STD&amp;SCFT=3&amp;window=popup_no_bar&amp;width=385&amp;height=120&amp;START_MAXIMIZED=FALSE&amp;creator=factset&amp;display_string=Audit"}</definedName>
    <definedName name="_943__FDSAUDITLINK__" hidden="1">{"fdsup://Directions/FactSet Auditing Viewer?action=AUDIT_VALUE&amp;DB=129&amp;ID1=74994110&amp;VALUEID=02001&amp;SDATE=200901&amp;PERIODTYPE=QTR_STD&amp;SCFT=3&amp;window=popup_no_bar&amp;width=385&amp;height=120&amp;START_MAXIMIZED=FALSE&amp;creator=factset&amp;display_string=Audit"}</definedName>
    <definedName name="_944__FDSAUDITLINK__" hidden="1">{"fdsup://Directions/FactSet Auditing Viewer?action=AUDIT_VALUE&amp;DB=129&amp;ID1=74994110&amp;VALUEID=02001&amp;SDATE=200901&amp;PERIODTYPE=QTR_STD&amp;SCFT=3&amp;window=popup_no_bar&amp;width=385&amp;height=120&amp;START_MAXIMIZED=FALSE&amp;creator=factset&amp;display_string=Audit"}</definedName>
    <definedName name="_945__FDSAUDITLINK__" hidden="1">{"fdsup://Directions/FactSet Auditing Viewer?action=AUDIT_VALUE&amp;DB=129&amp;ID1=74727710&amp;VALUEID=02001&amp;SDATE=200901&amp;PERIODTYPE=QTR_STD&amp;SCFT=3&amp;window=popup_no_bar&amp;width=385&amp;height=120&amp;START_MAXIMIZED=FALSE&amp;creator=factset&amp;display_string=Audit"}</definedName>
    <definedName name="_946__FDSAUDITLINK__" hidden="1">{"fdsup://Directions/FactSet Auditing Viewer?action=AUDIT_VALUE&amp;DB=129&amp;ID1=74727710&amp;VALUEID=02001&amp;SDATE=200901&amp;PERIODTYPE=QTR_STD&amp;SCFT=3&amp;window=popup_no_bar&amp;width=385&amp;height=120&amp;START_MAXIMIZED=FALSE&amp;creator=factset&amp;display_string=Audit"}</definedName>
    <definedName name="_947__FDSAUDITLINK__" hidden="1">{"fdsup://Directions/FactSet Auditing Viewer?action=AUDIT_VALUE&amp;DB=129&amp;ID1=74752510&amp;VALUEID=02001&amp;SDATE=200903&amp;PERIODTYPE=QTR_STD&amp;SCFT=3&amp;window=popup_no_bar&amp;width=385&amp;height=120&amp;START_MAXIMIZED=FALSE&amp;creator=factset&amp;display_string=Audit"}</definedName>
    <definedName name="_948__FDSAUDITLINK__" hidden="1">{"fdsup://Directions/FactSet Auditing Viewer?action=AUDIT_VALUE&amp;DB=129&amp;ID1=74752510&amp;VALUEID=02001&amp;SDATE=200903&amp;PERIODTYPE=QTR_STD&amp;SCFT=3&amp;window=popup_no_bar&amp;width=385&amp;height=120&amp;START_MAXIMIZED=FALSE&amp;creator=factset&amp;display_string=Audit"}</definedName>
    <definedName name="_949__FDSAUDITLINK__" hidden="1">{"fdsup://Directions/FactSet Auditing Viewer?action=AUDIT_VALUE&amp;DB=129&amp;ID1=72581M30&amp;VALUEID=02001&amp;SDATE=200902&amp;PERIODTYPE=QTR_STD&amp;SCFT=3&amp;window=popup_no_bar&amp;width=385&amp;height=120&amp;START_MAXIMIZED=FALSE&amp;creator=factset&amp;display_string=Audit"}</definedName>
    <definedName name="_95__FDSAUDITLINK__" hidden="1">{"fdsup://Directions/FactSet Auditing Viewer?action=AUDIT_VALUE&amp;DB=129&amp;ID1=46025410&amp;VALUEID=02001&amp;SDATE=201103&amp;PERIODTYPE=QTR_STD&amp;SCFT=3&amp;window=popup_no_bar&amp;width=385&amp;height=120&amp;START_MAXIMIZED=FALSE&amp;creator=factset&amp;display_string=Audit"}</definedName>
    <definedName name="_950__FDSAUDITLINK__" hidden="1">{"fdsup://Directions/FactSet Auditing Viewer?action=AUDIT_VALUE&amp;DB=129&amp;ID1=72581M30&amp;VALUEID=02001&amp;SDATE=200902&amp;PERIODTYPE=QTR_STD&amp;SCFT=3&amp;window=popup_no_bar&amp;width=385&amp;height=120&amp;START_MAXIMIZED=FALSE&amp;creator=factset&amp;display_string=Audit"}</definedName>
    <definedName name="_951__FDSAUDITLINK__" hidden="1">{"fdsup://Directions/FactSet Auditing Viewer?action=AUDIT_VALUE&amp;DB=129&amp;ID1=73927610&amp;VALUEID=02001&amp;SDATE=200902&amp;PERIODTYPE=QTR_STD&amp;SCFT=3&amp;window=popup_no_bar&amp;width=385&amp;height=120&amp;START_MAXIMIZED=FALSE&amp;creator=factset&amp;display_string=Audit"}</definedName>
    <definedName name="_952__FDSAUDITLINK__" hidden="1">{"fdsup://Directions/FactSet Auditing Viewer?action=AUDIT_VALUE&amp;DB=129&amp;ID1=73927610&amp;VALUEID=02001&amp;SDATE=200902&amp;PERIODTYPE=QTR_STD&amp;SCFT=3&amp;window=popup_no_bar&amp;width=385&amp;height=120&amp;START_MAXIMIZED=FALSE&amp;creator=factset&amp;display_string=Audit"}</definedName>
    <definedName name="_953__FDSAUDITLINK__" hidden="1">{"fdsup://Directions/FactSet Auditing Viewer?action=AUDIT_VALUE&amp;DB=129&amp;ID1=69344F10&amp;VALUEID=02001&amp;SDATE=200902&amp;PERIODTYPE=QTR_STD&amp;SCFT=3&amp;window=popup_no_bar&amp;width=385&amp;height=120&amp;START_MAXIMIZED=FALSE&amp;creator=factset&amp;display_string=Audit"}</definedName>
    <definedName name="_954__FDSAUDITLINK__" hidden="1">{"fdsup://Directions/FactSet Auditing Viewer?action=AUDIT_VALUE&amp;DB=129&amp;ID1=69344F10&amp;VALUEID=02001&amp;SDATE=200902&amp;PERIODTYPE=QTR_STD&amp;SCFT=3&amp;window=popup_no_bar&amp;width=385&amp;height=120&amp;START_MAXIMIZED=FALSE&amp;creator=factset&amp;display_string=Audit"}</definedName>
    <definedName name="_955__FDSAUDITLINK__" hidden="1">{"fdsup://Directions/FactSet Auditing Viewer?action=AUDIT_VALUE&amp;DB=129&amp;ID1=69341710&amp;VALUEID=02001&amp;SDATE=200902&amp;PERIODTYPE=QTR_STD&amp;SCFT=3&amp;window=popup_no_bar&amp;width=385&amp;height=120&amp;START_MAXIMIZED=FALSE&amp;creator=factset&amp;display_string=Audit"}</definedName>
    <definedName name="_956__FDSAUDITLINK__" hidden="1">{"fdsup://Directions/FactSet Auditing Viewer?action=AUDIT_VALUE&amp;DB=129&amp;ID1=69341710&amp;VALUEID=02001&amp;SDATE=200902&amp;PERIODTYPE=QTR_STD&amp;SCFT=3&amp;window=popup_no_bar&amp;width=385&amp;height=120&amp;START_MAXIMIZED=FALSE&amp;creator=factset&amp;display_string=Audit"}</definedName>
    <definedName name="_957__FDSAUDITLINK__" hidden="1">{"fdsup://Directions/FactSet Auditing Viewer?action=AUDIT_VALUE&amp;DB=129&amp;ID1=68218910&amp;VALUEID=02001&amp;SDATE=200902&amp;PERIODTYPE=QTR_STD&amp;SCFT=3&amp;window=popup_no_bar&amp;width=385&amp;height=120&amp;START_MAXIMIZED=FALSE&amp;creator=factset&amp;display_string=Audit"}</definedName>
    <definedName name="_958__FDSAUDITLINK__" hidden="1">{"fdsup://Directions/FactSet Auditing Viewer?action=AUDIT_VALUE&amp;DB=129&amp;ID1=68218910&amp;VALUEID=02001&amp;SDATE=200902&amp;PERIODTYPE=QTR_STD&amp;SCFT=3&amp;window=popup_no_bar&amp;width=385&amp;height=120&amp;START_MAXIMIZED=FALSE&amp;creator=factset&amp;display_string=Audit"}</definedName>
    <definedName name="_959__FDSAUDITLINK__" hidden="1">{"fdsup://Directions/FactSet Auditing Viewer?action=AUDIT_VALUE&amp;DB=129&amp;ID1=B505PN&amp;VALUEID=02001&amp;SDATE=200902&amp;PERIODTYPE=QTR_STD&amp;SCFT=3&amp;window=popup_no_bar&amp;width=385&amp;height=120&amp;START_MAXIMIZED=FALSE&amp;creator=factset&amp;display_string=Audit"}</definedName>
    <definedName name="_96__FDSAUDITLINK__" hidden="1">{"fdsup://Directions/FactSet Auditing Viewer?action=AUDIT_VALUE&amp;DB=129&amp;ID1=46025410&amp;VALUEID=02001&amp;SDATE=201103&amp;PERIODTYPE=QTR_STD&amp;SCFT=3&amp;window=popup_no_bar&amp;width=385&amp;height=120&amp;START_MAXIMIZED=FALSE&amp;creator=factset&amp;display_string=Audit"}</definedName>
    <definedName name="_960__FDSAUDITLINK__" hidden="1">{"fdsup://Directions/FactSet Auditing Viewer?action=AUDIT_VALUE&amp;DB=129&amp;ID1=B505PN&amp;VALUEID=02001&amp;SDATE=200902&amp;PERIODTYPE=QTR_STD&amp;SCFT=3&amp;window=popup_no_bar&amp;width=385&amp;height=120&amp;START_MAXIMIZED=FALSE&amp;creator=factset&amp;display_string=Audit"}</definedName>
    <definedName name="_961__FDSAUDITLINK__" hidden="1">{"fdsup://Directions/FactSet Auditing Viewer?action=AUDIT_VALUE&amp;DB=129&amp;ID1=67000810&amp;VALUEID=02001&amp;SDATE=200902&amp;PERIODTYPE=QTR_STD&amp;SCFT=3&amp;window=popup_no_bar&amp;width=385&amp;height=120&amp;START_MAXIMIZED=FALSE&amp;creator=factset&amp;display_string=Audit"}</definedName>
    <definedName name="_962__FDSAUDITLINK__" hidden="1">{"fdsup://Directions/FactSet Auditing Viewer?action=AUDIT_VALUE&amp;DB=129&amp;ID1=67000810&amp;VALUEID=02001&amp;SDATE=200902&amp;PERIODTYPE=QTR_STD&amp;SCFT=3&amp;window=popup_no_bar&amp;width=385&amp;height=120&amp;START_MAXIMIZED=FALSE&amp;creator=factset&amp;display_string=Audit"}</definedName>
    <definedName name="_963__FDSAUDITLINK__" hidden="1">{"fdsup://Directions/FactSet Auditing Viewer?action=AUDIT_VALUE&amp;DB=129&amp;ID1=67066G10&amp;VALUEID=02001&amp;SDATE=200902&amp;PERIODTYPE=QTR_STD&amp;SCFT=3&amp;window=popup_no_bar&amp;width=385&amp;height=120&amp;START_MAXIMIZED=FALSE&amp;creator=factset&amp;display_string=Audit"}</definedName>
    <definedName name="_964__FDSAUDITLINK__" hidden="1">{"fdsup://Directions/FactSet Auditing Viewer?action=AUDIT_VALUE&amp;DB=129&amp;ID1=67066G10&amp;VALUEID=02001&amp;SDATE=200902&amp;PERIODTYPE=QTR_STD&amp;SCFT=3&amp;window=popup_no_bar&amp;width=385&amp;height=120&amp;START_MAXIMIZED=FALSE&amp;creator=factset&amp;display_string=Audit"}</definedName>
    <definedName name="_965__FDSAUDITLINK__" hidden="1">{"fdsup://Directions/FactSet Auditing Viewer?action=AUDIT_VALUE&amp;DB=129&amp;ID1=64118B10&amp;VALUEID=02001&amp;SDATE=200902&amp;PERIODTYPE=QTR_STD&amp;SCFT=3&amp;window=popup_no_bar&amp;width=385&amp;height=120&amp;START_MAXIMIZED=FALSE&amp;creator=factset&amp;display_string=Audit"}</definedName>
    <definedName name="_966__FDSAUDITLINK__" hidden="1">{"fdsup://Directions/FactSet Auditing Viewer?action=AUDIT_VALUE&amp;DB=129&amp;ID1=64118B10&amp;VALUEID=02001&amp;SDATE=200902&amp;PERIODTYPE=QTR_STD&amp;SCFT=3&amp;window=popup_no_bar&amp;width=385&amp;height=120&amp;START_MAXIMIZED=FALSE&amp;creator=factset&amp;display_string=Audit"}</definedName>
    <definedName name="_967__FDSAUDITLINK__" hidden="1">{"fdsup://Directions/FactSet Auditing Viewer?action=AUDIT_VALUE&amp;DB=129&amp;ID1=59511210&amp;VALUEID=02001&amp;SDATE=200903&amp;PERIODTYPE=QTR_STD&amp;SCFT=3&amp;window=popup_no_bar&amp;width=385&amp;height=120&amp;START_MAXIMIZED=FALSE&amp;creator=factset&amp;display_string=Audit"}</definedName>
    <definedName name="_968__FDSAUDITLINK__" hidden="1">{"fdsup://Directions/FactSet Auditing Viewer?action=AUDIT_VALUE&amp;DB=129&amp;ID1=59511210&amp;VALUEID=02001&amp;SDATE=200903&amp;PERIODTYPE=QTR_STD&amp;SCFT=3&amp;window=popup_no_bar&amp;width=385&amp;height=120&amp;START_MAXIMIZED=FALSE&amp;creator=factset&amp;display_string=Audit"}</definedName>
    <definedName name="_969__FDSAUDITLINK__" hidden="1">{"fdsup://Directions/FactSet Auditing Viewer?action=AUDIT_VALUE&amp;DB=129&amp;ID1=59513710&amp;VALUEID=02001&amp;SDATE=200903&amp;PERIODTYPE=QTR_STD&amp;SCFT=3&amp;window=popup_no_bar&amp;width=385&amp;height=120&amp;START_MAXIMIZED=FALSE&amp;creator=factset&amp;display_string=Audit"}</definedName>
    <definedName name="_97__FDSAUDITLINK__" hidden="1">{"fdsup://Directions/FactSet Auditing Viewer?action=AUDIT_VALUE&amp;DB=129&amp;ID1=45772F10&amp;VALUEID=02001&amp;SDATE=201101&amp;PERIODTYPE=QTR_STD&amp;SCFT=3&amp;window=popup_no_bar&amp;width=385&amp;height=120&amp;START_MAXIMIZED=FALSE&amp;creator=factset&amp;display_string=Audit"}</definedName>
    <definedName name="_970__FDSAUDITLINK__" hidden="1">{"fdsup://Directions/FactSet Auditing Viewer?action=AUDIT_VALUE&amp;DB=129&amp;ID1=59513710&amp;VALUEID=02001&amp;SDATE=200903&amp;PERIODTYPE=QTR_STD&amp;SCFT=3&amp;window=popup_no_bar&amp;width=385&amp;height=120&amp;START_MAXIMIZED=FALSE&amp;creator=factset&amp;display_string=Audit"}</definedName>
    <definedName name="_971__FDSAUDITLINK__" hidden="1">{"fdsup://Directions/FactSet Auditing Viewer?action=AUDIT_VALUE&amp;DB=129&amp;ID1=G5876H10&amp;VALUEID=02001&amp;SDATE=200902&amp;PERIODTYPE=QTR_STD&amp;SCFT=3&amp;window=popup_no_bar&amp;width=385&amp;height=120&amp;START_MAXIMIZED=FALSE&amp;creator=factset&amp;display_string=Audit"}</definedName>
    <definedName name="_972__FDSAUDITLINK__" hidden="1">{"fdsup://Directions/FactSet Auditing Viewer?action=AUDIT_VALUE&amp;DB=129&amp;ID1=G5876H10&amp;VALUEID=02001&amp;SDATE=200902&amp;PERIODTYPE=QTR_STD&amp;SCFT=3&amp;window=popup_no_bar&amp;width=385&amp;height=120&amp;START_MAXIMIZED=FALSE&amp;creator=factset&amp;display_string=Audit"}</definedName>
    <definedName name="_973__FDSAUDITLINK__" hidden="1">{"fdsup://Directions/FactSet Auditing Viewer?action=AUDIT_VALUE&amp;DB=129&amp;ID1=62007630&amp;VALUEID=02001&amp;SDATE=200902&amp;PERIODTYPE=QTR_STD&amp;SCFT=3&amp;window=popup_no_bar&amp;width=385&amp;height=120&amp;START_MAXIMIZED=FALSE&amp;creator=factset&amp;display_string=Audit"}</definedName>
    <definedName name="_974__FDSAUDITLINK__" hidden="1">{"fdsup://Directions/FactSet Auditing Viewer?action=AUDIT_VALUE&amp;DB=129&amp;ID1=62007630&amp;VALUEID=02001&amp;SDATE=200902&amp;PERIODTYPE=QTR_STD&amp;SCFT=3&amp;window=popup_no_bar&amp;width=385&amp;height=120&amp;START_MAXIMIZED=FALSE&amp;creator=factset&amp;display_string=Audit"}</definedName>
    <definedName name="_975__FDSAUDITLINK__" hidden="1">{"fdsup://Directions/FactSet Auditing Viewer?action=AUDIT_VALUE&amp;DB=129&amp;ID1=59479310&amp;VALUEID=02001&amp;SDATE=200902&amp;PERIODTYPE=QTR_STD&amp;SCFT=3&amp;window=popup_no_bar&amp;width=385&amp;height=120&amp;START_MAXIMIZED=FALSE&amp;creator=factset&amp;display_string=Audit"}</definedName>
    <definedName name="_976__FDSAUDITLINK__" hidden="1">{"fdsup://Directions/FactSet Auditing Viewer?action=AUDIT_VALUE&amp;DB=129&amp;ID1=59479310&amp;VALUEID=02001&amp;SDATE=200902&amp;PERIODTYPE=QTR_STD&amp;SCFT=3&amp;window=popup_no_bar&amp;width=385&amp;height=120&amp;START_MAXIMIZED=FALSE&amp;creator=factset&amp;display_string=Audit"}</definedName>
    <definedName name="_977__FDSAUDITLINK__" hidden="1">{"fdsup://Directions/FactSet Auditing Viewer?action=AUDIT_VALUE&amp;DB=129&amp;ID1=59501710&amp;VALUEID=02001&amp;SDATE=200901&amp;PERIODTYPE=QTR_STD&amp;SCFT=3&amp;window=popup_no_bar&amp;width=385&amp;height=120&amp;START_MAXIMIZED=FALSE&amp;creator=factset&amp;display_string=Audit"}</definedName>
    <definedName name="_978__FDSAUDITLINK__" hidden="1">{"fdsup://Directions/FactSet Auditing Viewer?action=AUDIT_VALUE&amp;DB=129&amp;ID1=59501710&amp;VALUEID=02001&amp;SDATE=200901&amp;PERIODTYPE=QTR_STD&amp;SCFT=3&amp;window=popup_no_bar&amp;width=385&amp;height=120&amp;START_MAXIMIZED=FALSE&amp;creator=factset&amp;display_string=Audit"}</definedName>
    <definedName name="_979__FDSAUDITLINK__" hidden="1">{"fdsup://Directions/FactSet Auditing Viewer?action=AUDIT_VALUE&amp;DB=129&amp;ID1=50216110&amp;VALUEID=02001&amp;SDATE=200902&amp;PERIODTYPE=QTR_STD&amp;SCFT=3&amp;window=popup_no_bar&amp;width=385&amp;height=120&amp;START_MAXIMIZED=FALSE&amp;creator=factset&amp;display_string=Audit"}</definedName>
    <definedName name="_98__FDSAUDITLINK__" hidden="1">{"fdsup://Directions/FactSet Auditing Viewer?action=AUDIT_VALUE&amp;DB=129&amp;ID1=45772F10&amp;VALUEID=02001&amp;SDATE=201101&amp;PERIODTYPE=QTR_STD&amp;SCFT=3&amp;window=popup_no_bar&amp;width=385&amp;height=120&amp;START_MAXIMIZED=FALSE&amp;creator=factset&amp;display_string=Audit"}</definedName>
    <definedName name="_980__FDSAUDITLINK__" hidden="1">{"fdsup://Directions/FactSet Auditing Viewer?action=AUDIT_VALUE&amp;DB=129&amp;ID1=50216110&amp;VALUEID=02001&amp;SDATE=200902&amp;PERIODTYPE=QTR_STD&amp;SCFT=3&amp;window=popup_no_bar&amp;width=385&amp;height=120&amp;START_MAXIMIZED=FALSE&amp;creator=factset&amp;display_string=Audit"}</definedName>
    <definedName name="_981__FDSAUDITLINK__" hidden="1">{"fdsup://Directions/FactSet Auditing Viewer?action=AUDIT_VALUE&amp;DB=129&amp;ID1=51841510&amp;VALUEID=02001&amp;SDATE=200902&amp;PERIODTYPE=QTR_STD&amp;SCFT=3&amp;window=popup_no_bar&amp;width=385&amp;height=120&amp;START_MAXIMIZED=FALSE&amp;creator=factset&amp;display_string=Audit"}</definedName>
    <definedName name="_982__FDSAUDITLINK__" hidden="1">{"fdsup://Directions/FactSet Auditing Viewer?action=AUDIT_VALUE&amp;DB=129&amp;ID1=51841510&amp;VALUEID=02001&amp;SDATE=200902&amp;PERIODTYPE=QTR_STD&amp;SCFT=3&amp;window=popup_no_bar&amp;width=385&amp;height=120&amp;START_MAXIMIZED=FALSE&amp;creator=factset&amp;display_string=Audit"}</definedName>
    <definedName name="_983__FDSAUDITLINK__" hidden="1">{"fdsup://Directions/FactSet Auditing Viewer?action=AUDIT_VALUE&amp;DB=129&amp;ID1=48836020&amp;VALUEID=02001&amp;SDATE=200901&amp;PERIODTYPE=QTR_STD&amp;SCFT=3&amp;window=popup_no_bar&amp;width=385&amp;height=120&amp;START_MAXIMIZED=FALSE&amp;creator=factset&amp;display_string=Audit"}</definedName>
    <definedName name="_984__FDSAUDITLINK__" hidden="1">{"fdsup://Directions/FactSet Auditing Viewer?action=AUDIT_VALUE&amp;DB=129&amp;ID1=48836020&amp;VALUEID=02001&amp;SDATE=200901&amp;PERIODTYPE=QTR_STD&amp;SCFT=3&amp;window=popup_no_bar&amp;width=385&amp;height=120&amp;START_MAXIMIZED=FALSE&amp;creator=factset&amp;display_string=Audit"}</definedName>
    <definedName name="_985__FDSAUDITLINK__" hidden="1">{"fdsup://Directions/FactSet Auditing Viewer?action=AUDIT_VALUE&amp;DB=129&amp;ID1=48203R10&amp;VALUEID=02001&amp;SDATE=200902&amp;PERIODTYPE=QTR_STD&amp;SCFT=3&amp;window=popup_no_bar&amp;width=385&amp;height=120&amp;START_MAXIMIZED=FALSE&amp;creator=factset&amp;display_string=Audit"}</definedName>
    <definedName name="_986__FDSAUDITLINK__" hidden="1">{"fdsup://Directions/FactSet Auditing Viewer?action=AUDIT_VALUE&amp;DB=129&amp;ID1=48203R10&amp;VALUEID=02001&amp;SDATE=200902&amp;PERIODTYPE=QTR_STD&amp;SCFT=3&amp;window=popup_no_bar&amp;width=385&amp;height=120&amp;START_MAXIMIZED=FALSE&amp;creator=factset&amp;display_string=Audit"}</definedName>
    <definedName name="_987__FDSAUDITLINK__" hidden="1">{"fdsup://Directions/FactSet Auditing Viewer?action=AUDIT_VALUE&amp;DB=129&amp;ID1=46069S10&amp;VALUEID=02001&amp;SDATE=200902&amp;PERIODTYPE=QTR_STD&amp;SCFT=3&amp;window=popup_no_bar&amp;width=385&amp;height=120&amp;START_MAXIMIZED=FALSE&amp;creator=factset&amp;display_string=Audit"}</definedName>
    <definedName name="_988__FDSAUDITLINK__" hidden="1">{"fdsup://Directions/FactSet Auditing Viewer?action=AUDIT_VALUE&amp;DB=129&amp;ID1=46069S10&amp;VALUEID=02001&amp;SDATE=200902&amp;PERIODTYPE=QTR_STD&amp;SCFT=3&amp;window=popup_no_bar&amp;width=385&amp;height=120&amp;START_MAXIMIZED=FALSE&amp;creator=factset&amp;display_string=Audit"}</definedName>
    <definedName name="_989__FDSAUDITLINK__" hidden="1">{"fdsup://Directions/FactSet Auditing Viewer?action=AUDIT_VALUE&amp;DB=129&amp;ID1=45814010&amp;VALUEID=02001&amp;SDATE=200902&amp;PERIODTYPE=QTR_STD&amp;SCFT=3&amp;window=popup_no_bar&amp;width=385&amp;height=120&amp;START_MAXIMIZED=FALSE&amp;creator=factset&amp;display_string=Audit"}</definedName>
    <definedName name="_99__FDSAUDITLINK__" hidden="1">{"fdsup://Directions/FactSet Auditing Viewer?action=AUDIT_VALUE&amp;DB=129&amp;ID1=45814010&amp;VALUEID=02001&amp;SDATE=201101&amp;PERIODTYPE=QTR_STD&amp;SCFT=3&amp;window=popup_no_bar&amp;width=385&amp;height=120&amp;START_MAXIMIZED=FALSE&amp;creator=factset&amp;display_string=Audit"}</definedName>
    <definedName name="_990__FDSAUDITLINK__" hidden="1">{"fdsup://Directions/FactSet Auditing Viewer?action=AUDIT_VALUE&amp;DB=129&amp;ID1=45814010&amp;VALUEID=02001&amp;SDATE=200902&amp;PERIODTYPE=QTR_STD&amp;SCFT=3&amp;window=popup_no_bar&amp;width=385&amp;height=120&amp;START_MAXIMIZED=FALSE&amp;creator=factset&amp;display_string=Audit"}</definedName>
    <definedName name="_991__FDSAUDITLINK__" hidden="1">{"fdsup://Directions/FactSet Auditing Viewer?action=AUDIT_VALUE&amp;DB=129&amp;ID1=45811810&amp;VALUEID=02001&amp;SDATE=200901&amp;PERIODTYPE=QTR_STD&amp;SCFT=3&amp;window=popup_no_bar&amp;width=385&amp;height=120&amp;START_MAXIMIZED=FALSE&amp;creator=factset&amp;display_string=Audit"}</definedName>
    <definedName name="_992__FDSAUDITLINK__" hidden="1">{"fdsup://Directions/FactSet Auditing Viewer?action=AUDIT_VALUE&amp;DB=129&amp;ID1=45811810&amp;VALUEID=02001&amp;SDATE=200901&amp;PERIODTYPE=QTR_STD&amp;SCFT=3&amp;window=popup_no_bar&amp;width=385&amp;height=120&amp;START_MAXIMIZED=FALSE&amp;creator=factset&amp;display_string=Audit"}</definedName>
    <definedName name="_993__FDSAUDITLINK__" hidden="1">{"fdsup://Directions/FactSet Auditing Viewer?action=AUDIT_VALUE&amp;DB=129&amp;ID1=42823610&amp;VALUEID=02001&amp;SDATE=200903&amp;PERIODTYPE=QTR_STD&amp;SCFT=3&amp;window=popup_no_bar&amp;width=385&amp;height=120&amp;START_MAXIMIZED=FALSE&amp;creator=factset&amp;display_string=Audit"}</definedName>
    <definedName name="_994__FDSAUDITLINK__" hidden="1">{"fdsup://Directions/FactSet Auditing Viewer?action=AUDIT_VALUE&amp;DB=129&amp;ID1=42823610&amp;VALUEID=02001&amp;SDATE=200903&amp;PERIODTYPE=QTR_STD&amp;SCFT=3&amp;window=popup_no_bar&amp;width=385&amp;height=120&amp;START_MAXIMIZED=FALSE&amp;creator=factset&amp;display_string=Audit"}</definedName>
    <definedName name="_995__FDSAUDITLINK__" hidden="1">{"fdsup://Directions/FactSet Auditing Viewer?action=AUDIT_VALUE&amp;DB=129&amp;ID1=34637510&amp;VALUEID=02001&amp;SDATE=200902&amp;PERIODTYPE=QTR_STD&amp;SCFT=3&amp;window=popup_no_bar&amp;width=385&amp;height=120&amp;START_MAXIMIZED=FALSE&amp;creator=factset&amp;display_string=Audit"}</definedName>
    <definedName name="_996__FDSAUDITLINK__" hidden="1">{"fdsup://Directions/FactSet Auditing Viewer?action=AUDIT_VALUE&amp;DB=129&amp;ID1=34637510&amp;VALUEID=02001&amp;SDATE=200902&amp;PERIODTYPE=QTR_STD&amp;SCFT=3&amp;window=popup_no_bar&amp;width=385&amp;height=120&amp;START_MAXIMIZED=FALSE&amp;creator=factset&amp;display_string=Audit"}</definedName>
    <definedName name="_997__FDSAUDITLINK__" hidden="1">{"fdsup://Directions/FactSet Auditing Viewer?action=AUDIT_VALUE&amp;DB=129&amp;ID1=31561610&amp;VALUEID=02001&amp;SDATE=200903&amp;PERIODTYPE=QTR_STD&amp;SCFT=3&amp;window=popup_no_bar&amp;width=385&amp;height=120&amp;START_MAXIMIZED=FALSE&amp;creator=factset&amp;display_string=Audit"}</definedName>
    <definedName name="_998__FDSAUDITLINK__" hidden="1">{"fdsup://Directions/FactSet Auditing Viewer?action=AUDIT_VALUE&amp;DB=129&amp;ID1=31561610&amp;VALUEID=02001&amp;SDATE=200903&amp;PERIODTYPE=QTR_STD&amp;SCFT=3&amp;window=popup_no_bar&amp;width=385&amp;height=120&amp;START_MAXIMIZED=FALSE&amp;creator=factset&amp;display_string=Audit"}</definedName>
    <definedName name="_999__FDSAUDITLINK__" hidden="1">{"fdsup://Directions/FactSet Auditing Viewer?action=AUDIT_VALUE&amp;DB=129&amp;ID1=25454310&amp;VALUEID=02001&amp;SDATE=200902&amp;PERIODTYPE=QTR_STD&amp;SCFT=3&amp;window=popup_no_bar&amp;width=385&amp;height=120&amp;START_MAXIMIZED=FALSE&amp;creator=factset&amp;display_string=Audit"}</definedName>
    <definedName name="_bdm.02E29E7B1053433EA3CCCBE4E5141596.edm" hidden="1">[1]Sheet1!$A:$IV</definedName>
    <definedName name="_bdm.13802EC9B64D4CD2B1A40577EA9C5D37.edm" localSheetId="3" hidden="1">IS!$B$8:$CN$125</definedName>
    <definedName name="_bdm.3CEC4AF2C7C246EC8B730C5EBEEC9062.edm" hidden="1">'[2]Emp Bonus'!$A:$IV</definedName>
    <definedName name="_bdm.4EE102EE0412463DA4B15D1A01E13001.edm" localSheetId="5" hidden="1">CF!$E$7:$DF$55</definedName>
    <definedName name="_bdm.56F0F7DC716147178E9EAF48440F9D79.edm" localSheetId="5" hidden="1">CF!$E$7:$DF$102</definedName>
    <definedName name="_bdm.582AF0AD231D442DA32455B42CB73C69.edm" hidden="1">CF!$1:$1048576</definedName>
    <definedName name="_bdm.629EE7FF51494E31B53DF12959309238.edm" localSheetId="3" hidden="1">IS!$B$141:$CN$226</definedName>
    <definedName name="_bdm.753463CE53ED40188DB8941C30E9A4CC.edm" localSheetId="4" hidden="1">BS!$E$7:$CN$62</definedName>
    <definedName name="_bdm.A602E4BDCDD7438F8D37F3AD216BE46B.edm" hidden="1">[2]Shares_old!$A:$IV</definedName>
    <definedName name="_bdm.A6F635CBB6A14494836FAE5E77ACF1DB.edm" hidden="1">IS!$1:$1048576</definedName>
    <definedName name="_bdm.CCD6BD79BA5947429BA2990366DD5F53.edm" hidden="1">BS!$1:$1048576</definedName>
    <definedName name="_bdm.CFCE32E7717F4A57A5442A12FCE7C69B.edm" hidden="1">'[2]GM Analysis'!$A:$IV</definedName>
    <definedName name="_bdm.D6F5A3E75A1843AC93944693D94462D6.edm" localSheetId="4" hidden="1">BS!$E$7:$DE$62</definedName>
    <definedName name="_bdm.DD54E1FEAE24478884443E6C4E27281D.edm" localSheetId="3" hidden="1">IS!$E$8:$DE$124</definedName>
    <definedName name="_Order1" hidden="1">255</definedName>
    <definedName name="_Order2" hidden="1">255</definedName>
    <definedName name="_Regression_Int" hidden="1">1</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cessDatabase" hidden="1">"Y:\Database\Stock Information.mdb"</definedName>
    <definedName name="AdditionalInstructions">IndexInformation!$B$42</definedName>
    <definedName name="Address" localSheetId="2">ImportantDisclosures!$A$2:$A$2</definedName>
    <definedName name="ANA" localSheetId="7">ModPubIndex!$A$7</definedName>
    <definedName name="anscount" hidden="1">1</definedName>
    <definedName name="AS2DocOpenMode" hidden="1">"AS2DocumentEdit"</definedName>
    <definedName name="AS2SyncStepLS" hidden="1">0</definedName>
    <definedName name="AS2VersionLS" hidden="1">300</definedName>
    <definedName name="Authors" localSheetId="2">ImportantDisclosures!$A$7</definedName>
    <definedName name="Authors" localSheetId="6">IndexInformation!$B$18</definedName>
    <definedName name="BG_Ins" hidden="1">4</definedName>
    <definedName name="BRO" localSheetId="7">ModPubIndex!$A$1</definedName>
    <definedName name="BS">[3]BS!$D$44:$GI$44</definedName>
    <definedName name="BSMethod">2</definedName>
    <definedName name="Button_1">"TFT_report_data_share_prices_List"</definedName>
    <definedName name="cc_ReportCurrency">"NTD"</definedName>
    <definedName name="cc_ReportCurrencyUnit">"NT$"</definedName>
    <definedName name="cc_ReportCurrencyUnitFactor">1</definedName>
    <definedName name="Conv_mark">0</definedName>
    <definedName name="converting">{"Client Name or Project Name"}</definedName>
    <definedName name="CopyrightStamp">ImportantDisclosures!$A$27</definedName>
    <definedName name="COU" localSheetId="7">ModPubIndex!$A$5</definedName>
    <definedName name="CQEnd" localSheetId="6">IndexInformation!$B$31</definedName>
    <definedName name="Currency" localSheetId="6">IndexInformation!$B$24</definedName>
    <definedName name="CurrentStockPrice" localSheetId="6">IndexInformation!$B$23</definedName>
    <definedName name="CurrQtrEPS" localSheetId="6">IndexInformation!$B$29</definedName>
    <definedName name="CurrYearEPS" localSheetId="6">IndexInformation!$B$11</definedName>
    <definedName name="CurrYearTotalRevenue" localSheetId="6">IndexInformation!$B$10</definedName>
    <definedName name="CurrYearTotalRevenueActual" localSheetId="6">IndexInformation!$B$32</definedName>
    <definedName name="CUSIP" localSheetId="6">IndexInformation!$B$20</definedName>
    <definedName name="CYEnd" localSheetId="6">IndexInformation!$B$30</definedName>
    <definedName name="dataseries4">OFFSET([4]c1!$G$12,0,0,COUNTA([4]c1!$G$12:$G$31),1)</definedName>
    <definedName name="Date" localSheetId="2">ImportantDisclosures!$A$8</definedName>
    <definedName name="Dates">OFFSET('[5]Earnings Exhibits'!$A$3,0,COUNTA('[5]Earnings Exhibits'!$A$3:$IV$3)+2,1,-20)</definedName>
    <definedName name="Dates10">OFFSET('[5]Earnings Exhibits'!$A$3,0,COUNTA('[5]Earnings Exhibits'!$A$3:$IV$3)+2,1,-38)</definedName>
    <definedName name="DB">"WIREHKPROD"</definedName>
    <definedName name="def"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Deleted" localSheetId="6">IndexInformation!$B$27</definedName>
    <definedName name="Description" localSheetId="6">IndexInformation!$B$7</definedName>
    <definedName name="Discipline" localSheetId="6">IndexInformation!$B$3</definedName>
    <definedName name="DISCIPLINE" localSheetId="7">ModPubIndex!$A$12</definedName>
    <definedName name="DisclosuresText">ImportantDisclosures!$A$22</definedName>
    <definedName name="Distribution" localSheetId="6">IndexInformation!$B$26</definedName>
    <definedName name="DistTable" localSheetId="2">ImportantDisclosures!#REF!</definedName>
    <definedName name="DistTablePreamble" localSheetId="2">ImportantDisclosures!#REF!</definedName>
    <definedName name="DOCDAT" localSheetId="7">ModPubIndex!$A$2</definedName>
    <definedName name="DOCTIME" localSheetId="7">ModPubIndex!$A$3</definedName>
    <definedName name="DocType" localSheetId="6">IndexInformation!$B$5</definedName>
    <definedName name="DummyEstYears">3</definedName>
    <definedName name="EMAIL_ALERT" localSheetId="7">ModPubIndex!$A$10</definedName>
    <definedName name="EmailAlert" localSheetId="6">IndexInformation!$B$28</definedName>
    <definedName name="esnrc128c1_values" hidden="1">{"TW","COMPANIES",TRUE}</definedName>
    <definedName name="EurosFRF">1</definedName>
    <definedName name="EurosITL">1</definedName>
    <definedName name="ｆ" hidden="1">"iQShowAnnual"</definedName>
    <definedName name="FINCriteriaType">1</definedName>
    <definedName name="FineUS">{"Client Name or Project Name"}</definedName>
    <definedName name="FiveYearGrowthRate" localSheetId="6">IndexInformation!$B$16</definedName>
    <definedName name="FollowingYearEPS" localSheetId="6">IndexInformation!$B$15</definedName>
    <definedName name="FollowingYearTotalRevenue" localSheetId="6">IndexInformation!$B$14</definedName>
    <definedName name="FollowingYearTotalRevenueActual" localSheetId="6">IndexInformation!$B$34</definedName>
    <definedName name="forest">{"Client Name or Project Name"}</definedName>
    <definedName name="forest2">{"Client Name or Project Name"}</definedName>
    <definedName name="FR_COM_ABBR">"1122.HK"</definedName>
    <definedName name="FR_COU_ABBR">"chn"</definedName>
    <definedName name="FR_END_DATE">"'31 Dec 2001"</definedName>
    <definedName name="FR_START_DATE">"'1 Jan 2001"</definedName>
    <definedName name="FR_SYBASE_SERVER">"PTKFBVDF01"</definedName>
    <definedName name="FR_TEMPLATE_KEY">"102119|1"</definedName>
    <definedName name="g">{"Client Name or Project Name"}</definedName>
    <definedName name="gg">{"Client Name or Project Name"}</definedName>
    <definedName name="ggg">{"Client Name or Project Name"}</definedName>
    <definedName name="gggg">{"Client Name or Project Name"}</definedName>
    <definedName name="ggggg">{"Client Name or Project Name"}</definedName>
    <definedName name="ggggggg">{"Client Name or Project Name"}</definedName>
    <definedName name="GM">OFFSET('[5]Earnings Exhibits'!$A$10,0,COUNTA('[5]Earnings Exhibits'!$A$10:$IV$10),1,-19)</definedName>
    <definedName name="GMDates">OFFSET('[5]Earnings Exhibits'!$B$3,0,COUNTA('[5]Earnings Exhibits'!$A$3:$IV$3),1,-19)</definedName>
    <definedName name="HL" localSheetId="7">ModPubIndex!$A$8</definedName>
    <definedName name="HTML_CodePage" hidden="1">1252</definedName>
    <definedName name="HTML_Description" hidden="1">""</definedName>
    <definedName name="HTML_Email" hidden="1">""</definedName>
    <definedName name="HTML_Header" hidden="1">"Income-Adj"</definedName>
    <definedName name="HTML_LastUpdate" hidden="1">"9/1/99"</definedName>
    <definedName name="HTML_LineAfter" hidden="1">FALSE</definedName>
    <definedName name="HTML_LineBefore" hidden="1">FALSE</definedName>
    <definedName name="HTML_Name" hidden="1">"Neo"</definedName>
    <definedName name="HTML_OBDlg2" hidden="1">TRUE</definedName>
    <definedName name="HTML_OBDlg4" hidden="1">TRUE</definedName>
    <definedName name="HTML_OS" hidden="1">0</definedName>
    <definedName name="HTML_PathFile" hidden="1">"E:\statements-2.0\from_excel.htm"</definedName>
    <definedName name="HTML_Title" hidden="1">"Histo_Statements"</definedName>
    <definedName name="hygiene">{"Client Name or Project Name"}</definedName>
    <definedName name="ICP">0</definedName>
    <definedName name="ictsymbol">"NT$"</definedName>
    <definedName name="icusymbol">"NT$"</definedName>
    <definedName name="IND" localSheetId="7">ModPubIndex!$A$9</definedName>
    <definedName name="Industry" localSheetId="2">ImportantDisclosures!$A$12</definedName>
    <definedName name="IndustryId">IndexInformation!$B$40</definedName>
    <definedName name="IndustryRating" localSheetId="2">ImportantDisclosures!$A$13</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38848.715787037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Method">1</definedName>
    <definedName name="iue">1</definedName>
    <definedName name="iuesymbol">"NT$"</definedName>
    <definedName name="iun">1000000</definedName>
    <definedName name="iunsymbol">"NT$m"</definedName>
    <definedName name="ius">1000000</definedName>
    <definedName name="KeepVersions" localSheetId="6">IndexInformation!$B$8</definedName>
    <definedName name="LabelList">OFFSET(LabelData,1,0,ROWS(LabelData)-1,1)</definedName>
    <definedName name="Language">IF(LanguageSelection="English",1,2)</definedName>
    <definedName name="LanguageCode">IndexInformation!$B$38</definedName>
    <definedName name="LastCell" localSheetId="2">ImportantDisclosures!$A$22</definedName>
    <definedName name="Linking_1">IS!$B$8:$DD$124</definedName>
    <definedName name="Linking_2">IS!$B$8:$DD$226</definedName>
    <definedName name="Linking_3">BS!$B$7:$DD$62</definedName>
    <definedName name="Linking_4">CF!$B$7:$DD$55</definedName>
    <definedName name="Linking_5">IS!$B$8:$DD$170</definedName>
    <definedName name="MacroVersion" localSheetId="6">IndexInformation!$B$1</definedName>
    <definedName name="ModelPrice" localSheetId="2">ImportantDisclosures!$A$14</definedName>
    <definedName name="Multiplier" localSheetId="6">IndexInformation!$B$35</definedName>
    <definedName name="NextQoQ">OFFSET('[5]Earnings Exhibits'!$A$8,0,COUNTA('[5]Earnings Exhibits'!$A$6:$IV$6),1,-38)</definedName>
    <definedName name="NextYearEPS" localSheetId="6">IndexInformation!$B$13</definedName>
    <definedName name="NextYearTotalRevenue" localSheetId="6">IndexInformation!$B$12</definedName>
    <definedName name="NextYearTotalRevenueActual" localSheetId="6">IndexInformation!$B$33</definedName>
    <definedName name="ObjectType">IndexInformation!$B$37</definedName>
    <definedName name="OM">OFFSET('[5]Earnings Exhibits'!$A$13,0,COUNTA('[5]Earnings Exhibits'!$A$13:$IV$13),1,-19)</definedName>
    <definedName name="PANA" localSheetId="7">ModPubIndex!$A$11</definedName>
    <definedName name="PathName" localSheetId="6">IndexInformation!$B$25</definedName>
    <definedName name="_xlnm.Print_Area">"Formula removed, name can be deleted."</definedName>
    <definedName name="_xlnm.Print_Titles">"Formula removed, name can be deleted."</definedName>
    <definedName name="PRODUCT" localSheetId="7">ModPubIndex!$A$6</definedName>
    <definedName name="ProjectName">{"Client Name or Project Name"}</definedName>
    <definedName name="PSYM" localSheetId="7">ModPubIndex!$A$4</definedName>
    <definedName name="PublishDate" localSheetId="6">IndexInformation!$B$2</definedName>
    <definedName name="QoQ">OFFSET('[5]Earnings Exhibits'!$A$7,0,COUNTA('[5]Earnings Exhibits'!$A$6:$IV$6),1,-38)</definedName>
    <definedName name="Rangename">"Summary DCF"</definedName>
    <definedName name="Rating" localSheetId="6">IndexInformation!$B$9</definedName>
    <definedName name="RatingsDefined" localSheetId="2">ImportantDisclosures!$A$21</definedName>
    <definedName name="RatingsDefs" localSheetId="2">ImportantDisclosures!#REF!</definedName>
    <definedName name="Rec.Asset_Debt">0</definedName>
    <definedName name="RegACDisclosure" localSheetId="2">ImportantDisclosures!#REF!</definedName>
    <definedName name="REP_CHT_DivisionalBreakdown">"Chart 416"</definedName>
    <definedName name="REP_CHT_GeographicalBreakdown">"Chart 417"</definedName>
    <definedName name="REP_CHT_Spare1">"Chart 422"</definedName>
    <definedName name="REP_CHT_Spare2">"Chart 423"</definedName>
    <definedName name="RepairedName0004" hidden="1">"iQShowAnnual"</definedName>
    <definedName name="RepairedName0029">"iQShowAnnual"</definedName>
    <definedName name="RepairedName0030">"iQShowAnnual"</definedName>
    <definedName name="RepairedName0034">"iQShowAnnual"</definedName>
    <definedName name="RepairedName0290">"iQShowAnnual"</definedName>
    <definedName name="RepairedName16039" hidden="1">"iQShowAnnual"</definedName>
    <definedName name="RepairedName7674" hidden="1">"iQShowAnnual"</definedName>
    <definedName name="RepairedName9006" hidden="1">"iQShowAnnual"</definedName>
    <definedName name="ResearchTopic" localSheetId="6">IndexInformation!$B$4</definedName>
    <definedName name="RIC" localSheetId="6">IndexInformation!$B$21</definedName>
    <definedName name="Sales">OFFSET('[5]Earnings Exhibits'!$A$5,0,COUNTA('[5]Earnings Exhibits'!$A$5:$IV$5),1,-20)</definedName>
    <definedName name="SavedThisSession">FALSE</definedName>
    <definedName name="SECSettlement" localSheetId="2">ImportantDisclosures!#REF!</definedName>
    <definedName name="SEDOL" localSheetId="6">IndexInformation!$B$22</definedName>
    <definedName name="sencount" hidden="1">1</definedName>
    <definedName name="SourceDefined" localSheetId="2">ImportantDisclosures!$A$19</definedName>
    <definedName name="Stock_dividend">0</definedName>
    <definedName name="StockRating" localSheetId="2">ImportantDisclosures!$A$11</definedName>
    <definedName name="SubjectCode" localSheetId="6">IndexInformation!$B$6</definedName>
    <definedName name="SubmitterUserId">IndexInformation!$B$39</definedName>
    <definedName name="SUPPRESSED" localSheetId="7">ModPubIndex!$A$13</definedName>
    <definedName name="TargetPrice" localSheetId="2">ImportantDisclosures!$A$15</definedName>
    <definedName name="TaxTV">10%</definedName>
    <definedName name="TaxXL">5%</definedName>
    <definedName name="Template.WIRE">"DBACCESS"</definedName>
    <definedName name="TemplateRegion">IndexInformation!$B$36</definedName>
    <definedName name="TestAdd">"Test RefersTo1"</definedName>
    <definedName name="TextRefCopyRangeCount" hidden="1">2</definedName>
    <definedName name="Ticker" localSheetId="2">ImportantDisclosures!$A$10</definedName>
    <definedName name="TickerRegion">IndexInformation!$B$41</definedName>
    <definedName name="Tickers" localSheetId="6">IndexInformation!$B$19</definedName>
    <definedName name="Trace">FALSE</definedName>
    <definedName name="UnitStringsList">OFFSET(UnitStrings,0,0,ROWS(UnitStrings),1)</definedName>
    <definedName name="UpdateReason" localSheetId="6">IndexInformation!$B$17</definedName>
    <definedName name="UpgradeVersion">"v2.35"</definedName>
    <definedName name="USRegDisclosures" localSheetId="2">ImportantDisclosures!#REF!</definedName>
    <definedName name="validate_Equity_Data">[6]!validate_Equity_Data</definedName>
    <definedName name="ValidDateTable">[7]mwareDates!$B$2:$E$76</definedName>
    <definedName name="Version">0</definedName>
    <definedName name="Version.WIRE">1</definedName>
    <definedName name="wrn.2._.pagers." hidden="1">{"Cover",#N/A,FALSE,"Cover";"Summary",#N/A,FALSE,"Summarpage"}</definedName>
    <definedName name="wrn.allpages." hidden="1">{#N/A,#N/A,TRUE,"Historicals";#N/A,#N/A,TRUE,"Charts";#N/A,#N/A,TRUE,"Forecasts"}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Statements." hidden="1">{"view1",#N/A,FALSE,"EARN (US$)";"view1",#N/A,FALSE,"DASTBS (US$)";"view1",#N/A,FALSE,"DASTCF (US$)"}</definedName>
    <definedName name="wrn.Covers." hidden="1">{"view1",#N/A,FALSE,"MOTEARN";"view1",#N/A,FALSE,"Bal Sht";"view1",#N/A,FALSE,"Cash Flows"}</definedName>
    <definedName name="wrn.Marketing._.Backup." hidden="1">{"1. Earnings Variance",#N/A,FALSE,"Earnings Variance";"2.Income Statement",#N/A,FALSE,"Income Statement";"3. Balance Sheet",#N/A,FALSE,"Balance Sheet";"4. Cash Flow",#N/A,FALSE,"Cash Flow"}</definedName>
    <definedName name="wrn.MOBIL." hidden="1">{"quarter",#N/A,FALSE,"MOB"}</definedName>
    <definedName name="wrn.Pulp." hidden="1">{"Pulp Production",#N/A,FALSE,"Pulp";"Pulp Earnings",#N/A,FALSE,"Pulp"}</definedName>
    <definedName name="wrn.Segments." hidden="1">{"view1",#N/A,FALSE,"Consolidated";"view2",#N/A,FALSE,"Consolidated (sum)";"view1",#N/A,FALSE,"Gen Sys";"view1",#N/A,FALSE,"Semicon";"view1",#N/A,FALSE,"Mess|Med";"view1",#N/A,FALSE,"Land Mob";"view1",#N/A,FALSE,"Other Prod";"view1",#N/A,FALSE,"Adj|Elim"}</definedName>
    <definedName name="wrn.Tables." hidden="1">{"view1",#N/A,FALSE,"Tables";"view2",#N/A,FALSE,"Tables";"view3",#N/A,FALSE,"Tables"}</definedName>
    <definedName name="XRefCopyRangeCount" hidden="1">1</definedName>
    <definedName name="Years">"A1:v1"</definedName>
  </definedNames>
  <calcPr calcId="145621" iterate="1"/>
</workbook>
</file>

<file path=xl/calcChain.xml><?xml version="1.0" encoding="utf-8"?>
<calcChain xmlns="http://schemas.openxmlformats.org/spreadsheetml/2006/main">
  <c r="BW74" i="1" l="1"/>
  <c r="BW76" i="1" s="1"/>
  <c r="BW550" i="1" s="1"/>
  <c r="BW103" i="1"/>
  <c r="BW587" i="1"/>
  <c r="BW586" i="1" s="1"/>
  <c r="BW572" i="1" s="1"/>
  <c r="BW102" i="1"/>
  <c r="BW246" i="1"/>
  <c r="BW247" i="1"/>
  <c r="BW93" i="8"/>
  <c r="BW79" i="8"/>
  <c r="BW85" i="8" s="1"/>
  <c r="BW68" i="8"/>
  <c r="BW100" i="8"/>
  <c r="BW27" i="8"/>
  <c r="BW26" i="8"/>
  <c r="BW25" i="8"/>
  <c r="BW24" i="8"/>
  <c r="BW23" i="8"/>
  <c r="BW13" i="8"/>
  <c r="BW14" i="8"/>
  <c r="BW15" i="8"/>
  <c r="BW89" i="7" s="1"/>
  <c r="BW16" i="8"/>
  <c r="BW17" i="8"/>
  <c r="BW18" i="8"/>
  <c r="BW19" i="8"/>
  <c r="BW20" i="8"/>
  <c r="BW21" i="8"/>
  <c r="BW33" i="8"/>
  <c r="BW81" i="7" s="1"/>
  <c r="BW34" i="8"/>
  <c r="BW35" i="8"/>
  <c r="BW36" i="8"/>
  <c r="BW37" i="8"/>
  <c r="BW41" i="8"/>
  <c r="BW42" i="8"/>
  <c r="BW43" i="8"/>
  <c r="BW44" i="8"/>
  <c r="BW45" i="8"/>
  <c r="BW46" i="8"/>
  <c r="BW47" i="8"/>
  <c r="BW48" i="8"/>
  <c r="BW53" i="8"/>
  <c r="BW128" i="7"/>
  <c r="BW69" i="1"/>
  <c r="BW75" i="8"/>
  <c r="BW28" i="8" s="1"/>
  <c r="BW96" i="8"/>
  <c r="BW39" i="7"/>
  <c r="BW37" i="7"/>
  <c r="BW32" i="7"/>
  <c r="BW22" i="7"/>
  <c r="BW33" i="7" s="1"/>
  <c r="BW29" i="7"/>
  <c r="BW91" i="7" s="1"/>
  <c r="BW43" i="7"/>
  <c r="BW49" i="7"/>
  <c r="BW549" i="1"/>
  <c r="BW544" i="1"/>
  <c r="BW545" i="1"/>
  <c r="BW366" i="1"/>
  <c r="BW338" i="1"/>
  <c r="BW318" i="1"/>
  <c r="BW319" i="1"/>
  <c r="BW322" i="1"/>
  <c r="BW323" i="1"/>
  <c r="BW325" i="1"/>
  <c r="BW311" i="1"/>
  <c r="BW312" i="1"/>
  <c r="BW292" i="1"/>
  <c r="BW293" i="1"/>
  <c r="BW296" i="1"/>
  <c r="BW297" i="1"/>
  <c r="BW299" i="1"/>
  <c r="BW285" i="1"/>
  <c r="BW286" i="1"/>
  <c r="BW275" i="1"/>
  <c r="BW276" i="1"/>
  <c r="BW265" i="1"/>
  <c r="BW266" i="1"/>
  <c r="BW249" i="1"/>
  <c r="BW95" i="1"/>
  <c r="BW81" i="1"/>
  <c r="BW363" i="1" l="1"/>
  <c r="BW551" i="1"/>
  <c r="BW49" i="8"/>
  <c r="BW32" i="8"/>
  <c r="BW80" i="7" s="1"/>
  <c r="BW104" i="7"/>
  <c r="BW98" i="7"/>
  <c r="BW103" i="7"/>
  <c r="BW29" i="8"/>
  <c r="BW38" i="8"/>
  <c r="BW98" i="8"/>
  <c r="BW102" i="8" s="1"/>
  <c r="BW51" i="7"/>
  <c r="BW62" i="7" s="1"/>
  <c r="BW546" i="1"/>
  <c r="BW51" i="8" l="1"/>
  <c r="BW55" i="8" s="1"/>
  <c r="DX96" i="1" l="1"/>
  <c r="DX95" i="1"/>
  <c r="DX94" i="1"/>
  <c r="DX92" i="1"/>
  <c r="DX91" i="1"/>
  <c r="DX64" i="1"/>
  <c r="DX63" i="1"/>
  <c r="DX62" i="1"/>
  <c r="DX61" i="1"/>
  <c r="DX60" i="1"/>
  <c r="DX59" i="1"/>
  <c r="DX58" i="1"/>
  <c r="DX57" i="1"/>
  <c r="DX56" i="1"/>
  <c r="DX55" i="1"/>
  <c r="DX53" i="1"/>
  <c r="DX40" i="1"/>
  <c r="DX37" i="1"/>
  <c r="DX36" i="1"/>
  <c r="DX35" i="1"/>
  <c r="DX34" i="1"/>
  <c r="DX33" i="1"/>
  <c r="DX32" i="1"/>
  <c r="DX31" i="1"/>
  <c r="DX30" i="1"/>
  <c r="DX29" i="1"/>
  <c r="DX28" i="1"/>
  <c r="DV321" i="1" l="1"/>
  <c r="BV366" i="1" l="1"/>
  <c r="BV43" i="8"/>
  <c r="DC97" i="8"/>
  <c r="DB97" i="8"/>
  <c r="DA97" i="8"/>
  <c r="CZ97" i="8"/>
  <c r="CY97" i="8"/>
  <c r="CX97" i="8"/>
  <c r="CW50" i="8"/>
  <c r="BZ97" i="8"/>
  <c r="CA97" i="8" s="1"/>
  <c r="CB97" i="8" s="1"/>
  <c r="CC97" i="8" s="1"/>
  <c r="CW97" i="8" s="1"/>
  <c r="BX97" i="8"/>
  <c r="BY97" i="8" s="1"/>
  <c r="CV97" i="8" s="1"/>
  <c r="DA516" i="1"/>
  <c r="DB516" i="1" s="1"/>
  <c r="DC516" i="1" s="1"/>
  <c r="BV577" i="1"/>
  <c r="BV575" i="1"/>
  <c r="BV549" i="1"/>
  <c r="BV545" i="1"/>
  <c r="BV544" i="1"/>
  <c r="BV266" i="1"/>
  <c r="BU266" i="1"/>
  <c r="BT266" i="1"/>
  <c r="BV265" i="1"/>
  <c r="BU265" i="1"/>
  <c r="BT265" i="1"/>
  <c r="BV312" i="1"/>
  <c r="BU312" i="1"/>
  <c r="BT312" i="1"/>
  <c r="BV311" i="1"/>
  <c r="BU311" i="1"/>
  <c r="BT311" i="1"/>
  <c r="BV286" i="1"/>
  <c r="BU286" i="1"/>
  <c r="BT286" i="1"/>
  <c r="BV285" i="1"/>
  <c r="BU285" i="1"/>
  <c r="BT285" i="1"/>
  <c r="BV276" i="1"/>
  <c r="BU276" i="1"/>
  <c r="BT276" i="1"/>
  <c r="BV275" i="1"/>
  <c r="BU275" i="1"/>
  <c r="BT275" i="1"/>
  <c r="BV338" i="1"/>
  <c r="BU338" i="1"/>
  <c r="BV587" i="1"/>
  <c r="BV95" i="1"/>
  <c r="BV81" i="1"/>
  <c r="BV118" i="8" s="1"/>
  <c r="BV74" i="1"/>
  <c r="BV76" i="1" s="1"/>
  <c r="BV550" i="1" s="1"/>
  <c r="BV551" i="1" s="1"/>
  <c r="BV69" i="1"/>
  <c r="BV128" i="7"/>
  <c r="BV50" i="8"/>
  <c r="BV48" i="8"/>
  <c r="BV47" i="8"/>
  <c r="BV46" i="8"/>
  <c r="BV45" i="8"/>
  <c r="BV582" i="1" s="1"/>
  <c r="BV44" i="8"/>
  <c r="BV42" i="8"/>
  <c r="BV41" i="8"/>
  <c r="BV37" i="8"/>
  <c r="BV36" i="8"/>
  <c r="CV36" i="8"/>
  <c r="BV35" i="8"/>
  <c r="BV34" i="8"/>
  <c r="BV33" i="8"/>
  <c r="BV81" i="7"/>
  <c r="BV27" i="8"/>
  <c r="BV26" i="8"/>
  <c r="BV25" i="8"/>
  <c r="BV24" i="8"/>
  <c r="BV23" i="8"/>
  <c r="BV20" i="8"/>
  <c r="BV19" i="8"/>
  <c r="BV102" i="1"/>
  <c r="BV18" i="8"/>
  <c r="BV117" i="8" s="1"/>
  <c r="BV17" i="8"/>
  <c r="BV16" i="8"/>
  <c r="CV16" i="8"/>
  <c r="BV15" i="8"/>
  <c r="BV89" i="7"/>
  <c r="BV14" i="8"/>
  <c r="BV13" i="8"/>
  <c r="BV79" i="8"/>
  <c r="BV32" i="8"/>
  <c r="BV68" i="8"/>
  <c r="BV21" i="8"/>
  <c r="CV21" i="8" s="1"/>
  <c r="BV37" i="7"/>
  <c r="BV39" i="7"/>
  <c r="BV32" i="7"/>
  <c r="BV29" i="7"/>
  <c r="BV91" i="7" s="1"/>
  <c r="BW88" i="7" s="1"/>
  <c r="BW90" i="7" s="1"/>
  <c r="BV325" i="1"/>
  <c r="BW327" i="1" s="1"/>
  <c r="BV323" i="1"/>
  <c r="BV322" i="1"/>
  <c r="BV319" i="1"/>
  <c r="BV318" i="1"/>
  <c r="BV299" i="1"/>
  <c r="BV297" i="1"/>
  <c r="BV296" i="1"/>
  <c r="BV293" i="1"/>
  <c r="BV292" i="1"/>
  <c r="BV249" i="1"/>
  <c r="BW251" i="1" s="1"/>
  <c r="BV247" i="1"/>
  <c r="BV246" i="1"/>
  <c r="BT366" i="1"/>
  <c r="BU50" i="8"/>
  <c r="BU47" i="8"/>
  <c r="BU46" i="8"/>
  <c r="BU45" i="8"/>
  <c r="BU44" i="8"/>
  <c r="BU43" i="8"/>
  <c r="BU42" i="8"/>
  <c r="BU41" i="8"/>
  <c r="BU36" i="8"/>
  <c r="BU34" i="8"/>
  <c r="BU33" i="8"/>
  <c r="BU81" i="7" s="1"/>
  <c r="BU27" i="8"/>
  <c r="BU23" i="8"/>
  <c r="BU20" i="8"/>
  <c r="BU19" i="8"/>
  <c r="BU102" i="1" s="1"/>
  <c r="BU18" i="8"/>
  <c r="BU117" i="8"/>
  <c r="BU17" i="8"/>
  <c r="BU16" i="8"/>
  <c r="BU15" i="8"/>
  <c r="BU14" i="8"/>
  <c r="BU13" i="8"/>
  <c r="BU82" i="8"/>
  <c r="CU82" i="8"/>
  <c r="BU79" i="8"/>
  <c r="BU73" i="8"/>
  <c r="BU26" i="8" s="1"/>
  <c r="BU72" i="8"/>
  <c r="BU25" i="8" s="1"/>
  <c r="BU128" i="7"/>
  <c r="BT128" i="7"/>
  <c r="BU68" i="7"/>
  <c r="BU60" i="7"/>
  <c r="BU28" i="7"/>
  <c r="BU26" i="7"/>
  <c r="BU16" i="7"/>
  <c r="BU629" i="1"/>
  <c r="BU627" i="1"/>
  <c r="BU628" i="1"/>
  <c r="BU626" i="1"/>
  <c r="BU597" i="1"/>
  <c r="BV597" i="1" s="1"/>
  <c r="BW597" i="1" s="1"/>
  <c r="BU572" i="1"/>
  <c r="BU573" i="1"/>
  <c r="BU575" i="1"/>
  <c r="BU577" i="1"/>
  <c r="BU544" i="1"/>
  <c r="BU549" i="1"/>
  <c r="BU118" i="1"/>
  <c r="BU75" i="1"/>
  <c r="DC89" i="8"/>
  <c r="DC120" i="8"/>
  <c r="DC117" i="8"/>
  <c r="DC95" i="8"/>
  <c r="DC91" i="8"/>
  <c r="DC90" i="8"/>
  <c r="DC88" i="8"/>
  <c r="DC84" i="8"/>
  <c r="DC83" i="8"/>
  <c r="DC82" i="8"/>
  <c r="DC81" i="8"/>
  <c r="DC69" i="8"/>
  <c r="DC68" i="8"/>
  <c r="DC67" i="8"/>
  <c r="DC65" i="8"/>
  <c r="DC64" i="8"/>
  <c r="DC63" i="8"/>
  <c r="DC61" i="8"/>
  <c r="DC142" i="7"/>
  <c r="DC141" i="7"/>
  <c r="DC140" i="7"/>
  <c r="DC117" i="7"/>
  <c r="DC139" i="7" s="1"/>
  <c r="DC535" i="1"/>
  <c r="DB120" i="8"/>
  <c r="DB117" i="8"/>
  <c r="DB95" i="8"/>
  <c r="DB91" i="8"/>
  <c r="DB90" i="8"/>
  <c r="DB89" i="8"/>
  <c r="DB88" i="8"/>
  <c r="DB84" i="8"/>
  <c r="DB83" i="8"/>
  <c r="DB82" i="8"/>
  <c r="DB81" i="8"/>
  <c r="DB69" i="8"/>
  <c r="DB68" i="8"/>
  <c r="DB67" i="8"/>
  <c r="DB65" i="8"/>
  <c r="DB64" i="8"/>
  <c r="DB63" i="8"/>
  <c r="DB61" i="8"/>
  <c r="DB142" i="7"/>
  <c r="DB141" i="7"/>
  <c r="DB140" i="7"/>
  <c r="DB117" i="7"/>
  <c r="DB139" i="7" s="1"/>
  <c r="DB535" i="1"/>
  <c r="CW69" i="8"/>
  <c r="CW48" i="8"/>
  <c r="CW46" i="8"/>
  <c r="CW44" i="8"/>
  <c r="CW43" i="8"/>
  <c r="CW42" i="8"/>
  <c r="CW41" i="8"/>
  <c r="CW37" i="8"/>
  <c r="CW36" i="8"/>
  <c r="CW35" i="8"/>
  <c r="CW34" i="8"/>
  <c r="CW22" i="8"/>
  <c r="CW21" i="8"/>
  <c r="CW20" i="8"/>
  <c r="CW18" i="8"/>
  <c r="CW17" i="8"/>
  <c r="CW16" i="8"/>
  <c r="CW14" i="8"/>
  <c r="CW90" i="7"/>
  <c r="CW82" i="7"/>
  <c r="CW583" i="1"/>
  <c r="CW582" i="1"/>
  <c r="CW571" i="1"/>
  <c r="CW569" i="1"/>
  <c r="CW568" i="1"/>
  <c r="CW96" i="1"/>
  <c r="CW95" i="1"/>
  <c r="CW94" i="1"/>
  <c r="CW92" i="1"/>
  <c r="CW91" i="1"/>
  <c r="CC120" i="8"/>
  <c r="CB120" i="8"/>
  <c r="CA120" i="8"/>
  <c r="BZ120" i="8"/>
  <c r="CC117" i="8"/>
  <c r="CB117" i="8"/>
  <c r="CA117" i="8"/>
  <c r="BZ117" i="8"/>
  <c r="BZ95" i="8"/>
  <c r="CA95" i="8" s="1"/>
  <c r="CB95" i="8" s="1"/>
  <c r="CC95" i="8" s="1"/>
  <c r="CW95" i="8" s="1"/>
  <c r="BZ93" i="8"/>
  <c r="CA93" i="8"/>
  <c r="CB93" i="8" s="1"/>
  <c r="CC93" i="8" s="1"/>
  <c r="CW93" i="8" s="1"/>
  <c r="BZ91" i="8"/>
  <c r="CA91" i="8" s="1"/>
  <c r="CB91" i="8" s="1"/>
  <c r="CC91" i="8" s="1"/>
  <c r="CW91" i="8" s="1"/>
  <c r="BZ90" i="8"/>
  <c r="CA90" i="8" s="1"/>
  <c r="CB90" i="8" s="1"/>
  <c r="CC90" i="8" s="1"/>
  <c r="CW90" i="8" s="1"/>
  <c r="BZ89" i="8"/>
  <c r="CA89" i="8" s="1"/>
  <c r="CB89" i="8" s="1"/>
  <c r="CC89" i="8" s="1"/>
  <c r="CW89" i="8" s="1"/>
  <c r="BZ88" i="8"/>
  <c r="CA88" i="8"/>
  <c r="BZ84" i="8"/>
  <c r="CA84" i="8"/>
  <c r="CB84" i="8" s="1"/>
  <c r="CC84" i="8" s="1"/>
  <c r="CW84" i="8" s="1"/>
  <c r="BZ83" i="8"/>
  <c r="CA83" i="8" s="1"/>
  <c r="CB83" i="8" s="1"/>
  <c r="CC83" i="8" s="1"/>
  <c r="CW83" i="8" s="1"/>
  <c r="BZ82" i="8"/>
  <c r="CA82" i="8" s="1"/>
  <c r="CB82" i="8" s="1"/>
  <c r="CC82" i="8" s="1"/>
  <c r="CW82" i="8" s="1"/>
  <c r="BZ81" i="8"/>
  <c r="CA81" i="8" s="1"/>
  <c r="CB81" i="8" s="1"/>
  <c r="CC81" i="8" s="1"/>
  <c r="CW81" i="8" s="1"/>
  <c r="BZ68" i="8"/>
  <c r="CA68" i="8"/>
  <c r="CB68" i="8" s="1"/>
  <c r="CC68" i="8" s="1"/>
  <c r="CW68" i="8" s="1"/>
  <c r="BZ67" i="8"/>
  <c r="CA67" i="8" s="1"/>
  <c r="CB67" i="8" s="1"/>
  <c r="CC67" i="8" s="1"/>
  <c r="CW67" i="8" s="1"/>
  <c r="BZ65" i="8"/>
  <c r="CA65" i="8" s="1"/>
  <c r="CB65" i="8" s="1"/>
  <c r="CC65" i="8" s="1"/>
  <c r="CW65" i="8" s="1"/>
  <c r="BZ64" i="8"/>
  <c r="CA64" i="8" s="1"/>
  <c r="CB64" i="8" s="1"/>
  <c r="CC64" i="8" s="1"/>
  <c r="CW64" i="8" s="1"/>
  <c r="BZ63" i="8"/>
  <c r="CA63" i="8"/>
  <c r="CB63" i="8" s="1"/>
  <c r="CC63" i="8" s="1"/>
  <c r="CW63" i="8" s="1"/>
  <c r="BZ61" i="8"/>
  <c r="CA61" i="8" s="1"/>
  <c r="CB61" i="8" s="1"/>
  <c r="CC61" i="8" s="1"/>
  <c r="CW61" i="8" s="1"/>
  <c r="CC45" i="8"/>
  <c r="CB45" i="8"/>
  <c r="CA45" i="8"/>
  <c r="CA70" i="7" s="1"/>
  <c r="BZ45" i="8"/>
  <c r="CC142" i="7"/>
  <c r="CB142" i="7"/>
  <c r="CA142" i="7"/>
  <c r="BZ142" i="7"/>
  <c r="CC141" i="7"/>
  <c r="CB141" i="7"/>
  <c r="CA141" i="7"/>
  <c r="BZ141" i="7"/>
  <c r="CC140" i="7"/>
  <c r="CB140" i="7"/>
  <c r="CA140" i="7"/>
  <c r="BZ140" i="7"/>
  <c r="CC117" i="7"/>
  <c r="CC139" i="7" s="1"/>
  <c r="CB117" i="7"/>
  <c r="CB139" i="7" s="1"/>
  <c r="CA117" i="7"/>
  <c r="CA139" i="7" s="1"/>
  <c r="BZ117" i="7"/>
  <c r="BZ139" i="7" s="1"/>
  <c r="CC535" i="1"/>
  <c r="CB535" i="1"/>
  <c r="CA535" i="1"/>
  <c r="BZ535" i="1"/>
  <c r="BU325" i="1"/>
  <c r="BU323" i="1"/>
  <c r="BU322" i="1"/>
  <c r="BU299" i="1"/>
  <c r="BU297" i="1"/>
  <c r="BU296" i="1"/>
  <c r="BU249" i="1"/>
  <c r="BU247" i="1"/>
  <c r="BU246" i="1"/>
  <c r="BU243" i="1"/>
  <c r="BU242" i="1"/>
  <c r="BU233" i="1"/>
  <c r="BU229" i="1"/>
  <c r="BU95" i="1"/>
  <c r="BQ95" i="1"/>
  <c r="BU81" i="1"/>
  <c r="BU118" i="8" s="1"/>
  <c r="BU319" i="1"/>
  <c r="BU318" i="1"/>
  <c r="BU69" i="1"/>
  <c r="BU70" i="7"/>
  <c r="BU69" i="7" s="1"/>
  <c r="BU95" i="8"/>
  <c r="BU48" i="8" s="1"/>
  <c r="BU68" i="8"/>
  <c r="BU39" i="7"/>
  <c r="BU37" i="7"/>
  <c r="BU32" i="7"/>
  <c r="BU366" i="1"/>
  <c r="BT79" i="8"/>
  <c r="BT84" i="8"/>
  <c r="BS79" i="8"/>
  <c r="BT82" i="8"/>
  <c r="BT35" i="8"/>
  <c r="BT597" i="1"/>
  <c r="BT50" i="8"/>
  <c r="BT48" i="8"/>
  <c r="BT47" i="8"/>
  <c r="BT46" i="8"/>
  <c r="BT45" i="8"/>
  <c r="BT44" i="8"/>
  <c r="BT42" i="8"/>
  <c r="BT34" i="8"/>
  <c r="BT33" i="8"/>
  <c r="BT27" i="8"/>
  <c r="BT23" i="8"/>
  <c r="BT22" i="8"/>
  <c r="BT20" i="8"/>
  <c r="BT19" i="8"/>
  <c r="BT18" i="8"/>
  <c r="BT17" i="8"/>
  <c r="BT16" i="8"/>
  <c r="BT15" i="8"/>
  <c r="BT14" i="8"/>
  <c r="BT13" i="8"/>
  <c r="BT71" i="8"/>
  <c r="BT24" i="8" s="1"/>
  <c r="BT75" i="8"/>
  <c r="BT28" i="8" s="1"/>
  <c r="BT91" i="7"/>
  <c r="BT68" i="7"/>
  <c r="BT60" i="7"/>
  <c r="BT199" i="7" s="1"/>
  <c r="BT175" i="7" s="1"/>
  <c r="BT26" i="7"/>
  <c r="BT28" i="7"/>
  <c r="BT16" i="7"/>
  <c r="BT587" i="1"/>
  <c r="BT572" i="1"/>
  <c r="BT573" i="1"/>
  <c r="BU567" i="1" s="1"/>
  <c r="BT575" i="1"/>
  <c r="BT577" i="1"/>
  <c r="BT544" i="1"/>
  <c r="BT545" i="1"/>
  <c r="BT546" i="1" s="1"/>
  <c r="BT549" i="1"/>
  <c r="BT76" i="1"/>
  <c r="B4"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AI13" i="8" s="1"/>
  <c r="AJ13" i="8"/>
  <c r="AK13" i="8"/>
  <c r="AL13" i="8"/>
  <c r="AM13" i="8" s="1"/>
  <c r="AN13" i="8"/>
  <c r="AO13" i="8"/>
  <c r="AP13" i="8"/>
  <c r="AQ13" i="8" s="1"/>
  <c r="AR13" i="8"/>
  <c r="AS13" i="8"/>
  <c r="AT13" i="8"/>
  <c r="AU13" i="8" s="1"/>
  <c r="AV13" i="8"/>
  <c r="AW13" i="8"/>
  <c r="AX13" i="8"/>
  <c r="AY13" i="8" s="1"/>
  <c r="AZ13" i="8"/>
  <c r="BA13" i="8"/>
  <c r="BB13" i="8"/>
  <c r="BC13" i="8" s="1"/>
  <c r="BD13" i="8"/>
  <c r="BE13" i="8"/>
  <c r="BF13" i="8"/>
  <c r="BG13" i="8" s="1"/>
  <c r="BH13" i="8"/>
  <c r="BI13" i="8"/>
  <c r="BJ13" i="8"/>
  <c r="BK13" i="8" s="1"/>
  <c r="BL13" i="8"/>
  <c r="BM13" i="8"/>
  <c r="BN13" i="8"/>
  <c r="BP13" i="8"/>
  <c r="BQ13" i="8"/>
  <c r="BR13" i="8"/>
  <c r="BS13" i="8" s="1"/>
  <c r="CU13" i="8" s="1"/>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AI14" i="8"/>
  <c r="AJ14" i="8"/>
  <c r="AK14" i="8"/>
  <c r="AL14" i="8"/>
  <c r="AN14" i="8"/>
  <c r="AO14" i="8"/>
  <c r="AP14" i="8"/>
  <c r="AQ14" i="8" s="1"/>
  <c r="AR14" i="8"/>
  <c r="AS14" i="8"/>
  <c r="AT14" i="8"/>
  <c r="AU14" i="8" s="1"/>
  <c r="AV14" i="8"/>
  <c r="AW14" i="8"/>
  <c r="AX14" i="8"/>
  <c r="AY14" i="8" s="1"/>
  <c r="AZ14" i="8"/>
  <c r="BA14" i="8"/>
  <c r="BB14" i="8"/>
  <c r="BD14" i="8"/>
  <c r="BE14" i="8"/>
  <c r="BF14" i="8"/>
  <c r="BG14" i="8" s="1"/>
  <c r="CR14" i="8" s="1"/>
  <c r="BH14" i="8"/>
  <c r="BI14" i="8"/>
  <c r="BJ14" i="8"/>
  <c r="BK14" i="8" s="1"/>
  <c r="CS14" i="8" s="1"/>
  <c r="BL14" i="8"/>
  <c r="BM14" i="8"/>
  <c r="BN14" i="8"/>
  <c r="BO14" i="8" s="1"/>
  <c r="CT14" i="8" s="1"/>
  <c r="BP14" i="8"/>
  <c r="BQ14" i="8"/>
  <c r="BR14" i="8"/>
  <c r="CV14" i="8"/>
  <c r="F15" i="8"/>
  <c r="F89" i="7" s="1"/>
  <c r="G15" i="8"/>
  <c r="G89" i="7" s="1"/>
  <c r="H15" i="8"/>
  <c r="I15" i="8"/>
  <c r="J15" i="8"/>
  <c r="K15" i="8"/>
  <c r="L15" i="8"/>
  <c r="M15" i="8"/>
  <c r="N15" i="8"/>
  <c r="O15" i="8"/>
  <c r="P15" i="8"/>
  <c r="P89" i="7" s="1"/>
  <c r="Q15" i="8"/>
  <c r="R15" i="8"/>
  <c r="S15" i="8"/>
  <c r="S115" i="8" s="1"/>
  <c r="T15" i="8"/>
  <c r="U15" i="8"/>
  <c r="V15" i="8"/>
  <c r="W15" i="8"/>
  <c r="W135" i="8" s="1"/>
  <c r="X15" i="8"/>
  <c r="Y15" i="8"/>
  <c r="Z15" i="8"/>
  <c r="AA15" i="8"/>
  <c r="AB15" i="8"/>
  <c r="AB135" i="8" s="1"/>
  <c r="AC15" i="8"/>
  <c r="AC135" i="8" s="1"/>
  <c r="AD15" i="8"/>
  <c r="AD115" i="8" s="1"/>
  <c r="AE15" i="8"/>
  <c r="AE135" i="8" s="1"/>
  <c r="AF15" i="8"/>
  <c r="AF115" i="8" s="1"/>
  <c r="AF135" i="8"/>
  <c r="AG15" i="8"/>
  <c r="AH15" i="8"/>
  <c r="AH115" i="8" s="1"/>
  <c r="AJ15" i="8"/>
  <c r="AK15" i="8"/>
  <c r="AK89" i="7" s="1"/>
  <c r="AL15" i="8"/>
  <c r="AM15" i="8" s="1"/>
  <c r="AM135" i="8" s="1"/>
  <c r="AN15" i="8"/>
  <c r="AO15" i="8"/>
  <c r="AO89" i="7" s="1"/>
  <c r="AP15" i="8"/>
  <c r="AR15" i="8"/>
  <c r="AS15" i="8"/>
  <c r="AT15" i="8"/>
  <c r="AV15" i="8"/>
  <c r="AV135" i="8"/>
  <c r="AW15" i="8"/>
  <c r="AX15" i="8"/>
  <c r="AY15" i="8" s="1"/>
  <c r="AZ15" i="8"/>
  <c r="BA15" i="8"/>
  <c r="BA89" i="7" s="1"/>
  <c r="BB15" i="8"/>
  <c r="BD15" i="8"/>
  <c r="BE15" i="8"/>
  <c r="BE89" i="7" s="1"/>
  <c r="BF15" i="8"/>
  <c r="BH15" i="8"/>
  <c r="BH89" i="7"/>
  <c r="BI15" i="8"/>
  <c r="BJ15" i="8"/>
  <c r="BK15" i="8" s="1"/>
  <c r="BL15" i="8"/>
  <c r="BM15" i="8"/>
  <c r="BN15" i="8"/>
  <c r="BP15" i="8"/>
  <c r="BQ15" i="8"/>
  <c r="BR15" i="8"/>
  <c r="BS15" i="8" s="1"/>
  <c r="CU15" i="8" s="1"/>
  <c r="CU115" i="8" s="1"/>
  <c r="BT89" i="7"/>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AJ16" i="8"/>
  <c r="AK16" i="8"/>
  <c r="AL16" i="8"/>
  <c r="AN16" i="8"/>
  <c r="AO16" i="8"/>
  <c r="AP16" i="8"/>
  <c r="AQ16" i="8" s="1"/>
  <c r="AR16" i="8"/>
  <c r="AS16" i="8"/>
  <c r="AT16" i="8"/>
  <c r="AU16" i="8" s="1"/>
  <c r="AV16" i="8"/>
  <c r="AW16" i="8"/>
  <c r="AX16" i="8"/>
  <c r="AY16" i="8" s="1"/>
  <c r="CP16" i="8" s="1"/>
  <c r="AZ16" i="8"/>
  <c r="BA16" i="8"/>
  <c r="BB16" i="8"/>
  <c r="BD16" i="8"/>
  <c r="BE16" i="8"/>
  <c r="BF16" i="8"/>
  <c r="BG16" i="8" s="1"/>
  <c r="BH16" i="8"/>
  <c r="BI16" i="8"/>
  <c r="BJ16" i="8"/>
  <c r="BK16" i="8" s="1"/>
  <c r="BL16" i="8"/>
  <c r="BM16" i="8"/>
  <c r="BN16" i="8"/>
  <c r="BO16" i="8" s="1"/>
  <c r="BP16" i="8"/>
  <c r="BQ16" i="8"/>
  <c r="BR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AI17" i="8"/>
  <c r="AJ17" i="8"/>
  <c r="AK17" i="8"/>
  <c r="AL17" i="8"/>
  <c r="AM17" i="8"/>
  <c r="AN17" i="8"/>
  <c r="AO17" i="8"/>
  <c r="AP17" i="8"/>
  <c r="AQ17" i="8"/>
  <c r="AR17" i="8"/>
  <c r="AS17" i="8"/>
  <c r="AT17" i="8"/>
  <c r="AU17" i="8"/>
  <c r="AV17" i="8"/>
  <c r="AW17" i="8"/>
  <c r="AX17" i="8"/>
  <c r="AY17" i="8"/>
  <c r="AZ17" i="8"/>
  <c r="BA17" i="8"/>
  <c r="BB17" i="8"/>
  <c r="BC17" i="8"/>
  <c r="BD17" i="8"/>
  <c r="BE17" i="8"/>
  <c r="BF17" i="8"/>
  <c r="BG17" i="8"/>
  <c r="BH17" i="8"/>
  <c r="BI17" i="8"/>
  <c r="BJ17" i="8"/>
  <c r="BK17" i="8"/>
  <c r="BL17" i="8"/>
  <c r="BM17" i="8"/>
  <c r="BN17" i="8"/>
  <c r="BO17" i="8"/>
  <c r="BP17" i="8"/>
  <c r="BQ17" i="8"/>
  <c r="BR17" i="8"/>
  <c r="BS17" i="8"/>
  <c r="CV17" i="8"/>
  <c r="F18" i="8"/>
  <c r="J18" i="8"/>
  <c r="K18" i="8"/>
  <c r="L18" i="8"/>
  <c r="N18" i="8"/>
  <c r="O18" i="8"/>
  <c r="P18" i="8"/>
  <c r="Q18" i="8"/>
  <c r="R18" i="8"/>
  <c r="S18" i="8"/>
  <c r="T18" i="8"/>
  <c r="U18" i="8"/>
  <c r="V18" i="8"/>
  <c r="W18" i="8"/>
  <c r="X18" i="8"/>
  <c r="Y18" i="8"/>
  <c r="Z18" i="8"/>
  <c r="AA18" i="8"/>
  <c r="AB18" i="8"/>
  <c r="AC18" i="8"/>
  <c r="AD18" i="8"/>
  <c r="AE18" i="8"/>
  <c r="AF18" i="8"/>
  <c r="AG18" i="8"/>
  <c r="AH18" i="8"/>
  <c r="AJ18" i="8"/>
  <c r="AK18" i="8"/>
  <c r="AL18" i="8"/>
  <c r="AN18" i="8"/>
  <c r="AO18" i="8"/>
  <c r="AO117" i="8"/>
  <c r="AP18" i="8"/>
  <c r="AR18" i="8"/>
  <c r="AR117" i="8" s="1"/>
  <c r="AS18" i="8"/>
  <c r="AT18" i="8"/>
  <c r="AV18" i="8"/>
  <c r="AV117" i="8"/>
  <c r="AW18" i="8"/>
  <c r="AX18" i="8"/>
  <c r="AZ18" i="8"/>
  <c r="BA18" i="8"/>
  <c r="BA117" i="8" s="1"/>
  <c r="BB18" i="8"/>
  <c r="BD18" i="8"/>
  <c r="BE18" i="8"/>
  <c r="BF18" i="8"/>
  <c r="BG18" i="8" s="1"/>
  <c r="BG120" i="8" s="1"/>
  <c r="BH18" i="8"/>
  <c r="BH117" i="8" s="1"/>
  <c r="BI18" i="8"/>
  <c r="BI117" i="8" s="1"/>
  <c r="BJ18" i="8"/>
  <c r="BL18" i="8"/>
  <c r="BL117" i="8" s="1"/>
  <c r="BM18" i="8"/>
  <c r="BM117" i="8" s="1"/>
  <c r="BN18" i="8"/>
  <c r="BP18" i="8"/>
  <c r="BQ18" i="8"/>
  <c r="BQ117" i="8" s="1"/>
  <c r="BR18" i="8"/>
  <c r="CV18" i="8"/>
  <c r="F19" i="8"/>
  <c r="G19" i="8"/>
  <c r="H19" i="8"/>
  <c r="I19" i="8"/>
  <c r="J19" i="8"/>
  <c r="J102" i="1" s="1"/>
  <c r="K19" i="8"/>
  <c r="L19" i="8"/>
  <c r="M19" i="8"/>
  <c r="M102" i="1" s="1"/>
  <c r="N19" i="8"/>
  <c r="O19" i="8"/>
  <c r="P19" i="8"/>
  <c r="Q19" i="8"/>
  <c r="R19" i="8"/>
  <c r="R102" i="1" s="1"/>
  <c r="S19" i="8"/>
  <c r="T19" i="8"/>
  <c r="U19" i="8"/>
  <c r="U102" i="1" s="1"/>
  <c r="V19" i="8"/>
  <c r="W19" i="8"/>
  <c r="X19" i="8"/>
  <c r="Y19" i="8"/>
  <c r="Z19" i="8"/>
  <c r="Z102" i="1" s="1"/>
  <c r="AA19" i="8"/>
  <c r="AB19" i="8"/>
  <c r="AC19" i="8"/>
  <c r="AD19" i="8"/>
  <c r="AE19" i="8"/>
  <c r="AF19" i="8"/>
  <c r="AG19" i="8"/>
  <c r="AH19" i="8"/>
  <c r="AJ19" i="8"/>
  <c r="AJ102" i="1" s="1"/>
  <c r="AK19" i="8"/>
  <c r="AL19" i="8"/>
  <c r="AM19" i="8"/>
  <c r="AN19" i="8"/>
  <c r="AN102" i="1"/>
  <c r="AO19" i="8"/>
  <c r="AP19" i="8"/>
  <c r="AQ19" i="8" s="1"/>
  <c r="AQ102" i="1" s="1"/>
  <c r="AQ103" i="1" s="1"/>
  <c r="AR19" i="8"/>
  <c r="AS19" i="8"/>
  <c r="AT19" i="8"/>
  <c r="AV19" i="8"/>
  <c r="AW19" i="8"/>
  <c r="AW102" i="1" s="1"/>
  <c r="AW103" i="1" s="1"/>
  <c r="AX19" i="8"/>
  <c r="AY19" i="8" s="1"/>
  <c r="AZ19" i="8"/>
  <c r="BA19" i="8"/>
  <c r="BA102" i="1"/>
  <c r="BA103" i="1" s="1"/>
  <c r="BB19" i="8"/>
  <c r="BC19" i="8"/>
  <c r="BD19" i="8"/>
  <c r="BD102" i="1"/>
  <c r="BE19" i="8"/>
  <c r="BE102" i="1"/>
  <c r="BE103" i="1" s="1"/>
  <c r="BF19" i="8"/>
  <c r="BG19" i="8" s="1"/>
  <c r="BH19" i="8"/>
  <c r="BI19" i="8"/>
  <c r="BJ19" i="8"/>
  <c r="BK19" i="8" s="1"/>
  <c r="BL19" i="8"/>
  <c r="BL102" i="1" s="1"/>
  <c r="BM19" i="8"/>
  <c r="BN19" i="8"/>
  <c r="BP19" i="8"/>
  <c r="BQ19" i="8"/>
  <c r="BR19" i="8"/>
  <c r="BS19" i="8" s="1"/>
  <c r="BS102" i="1" s="1"/>
  <c r="BS103" i="1" s="1"/>
  <c r="BT102" i="1"/>
  <c r="F20" i="8"/>
  <c r="G20" i="8"/>
  <c r="H20" i="8"/>
  <c r="I20" i="8"/>
  <c r="J20" i="8"/>
  <c r="K20" i="8"/>
  <c r="L20" i="8"/>
  <c r="N20" i="8"/>
  <c r="O20" i="8"/>
  <c r="P20" i="8"/>
  <c r="Q20" i="8"/>
  <c r="R20" i="8"/>
  <c r="S20" i="8"/>
  <c r="T20" i="8"/>
  <c r="U20" i="8"/>
  <c r="V20" i="8"/>
  <c r="W20" i="8"/>
  <c r="X20" i="8"/>
  <c r="Y20" i="8"/>
  <c r="Z20" i="8"/>
  <c r="AA20" i="8"/>
  <c r="AB20" i="8"/>
  <c r="AC20" i="8"/>
  <c r="AD20" i="8"/>
  <c r="AE20" i="8"/>
  <c r="AF20" i="8"/>
  <c r="AG20" i="8"/>
  <c r="AH20" i="8"/>
  <c r="AJ20" i="8"/>
  <c r="AK20" i="8"/>
  <c r="AL20" i="8"/>
  <c r="AN20" i="8"/>
  <c r="AO20" i="8"/>
  <c r="AP20" i="8"/>
  <c r="AQ20" i="8" s="1"/>
  <c r="AR20" i="8"/>
  <c r="AS20" i="8"/>
  <c r="AT20" i="8"/>
  <c r="AV20" i="8"/>
  <c r="AW20" i="8"/>
  <c r="AX20" i="8"/>
  <c r="AZ20" i="8"/>
  <c r="BA20" i="8"/>
  <c r="BB20" i="8"/>
  <c r="BD20" i="8"/>
  <c r="BE20" i="8"/>
  <c r="BF20" i="8"/>
  <c r="BH20" i="8"/>
  <c r="BI20" i="8"/>
  <c r="BJ20" i="8"/>
  <c r="BL20" i="8"/>
  <c r="BM20" i="8"/>
  <c r="BN20" i="8"/>
  <c r="BP20" i="8"/>
  <c r="BQ20" i="8"/>
  <c r="BR20" i="8"/>
  <c r="CV20" i="8"/>
  <c r="N21" i="8"/>
  <c r="O21" i="8"/>
  <c r="P21" i="8"/>
  <c r="R21" i="8"/>
  <c r="S21" i="8"/>
  <c r="T21" i="8"/>
  <c r="U21" i="8"/>
  <c r="V21" i="8"/>
  <c r="W21" i="8"/>
  <c r="X21" i="8"/>
  <c r="Y21" i="8"/>
  <c r="Z21" i="8"/>
  <c r="AA21" i="8"/>
  <c r="AB21" i="8"/>
  <c r="AD21" i="8"/>
  <c r="AE21" i="8"/>
  <c r="AF21" i="8"/>
  <c r="AG21" i="8"/>
  <c r="AH21" i="8"/>
  <c r="AI21" i="8" s="1"/>
  <c r="AJ21" i="8"/>
  <c r="AK21" i="8"/>
  <c r="AL21" i="8"/>
  <c r="AM21" i="8" s="1"/>
  <c r="AN21" i="8"/>
  <c r="AO21" i="8"/>
  <c r="AP21" i="8"/>
  <c r="AQ21" i="8" s="1"/>
  <c r="AR21" i="8"/>
  <c r="AS21" i="8"/>
  <c r="AT21" i="8"/>
  <c r="AU21" i="8" s="1"/>
  <c r="AV21" i="8"/>
  <c r="AW21" i="8"/>
  <c r="AX21" i="8"/>
  <c r="AY21" i="8" s="1"/>
  <c r="AZ21" i="8"/>
  <c r="BB21" i="8"/>
  <c r="BC21" i="8" s="1"/>
  <c r="BN21" i="8"/>
  <c r="BL22" i="8"/>
  <c r="BP22" i="8"/>
  <c r="CV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AJ23" i="8"/>
  <c r="AK23" i="8"/>
  <c r="AL23" i="8"/>
  <c r="AM23" i="8" s="1"/>
  <c r="AN23" i="8"/>
  <c r="AO23" i="8"/>
  <c r="AP23" i="8"/>
  <c r="AQ23" i="8" s="1"/>
  <c r="AR23" i="8"/>
  <c r="AS23" i="8"/>
  <c r="AT23" i="8"/>
  <c r="AV23" i="8"/>
  <c r="AW23" i="8"/>
  <c r="AX23" i="8"/>
  <c r="AZ23" i="8"/>
  <c r="BA23" i="8"/>
  <c r="BB23" i="8"/>
  <c r="BD23" i="8"/>
  <c r="BE23" i="8"/>
  <c r="BF23" i="8"/>
  <c r="BG23" i="8" s="1"/>
  <c r="BH23" i="8"/>
  <c r="BI23" i="8"/>
  <c r="BJ23" i="8"/>
  <c r="BK23" i="8" s="1"/>
  <c r="CS23" i="8" s="1"/>
  <c r="BL23" i="8"/>
  <c r="BM23" i="8"/>
  <c r="BN23" i="8"/>
  <c r="BP23" i="8"/>
  <c r="BQ23" i="8"/>
  <c r="BR23" i="8"/>
  <c r="BS23" i="8" s="1"/>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AI24" i="8" s="1"/>
  <c r="AJ24" i="8"/>
  <c r="AK24" i="8"/>
  <c r="AL24" i="8"/>
  <c r="AM24" i="8" s="1"/>
  <c r="AN24" i="8"/>
  <c r="AO24" i="8"/>
  <c r="AP24" i="8"/>
  <c r="AQ24" i="8" s="1"/>
  <c r="AR24" i="8"/>
  <c r="AS24" i="8"/>
  <c r="AT24" i="8"/>
  <c r="AU24" i="8" s="1"/>
  <c r="AV24" i="8"/>
  <c r="AW24" i="8"/>
  <c r="AX24" i="8"/>
  <c r="AZ24" i="8"/>
  <c r="BA24" i="8"/>
  <c r="BB24" i="8"/>
  <c r="BC24" i="8"/>
  <c r="BD24" i="8"/>
  <c r="BE24" i="8"/>
  <c r="BF24" i="8"/>
  <c r="BG24" i="8"/>
  <c r="BH24" i="8"/>
  <c r="BI24" i="8"/>
  <c r="BJ24" i="8"/>
  <c r="BL24" i="8"/>
  <c r="BM24" i="8"/>
  <c r="BN24" i="8"/>
  <c r="BP24" i="8"/>
  <c r="BQ24" i="8"/>
  <c r="BR24" i="8"/>
  <c r="BS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AJ25" i="8"/>
  <c r="AK25" i="8"/>
  <c r="AL25" i="8"/>
  <c r="AM25" i="8" s="1"/>
  <c r="AN25" i="8"/>
  <c r="AO25" i="8"/>
  <c r="AP25" i="8"/>
  <c r="AR25" i="8"/>
  <c r="AS25" i="8"/>
  <c r="AT25" i="8"/>
  <c r="AV25" i="8"/>
  <c r="AW25" i="8"/>
  <c r="AX25" i="8"/>
  <c r="AZ25" i="8"/>
  <c r="BA25" i="8"/>
  <c r="BB25" i="8"/>
  <c r="BC25" i="8" s="1"/>
  <c r="BD25" i="8"/>
  <c r="BE25" i="8"/>
  <c r="BF25" i="8"/>
  <c r="BH25" i="8"/>
  <c r="BI25" i="8"/>
  <c r="BJ25" i="8"/>
  <c r="BL25" i="8"/>
  <c r="BM25" i="8"/>
  <c r="BN25" i="8"/>
  <c r="BP25" i="8"/>
  <c r="H26" i="8"/>
  <c r="N26" i="8"/>
  <c r="O26" i="8"/>
  <c r="P26" i="8"/>
  <c r="Q26" i="8"/>
  <c r="R26" i="8"/>
  <c r="S26" i="8"/>
  <c r="T26" i="8"/>
  <c r="U26" i="8"/>
  <c r="V26" i="8"/>
  <c r="W26" i="8"/>
  <c r="X26" i="8"/>
  <c r="Y26" i="8"/>
  <c r="Z26" i="8"/>
  <c r="AA26" i="8"/>
  <c r="AB26" i="8"/>
  <c r="AC26" i="8"/>
  <c r="AD26" i="8"/>
  <c r="AE26" i="8"/>
  <c r="AF26" i="8"/>
  <c r="AG26" i="8"/>
  <c r="AH26" i="8"/>
  <c r="AI26" i="8" s="1"/>
  <c r="AJ26" i="8"/>
  <c r="AK26" i="8"/>
  <c r="AL26" i="8"/>
  <c r="AM26" i="8" s="1"/>
  <c r="AN26" i="8"/>
  <c r="AO26" i="8"/>
  <c r="AP26" i="8"/>
  <c r="AQ26" i="8" s="1"/>
  <c r="AR26" i="8"/>
  <c r="AS26" i="8"/>
  <c r="AT26" i="8"/>
  <c r="AU26" i="8" s="1"/>
  <c r="AV26" i="8"/>
  <c r="AW26" i="8"/>
  <c r="AX26" i="8"/>
  <c r="AY26" i="8" s="1"/>
  <c r="AZ26" i="8"/>
  <c r="BA26" i="8"/>
  <c r="BB26" i="8"/>
  <c r="BC26" i="8" s="1"/>
  <c r="BD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AJ27" i="8"/>
  <c r="AK27" i="8"/>
  <c r="AL27" i="8"/>
  <c r="AM27" i="8" s="1"/>
  <c r="AN27" i="8"/>
  <c r="AO27" i="8"/>
  <c r="AP27" i="8"/>
  <c r="AQ27" i="8" s="1"/>
  <c r="AR27" i="8"/>
  <c r="AS27" i="8"/>
  <c r="AT27" i="8"/>
  <c r="AU27" i="8" s="1"/>
  <c r="AV27" i="8"/>
  <c r="AW27" i="8"/>
  <c r="AX27" i="8"/>
  <c r="AZ27" i="8"/>
  <c r="BA27" i="8"/>
  <c r="BB27" i="8"/>
  <c r="BC27" i="8"/>
  <c r="BD27" i="8"/>
  <c r="BE27" i="8"/>
  <c r="BF27" i="8"/>
  <c r="BG27" i="8"/>
  <c r="BH27" i="8"/>
  <c r="BI27" i="8"/>
  <c r="BJ27" i="8"/>
  <c r="BK27" i="8"/>
  <c r="BL27" i="8"/>
  <c r="BM27" i="8"/>
  <c r="BN27" i="8"/>
  <c r="BP27" i="8"/>
  <c r="BQ27" i="8"/>
  <c r="BR27" i="8"/>
  <c r="BS27" i="8" s="1"/>
  <c r="Y28" i="8"/>
  <c r="Z28" i="8"/>
  <c r="AD28" i="8"/>
  <c r="AE28" i="8"/>
  <c r="AF28" i="8"/>
  <c r="AG28" i="8"/>
  <c r="AH28" i="8"/>
  <c r="AI28" i="8" s="1"/>
  <c r="AJ28" i="8"/>
  <c r="AK28" i="8"/>
  <c r="AL28" i="8"/>
  <c r="AM28" i="8" s="1"/>
  <c r="AN28" i="8"/>
  <c r="AO28" i="8"/>
  <c r="AR28" i="8"/>
  <c r="AS28" i="8"/>
  <c r="AT28" i="8"/>
  <c r="AU28" i="8" s="1"/>
  <c r="AV28" i="8"/>
  <c r="AW28" i="8"/>
  <c r="AX28" i="8"/>
  <c r="AY28" i="8" s="1"/>
  <c r="AZ28" i="8"/>
  <c r="BA28" i="8"/>
  <c r="BB28" i="8"/>
  <c r="BC28" i="8" s="1"/>
  <c r="BD28" i="8"/>
  <c r="BF28" i="8"/>
  <c r="BG28" i="8" s="1"/>
  <c r="BJ28" i="8"/>
  <c r="BK28" i="8" s="1"/>
  <c r="BN28" i="8"/>
  <c r="BR28" i="8"/>
  <c r="BS28" i="8" s="1"/>
  <c r="F32" i="8"/>
  <c r="G32" i="8"/>
  <c r="H32" i="8"/>
  <c r="I32" i="8"/>
  <c r="J32" i="8"/>
  <c r="J121" i="8"/>
  <c r="K32" i="8"/>
  <c r="K121" i="8" s="1"/>
  <c r="L32" i="8"/>
  <c r="M32" i="8"/>
  <c r="N32" i="8"/>
  <c r="O32" i="8"/>
  <c r="P32" i="8"/>
  <c r="Q32" i="8"/>
  <c r="Q121" i="8" s="1"/>
  <c r="R32" i="8"/>
  <c r="S32" i="8"/>
  <c r="T32" i="8"/>
  <c r="U32" i="8"/>
  <c r="U80" i="7"/>
  <c r="V32" i="8"/>
  <c r="W32" i="8"/>
  <c r="X32" i="8"/>
  <c r="Y32" i="8"/>
  <c r="Y80" i="7"/>
  <c r="Z32" i="8"/>
  <c r="Z121" i="8"/>
  <c r="AA32" i="8"/>
  <c r="AB32" i="8"/>
  <c r="AB80" i="7"/>
  <c r="AC32" i="8"/>
  <c r="AD32" i="8"/>
  <c r="AE32" i="8"/>
  <c r="AF32" i="8"/>
  <c r="AG32" i="8"/>
  <c r="AG121" i="8" s="1"/>
  <c r="AH32" i="8"/>
  <c r="AI32" i="8"/>
  <c r="AJ32" i="8"/>
  <c r="AK32" i="8"/>
  <c r="AL32" i="8"/>
  <c r="AL121" i="8" s="1"/>
  <c r="AN32" i="8"/>
  <c r="AN121" i="8" s="1"/>
  <c r="AO32" i="8"/>
  <c r="AP32" i="8"/>
  <c r="AQ32" i="8" s="1"/>
  <c r="AQ121" i="8" s="1"/>
  <c r="AR32" i="8"/>
  <c r="AS32" i="8"/>
  <c r="AS80" i="7"/>
  <c r="AT32" i="8"/>
  <c r="AU32" i="8"/>
  <c r="AV32" i="8"/>
  <c r="AV121" i="8"/>
  <c r="AW32" i="8"/>
  <c r="AX32" i="8"/>
  <c r="AZ32" i="8"/>
  <c r="AZ121" i="8"/>
  <c r="BA32" i="8"/>
  <c r="BB32" i="8"/>
  <c r="BC32" i="8" s="1"/>
  <c r="BD32" i="8"/>
  <c r="BE32" i="8"/>
  <c r="BF32" i="8"/>
  <c r="BH32" i="8"/>
  <c r="BI32" i="8"/>
  <c r="BJ32" i="8"/>
  <c r="BK32" i="8"/>
  <c r="BK121" i="8" s="1"/>
  <c r="BL32" i="8"/>
  <c r="BM32" i="8"/>
  <c r="BM121" i="8" s="1"/>
  <c r="BN32" i="8"/>
  <c r="BN121" i="8" s="1"/>
  <c r="BP32" i="8"/>
  <c r="AI33" i="8"/>
  <c r="AI81" i="7" s="1"/>
  <c r="AM33" i="8"/>
  <c r="AO33" i="8"/>
  <c r="AQ33" i="8"/>
  <c r="AS33" i="8"/>
  <c r="AU33" i="8"/>
  <c r="AU81" i="7"/>
  <c r="AW33" i="8"/>
  <c r="AY33" i="8"/>
  <c r="BA33" i="8"/>
  <c r="BC33" i="8"/>
  <c r="BE33" i="8"/>
  <c r="BG33" i="8"/>
  <c r="BI33" i="8"/>
  <c r="BI81" i="7"/>
  <c r="BK33" i="8"/>
  <c r="BL33" i="8"/>
  <c r="BM33" i="8"/>
  <c r="BM81" i="7"/>
  <c r="BO33" i="8"/>
  <c r="BP33" i="8"/>
  <c r="BQ33" i="8"/>
  <c r="BR33" i="8"/>
  <c r="BR81" i="7" s="1"/>
  <c r="BT81" i="7"/>
  <c r="CG33" i="8"/>
  <c r="CH33" i="8"/>
  <c r="CI33" i="8"/>
  <c r="CJ33" i="8"/>
  <c r="CK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AJ34" i="8"/>
  <c r="AK34" i="8"/>
  <c r="AL34" i="8"/>
  <c r="AN34" i="8"/>
  <c r="AO34" i="8"/>
  <c r="AP34" i="8"/>
  <c r="AR34" i="8"/>
  <c r="AS34" i="8"/>
  <c r="AT34" i="8"/>
  <c r="AV34" i="8"/>
  <c r="AW34" i="8"/>
  <c r="AX34" i="8"/>
  <c r="AY34" i="8" s="1"/>
  <c r="AZ34" i="8"/>
  <c r="BA34" i="8"/>
  <c r="BB34" i="8"/>
  <c r="BD34" i="8"/>
  <c r="BE34" i="8"/>
  <c r="BF34" i="8"/>
  <c r="BH34" i="8"/>
  <c r="BI34" i="8"/>
  <c r="BJ34" i="8"/>
  <c r="BL34" i="8"/>
  <c r="BM34" i="8"/>
  <c r="BN34" i="8"/>
  <c r="BP34" i="8"/>
  <c r="BQ34" i="8"/>
  <c r="BR34" i="8"/>
  <c r="CV34" i="8"/>
  <c r="F35" i="8"/>
  <c r="G35" i="8"/>
  <c r="H35" i="8"/>
  <c r="I35" i="8"/>
  <c r="J35" i="8"/>
  <c r="K35" i="8"/>
  <c r="L35" i="8"/>
  <c r="M35" i="8"/>
  <c r="N35" i="8"/>
  <c r="CG35" i="8" s="1"/>
  <c r="O35" i="8"/>
  <c r="P35" i="8"/>
  <c r="Q35" i="8"/>
  <c r="R35" i="8"/>
  <c r="S35" i="8"/>
  <c r="T35" i="8"/>
  <c r="U35" i="8"/>
  <c r="V35" i="8"/>
  <c r="W35" i="8"/>
  <c r="X35" i="8"/>
  <c r="Y35" i="8"/>
  <c r="Z35" i="8"/>
  <c r="AA35" i="8"/>
  <c r="AB35" i="8"/>
  <c r="AC35" i="8"/>
  <c r="AD35" i="8"/>
  <c r="AE35" i="8"/>
  <c r="AF35" i="8"/>
  <c r="AG35" i="8"/>
  <c r="AH35" i="8"/>
  <c r="AI35" i="8" s="1"/>
  <c r="CL35" i="8" s="1"/>
  <c r="AJ35" i="8"/>
  <c r="AK35" i="8"/>
  <c r="AL35" i="8"/>
  <c r="AN35" i="8"/>
  <c r="AO35" i="8"/>
  <c r="AP35" i="8"/>
  <c r="AR35" i="8"/>
  <c r="AS35" i="8"/>
  <c r="AT35" i="8"/>
  <c r="AU35" i="8" s="1"/>
  <c r="AV35" i="8"/>
  <c r="AW35" i="8"/>
  <c r="AX35" i="8"/>
  <c r="AY35" i="8" s="1"/>
  <c r="AZ35" i="8"/>
  <c r="BA35" i="8"/>
  <c r="BB35" i="8"/>
  <c r="BC35" i="8" s="1"/>
  <c r="BD35" i="8"/>
  <c r="BE35" i="8"/>
  <c r="BF35" i="8"/>
  <c r="BG35" i="8" s="1"/>
  <c r="CR35" i="8" s="1"/>
  <c r="BH35" i="8"/>
  <c r="BI35" i="8"/>
  <c r="BJ35" i="8"/>
  <c r="BK35" i="8" s="1"/>
  <c r="CS35" i="8" s="1"/>
  <c r="BL35" i="8"/>
  <c r="BM35" i="8"/>
  <c r="BN35" i="8"/>
  <c r="BO35" i="8" s="1"/>
  <c r="BP35" i="8"/>
  <c r="BQ35" i="8"/>
  <c r="BR35" i="8"/>
  <c r="BS35" i="8" s="1"/>
  <c r="CV35" i="8"/>
  <c r="V36" i="8"/>
  <c r="W36" i="8"/>
  <c r="X36" i="8"/>
  <c r="Y36" i="8"/>
  <c r="Z36" i="8"/>
  <c r="AA36" i="8"/>
  <c r="AB36" i="8"/>
  <c r="AC36" i="8"/>
  <c r="AD36" i="8"/>
  <c r="AE36" i="8"/>
  <c r="AF36" i="8"/>
  <c r="AG36" i="8"/>
  <c r="AH36" i="8"/>
  <c r="AI36" i="8" s="1"/>
  <c r="AJ36" i="8"/>
  <c r="AK36" i="8"/>
  <c r="AL36" i="8"/>
  <c r="AN36" i="8"/>
  <c r="AO36" i="8"/>
  <c r="AP36" i="8"/>
  <c r="AQ36" i="8"/>
  <c r="AR36" i="8"/>
  <c r="AS36" i="8"/>
  <c r="AT36" i="8"/>
  <c r="AV36" i="8"/>
  <c r="AW36" i="8"/>
  <c r="AX36" i="8"/>
  <c r="AZ36" i="8"/>
  <c r="BA36" i="8"/>
  <c r="BB36" i="8"/>
  <c r="BC36" i="8"/>
  <c r="BD36" i="8"/>
  <c r="BE36" i="8"/>
  <c r="BF36" i="8"/>
  <c r="BG36" i="8"/>
  <c r="BH36" i="8"/>
  <c r="BJ36" i="8"/>
  <c r="BK36" i="8" s="1"/>
  <c r="BL36" i="8"/>
  <c r="BN36" i="8"/>
  <c r="BP36" i="8"/>
  <c r="BQ36" i="8"/>
  <c r="CG36" i="8"/>
  <c r="C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AJ37" i="8"/>
  <c r="AK37" i="8"/>
  <c r="AL37" i="8"/>
  <c r="AM37" i="8" s="1"/>
  <c r="CM37" i="8" s="1"/>
  <c r="AN37" i="8"/>
  <c r="AO37" i="8"/>
  <c r="AP37" i="8"/>
  <c r="AR37" i="8"/>
  <c r="AS37" i="8"/>
  <c r="AT37" i="8"/>
  <c r="AV37" i="8"/>
  <c r="AW37" i="8"/>
  <c r="AX37" i="8"/>
  <c r="AY37" i="8" s="1"/>
  <c r="AZ37" i="8"/>
  <c r="BA37" i="8"/>
  <c r="BB37" i="8"/>
  <c r="BD37" i="8"/>
  <c r="BE37" i="8"/>
  <c r="BF37" i="8"/>
  <c r="BH37" i="8"/>
  <c r="BI37" i="8"/>
  <c r="BJ37" i="8"/>
  <c r="BL37" i="8"/>
  <c r="BM37" i="8"/>
  <c r="BN37" i="8"/>
  <c r="BO37" i="8" s="1"/>
  <c r="BP37" i="8"/>
  <c r="CV37"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AI41" i="8" s="1"/>
  <c r="AJ41" i="8"/>
  <c r="AK41" i="8"/>
  <c r="AL41" i="8"/>
  <c r="AM41" i="8" s="1"/>
  <c r="AN41" i="8"/>
  <c r="AO41" i="8"/>
  <c r="AP41" i="8"/>
  <c r="AQ41" i="8" s="1"/>
  <c r="AR41" i="8"/>
  <c r="AS41" i="8"/>
  <c r="AT41" i="8"/>
  <c r="AU41" i="8" s="1"/>
  <c r="AV41" i="8"/>
  <c r="AW41" i="8"/>
  <c r="AX41" i="8"/>
  <c r="AY41" i="8" s="1"/>
  <c r="AZ41" i="8"/>
  <c r="BA41" i="8"/>
  <c r="BB41" i="8"/>
  <c r="BC41" i="8" s="1"/>
  <c r="BD41" i="8"/>
  <c r="BE41" i="8"/>
  <c r="BF41" i="8"/>
  <c r="BG41" i="8" s="1"/>
  <c r="BH41" i="8"/>
  <c r="BI41" i="8"/>
  <c r="BJ41" i="8"/>
  <c r="BL41" i="8"/>
  <c r="BM41" i="8"/>
  <c r="BN41" i="8"/>
  <c r="BO41" i="8" s="1"/>
  <c r="CT41" i="8" s="1"/>
  <c r="BP41" i="8"/>
  <c r="BQ41" i="8"/>
  <c r="CV41" i="8"/>
  <c r="V42" i="8"/>
  <c r="W42" i="8"/>
  <c r="X42" i="8"/>
  <c r="Y42" i="8"/>
  <c r="Z42" i="8"/>
  <c r="AA42" i="8"/>
  <c r="AB42" i="8"/>
  <c r="AC42" i="8"/>
  <c r="AD42" i="8"/>
  <c r="AE42" i="8"/>
  <c r="AF42" i="8"/>
  <c r="AG42" i="8"/>
  <c r="AH42" i="8"/>
  <c r="AJ42" i="8"/>
  <c r="AK42" i="8"/>
  <c r="AL42" i="8"/>
  <c r="AN42" i="8"/>
  <c r="AO42" i="8"/>
  <c r="AP42" i="8"/>
  <c r="AQ42" i="8" s="1"/>
  <c r="AR42" i="8"/>
  <c r="AS42" i="8"/>
  <c r="AT42" i="8"/>
  <c r="AV42" i="8"/>
  <c r="AW42" i="8"/>
  <c r="AX42" i="8"/>
  <c r="AZ42" i="8"/>
  <c r="BA42" i="8"/>
  <c r="BB42" i="8"/>
  <c r="BD42" i="8"/>
  <c r="BE42" i="8"/>
  <c r="BF42" i="8"/>
  <c r="BG42" i="8"/>
  <c r="BH42" i="8"/>
  <c r="BI42" i="8"/>
  <c r="BJ42" i="8"/>
  <c r="BL42" i="8"/>
  <c r="BM42" i="8"/>
  <c r="BN42" i="8"/>
  <c r="BP42" i="8"/>
  <c r="BQ42" i="8"/>
  <c r="BR42" i="8"/>
  <c r="CG42" i="8"/>
  <c r="CH42" i="8"/>
  <c r="CV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AI43" i="8"/>
  <c r="AJ43" i="8"/>
  <c r="AK43" i="8"/>
  <c r="AL43" i="8"/>
  <c r="AM43" i="8"/>
  <c r="AN43" i="8"/>
  <c r="AO43" i="8"/>
  <c r="AP43" i="8"/>
  <c r="AQ43" i="8"/>
  <c r="AR43" i="8"/>
  <c r="AS43" i="8"/>
  <c r="AT43" i="8"/>
  <c r="AU43" i="8"/>
  <c r="AV43" i="8"/>
  <c r="AW43" i="8"/>
  <c r="AX43" i="8"/>
  <c r="AY43" i="8"/>
  <c r="AZ43" i="8"/>
  <c r="BA43" i="8"/>
  <c r="BD43" i="8"/>
  <c r="BE43" i="8"/>
  <c r="BF43" i="8"/>
  <c r="BI43" i="8"/>
  <c r="BJ43" i="8"/>
  <c r="BM43" i="8"/>
  <c r="BN43" i="8"/>
  <c r="BP43" i="8"/>
  <c r="BQ43" i="8"/>
  <c r="CV43" i="8"/>
  <c r="V44" i="8"/>
  <c r="W44" i="8"/>
  <c r="X44" i="8"/>
  <c r="Y44" i="8"/>
  <c r="Z44" i="8"/>
  <c r="AA44" i="8"/>
  <c r="AB44" i="8"/>
  <c r="AC44" i="8"/>
  <c r="AD44" i="8"/>
  <c r="AE44" i="8"/>
  <c r="AF44" i="8"/>
  <c r="AG44" i="8"/>
  <c r="AH44" i="8"/>
  <c r="AJ44" i="8"/>
  <c r="AK44" i="8"/>
  <c r="AL44" i="8"/>
  <c r="AN44" i="8"/>
  <c r="AO44" i="8"/>
  <c r="AP44" i="8"/>
  <c r="AQ44" i="8"/>
  <c r="AR44" i="8"/>
  <c r="AS44" i="8"/>
  <c r="AT44" i="8"/>
  <c r="AV44" i="8"/>
  <c r="AW44" i="8"/>
  <c r="AX44" i="8"/>
  <c r="AY44" i="8" s="1"/>
  <c r="AZ44" i="8"/>
  <c r="BA44" i="8"/>
  <c r="BB44" i="8"/>
  <c r="BD44" i="8"/>
  <c r="BE44" i="8"/>
  <c r="BF44" i="8"/>
  <c r="BG44" i="8" s="1"/>
  <c r="CR44" i="8" s="1"/>
  <c r="BH44" i="8"/>
  <c r="BI44" i="8"/>
  <c r="BJ44" i="8"/>
  <c r="BL44" i="8"/>
  <c r="BM44" i="8"/>
  <c r="BN44" i="8"/>
  <c r="BP44" i="8"/>
  <c r="BQ44" i="8"/>
  <c r="BR44" i="8"/>
  <c r="CG44" i="8"/>
  <c r="CH44" i="8"/>
  <c r="CV44" i="8"/>
  <c r="F45" i="8"/>
  <c r="G45" i="8"/>
  <c r="H45" i="8"/>
  <c r="I45" i="8"/>
  <c r="J45" i="8"/>
  <c r="K45" i="8"/>
  <c r="L45" i="8"/>
  <c r="M45" i="8"/>
  <c r="N45" i="8"/>
  <c r="O45" i="8"/>
  <c r="O70" i="7" s="1"/>
  <c r="P45" i="8"/>
  <c r="P70" i="7" s="1"/>
  <c r="Q45" i="8"/>
  <c r="R45" i="8"/>
  <c r="R70" i="7" s="1"/>
  <c r="S45" i="8"/>
  <c r="S70" i="7" s="1"/>
  <c r="T45" i="8"/>
  <c r="T70" i="7" s="1"/>
  <c r="U45" i="8"/>
  <c r="V45" i="8"/>
  <c r="W45" i="8"/>
  <c r="W582" i="1" s="1"/>
  <c r="W587" i="1" s="1"/>
  <c r="X45" i="8"/>
  <c r="Y45" i="8"/>
  <c r="Z45" i="8"/>
  <c r="Z70" i="7" s="1"/>
  <c r="AA45" i="8"/>
  <c r="AA582" i="1" s="1"/>
  <c r="AA587" i="1" s="1"/>
  <c r="AB45" i="8"/>
  <c r="AB70" i="7" s="1"/>
  <c r="AC45" i="8"/>
  <c r="AD45" i="8"/>
  <c r="AE45" i="8"/>
  <c r="AE70" i="7" s="1"/>
  <c r="AF45" i="8"/>
  <c r="AF70" i="7" s="1"/>
  <c r="AG45" i="8"/>
  <c r="AH45" i="8"/>
  <c r="AJ45" i="8"/>
  <c r="AJ582" i="1" s="1"/>
  <c r="AK45" i="8"/>
  <c r="AK70" i="7" s="1"/>
  <c r="AK69" i="7" s="1"/>
  <c r="AL45" i="8"/>
  <c r="AM45" i="8"/>
  <c r="AM70" i="7" s="1"/>
  <c r="AM69" i="7" s="1"/>
  <c r="AN45" i="8"/>
  <c r="AN70" i="7"/>
  <c r="AN69" i="7" s="1"/>
  <c r="AO45" i="8"/>
  <c r="AP45" i="8"/>
  <c r="AR45" i="8"/>
  <c r="AS45" i="8"/>
  <c r="AS582" i="1" s="1"/>
  <c r="AT45" i="8"/>
  <c r="AU45" i="8" s="1"/>
  <c r="AV45" i="8"/>
  <c r="AV70" i="7" s="1"/>
  <c r="AV69" i="7" s="1"/>
  <c r="AW45" i="8"/>
  <c r="AW70" i="7" s="1"/>
  <c r="AW69" i="7" s="1"/>
  <c r="AX45" i="8"/>
  <c r="AX70" i="7" s="1"/>
  <c r="AX69" i="7" s="1"/>
  <c r="AZ45" i="8"/>
  <c r="BA45" i="8"/>
  <c r="BB45" i="8"/>
  <c r="BD45" i="8"/>
  <c r="BE45" i="8"/>
  <c r="BE70" i="7" s="1"/>
  <c r="BE69" i="7" s="1"/>
  <c r="BF45" i="8"/>
  <c r="BF582" i="1" s="1"/>
  <c r="BH45" i="8"/>
  <c r="BI45" i="8"/>
  <c r="BJ45" i="8"/>
  <c r="BK45" i="8" s="1"/>
  <c r="BL45" i="8"/>
  <c r="BM45" i="8"/>
  <c r="BM70" i="7" s="1"/>
  <c r="BM69" i="7" s="1"/>
  <c r="BN45" i="8"/>
  <c r="BN70" i="7" s="1"/>
  <c r="BN69" i="7" s="1"/>
  <c r="BP45" i="8"/>
  <c r="BQ45" i="8"/>
  <c r="BR45" i="8"/>
  <c r="BR70" i="7" s="1"/>
  <c r="BR69" i="7" s="1"/>
  <c r="BX45" i="8"/>
  <c r="BY45" i="8"/>
  <c r="BY70" i="7" s="1"/>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AJ46" i="8"/>
  <c r="AK46" i="8"/>
  <c r="AL46" i="8"/>
  <c r="AN46" i="8"/>
  <c r="AO46" i="8"/>
  <c r="AP46" i="8"/>
  <c r="AR46" i="8"/>
  <c r="AS46" i="8"/>
  <c r="AT46" i="8"/>
  <c r="AU46" i="8" s="1"/>
  <c r="AV46" i="8"/>
  <c r="AW46" i="8"/>
  <c r="AX46" i="8"/>
  <c r="AY46" i="8" s="1"/>
  <c r="BB46" i="8"/>
  <c r="BD46" i="8"/>
  <c r="BE46" i="8"/>
  <c r="BF46" i="8"/>
  <c r="BH46" i="8"/>
  <c r="BI46" i="8"/>
  <c r="BJ46" i="8"/>
  <c r="BK46" i="8" s="1"/>
  <c r="BL46" i="8"/>
  <c r="BM46" i="8"/>
  <c r="BN46" i="8"/>
  <c r="BO46" i="8" s="1"/>
  <c r="BP46" i="8"/>
  <c r="BQ46" i="8"/>
  <c r="BR46" i="8"/>
  <c r="BS46" i="8" s="1"/>
  <c r="CV46" i="8"/>
  <c r="BB47" i="8"/>
  <c r="BD47" i="8"/>
  <c r="BE47" i="8"/>
  <c r="BE118" i="1"/>
  <c r="BF47" i="8"/>
  <c r="BH47" i="8"/>
  <c r="BH118" i="1" s="1"/>
  <c r="BI47" i="8"/>
  <c r="BJ47" i="8"/>
  <c r="BJ118" i="1" s="1"/>
  <c r="BL47" i="8"/>
  <c r="BM47" i="8"/>
  <c r="BN47" i="8"/>
  <c r="BO47" i="8" s="1"/>
  <c r="BO118" i="1" s="1"/>
  <c r="BP47" i="8"/>
  <c r="BQ47" i="8"/>
  <c r="BR47" i="8"/>
  <c r="CP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AJ48" i="8"/>
  <c r="AV48" i="8"/>
  <c r="AW48" i="8"/>
  <c r="AX48" i="8"/>
  <c r="AY48" i="8" s="1"/>
  <c r="CP48" i="8" s="1"/>
  <c r="AZ48" i="8"/>
  <c r="BA48" i="8"/>
  <c r="BB48" i="8"/>
  <c r="BD48" i="8"/>
  <c r="BE48" i="8"/>
  <c r="BF48" i="8"/>
  <c r="BG48" i="8" s="1"/>
  <c r="BH48" i="8"/>
  <c r="BI48" i="8"/>
  <c r="BL48" i="8"/>
  <c r="BM48" i="8"/>
  <c r="BN48" i="8"/>
  <c r="BO48" i="8" s="1"/>
  <c r="BP48" i="8"/>
  <c r="BR48" i="8"/>
  <c r="CV48" i="8"/>
  <c r="F50" i="8"/>
  <c r="G50" i="8"/>
  <c r="H50" i="8"/>
  <c r="I50" i="8"/>
  <c r="J50" i="8"/>
  <c r="K50" i="8"/>
  <c r="L50" i="8"/>
  <c r="M50" i="8"/>
  <c r="N50" i="8"/>
  <c r="O50" i="8"/>
  <c r="P50" i="8"/>
  <c r="R50" i="8"/>
  <c r="S50" i="8"/>
  <c r="T50" i="8"/>
  <c r="U50" i="8"/>
  <c r="V50" i="8"/>
  <c r="W50" i="8"/>
  <c r="X50" i="8"/>
  <c r="Y50" i="8"/>
  <c r="Z50" i="8"/>
  <c r="AA50" i="8"/>
  <c r="AB50" i="8"/>
  <c r="AC50" i="8"/>
  <c r="AD50" i="8"/>
  <c r="AE50" i="8"/>
  <c r="AF50" i="8"/>
  <c r="AG50" i="8"/>
  <c r="AH50" i="8"/>
  <c r="AJ50" i="8"/>
  <c r="AK50" i="8"/>
  <c r="AL50" i="8"/>
  <c r="AN50" i="8"/>
  <c r="AO50" i="8"/>
  <c r="AS50" i="8"/>
  <c r="CN50" i="8" s="1"/>
  <c r="AW50" i="8"/>
  <c r="CO50" i="8" s="1"/>
  <c r="AZ50" i="8"/>
  <c r="BA50" i="8"/>
  <c r="BD50" i="8"/>
  <c r="BE50" i="8"/>
  <c r="BH50" i="8"/>
  <c r="BI50" i="8"/>
  <c r="BL50" i="8"/>
  <c r="BM50" i="8"/>
  <c r="BP50" i="8"/>
  <c r="BQ50" i="8"/>
  <c r="BR50" i="8"/>
  <c r="BS50" i="8" s="1"/>
  <c r="CV50" i="8"/>
  <c r="F53" i="8"/>
  <c r="CE60" i="8"/>
  <c r="CE13" i="8" s="1"/>
  <c r="CF60" i="8"/>
  <c r="CF13" i="8" s="1"/>
  <c r="CG60" i="8"/>
  <c r="CH60" i="8"/>
  <c r="CI60" i="8"/>
  <c r="CJ60" i="8"/>
  <c r="CK60" i="8"/>
  <c r="CL60" i="8"/>
  <c r="CM60" i="8"/>
  <c r="CN60" i="8"/>
  <c r="CO60" i="8"/>
  <c r="CP60" i="8"/>
  <c r="CQ60" i="8"/>
  <c r="CR60" i="8"/>
  <c r="CS60" i="8"/>
  <c r="CT60" i="8"/>
  <c r="BX61" i="8"/>
  <c r="BY61" i="8" s="1"/>
  <c r="CV61" i="8" s="1"/>
  <c r="CE61" i="8"/>
  <c r="CE14" i="8" s="1"/>
  <c r="CF61" i="8"/>
  <c r="CF14" i="8" s="1"/>
  <c r="CG61" i="8"/>
  <c r="CH61" i="8"/>
  <c r="CI61" i="8"/>
  <c r="CJ61" i="8"/>
  <c r="CK61" i="8"/>
  <c r="CL61" i="8"/>
  <c r="CM61" i="8"/>
  <c r="CN61" i="8"/>
  <c r="CO61" i="8"/>
  <c r="CP61" i="8"/>
  <c r="CQ61" i="8"/>
  <c r="CR61" i="8"/>
  <c r="CS61" i="8"/>
  <c r="CT61" i="8"/>
  <c r="CU61" i="8"/>
  <c r="CX61" i="8"/>
  <c r="CY61" i="8"/>
  <c r="CZ61" i="8"/>
  <c r="DA61" i="8"/>
  <c r="CE62" i="8"/>
  <c r="CE15" i="8" s="1"/>
  <c r="CE135" i="8" s="1"/>
  <c r="CF62" i="8"/>
  <c r="CF15" i="8" s="1"/>
  <c r="CG62" i="8"/>
  <c r="CH62" i="8"/>
  <c r="CI62" i="8"/>
  <c r="CJ62" i="8"/>
  <c r="CK62" i="8"/>
  <c r="CL62" i="8"/>
  <c r="CM62" i="8"/>
  <c r="CN62" i="8"/>
  <c r="CO62" i="8"/>
  <c r="CP62" i="8"/>
  <c r="CQ62" i="8"/>
  <c r="CR62" i="8"/>
  <c r="CS62" i="8"/>
  <c r="CT62" i="8"/>
  <c r="CU63" i="8"/>
  <c r="BX63" i="8"/>
  <c r="BY63" i="8" s="1"/>
  <c r="CV63" i="8" s="1"/>
  <c r="CE63" i="8"/>
  <c r="CE16" i="8" s="1"/>
  <c r="CF63" i="8"/>
  <c r="CF16" i="8" s="1"/>
  <c r="CG63" i="8"/>
  <c r="CH63" i="8"/>
  <c r="CI63" i="8"/>
  <c r="CJ63" i="8"/>
  <c r="CK63" i="8"/>
  <c r="CL63" i="8"/>
  <c r="CM63" i="8"/>
  <c r="CN63" i="8"/>
  <c r="CO63" i="8"/>
  <c r="CP63" i="8"/>
  <c r="CQ63" i="8"/>
  <c r="CR63" i="8"/>
  <c r="CS63" i="8"/>
  <c r="CT63" i="8"/>
  <c r="CX63" i="8"/>
  <c r="CY63" i="8"/>
  <c r="CZ63" i="8"/>
  <c r="DA63" i="8"/>
  <c r="CU64" i="8"/>
  <c r="BX64" i="8"/>
  <c r="BY64" i="8" s="1"/>
  <c r="CV64" i="8" s="1"/>
  <c r="CE64" i="8"/>
  <c r="CE17" i="8" s="1"/>
  <c r="CF64" i="8"/>
  <c r="CF17" i="8" s="1"/>
  <c r="CG64" i="8"/>
  <c r="CH64" i="8"/>
  <c r="CI64" i="8"/>
  <c r="CJ64" i="8"/>
  <c r="CK64" i="8"/>
  <c r="CL64" i="8"/>
  <c r="CM64" i="8"/>
  <c r="CN64" i="8"/>
  <c r="CO64" i="8"/>
  <c r="CP64" i="8"/>
  <c r="CQ64" i="8"/>
  <c r="CR64" i="8"/>
  <c r="CS64" i="8"/>
  <c r="CT64" i="8"/>
  <c r="CX64" i="8"/>
  <c r="CY64" i="8"/>
  <c r="CZ64" i="8"/>
  <c r="DA64" i="8"/>
  <c r="G65" i="8"/>
  <c r="H65" i="8"/>
  <c r="I65" i="8"/>
  <c r="M65" i="8"/>
  <c r="BX65" i="8"/>
  <c r="BY65" i="8" s="1"/>
  <c r="CV65" i="8" s="1"/>
  <c r="CG65" i="8"/>
  <c r="CH65" i="8"/>
  <c r="CI65" i="8"/>
  <c r="CJ65" i="8"/>
  <c r="CK65" i="8"/>
  <c r="CL65" i="8"/>
  <c r="CM65" i="8"/>
  <c r="CN65" i="8"/>
  <c r="CO65" i="8"/>
  <c r="CP65" i="8"/>
  <c r="CQ65" i="8"/>
  <c r="CR65" i="8"/>
  <c r="CS65" i="8"/>
  <c r="CT65" i="8"/>
  <c r="CU65" i="8"/>
  <c r="CX65" i="8"/>
  <c r="CY65" i="8"/>
  <c r="CZ65" i="8"/>
  <c r="DA65" i="8"/>
  <c r="CE66" i="8"/>
  <c r="CE19" i="8" s="1"/>
  <c r="CF66" i="8"/>
  <c r="CF19" i="8"/>
  <c r="CG66" i="8"/>
  <c r="CH66" i="8"/>
  <c r="CI66" i="8"/>
  <c r="CJ66" i="8"/>
  <c r="CK66" i="8"/>
  <c r="CL66" i="8"/>
  <c r="CM66" i="8"/>
  <c r="CN66" i="8"/>
  <c r="CO66" i="8"/>
  <c r="CP66" i="8"/>
  <c r="CQ66" i="8"/>
  <c r="CR66" i="8"/>
  <c r="CS66" i="8"/>
  <c r="CT66" i="8"/>
  <c r="M67" i="8"/>
  <c r="BX67" i="8"/>
  <c r="BY67" i="8" s="1"/>
  <c r="CV67" i="8" s="1"/>
  <c r="CE67" i="8"/>
  <c r="CE20" i="8" s="1"/>
  <c r="CG67" i="8"/>
  <c r="CH67" i="8"/>
  <c r="CI67" i="8"/>
  <c r="CJ67" i="8"/>
  <c r="CK67" i="8"/>
  <c r="CL67" i="8"/>
  <c r="CM67" i="8"/>
  <c r="CN67" i="8"/>
  <c r="CO67" i="8"/>
  <c r="CP67" i="8"/>
  <c r="CQ67" i="8"/>
  <c r="CR67" i="8"/>
  <c r="CS67" i="8"/>
  <c r="CT67" i="8"/>
  <c r="CU67" i="8"/>
  <c r="CX67" i="8"/>
  <c r="CY67" i="8"/>
  <c r="CZ67" i="8"/>
  <c r="DA67" i="8"/>
  <c r="F68" i="8"/>
  <c r="G68" i="8"/>
  <c r="H68" i="8"/>
  <c r="J68" i="8"/>
  <c r="J21" i="8" s="1"/>
  <c r="K68" i="8"/>
  <c r="L68" i="8"/>
  <c r="M68" i="8"/>
  <c r="CF68" i="8" s="1"/>
  <c r="CF21" i="8" s="1"/>
  <c r="Q68" i="8"/>
  <c r="Q21" i="8"/>
  <c r="AC68" i="8"/>
  <c r="CJ68" i="8"/>
  <c r="BA68" i="8"/>
  <c r="BA76" i="8"/>
  <c r="BD68" i="8"/>
  <c r="BF68" i="8"/>
  <c r="BF21" i="8" s="1"/>
  <c r="BG68" i="8"/>
  <c r="BH68" i="8"/>
  <c r="BI68" i="8"/>
  <c r="BJ68" i="8"/>
  <c r="BK68" i="8"/>
  <c r="BL68" i="8"/>
  <c r="BM68" i="8"/>
  <c r="CS68" i="8" s="1"/>
  <c r="BO68" i="8"/>
  <c r="BP68" i="8"/>
  <c r="BQ68" i="8"/>
  <c r="BR68" i="8"/>
  <c r="BS68" i="8"/>
  <c r="BT68" i="8"/>
  <c r="CU68" i="8"/>
  <c r="BX68" i="8"/>
  <c r="BY68" i="8" s="1"/>
  <c r="CV68" i="8" s="1"/>
  <c r="CE68" i="8"/>
  <c r="CE21" i="8"/>
  <c r="CH68" i="8"/>
  <c r="CI68" i="8"/>
  <c r="CK68" i="8"/>
  <c r="CL68" i="8"/>
  <c r="CM68" i="8"/>
  <c r="CN68" i="8"/>
  <c r="CO68" i="8"/>
  <c r="CQ68" i="8"/>
  <c r="CX68" i="8"/>
  <c r="CY68" i="8"/>
  <c r="CZ68" i="8"/>
  <c r="DA68" i="8"/>
  <c r="CS69" i="8"/>
  <c r="CT69" i="8"/>
  <c r="CU69" i="8"/>
  <c r="CV69" i="8"/>
  <c r="CX69" i="8"/>
  <c r="CY69" i="8"/>
  <c r="CZ69" i="8"/>
  <c r="DA69" i="8"/>
  <c r="CE70" i="8"/>
  <c r="CE23" i="8" s="1"/>
  <c r="CF70" i="8"/>
  <c r="CF23" i="8" s="1"/>
  <c r="CG70" i="8"/>
  <c r="CH70" i="8"/>
  <c r="CI70" i="8"/>
  <c r="CJ70" i="8"/>
  <c r="CK70" i="8"/>
  <c r="CL70" i="8"/>
  <c r="CM70" i="8"/>
  <c r="CN70" i="8"/>
  <c r="CO70" i="8"/>
  <c r="CP70" i="8"/>
  <c r="CQ70" i="8"/>
  <c r="CR70" i="8"/>
  <c r="CS70" i="8"/>
  <c r="CT70" i="8"/>
  <c r="CE71" i="8"/>
  <c r="CE24" i="8" s="1"/>
  <c r="CF71" i="8"/>
  <c r="CF24" i="8" s="1"/>
  <c r="CG71" i="8"/>
  <c r="CH71" i="8"/>
  <c r="CI71" i="8"/>
  <c r="CJ71" i="8"/>
  <c r="CK71" i="8"/>
  <c r="CL71" i="8"/>
  <c r="CM71" i="8"/>
  <c r="CN71" i="8"/>
  <c r="CO71" i="8"/>
  <c r="CP71" i="8"/>
  <c r="CQ71" i="8"/>
  <c r="CR71" i="8"/>
  <c r="CS71" i="8"/>
  <c r="CT71" i="8"/>
  <c r="BQ72" i="8"/>
  <c r="BQ25" i="8" s="1"/>
  <c r="BR72" i="8"/>
  <c r="BR25" i="8" s="1"/>
  <c r="BS72" i="8"/>
  <c r="BT25" i="8" s="1"/>
  <c r="CE72" i="8"/>
  <c r="CE25" i="8" s="1"/>
  <c r="CF72" i="8"/>
  <c r="CF25" i="8" s="1"/>
  <c r="CG72" i="8"/>
  <c r="CH72" i="8"/>
  <c r="CI72" i="8"/>
  <c r="CJ72" i="8"/>
  <c r="CK72" i="8"/>
  <c r="CL72" i="8"/>
  <c r="CM72" i="8"/>
  <c r="CN72" i="8"/>
  <c r="CO72" i="8"/>
  <c r="CP72" i="8"/>
  <c r="CQ72" i="8"/>
  <c r="CR72" i="8"/>
  <c r="CS72" i="8"/>
  <c r="F73" i="8"/>
  <c r="F26" i="8"/>
  <c r="I73" i="8"/>
  <c r="J73" i="8"/>
  <c r="L73" i="8"/>
  <c r="BE73" i="8"/>
  <c r="CQ73" i="8" s="1"/>
  <c r="BF73" i="8"/>
  <c r="BF26" i="8" s="1"/>
  <c r="BG73" i="8"/>
  <c r="BH73" i="8"/>
  <c r="BI73" i="8"/>
  <c r="CR73" i="8" s="1"/>
  <c r="BJ73" i="8"/>
  <c r="BJ26" i="8" s="1"/>
  <c r="BK73" i="8"/>
  <c r="BL26" i="8" s="1"/>
  <c r="BM73" i="8"/>
  <c r="BN73" i="8"/>
  <c r="BO73" i="8"/>
  <c r="BP26" i="8" s="1"/>
  <c r="BQ73" i="8"/>
  <c r="CT73" i="8" s="1"/>
  <c r="BR73" i="8"/>
  <c r="BR26" i="8" s="1"/>
  <c r="BS73" i="8"/>
  <c r="BT26" i="8" s="1"/>
  <c r="CF73" i="8"/>
  <c r="CF26" i="8" s="1"/>
  <c r="CG73" i="8"/>
  <c r="CH73" i="8"/>
  <c r="CI73" i="8"/>
  <c r="CJ73" i="8"/>
  <c r="CK73" i="8"/>
  <c r="CL73" i="8"/>
  <c r="CM73" i="8"/>
  <c r="CN73" i="8"/>
  <c r="CO73" i="8"/>
  <c r="CP73" i="8"/>
  <c r="CE74" i="8"/>
  <c r="CE27" i="8" s="1"/>
  <c r="CF74" i="8"/>
  <c r="CF27" i="8" s="1"/>
  <c r="CG74" i="8"/>
  <c r="CH74" i="8"/>
  <c r="CI74" i="8"/>
  <c r="CJ74" i="8"/>
  <c r="CK74" i="8"/>
  <c r="CL74" i="8"/>
  <c r="CM74" i="8"/>
  <c r="CN74" i="8"/>
  <c r="CO74" i="8"/>
  <c r="CP74" i="8"/>
  <c r="CQ74" i="8"/>
  <c r="CR74" i="8"/>
  <c r="CS74" i="8"/>
  <c r="CT74" i="8"/>
  <c r="F75" i="8"/>
  <c r="F28" i="8" s="1"/>
  <c r="G75" i="8"/>
  <c r="H75" i="8"/>
  <c r="I75" i="8"/>
  <c r="CE75" i="8" s="1"/>
  <c r="CE28" i="8" s="1"/>
  <c r="J75" i="8"/>
  <c r="J28" i="8"/>
  <c r="K75" i="8"/>
  <c r="L75" i="8"/>
  <c r="M75" i="8"/>
  <c r="N75" i="8"/>
  <c r="O75" i="8"/>
  <c r="P75" i="8"/>
  <c r="P76" i="8" s="1"/>
  <c r="Q75" i="8"/>
  <c r="R75" i="8"/>
  <c r="S75" i="8"/>
  <c r="T75" i="8"/>
  <c r="T76" i="8"/>
  <c r="U75" i="8"/>
  <c r="V75" i="8"/>
  <c r="V28" i="8" s="1"/>
  <c r="W75" i="8"/>
  <c r="W76" i="8" s="1"/>
  <c r="AA75" i="8"/>
  <c r="AA28" i="8" s="1"/>
  <c r="AB75" i="8"/>
  <c r="AC28" i="8" s="1"/>
  <c r="AP75" i="8"/>
  <c r="AP28" i="8" s="1"/>
  <c r="BE75" i="8"/>
  <c r="BH75" i="8"/>
  <c r="BI28" i="8"/>
  <c r="BK75" i="8"/>
  <c r="BL75" i="8"/>
  <c r="BL76" i="8"/>
  <c r="BM75" i="8"/>
  <c r="BO75" i="8"/>
  <c r="BP75" i="8"/>
  <c r="CI75" i="8"/>
  <c r="CJ75" i="8"/>
  <c r="CK75" i="8"/>
  <c r="CL75" i="8"/>
  <c r="CM75" i="8"/>
  <c r="CN75" i="8"/>
  <c r="CO75" i="8"/>
  <c r="CP75" i="8"/>
  <c r="CR75" i="8"/>
  <c r="CT75" i="8"/>
  <c r="X76" i="8"/>
  <c r="Y76" i="8"/>
  <c r="Z76" i="8"/>
  <c r="AD76" i="8"/>
  <c r="AE76" i="8"/>
  <c r="AF76" i="8"/>
  <c r="AG76" i="8"/>
  <c r="AH76" i="8"/>
  <c r="AI76" i="8"/>
  <c r="AJ76" i="8"/>
  <c r="AK76" i="8"/>
  <c r="AL76" i="8"/>
  <c r="AM76" i="8"/>
  <c r="AN76" i="8"/>
  <c r="AO76" i="8"/>
  <c r="AQ76" i="8"/>
  <c r="AR76" i="8"/>
  <c r="AS76" i="8"/>
  <c r="AT76" i="8"/>
  <c r="AU76" i="8"/>
  <c r="AV76" i="8"/>
  <c r="AW76" i="8"/>
  <c r="AX76" i="8"/>
  <c r="AY76" i="8"/>
  <c r="AZ76" i="8"/>
  <c r="BB76" i="8"/>
  <c r="BC76" i="8"/>
  <c r="CO77" i="8"/>
  <c r="CS77" i="8"/>
  <c r="BQ79" i="8"/>
  <c r="CT79" i="8"/>
  <c r="BR79" i="8"/>
  <c r="BR32" i="8"/>
  <c r="BR80" i="7" s="1"/>
  <c r="CE79" i="8"/>
  <c r="CE32" i="8" s="1"/>
  <c r="CE121" i="8" s="1"/>
  <c r="CF79" i="8"/>
  <c r="CF32" i="8"/>
  <c r="CG79" i="8"/>
  <c r="CH79" i="8"/>
  <c r="CH85" i="8" s="1"/>
  <c r="CI79" i="8"/>
  <c r="CJ79" i="8"/>
  <c r="CK79" i="8"/>
  <c r="CL79" i="8"/>
  <c r="CM79" i="8"/>
  <c r="CN79" i="8"/>
  <c r="CO79" i="8"/>
  <c r="CP79" i="8"/>
  <c r="CQ79" i="8"/>
  <c r="CR79" i="8"/>
  <c r="CS79" i="8"/>
  <c r="CE80" i="8"/>
  <c r="CE33" i="8" s="1"/>
  <c r="CF80" i="8"/>
  <c r="CF33" i="8" s="1"/>
  <c r="CG80" i="8"/>
  <c r="CH80" i="8"/>
  <c r="CI80" i="8"/>
  <c r="CJ80" i="8"/>
  <c r="CK80" i="8"/>
  <c r="CL80" i="8"/>
  <c r="CM80" i="8"/>
  <c r="CN80" i="8"/>
  <c r="CO80" i="8"/>
  <c r="CP80" i="8"/>
  <c r="CQ80" i="8"/>
  <c r="CR80" i="8"/>
  <c r="CS80" i="8"/>
  <c r="CT80" i="8"/>
  <c r="BX81" i="8"/>
  <c r="BY81" i="8" s="1"/>
  <c r="CV81" i="8" s="1"/>
  <c r="CE81" i="8"/>
  <c r="CE34" i="8" s="1"/>
  <c r="CF81" i="8"/>
  <c r="CG81" i="8"/>
  <c r="CH81" i="8"/>
  <c r="CI81" i="8"/>
  <c r="CJ81" i="8"/>
  <c r="CK81" i="8"/>
  <c r="CL81" i="8"/>
  <c r="CM81" i="8"/>
  <c r="CN81" i="8"/>
  <c r="CO81" i="8"/>
  <c r="CP81" i="8"/>
  <c r="CQ81" i="8"/>
  <c r="CR81" i="8"/>
  <c r="CS81" i="8"/>
  <c r="CT81" i="8"/>
  <c r="CX81" i="8"/>
  <c r="CY81" i="8"/>
  <c r="CZ81" i="8"/>
  <c r="DA81" i="8"/>
  <c r="BX82" i="8"/>
  <c r="BY82" i="8" s="1"/>
  <c r="CV82" i="8" s="1"/>
  <c r="CE82" i="8"/>
  <c r="CE35" i="8"/>
  <c r="CF82" i="8"/>
  <c r="CF35" i="8"/>
  <c r="CG82" i="8"/>
  <c r="CH82" i="8"/>
  <c r="CI82" i="8"/>
  <c r="CJ82" i="8"/>
  <c r="CK82" i="8"/>
  <c r="CL82" i="8"/>
  <c r="CM82" i="8"/>
  <c r="CN82" i="8"/>
  <c r="CO82" i="8"/>
  <c r="CP82" i="8"/>
  <c r="CQ82" i="8"/>
  <c r="CR82" i="8"/>
  <c r="CS82" i="8"/>
  <c r="CT82" i="8"/>
  <c r="CX82" i="8"/>
  <c r="CY82" i="8"/>
  <c r="CZ82" i="8"/>
  <c r="DA82" i="8"/>
  <c r="BI83" i="8"/>
  <c r="CR83" i="8"/>
  <c r="BM83" i="8"/>
  <c r="BR83" i="8"/>
  <c r="BR36" i="8" s="1"/>
  <c r="BS83" i="8"/>
  <c r="BT36" i="8" s="1"/>
  <c r="CU83" i="8"/>
  <c r="BX83" i="8"/>
  <c r="BY83" i="8" s="1"/>
  <c r="CV83" i="8" s="1"/>
  <c r="CE83" i="8"/>
  <c r="CE36" i="8"/>
  <c r="CF83" i="8"/>
  <c r="CF36" i="8"/>
  <c r="CG83" i="8"/>
  <c r="CH83" i="8"/>
  <c r="CI83" i="8"/>
  <c r="CJ83" i="8"/>
  <c r="CK83" i="8"/>
  <c r="CL83" i="8"/>
  <c r="CM83" i="8"/>
  <c r="CN83" i="8"/>
  <c r="CO83" i="8"/>
  <c r="CP83" i="8"/>
  <c r="CQ83" i="8"/>
  <c r="CT83" i="8"/>
  <c r="CX83" i="8"/>
  <c r="CY83" i="8"/>
  <c r="CZ83" i="8"/>
  <c r="DA83" i="8"/>
  <c r="BQ84" i="8"/>
  <c r="BQ37" i="8"/>
  <c r="BR84" i="8"/>
  <c r="BR37" i="8"/>
  <c r="BS84" i="8"/>
  <c r="CU84" i="8"/>
  <c r="BX84" i="8"/>
  <c r="BY84" i="8" s="1"/>
  <c r="CV84" i="8" s="1"/>
  <c r="CE84" i="8"/>
  <c r="CE37" i="8"/>
  <c r="CF84" i="8"/>
  <c r="CF37" i="8"/>
  <c r="CG84" i="8"/>
  <c r="CH84" i="8"/>
  <c r="CI84" i="8"/>
  <c r="CJ84" i="8"/>
  <c r="CK84" i="8"/>
  <c r="CL84" i="8"/>
  <c r="CM84" i="8"/>
  <c r="CN84" i="8"/>
  <c r="CO84" i="8"/>
  <c r="CP84" i="8"/>
  <c r="CQ84" i="8"/>
  <c r="CR84" i="8"/>
  <c r="CS84" i="8"/>
  <c r="CX84" i="8"/>
  <c r="CY84" i="8"/>
  <c r="CZ84" i="8"/>
  <c r="DA84" i="8"/>
  <c r="F85" i="8"/>
  <c r="G85" i="8"/>
  <c r="H85" i="8"/>
  <c r="I85" i="8"/>
  <c r="CE85" i="8"/>
  <c r="CE38" i="8" s="1"/>
  <c r="J85" i="8"/>
  <c r="K85" i="8"/>
  <c r="L85" i="8"/>
  <c r="M85" i="8"/>
  <c r="N85" i="8"/>
  <c r="O85" i="8"/>
  <c r="P85" i="8"/>
  <c r="Q85" i="8"/>
  <c r="R85" i="8"/>
  <c r="S85" i="8"/>
  <c r="T85" i="8"/>
  <c r="U85" i="8"/>
  <c r="V85" i="8"/>
  <c r="W85" i="8"/>
  <c r="X85" i="8"/>
  <c r="Y85" i="8"/>
  <c r="Z85" i="8"/>
  <c r="AA85" i="8"/>
  <c r="AB85" i="8"/>
  <c r="AC85" i="8"/>
  <c r="AD85" i="8"/>
  <c r="AE85" i="8"/>
  <c r="AF85" i="8"/>
  <c r="AG85" i="8"/>
  <c r="AH85" i="8"/>
  <c r="AI85" i="8"/>
  <c r="AJ85" i="8"/>
  <c r="AK85" i="8"/>
  <c r="AL85" i="8"/>
  <c r="AM85" i="8"/>
  <c r="AM98" i="8" s="1"/>
  <c r="AN85" i="8"/>
  <c r="AO85" i="8"/>
  <c r="AP85" i="8"/>
  <c r="AQ85" i="8"/>
  <c r="AR85" i="8"/>
  <c r="AS85" i="8"/>
  <c r="AT85" i="8"/>
  <c r="AU85" i="8"/>
  <c r="AV85" i="8"/>
  <c r="AW85" i="8"/>
  <c r="AX85" i="8"/>
  <c r="AY85" i="8"/>
  <c r="AZ85" i="8"/>
  <c r="BA85" i="8"/>
  <c r="BB85" i="8"/>
  <c r="BC85" i="8"/>
  <c r="BD85" i="8"/>
  <c r="BE85" i="8"/>
  <c r="BF85" i="8"/>
  <c r="BG85" i="8"/>
  <c r="BH85" i="8"/>
  <c r="BJ85" i="8"/>
  <c r="BK85" i="8"/>
  <c r="BL85" i="8"/>
  <c r="BN85" i="8"/>
  <c r="BO85" i="8"/>
  <c r="BP85" i="8"/>
  <c r="CL86" i="8"/>
  <c r="CM86" i="8"/>
  <c r="CN86" i="8"/>
  <c r="CS86" i="8"/>
  <c r="CT86" i="8"/>
  <c r="CU86" i="8"/>
  <c r="BR88" i="8"/>
  <c r="BS88" i="8"/>
  <c r="BT41" i="8" s="1"/>
  <c r="CU88" i="8"/>
  <c r="CE88" i="8"/>
  <c r="CE41" i="8"/>
  <c r="CF88" i="8"/>
  <c r="CG88" i="8"/>
  <c r="CH88" i="8"/>
  <c r="CI88" i="8"/>
  <c r="CJ88" i="8"/>
  <c r="CK88" i="8"/>
  <c r="CL88" i="8"/>
  <c r="CM88" i="8"/>
  <c r="CN88" i="8"/>
  <c r="CO88" i="8"/>
  <c r="CP88" i="8"/>
  <c r="CQ88" i="8"/>
  <c r="CR88" i="8"/>
  <c r="CS88" i="8"/>
  <c r="CT88" i="8"/>
  <c r="CX88" i="8"/>
  <c r="CY88" i="8"/>
  <c r="CZ88" i="8"/>
  <c r="DA88" i="8"/>
  <c r="CU89" i="8"/>
  <c r="BX89" i="8"/>
  <c r="BY89" i="8" s="1"/>
  <c r="CV89" i="8" s="1"/>
  <c r="CE89" i="8"/>
  <c r="CE42" i="8" s="1"/>
  <c r="CF89" i="8"/>
  <c r="CF42" i="8" s="1"/>
  <c r="CG89" i="8"/>
  <c r="CH89" i="8"/>
  <c r="CI89" i="8"/>
  <c r="CI96" i="8" s="1"/>
  <c r="CJ89" i="8"/>
  <c r="CK89" i="8"/>
  <c r="CL89" i="8"/>
  <c r="CM89" i="8"/>
  <c r="CN89" i="8"/>
  <c r="CO89" i="8"/>
  <c r="CP89" i="8"/>
  <c r="CQ89" i="8"/>
  <c r="CQ96" i="8" s="1"/>
  <c r="CR89" i="8"/>
  <c r="CS89" i="8"/>
  <c r="CT89" i="8"/>
  <c r="CX89" i="8"/>
  <c r="CY89" i="8"/>
  <c r="CZ89" i="8"/>
  <c r="DA89" i="8"/>
  <c r="BB90" i="8"/>
  <c r="BB43" i="8" s="1"/>
  <c r="BC43" i="8" s="1"/>
  <c r="BG90" i="8"/>
  <c r="BK90" i="8"/>
  <c r="BK96" i="8" s="1"/>
  <c r="BR90" i="8"/>
  <c r="BR43" i="8" s="1"/>
  <c r="BS90" i="8"/>
  <c r="BT43" i="8" s="1"/>
  <c r="BX90" i="8"/>
  <c r="BY90" i="8" s="1"/>
  <c r="CV90" i="8" s="1"/>
  <c r="CE90" i="8"/>
  <c r="CE43" i="8" s="1"/>
  <c r="CF90" i="8"/>
  <c r="CF43" i="8" s="1"/>
  <c r="CG90" i="8"/>
  <c r="CH90" i="8"/>
  <c r="CI90" i="8"/>
  <c r="CJ90" i="8"/>
  <c r="CK90" i="8"/>
  <c r="CL90" i="8"/>
  <c r="CM90" i="8"/>
  <c r="CN90" i="8"/>
  <c r="CO90" i="8"/>
  <c r="CP90" i="8"/>
  <c r="CQ90" i="8"/>
  <c r="CR90" i="8"/>
  <c r="CS90" i="8"/>
  <c r="CT90" i="8"/>
  <c r="CU90" i="8"/>
  <c r="CX90" i="8"/>
  <c r="CY90" i="8"/>
  <c r="CZ90" i="8"/>
  <c r="DA90" i="8"/>
  <c r="CU91" i="8"/>
  <c r="BX91" i="8"/>
  <c r="BY91" i="8" s="1"/>
  <c r="CV91" i="8" s="1"/>
  <c r="CE91" i="8"/>
  <c r="CE44" i="8" s="1"/>
  <c r="CF91" i="8"/>
  <c r="CF44" i="8" s="1"/>
  <c r="CG91" i="8"/>
  <c r="CH91" i="8"/>
  <c r="CI91" i="8"/>
  <c r="CJ91" i="8"/>
  <c r="CK91" i="8"/>
  <c r="CL91" i="8"/>
  <c r="CM91" i="8"/>
  <c r="CN91" i="8"/>
  <c r="CO91" i="8"/>
  <c r="CP91" i="8"/>
  <c r="CQ91" i="8"/>
  <c r="CR91" i="8"/>
  <c r="CS91" i="8"/>
  <c r="CT91" i="8"/>
  <c r="CX91" i="8"/>
  <c r="CY91" i="8"/>
  <c r="CZ91" i="8"/>
  <c r="DA91" i="8"/>
  <c r="CE92" i="8"/>
  <c r="CE45" i="8" s="1"/>
  <c r="CF92" i="8"/>
  <c r="CF45" i="8" s="1"/>
  <c r="CG92" i="8"/>
  <c r="CH92" i="8"/>
  <c r="CI92" i="8"/>
  <c r="CJ92" i="8"/>
  <c r="CK92" i="8"/>
  <c r="CL92" i="8"/>
  <c r="CM92" i="8"/>
  <c r="CN92" i="8"/>
  <c r="CO92" i="8"/>
  <c r="CP92" i="8"/>
  <c r="CQ92" i="8"/>
  <c r="CR92" i="8"/>
  <c r="CS92" i="8"/>
  <c r="CT92" i="8"/>
  <c r="AZ93" i="8"/>
  <c r="BA93" i="8"/>
  <c r="CU93" i="8"/>
  <c r="BX93" i="8"/>
  <c r="BY93" i="8" s="1"/>
  <c r="CV93" i="8" s="1"/>
  <c r="CE93" i="8"/>
  <c r="CE46" i="8"/>
  <c r="CF93" i="8"/>
  <c r="CF96" i="8" s="1"/>
  <c r="CG93" i="8"/>
  <c r="CH93" i="8"/>
  <c r="CI93" i="8"/>
  <c r="CJ93" i="8"/>
  <c r="CK93" i="8"/>
  <c r="CL93" i="8"/>
  <c r="CM93" i="8"/>
  <c r="CN93" i="8"/>
  <c r="CO93" i="8"/>
  <c r="CQ93" i="8"/>
  <c r="CR93" i="8"/>
  <c r="CS93" i="8"/>
  <c r="CT93" i="8"/>
  <c r="CQ94" i="8"/>
  <c r="CR94" i="8"/>
  <c r="CS94" i="8"/>
  <c r="CT94" i="8"/>
  <c r="AK95" i="8"/>
  <c r="AK96" i="8" s="1"/>
  <c r="AL95" i="8"/>
  <c r="AL48" i="8" s="1"/>
  <c r="AM95" i="8"/>
  <c r="AO95" i="8"/>
  <c r="AP95" i="8"/>
  <c r="AP96" i="8" s="1"/>
  <c r="AR95" i="8"/>
  <c r="AR96" i="8" s="1"/>
  <c r="AR98" i="8" s="1"/>
  <c r="AT95" i="8"/>
  <c r="BJ95" i="8"/>
  <c r="BJ96" i="8" s="1"/>
  <c r="BQ95" i="8"/>
  <c r="BQ96" i="8" s="1"/>
  <c r="CU95" i="8"/>
  <c r="BX95" i="8"/>
  <c r="BY95" i="8" s="1"/>
  <c r="CV95" i="8" s="1"/>
  <c r="CE95" i="8"/>
  <c r="CE48" i="8"/>
  <c r="CF95" i="8"/>
  <c r="CF48" i="8"/>
  <c r="CG95" i="8"/>
  <c r="CH95" i="8"/>
  <c r="CI95" i="8"/>
  <c r="CJ95" i="8"/>
  <c r="CK95" i="8"/>
  <c r="CN95" i="8"/>
  <c r="CO95" i="8"/>
  <c r="CP95" i="8"/>
  <c r="CQ95" i="8"/>
  <c r="CR95" i="8"/>
  <c r="CS95" i="8"/>
  <c r="CX95" i="8"/>
  <c r="CY95" i="8"/>
  <c r="CZ95" i="8"/>
  <c r="DA95" i="8"/>
  <c r="F96" i="8"/>
  <c r="G96" i="8"/>
  <c r="H96" i="8"/>
  <c r="I96" i="8"/>
  <c r="CE96" i="8"/>
  <c r="CE49" i="8" s="1"/>
  <c r="J96" i="8"/>
  <c r="K96" i="8"/>
  <c r="L96" i="8"/>
  <c r="M96" i="8"/>
  <c r="N96" i="8"/>
  <c r="O96" i="8"/>
  <c r="P96" i="8"/>
  <c r="Q96" i="8"/>
  <c r="R96" i="8"/>
  <c r="S96" i="8"/>
  <c r="T96" i="8"/>
  <c r="U96" i="8"/>
  <c r="V96" i="8"/>
  <c r="W96" i="8"/>
  <c r="X96" i="8"/>
  <c r="Y96" i="8"/>
  <c r="Z96" i="8"/>
  <c r="AA96" i="8"/>
  <c r="AB96" i="8"/>
  <c r="AC96" i="8"/>
  <c r="AD96" i="8"/>
  <c r="AE96" i="8"/>
  <c r="AF96" i="8"/>
  <c r="AG96" i="8"/>
  <c r="AH96" i="8"/>
  <c r="AI96" i="8"/>
  <c r="AI98" i="8" s="1"/>
  <c r="AJ96" i="8"/>
  <c r="AN96" i="8"/>
  <c r="AQ96" i="8"/>
  <c r="AS96" i="8"/>
  <c r="AU96" i="8"/>
  <c r="AV96" i="8"/>
  <c r="AW96" i="8"/>
  <c r="AX96" i="8"/>
  <c r="AY96" i="8"/>
  <c r="BC96" i="8"/>
  <c r="BD96" i="8"/>
  <c r="BE96" i="8"/>
  <c r="BF96" i="8"/>
  <c r="BH96" i="8"/>
  <c r="BI96" i="8"/>
  <c r="BL96" i="8"/>
  <c r="BM96" i="8"/>
  <c r="BN96" i="8"/>
  <c r="BO96" i="8"/>
  <c r="BP96" i="8"/>
  <c r="BT96" i="8"/>
  <c r="Q97" i="8"/>
  <c r="Q50" i="8" s="1"/>
  <c r="CU97" i="8"/>
  <c r="CE97" i="8"/>
  <c r="CE50" i="8"/>
  <c r="CF97" i="8"/>
  <c r="CF50" i="8"/>
  <c r="CH97" i="8"/>
  <c r="CI97" i="8"/>
  <c r="CJ97" i="8"/>
  <c r="CK97" i="8"/>
  <c r="CL97" i="8"/>
  <c r="CM97" i="8"/>
  <c r="CN97" i="8"/>
  <c r="CO97" i="8"/>
  <c r="CP97" i="8"/>
  <c r="CQ97" i="8"/>
  <c r="CR97" i="8"/>
  <c r="CS97" i="8"/>
  <c r="CT97" i="8"/>
  <c r="G100" i="8"/>
  <c r="H100" i="8" s="1"/>
  <c r="I100" i="8" s="1"/>
  <c r="CE100" i="8" s="1"/>
  <c r="CE53" i="8" s="1"/>
  <c r="AE100" i="8"/>
  <c r="AF100" i="8"/>
  <c r="AG100" i="8"/>
  <c r="AI100" i="8"/>
  <c r="AJ100" i="8" s="1"/>
  <c r="CE106" i="8"/>
  <c r="CF106" i="8"/>
  <c r="CG106" i="8"/>
  <c r="CH106" i="8"/>
  <c r="CI106" i="8"/>
  <c r="CJ106" i="8"/>
  <c r="CK106" i="8"/>
  <c r="CL106" i="8"/>
  <c r="CE107" i="8"/>
  <c r="CF107" i="8"/>
  <c r="CG107" i="8"/>
  <c r="CH107" i="8"/>
  <c r="CI107" i="8"/>
  <c r="CJ107" i="8"/>
  <c r="CK107" i="8"/>
  <c r="CL107" i="8"/>
  <c r="L115" i="8"/>
  <c r="M115" i="8"/>
  <c r="O115" i="8"/>
  <c r="T115" i="8"/>
  <c r="V115" i="8"/>
  <c r="X115" i="8"/>
  <c r="Y115" i="8"/>
  <c r="Z115" i="8"/>
  <c r="AC115" i="8"/>
  <c r="AG115" i="8"/>
  <c r="AJ115" i="8"/>
  <c r="AK115" i="8"/>
  <c r="AL115" i="8"/>
  <c r="AS115" i="8"/>
  <c r="AT115" i="8"/>
  <c r="AX115" i="8"/>
  <c r="BF115" i="8"/>
  <c r="BH115" i="8"/>
  <c r="BL115" i="8"/>
  <c r="BP115" i="8"/>
  <c r="BT115"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AI116" i="8"/>
  <c r="AJ116" i="8"/>
  <c r="AK116" i="8"/>
  <c r="AL116" i="8"/>
  <c r="AM116" i="8"/>
  <c r="AN116" i="8"/>
  <c r="AP116" i="8"/>
  <c r="AQ116" i="8"/>
  <c r="AR116" i="8"/>
  <c r="AS116" i="8"/>
  <c r="AT116" i="8"/>
  <c r="AU116" i="8"/>
  <c r="AV116" i="8"/>
  <c r="AX116" i="8"/>
  <c r="AY116" i="8"/>
  <c r="AZ116" i="8"/>
  <c r="BB116" i="8"/>
  <c r="BC116" i="8"/>
  <c r="BD116" i="8"/>
  <c r="BF116" i="8"/>
  <c r="BG116" i="8"/>
  <c r="BH116" i="8"/>
  <c r="BJ116" i="8"/>
  <c r="BK116" i="8"/>
  <c r="BL116" i="8"/>
  <c r="BN116" i="8"/>
  <c r="BP116" i="8"/>
  <c r="BR116" i="8"/>
  <c r="BS116" i="8"/>
  <c r="AS117" i="8"/>
  <c r="AT117" i="8"/>
  <c r="AW117" i="8"/>
  <c r="AX117" i="8"/>
  <c r="BD117" i="8"/>
  <c r="BE117" i="8"/>
  <c r="BJ117" i="8"/>
  <c r="BN117" i="8"/>
  <c r="BP117" i="8"/>
  <c r="BT117" i="8"/>
  <c r="BW117" i="8"/>
  <c r="BX117" i="8"/>
  <c r="BY117" i="8"/>
  <c r="CW117" i="8"/>
  <c r="CX117" i="8"/>
  <c r="CY117" i="8"/>
  <c r="CZ117" i="8"/>
  <c r="DA117" i="8"/>
  <c r="AZ119" i="8"/>
  <c r="BV120" i="8"/>
  <c r="BW120" i="8"/>
  <c r="BX120" i="8"/>
  <c r="BY120" i="8"/>
  <c r="CW120" i="8"/>
  <c r="CX120" i="8"/>
  <c r="CY120" i="8"/>
  <c r="CZ120" i="8"/>
  <c r="DA120" i="8"/>
  <c r="O121" i="8"/>
  <c r="S121" i="8"/>
  <c r="T121" i="8"/>
  <c r="X121" i="8"/>
  <c r="Y121" i="8"/>
  <c r="AC121" i="8"/>
  <c r="AF121" i="8"/>
  <c r="AH121" i="8"/>
  <c r="AP121" i="8"/>
  <c r="AT121" i="8"/>
  <c r="BA121" i="8"/>
  <c r="BB121" i="8"/>
  <c r="BE121" i="8"/>
  <c r="BI121" i="8"/>
  <c r="BL121" i="8"/>
  <c r="BP121" i="8"/>
  <c r="L135" i="8"/>
  <c r="O135" i="8"/>
  <c r="T135" i="8"/>
  <c r="X135" i="8"/>
  <c r="Y135" i="8"/>
  <c r="Z135" i="8"/>
  <c r="AG135" i="8"/>
  <c r="AH135" i="8"/>
  <c r="AJ135" i="8"/>
  <c r="AL135" i="8"/>
  <c r="AT135" i="8"/>
  <c r="BB135" i="8"/>
  <c r="BI135" i="8"/>
  <c r="BL135" i="8"/>
  <c r="BT135" i="8"/>
  <c r="B4" i="7"/>
  <c r="CE9" i="7"/>
  <c r="CF9" i="7"/>
  <c r="CG9" i="7"/>
  <c r="CH9" i="7"/>
  <c r="CI9" i="7"/>
  <c r="CJ9" i="7"/>
  <c r="CK9" i="7"/>
  <c r="CL9" i="7"/>
  <c r="CM9" i="7"/>
  <c r="CN9" i="7"/>
  <c r="U13" i="7"/>
  <c r="CE13" i="7"/>
  <c r="CF13" i="7"/>
  <c r="CG13" i="7"/>
  <c r="CI13" i="7"/>
  <c r="CJ13" i="7"/>
  <c r="CK13" i="7"/>
  <c r="CL13" i="7"/>
  <c r="CM13" i="7"/>
  <c r="CN13" i="7"/>
  <c r="CO13" i="7"/>
  <c r="CP13" i="7"/>
  <c r="CQ13" i="7"/>
  <c r="CR13" i="7"/>
  <c r="CS544" i="1" s="1"/>
  <c r="CS13" i="7"/>
  <c r="CT13" i="7"/>
  <c r="V14" i="7"/>
  <c r="V13" i="7" s="1"/>
  <c r="CE14" i="7"/>
  <c r="CF14" i="7"/>
  <c r="CG14" i="7"/>
  <c r="CH14" i="7"/>
  <c r="CI14" i="7"/>
  <c r="CI169" i="7" s="1"/>
  <c r="CI176" i="7" s="1"/>
  <c r="CJ14" i="7"/>
  <c r="CK14" i="7"/>
  <c r="CK169" i="7" s="1"/>
  <c r="CK176" i="7" s="1"/>
  <c r="CL14" i="7"/>
  <c r="CM14" i="7"/>
  <c r="CN544" i="1" s="1"/>
  <c r="CN546" i="1" s="1"/>
  <c r="CN14" i="7"/>
  <c r="CO14" i="7"/>
  <c r="CP544" i="1" s="1"/>
  <c r="CP14" i="7"/>
  <c r="CQ14" i="7"/>
  <c r="CR14" i="7"/>
  <c r="CS14" i="7"/>
  <c r="CS169" i="7" s="1"/>
  <c r="CS176" i="7" s="1"/>
  <c r="CT14" i="7"/>
  <c r="CE15" i="7"/>
  <c r="CF15" i="7"/>
  <c r="CG15" i="7"/>
  <c r="CH15" i="7"/>
  <c r="CI15" i="7"/>
  <c r="CJ15" i="7"/>
  <c r="CK15" i="7"/>
  <c r="CK195" i="7" s="1"/>
  <c r="CL15" i="7"/>
  <c r="CM15" i="7"/>
  <c r="CN15" i="7"/>
  <c r="CO15" i="7"/>
  <c r="CP15" i="7"/>
  <c r="CQ15" i="7"/>
  <c r="CR15" i="7"/>
  <c r="CS15" i="7"/>
  <c r="CT15" i="7"/>
  <c r="Y16" i="7"/>
  <c r="Z16" i="7"/>
  <c r="Z182" i="7"/>
  <c r="AA16" i="7"/>
  <c r="AB16" i="7"/>
  <c r="AB22" i="7" s="1"/>
  <c r="AB33" i="7" s="1"/>
  <c r="AC16" i="7"/>
  <c r="AC22" i="7" s="1"/>
  <c r="AC33" i="7" s="1"/>
  <c r="AD16" i="7"/>
  <c r="AD191" i="7" s="1"/>
  <c r="AE16" i="7"/>
  <c r="AE146" i="7"/>
  <c r="AF16" i="7"/>
  <c r="AG16" i="7"/>
  <c r="AH192" i="7" s="1"/>
  <c r="AH16" i="7"/>
  <c r="AI16" i="7"/>
  <c r="AI204" i="7" s="1"/>
  <c r="AJ16" i="7"/>
  <c r="AJ22" i="7" s="1"/>
  <c r="AJ33" i="7" s="1"/>
  <c r="AK16" i="7"/>
  <c r="AK22" i="7" s="1"/>
  <c r="AK33" i="7" s="1"/>
  <c r="AL16" i="7"/>
  <c r="AM16" i="7"/>
  <c r="AM123" i="7" s="1"/>
  <c r="AN16" i="7"/>
  <c r="AO16" i="7"/>
  <c r="AO191" i="7" s="1"/>
  <c r="AP16" i="7"/>
  <c r="AQ16" i="7"/>
  <c r="AR16" i="7"/>
  <c r="AS16" i="7"/>
  <c r="AT16" i="7"/>
  <c r="AU16" i="7"/>
  <c r="AV16" i="7"/>
  <c r="AX16" i="7"/>
  <c r="AX125" i="7" s="1"/>
  <c r="AY16" i="7"/>
  <c r="AZ16" i="7"/>
  <c r="BA16" i="7"/>
  <c r="BA123" i="7" s="1"/>
  <c r="BC16" i="7"/>
  <c r="BD16" i="7"/>
  <c r="BD204" i="7" s="1"/>
  <c r="BE16" i="7"/>
  <c r="BI16" i="7"/>
  <c r="BJ16" i="7"/>
  <c r="BK16" i="7"/>
  <c r="BL16" i="7"/>
  <c r="BM16" i="7"/>
  <c r="BN16" i="7"/>
  <c r="BO16" i="7"/>
  <c r="BO123" i="7" s="1"/>
  <c r="BP16" i="7"/>
  <c r="BQ16" i="7"/>
  <c r="BU191" i="7" s="1"/>
  <c r="BR16" i="7"/>
  <c r="BS16" i="7"/>
  <c r="BS182" i="7" s="1"/>
  <c r="CE16" i="7"/>
  <c r="CF16" i="7"/>
  <c r="CG16" i="7"/>
  <c r="CH16" i="7"/>
  <c r="CO16" i="7"/>
  <c r="CE17" i="7"/>
  <c r="CF17" i="7"/>
  <c r="CG17" i="7"/>
  <c r="CH17" i="7"/>
  <c r="CI17" i="7"/>
  <c r="CJ17" i="7"/>
  <c r="CK17" i="7"/>
  <c r="CL17" i="7"/>
  <c r="CM17" i="7"/>
  <c r="CN17" i="7"/>
  <c r="CO17" i="7"/>
  <c r="CP17" i="7"/>
  <c r="CQ17" i="7"/>
  <c r="CR17" i="7"/>
  <c r="CS17" i="7"/>
  <c r="CT17" i="7"/>
  <c r="CE18" i="7"/>
  <c r="CF18" i="7"/>
  <c r="CG18" i="7"/>
  <c r="CH18" i="7"/>
  <c r="CI18" i="7"/>
  <c r="CJ18" i="7"/>
  <c r="CK18" i="7"/>
  <c r="CL18" i="7"/>
  <c r="CM18" i="7"/>
  <c r="CN18" i="7"/>
  <c r="CO18" i="7"/>
  <c r="CP18" i="7"/>
  <c r="CQ18" i="7"/>
  <c r="CR18" i="7"/>
  <c r="CS18" i="7"/>
  <c r="CT18" i="7"/>
  <c r="CE19" i="7"/>
  <c r="CF19" i="7"/>
  <c r="CG19" i="7"/>
  <c r="CH19" i="7"/>
  <c r="CI19" i="7"/>
  <c r="CJ19" i="7"/>
  <c r="CK19" i="7"/>
  <c r="CL19" i="7"/>
  <c r="CM19" i="7"/>
  <c r="CN19" i="7"/>
  <c r="CO19" i="7"/>
  <c r="CP19" i="7"/>
  <c r="CQ19" i="7"/>
  <c r="CR19" i="7"/>
  <c r="CS19" i="7"/>
  <c r="CT19" i="7"/>
  <c r="CE20" i="7"/>
  <c r="CF20" i="7"/>
  <c r="CF128" i="7" s="1"/>
  <c r="CG20" i="7"/>
  <c r="CG128" i="7" s="1"/>
  <c r="CH20" i="7"/>
  <c r="CH128" i="7" s="1"/>
  <c r="CI20" i="7"/>
  <c r="CJ20" i="7"/>
  <c r="CK20" i="7"/>
  <c r="CK128" i="7" s="1"/>
  <c r="CL20" i="7"/>
  <c r="CM20" i="7"/>
  <c r="CN20" i="7"/>
  <c r="CO20" i="7"/>
  <c r="CP20" i="7"/>
  <c r="CQ20" i="7"/>
  <c r="CR20" i="7"/>
  <c r="CS20" i="7"/>
  <c r="CS128" i="7" s="1"/>
  <c r="CT20" i="7"/>
  <c r="CT128" i="7" s="1"/>
  <c r="CE21" i="7"/>
  <c r="CF21" i="7"/>
  <c r="CG21" i="7"/>
  <c r="CH21" i="7"/>
  <c r="CI21" i="7"/>
  <c r="CJ21" i="7"/>
  <c r="CK21" i="7"/>
  <c r="CL21" i="7"/>
  <c r="CM21" i="7"/>
  <c r="CN21" i="7"/>
  <c r="CO21" i="7"/>
  <c r="CP21" i="7"/>
  <c r="CQ21" i="7"/>
  <c r="CR21" i="7"/>
  <c r="CS21" i="7"/>
  <c r="CT21" i="7"/>
  <c r="F22" i="7"/>
  <c r="F33" i="7" s="1"/>
  <c r="G22" i="7"/>
  <c r="G33" i="7" s="1"/>
  <c r="H22" i="7"/>
  <c r="H33" i="7" s="1"/>
  <c r="I22" i="7"/>
  <c r="I33" i="7" s="1"/>
  <c r="J22" i="7"/>
  <c r="J33" i="7" s="1"/>
  <c r="K22" i="7"/>
  <c r="K33" i="7" s="1"/>
  <c r="L22" i="7"/>
  <c r="L33" i="7" s="1"/>
  <c r="M22" i="7"/>
  <c r="M33" i="7" s="1"/>
  <c r="N22" i="7"/>
  <c r="N33" i="7" s="1"/>
  <c r="O22" i="7"/>
  <c r="O33" i="7" s="1"/>
  <c r="P22" i="7"/>
  <c r="P33" i="7" s="1"/>
  <c r="Q22" i="7"/>
  <c r="Q33" i="7" s="1"/>
  <c r="R22" i="7"/>
  <c r="R33" i="7" s="1"/>
  <c r="S22" i="7"/>
  <c r="S33" i="7" s="1"/>
  <c r="T22" i="7"/>
  <c r="T33" i="7" s="1"/>
  <c r="X22" i="7"/>
  <c r="X33" i="7" s="1"/>
  <c r="Z22" i="7"/>
  <c r="Z33" i="7" s="1"/>
  <c r="AW22" i="7"/>
  <c r="BB22" i="7"/>
  <c r="BF22" i="7"/>
  <c r="BF33" i="7" s="1"/>
  <c r="BG22" i="7"/>
  <c r="BH22" i="7"/>
  <c r="CE23" i="7"/>
  <c r="CF23" i="7"/>
  <c r="CG23" i="7"/>
  <c r="CH23" i="7"/>
  <c r="CI23" i="7"/>
  <c r="CJ23" i="7"/>
  <c r="CK23" i="7"/>
  <c r="CL23" i="7"/>
  <c r="CM23" i="7"/>
  <c r="CN23" i="7"/>
  <c r="CS23" i="7"/>
  <c r="CT23" i="7"/>
  <c r="CU23" i="7"/>
  <c r="F24" i="7"/>
  <c r="G24" i="7"/>
  <c r="H24" i="7"/>
  <c r="I24" i="7"/>
  <c r="CE24" i="7" s="1"/>
  <c r="J24" i="7"/>
  <c r="K24" i="7"/>
  <c r="L24" i="7"/>
  <c r="M24" i="7"/>
  <c r="N24" i="7"/>
  <c r="N83" i="7" s="1"/>
  <c r="O24" i="7"/>
  <c r="O83" i="7" s="1"/>
  <c r="P24" i="7"/>
  <c r="P83" i="7" s="1"/>
  <c r="Q24" i="7"/>
  <c r="R24" i="7"/>
  <c r="R83" i="7" s="1"/>
  <c r="S24" i="7"/>
  <c r="S83" i="7" s="1"/>
  <c r="T79" i="7" s="1"/>
  <c r="T24" i="7"/>
  <c r="T83" i="7" s="1"/>
  <c r="U24" i="7"/>
  <c r="CH24" i="7" s="1"/>
  <c r="V24" i="7"/>
  <c r="V83" i="7" s="1"/>
  <c r="W24" i="7"/>
  <c r="X24" i="7"/>
  <c r="X83" i="7" s="1"/>
  <c r="Y79" i="7" s="1"/>
  <c r="Y24" i="7"/>
  <c r="Y107" i="7" s="1"/>
  <c r="Z107" i="7" s="1"/>
  <c r="AA107" i="7" s="1"/>
  <c r="AB107" i="7" s="1"/>
  <c r="Z24" i="7"/>
  <c r="Z83" i="7" s="1"/>
  <c r="AA24" i="7"/>
  <c r="AA83" i="7" s="1"/>
  <c r="AB79" i="7" s="1"/>
  <c r="AB24" i="7"/>
  <c r="AB83" i="7" s="1"/>
  <c r="AC79" i="7" s="1"/>
  <c r="AS24" i="7"/>
  <c r="AS110" i="7" s="1"/>
  <c r="AT110" i="7" s="1"/>
  <c r="AU110" i="7" s="1"/>
  <c r="AV110" i="7" s="1"/>
  <c r="AW24" i="7"/>
  <c r="AW107" i="7" s="1"/>
  <c r="AX107" i="7" s="1"/>
  <c r="AY107" i="7" s="1"/>
  <c r="AZ107" i="7" s="1"/>
  <c r="CE25" i="7"/>
  <c r="CF25" i="7"/>
  <c r="CG25" i="7"/>
  <c r="CH25" i="7"/>
  <c r="CI25" i="7"/>
  <c r="CJ25" i="7"/>
  <c r="CK25" i="7"/>
  <c r="CL25" i="7"/>
  <c r="CM25" i="7"/>
  <c r="CN25" i="7"/>
  <c r="CO25" i="7"/>
  <c r="CP25" i="7"/>
  <c r="CQ25" i="7"/>
  <c r="CR25" i="7"/>
  <c r="CS25" i="7"/>
  <c r="CT25" i="7"/>
  <c r="AC26" i="7"/>
  <c r="AG26" i="7"/>
  <c r="AK26" i="7"/>
  <c r="AO26" i="7"/>
  <c r="BS26" i="7"/>
  <c r="CE26" i="7"/>
  <c r="CF26" i="7"/>
  <c r="CG26" i="7"/>
  <c r="CH26" i="7"/>
  <c r="CI26" i="7"/>
  <c r="CN26" i="7"/>
  <c r="CO26" i="7"/>
  <c r="CP26" i="7"/>
  <c r="CQ26" i="7"/>
  <c r="CR26" i="7"/>
  <c r="CS26" i="7"/>
  <c r="CT26" i="7"/>
  <c r="BE27" i="7"/>
  <c r="CE27" i="7"/>
  <c r="CF27" i="7"/>
  <c r="CG27" i="7"/>
  <c r="CH27" i="7"/>
  <c r="CI27" i="7"/>
  <c r="CJ27" i="7"/>
  <c r="CK27" i="7"/>
  <c r="CL27" i="7"/>
  <c r="CM27" i="7"/>
  <c r="CN27" i="7"/>
  <c r="CO27" i="7"/>
  <c r="CP27" i="7"/>
  <c r="CR27" i="7"/>
  <c r="CS27" i="7"/>
  <c r="CT27" i="7"/>
  <c r="BA28" i="7"/>
  <c r="BA24" i="7"/>
  <c r="BE28" i="7"/>
  <c r="BI28" i="7"/>
  <c r="BM28" i="7"/>
  <c r="BM24" i="7"/>
  <c r="BM109" i="7" s="1"/>
  <c r="BN109" i="7" s="1"/>
  <c r="BQ28" i="7"/>
  <c r="CT28" i="7"/>
  <c r="BR28" i="7"/>
  <c r="BR24" i="7"/>
  <c r="BS28" i="7"/>
  <c r="CE28" i="7"/>
  <c r="CF28" i="7"/>
  <c r="CG28" i="7"/>
  <c r="CH28" i="7"/>
  <c r="CI28" i="7"/>
  <c r="CJ28" i="7"/>
  <c r="CK28" i="7"/>
  <c r="CL28" i="7"/>
  <c r="CM28" i="7"/>
  <c r="CN28" i="7"/>
  <c r="CO28" i="7"/>
  <c r="CE29" i="7"/>
  <c r="CF29" i="7"/>
  <c r="CF91" i="7" s="1"/>
  <c r="CG88" i="7" s="1"/>
  <c r="CG29" i="7"/>
  <c r="CG91" i="7" s="1"/>
  <c r="CH88" i="7" s="1"/>
  <c r="CH29" i="7"/>
  <c r="CH91" i="7" s="1"/>
  <c r="CI88" i="7" s="1"/>
  <c r="CI29" i="7"/>
  <c r="CI91" i="7" s="1"/>
  <c r="CJ88" i="7" s="1"/>
  <c r="CJ90" i="7" s="1"/>
  <c r="CJ92" i="7" s="1"/>
  <c r="CJ29" i="7"/>
  <c r="CJ91" i="7" s="1"/>
  <c r="CK29" i="7"/>
  <c r="CK91" i="7" s="1"/>
  <c r="CL88" i="7" s="1"/>
  <c r="CL29" i="7"/>
  <c r="CM29" i="7"/>
  <c r="CM91" i="7" s="1"/>
  <c r="CN88" i="7" s="1"/>
  <c r="CN29" i="7"/>
  <c r="CN91" i="7" s="1"/>
  <c r="CO88" i="7" s="1"/>
  <c r="CO29" i="7"/>
  <c r="CO91" i="7" s="1"/>
  <c r="CP88" i="7" s="1"/>
  <c r="CP29" i="7"/>
  <c r="CP91" i="7" s="1"/>
  <c r="CQ88" i="7" s="1"/>
  <c r="CQ29" i="7"/>
  <c r="CQ91" i="7" s="1"/>
  <c r="CR88" i="7" s="1"/>
  <c r="CR29" i="7"/>
  <c r="CR91" i="7" s="1"/>
  <c r="CS88" i="7" s="1"/>
  <c r="CS29" i="7"/>
  <c r="CS91" i="7" s="1"/>
  <c r="CT88" i="7" s="1"/>
  <c r="CT29" i="7"/>
  <c r="CT91" i="7" s="1"/>
  <c r="CU88" i="7" s="1"/>
  <c r="CE30" i="7"/>
  <c r="CJ30" i="7"/>
  <c r="CO30" i="7"/>
  <c r="CP30" i="7"/>
  <c r="CQ30" i="7"/>
  <c r="CR30" i="7"/>
  <c r="CS30" i="7"/>
  <c r="CT30" i="7"/>
  <c r="AK31" i="7"/>
  <c r="CL31" i="7" s="1"/>
  <c r="AL31" i="7"/>
  <c r="AM31" i="7"/>
  <c r="AN31" i="7"/>
  <c r="AO31" i="7"/>
  <c r="AP31" i="7"/>
  <c r="AQ31" i="7"/>
  <c r="AR31" i="7"/>
  <c r="AS31" i="7"/>
  <c r="CN31" i="7"/>
  <c r="AT31" i="7"/>
  <c r="AU31" i="7"/>
  <c r="AV31" i="7"/>
  <c r="AW31" i="7"/>
  <c r="AX31" i="7"/>
  <c r="AZ31" i="7"/>
  <c r="BQ31" i="7"/>
  <c r="BR31" i="7"/>
  <c r="BX31" i="7"/>
  <c r="BY31" i="7" s="1"/>
  <c r="CE31" i="7"/>
  <c r="CF31" i="7"/>
  <c r="CG31" i="7"/>
  <c r="CH31" i="7"/>
  <c r="CI31" i="7"/>
  <c r="CJ31" i="7"/>
  <c r="CK31" i="7"/>
  <c r="CP31" i="7"/>
  <c r="CQ31" i="7"/>
  <c r="CR31" i="7"/>
  <c r="CS31" i="7"/>
  <c r="AY32" i="7"/>
  <c r="BA32" i="7"/>
  <c r="CP32" i="7" s="1"/>
  <c r="BB32" i="7"/>
  <c r="BC32" i="7"/>
  <c r="BD32" i="7"/>
  <c r="BE32" i="7"/>
  <c r="CQ32" i="7" s="1"/>
  <c r="BF32" i="7"/>
  <c r="BG32" i="7"/>
  <c r="BH32" i="7"/>
  <c r="BI32" i="7"/>
  <c r="BJ32" i="7"/>
  <c r="BK32" i="7"/>
  <c r="BL32" i="7"/>
  <c r="BM32" i="7"/>
  <c r="CS32" i="7" s="1"/>
  <c r="BN32" i="7"/>
  <c r="BO32" i="7"/>
  <c r="BP32" i="7"/>
  <c r="BQ32" i="7"/>
  <c r="CT32" i="7"/>
  <c r="BR32" i="7"/>
  <c r="BS32" i="7"/>
  <c r="BT32" i="7"/>
  <c r="CE32" i="7"/>
  <c r="CF32" i="7"/>
  <c r="CG32" i="7"/>
  <c r="CH32" i="7"/>
  <c r="CI32" i="7"/>
  <c r="CJ32" i="7"/>
  <c r="CK32" i="7"/>
  <c r="CL32" i="7"/>
  <c r="CM32" i="7"/>
  <c r="CN32" i="7"/>
  <c r="CO32" i="7"/>
  <c r="CE34" i="7"/>
  <c r="CF34" i="7"/>
  <c r="CG34" i="7"/>
  <c r="CH34" i="7"/>
  <c r="CI34" i="7"/>
  <c r="CJ34" i="7"/>
  <c r="CK34" i="7"/>
  <c r="CL34" i="7"/>
  <c r="CM34" i="7"/>
  <c r="CN34" i="7"/>
  <c r="CS34" i="7"/>
  <c r="CT34" i="7"/>
  <c r="CU34" i="7"/>
  <c r="BO37" i="7"/>
  <c r="BQ37" i="7"/>
  <c r="BR37" i="7"/>
  <c r="BR205" i="7" s="1"/>
  <c r="BS37" i="7"/>
  <c r="BT37" i="7"/>
  <c r="CE37" i="7"/>
  <c r="CF37" i="7"/>
  <c r="CG37" i="7"/>
  <c r="CH37" i="7"/>
  <c r="CI37" i="7"/>
  <c r="CJ37" i="7"/>
  <c r="CK37" i="7"/>
  <c r="CL37" i="7"/>
  <c r="CM37" i="7"/>
  <c r="CN37" i="7"/>
  <c r="CO37" i="7"/>
  <c r="CP37" i="7"/>
  <c r="CP184" i="7" s="1"/>
  <c r="CQ37" i="7"/>
  <c r="CR37" i="7"/>
  <c r="CS37" i="7"/>
  <c r="BK38" i="7"/>
  <c r="BK184" i="7" s="1"/>
  <c r="BT38" i="7"/>
  <c r="CE38" i="7"/>
  <c r="CF38" i="7"/>
  <c r="CG38" i="7"/>
  <c r="CH38" i="7"/>
  <c r="CI38" i="7"/>
  <c r="CJ38" i="7"/>
  <c r="CK38" i="7"/>
  <c r="CK183" i="7" s="1"/>
  <c r="CL38" i="7"/>
  <c r="CM38" i="7"/>
  <c r="CN38" i="7"/>
  <c r="CO38" i="7"/>
  <c r="CO205" i="7" s="1"/>
  <c r="CP38" i="7"/>
  <c r="CQ38" i="7"/>
  <c r="CR38" i="7"/>
  <c r="CS38" i="7"/>
  <c r="CT38" i="7"/>
  <c r="BE39" i="7"/>
  <c r="BE184" i="7" s="1"/>
  <c r="BF39" i="7"/>
  <c r="BG39" i="7"/>
  <c r="BH39" i="7"/>
  <c r="BI39" i="7"/>
  <c r="BJ39" i="7"/>
  <c r="BK39" i="7"/>
  <c r="BL39" i="7"/>
  <c r="BL43" i="7"/>
  <c r="BM39" i="7"/>
  <c r="BN39" i="7"/>
  <c r="BN43" i="7"/>
  <c r="BO39" i="7"/>
  <c r="BP39" i="7"/>
  <c r="BP43" i="7" s="1"/>
  <c r="BQ39" i="7"/>
  <c r="BR39" i="7"/>
  <c r="BS39" i="7"/>
  <c r="BT39" i="7"/>
  <c r="CE39" i="7"/>
  <c r="CF39" i="7"/>
  <c r="CG39" i="7"/>
  <c r="CH39" i="7"/>
  <c r="CI39" i="7"/>
  <c r="CJ39" i="7"/>
  <c r="CK39" i="7"/>
  <c r="CL39" i="7"/>
  <c r="CM39" i="7"/>
  <c r="CN39" i="7"/>
  <c r="CO39" i="7"/>
  <c r="CP39" i="7"/>
  <c r="CE40" i="7"/>
  <c r="CF40" i="7"/>
  <c r="CG40" i="7"/>
  <c r="CH40" i="7"/>
  <c r="CI40" i="7"/>
  <c r="CJ40" i="7"/>
  <c r="CK40" i="7"/>
  <c r="CL40" i="7"/>
  <c r="CM40" i="7"/>
  <c r="CN40" i="7"/>
  <c r="CO40" i="7"/>
  <c r="CP40" i="7"/>
  <c r="CQ40" i="7"/>
  <c r="CR40" i="7"/>
  <c r="CS40" i="7"/>
  <c r="CT40" i="7"/>
  <c r="BX41" i="7"/>
  <c r="BY41" i="7" s="1"/>
  <c r="CE41" i="7"/>
  <c r="CF41" i="7"/>
  <c r="CG41" i="7"/>
  <c r="CH41" i="7"/>
  <c r="CI41" i="7"/>
  <c r="CJ41" i="7"/>
  <c r="CK41" i="7"/>
  <c r="CL41" i="7"/>
  <c r="CM41" i="7"/>
  <c r="CN41" i="7"/>
  <c r="CO41" i="7"/>
  <c r="CP41" i="7"/>
  <c r="CQ41" i="7"/>
  <c r="CR41" i="7"/>
  <c r="CS41" i="7"/>
  <c r="CT41" i="7"/>
  <c r="BQ42" i="7"/>
  <c r="CT42" i="7"/>
  <c r="BX42" i="7"/>
  <c r="CE42" i="7"/>
  <c r="CF42" i="7"/>
  <c r="CG42" i="7"/>
  <c r="CH42" i="7"/>
  <c r="CI42" i="7"/>
  <c r="CJ42" i="7"/>
  <c r="CK42" i="7"/>
  <c r="CL42" i="7"/>
  <c r="CM42" i="7"/>
  <c r="CN42" i="7"/>
  <c r="CO42" i="7"/>
  <c r="CP42" i="7"/>
  <c r="CQ42" i="7"/>
  <c r="CR42" i="7"/>
  <c r="CS42" i="7"/>
  <c r="CU42" i="7"/>
  <c r="F43" i="7"/>
  <c r="G43" i="7"/>
  <c r="H43" i="7"/>
  <c r="I43" i="7"/>
  <c r="J43" i="7"/>
  <c r="K43" i="7"/>
  <c r="L43" i="7"/>
  <c r="M43" i="7"/>
  <c r="N43" i="7"/>
  <c r="O43" i="7"/>
  <c r="P43" i="7"/>
  <c r="Q43" i="7"/>
  <c r="R43" i="7"/>
  <c r="S43" i="7"/>
  <c r="T43" i="7"/>
  <c r="U43" i="7"/>
  <c r="V43" i="7"/>
  <c r="W43" i="7"/>
  <c r="X43" i="7"/>
  <c r="Y43" i="7"/>
  <c r="Z43" i="7"/>
  <c r="AA43" i="7"/>
  <c r="AB43" i="7"/>
  <c r="AC43" i="7"/>
  <c r="AD43" i="7"/>
  <c r="AE43" i="7"/>
  <c r="AF43" i="7"/>
  <c r="AG43" i="7"/>
  <c r="AH43" i="7"/>
  <c r="AI43" i="7"/>
  <c r="AJ43" i="7"/>
  <c r="AK43" i="7"/>
  <c r="AL43" i="7"/>
  <c r="AM43" i="7"/>
  <c r="AN43" i="7"/>
  <c r="AO43" i="7"/>
  <c r="AP43" i="7"/>
  <c r="AQ43" i="7"/>
  <c r="AR43" i="7"/>
  <c r="AS43" i="7"/>
  <c r="AT43" i="7"/>
  <c r="AU43" i="7"/>
  <c r="AV43" i="7"/>
  <c r="AW43" i="7"/>
  <c r="AX43" i="7"/>
  <c r="AY43" i="7"/>
  <c r="AZ43" i="7"/>
  <c r="BA43" i="7"/>
  <c r="BB43" i="7"/>
  <c r="BC43" i="7"/>
  <c r="BD43" i="7"/>
  <c r="CE44" i="7"/>
  <c r="CF44" i="7"/>
  <c r="CG44" i="7"/>
  <c r="CH44" i="7"/>
  <c r="CI44" i="7"/>
  <c r="CJ44" i="7"/>
  <c r="CK44" i="7"/>
  <c r="CL44" i="7"/>
  <c r="CM44" i="7"/>
  <c r="CN44" i="7"/>
  <c r="CS44" i="7"/>
  <c r="CT44" i="7"/>
  <c r="CU44" i="7"/>
  <c r="CE46" i="7"/>
  <c r="CF46" i="7"/>
  <c r="CG46" i="7"/>
  <c r="CH46" i="7"/>
  <c r="CI46" i="7"/>
  <c r="CJ46" i="7"/>
  <c r="CK46" i="7"/>
  <c r="CL46" i="7"/>
  <c r="CM46" i="7"/>
  <c r="CN46" i="7"/>
  <c r="CO46" i="7"/>
  <c r="CP46" i="7"/>
  <c r="CQ46" i="7"/>
  <c r="CR46" i="7"/>
  <c r="CS46" i="7"/>
  <c r="CT46" i="7"/>
  <c r="CE47" i="7"/>
  <c r="CF47" i="7"/>
  <c r="CG47" i="7"/>
  <c r="CH47" i="7"/>
  <c r="CI47" i="7"/>
  <c r="CJ47" i="7"/>
  <c r="CK47" i="7"/>
  <c r="CL47" i="7"/>
  <c r="CM47" i="7"/>
  <c r="CN47" i="7"/>
  <c r="CO47" i="7"/>
  <c r="CP47" i="7"/>
  <c r="CQ47" i="7"/>
  <c r="CR47" i="7"/>
  <c r="CS47" i="7"/>
  <c r="CT47" i="7"/>
  <c r="CE48" i="7"/>
  <c r="CF48" i="7"/>
  <c r="CG48" i="7"/>
  <c r="CH48" i="7"/>
  <c r="CI48" i="7"/>
  <c r="CJ48" i="7"/>
  <c r="CK48" i="7"/>
  <c r="CL48" i="7"/>
  <c r="CM48" i="7"/>
  <c r="CN48" i="7"/>
  <c r="CO48" i="7"/>
  <c r="CP48" i="7"/>
  <c r="F49" i="7"/>
  <c r="G49" i="7"/>
  <c r="H49" i="7"/>
  <c r="I49" i="7"/>
  <c r="J49" i="7"/>
  <c r="K49" i="7"/>
  <c r="L49" i="7"/>
  <c r="L51" i="7" s="1"/>
  <c r="M49" i="7"/>
  <c r="N49" i="7"/>
  <c r="O49" i="7"/>
  <c r="P49" i="7"/>
  <c r="Q49" i="7"/>
  <c r="R49" i="7"/>
  <c r="S49" i="7"/>
  <c r="T49" i="7"/>
  <c r="U49" i="7"/>
  <c r="V49" i="7"/>
  <c r="W49" i="7"/>
  <c r="X49" i="7"/>
  <c r="Y49" i="7"/>
  <c r="Z49" i="7"/>
  <c r="AA49" i="7"/>
  <c r="AB49" i="7"/>
  <c r="AC49" i="7"/>
  <c r="AD49" i="7"/>
  <c r="AE49" i="7"/>
  <c r="AF49" i="7"/>
  <c r="AF51" i="7" s="1"/>
  <c r="AG49" i="7"/>
  <c r="AH49" i="7"/>
  <c r="AI49" i="7"/>
  <c r="AJ49" i="7"/>
  <c r="AJ51" i="7" s="1"/>
  <c r="AK49" i="7"/>
  <c r="AL49" i="7"/>
  <c r="AM49" i="7"/>
  <c r="AN49" i="7"/>
  <c r="AO49" i="7"/>
  <c r="AP49" i="7"/>
  <c r="AQ49" i="7"/>
  <c r="AR49" i="7"/>
  <c r="AS49" i="7"/>
  <c r="AT49" i="7"/>
  <c r="AU49" i="7"/>
  <c r="AV49" i="7"/>
  <c r="AW49" i="7"/>
  <c r="AX49" i="7"/>
  <c r="AY49" i="7"/>
  <c r="AZ49" i="7"/>
  <c r="BA49" i="7"/>
  <c r="BB49" i="7"/>
  <c r="BC49" i="7"/>
  <c r="BD49" i="7"/>
  <c r="BE49" i="7"/>
  <c r="BF49" i="7"/>
  <c r="BG49" i="7"/>
  <c r="BH49" i="7"/>
  <c r="BI49" i="7"/>
  <c r="BJ49" i="7"/>
  <c r="BK49" i="7"/>
  <c r="BL49" i="7"/>
  <c r="BM49" i="7"/>
  <c r="BN49" i="7"/>
  <c r="BN51" i="7" s="1"/>
  <c r="BO49" i="7"/>
  <c r="BP49" i="7"/>
  <c r="BQ49" i="7"/>
  <c r="BR49" i="7"/>
  <c r="BS49" i="7"/>
  <c r="BT49" i="7"/>
  <c r="CS50" i="7"/>
  <c r="CT50" i="7"/>
  <c r="CU50" i="7"/>
  <c r="CE52" i="7"/>
  <c r="CF52" i="7"/>
  <c r="CG52" i="7"/>
  <c r="CH52" i="7"/>
  <c r="CI52" i="7"/>
  <c r="CJ52" i="7"/>
  <c r="CK52" i="7"/>
  <c r="CL52" i="7"/>
  <c r="CM52" i="7"/>
  <c r="CN52" i="7"/>
  <c r="CS52" i="7"/>
  <c r="CT52" i="7"/>
  <c r="CU52" i="7"/>
  <c r="CE54" i="7"/>
  <c r="CF54" i="7"/>
  <c r="CG54" i="7"/>
  <c r="CH54" i="7"/>
  <c r="CI54" i="7"/>
  <c r="CJ54" i="7"/>
  <c r="CK54" i="7"/>
  <c r="CL54" i="7"/>
  <c r="CM54" i="7"/>
  <c r="CN54" i="7"/>
  <c r="CO54" i="7"/>
  <c r="CP54" i="7"/>
  <c r="CQ54" i="7"/>
  <c r="CR54" i="7"/>
  <c r="CS54" i="7"/>
  <c r="CT54" i="7"/>
  <c r="CE55" i="7"/>
  <c r="CF55" i="7"/>
  <c r="CG55" i="7"/>
  <c r="CH55" i="7"/>
  <c r="CI55" i="7"/>
  <c r="CJ55" i="7"/>
  <c r="CK55" i="7"/>
  <c r="CL55" i="7"/>
  <c r="CM55" i="7"/>
  <c r="CN55" i="7"/>
  <c r="CO55" i="7"/>
  <c r="CP55" i="7"/>
  <c r="CQ55" i="7"/>
  <c r="CR55" i="7"/>
  <c r="CS55" i="7"/>
  <c r="CT55" i="7"/>
  <c r="CE56" i="7"/>
  <c r="CF56" i="7"/>
  <c r="CG56" i="7"/>
  <c r="CH56" i="7"/>
  <c r="CI56" i="7"/>
  <c r="CJ56" i="7"/>
  <c r="CJ68" i="7" s="1"/>
  <c r="CK56" i="7"/>
  <c r="CL56" i="7"/>
  <c r="CM56" i="7"/>
  <c r="CN56" i="7"/>
  <c r="CO56" i="7"/>
  <c r="CP56" i="7"/>
  <c r="CQ56" i="7"/>
  <c r="CR56" i="7"/>
  <c r="CS56" i="7"/>
  <c r="CT56" i="7"/>
  <c r="BE57" i="7"/>
  <c r="BI57" i="7"/>
  <c r="CR57" i="7" s="1"/>
  <c r="BM57" i="7"/>
  <c r="BN68" i="7" s="1"/>
  <c r="CE57" i="7"/>
  <c r="CF57" i="7"/>
  <c r="CG57" i="7"/>
  <c r="CH57" i="7"/>
  <c r="CI57" i="7"/>
  <c r="CJ57" i="7"/>
  <c r="CK57" i="7"/>
  <c r="CL57" i="7"/>
  <c r="CM57" i="7"/>
  <c r="CN57" i="7"/>
  <c r="CO57" i="7"/>
  <c r="CP68" i="7" s="1"/>
  <c r="CP57" i="7"/>
  <c r="CT57" i="7"/>
  <c r="CE58" i="7"/>
  <c r="CF58" i="7"/>
  <c r="CG58" i="7"/>
  <c r="CH58" i="7"/>
  <c r="CI58" i="7"/>
  <c r="CJ58" i="7"/>
  <c r="CK58" i="7"/>
  <c r="CL58" i="7"/>
  <c r="CM58" i="7"/>
  <c r="CN58" i="7"/>
  <c r="CO58" i="7"/>
  <c r="CP58" i="7"/>
  <c r="CQ58" i="7"/>
  <c r="CR58" i="7"/>
  <c r="CS58" i="7"/>
  <c r="CT58" i="7"/>
  <c r="CE59" i="7"/>
  <c r="CF59" i="7"/>
  <c r="CG59" i="7"/>
  <c r="CH59" i="7"/>
  <c r="CI59" i="7"/>
  <c r="CJ59" i="7"/>
  <c r="CK59" i="7"/>
  <c r="CL59" i="7"/>
  <c r="CM59" i="7"/>
  <c r="CN59" i="7"/>
  <c r="CO59" i="7"/>
  <c r="CP59" i="7"/>
  <c r="CQ59" i="7"/>
  <c r="CR59" i="7"/>
  <c r="CS59" i="7"/>
  <c r="CT59" i="7"/>
  <c r="F60" i="7"/>
  <c r="G60" i="7"/>
  <c r="H60" i="7"/>
  <c r="I60" i="7"/>
  <c r="J60" i="7"/>
  <c r="K60" i="7"/>
  <c r="L60" i="7"/>
  <c r="M60" i="7"/>
  <c r="M168" i="7" s="1"/>
  <c r="N60" i="7"/>
  <c r="N201" i="7" s="1"/>
  <c r="O60" i="7"/>
  <c r="P60" i="7"/>
  <c r="P201" i="7" s="1"/>
  <c r="Q60" i="7"/>
  <c r="Q201" i="7" s="1"/>
  <c r="R60" i="7"/>
  <c r="R201" i="7" s="1"/>
  <c r="S60" i="7"/>
  <c r="S168" i="7" s="1"/>
  <c r="T60" i="7"/>
  <c r="T201" i="7" s="1"/>
  <c r="U60" i="7"/>
  <c r="V60" i="7"/>
  <c r="V201" i="7" s="1"/>
  <c r="W60" i="7"/>
  <c r="X60" i="7"/>
  <c r="X201" i="7" s="1"/>
  <c r="Y60" i="7"/>
  <c r="Y168" i="7" s="1"/>
  <c r="Y178" i="7" s="1"/>
  <c r="Z60" i="7"/>
  <c r="AA60" i="7"/>
  <c r="AB60" i="7"/>
  <c r="AB168" i="7" s="1"/>
  <c r="AC60" i="7"/>
  <c r="AD60" i="7"/>
  <c r="AD201" i="7" s="1"/>
  <c r="AE60" i="7"/>
  <c r="AE168" i="7" s="1"/>
  <c r="AF60" i="7"/>
  <c r="AG60" i="7"/>
  <c r="AH60" i="7"/>
  <c r="AI60" i="7"/>
  <c r="AI199" i="7" s="1"/>
  <c r="AI175" i="7" s="1"/>
  <c r="AJ60" i="7"/>
  <c r="AJ201" i="7" s="1"/>
  <c r="AK60" i="7"/>
  <c r="AK199" i="7" s="1"/>
  <c r="AK175" i="7" s="1"/>
  <c r="AL60" i="7"/>
  <c r="AL199" i="7" s="1"/>
  <c r="AL175" i="7" s="1"/>
  <c r="AM60" i="7"/>
  <c r="AM168" i="7" s="1"/>
  <c r="AN60" i="7"/>
  <c r="AO60" i="7"/>
  <c r="AP60" i="7"/>
  <c r="AP168" i="7" s="1"/>
  <c r="AP174" i="7" s="1"/>
  <c r="AQ60" i="7"/>
  <c r="AR60" i="7"/>
  <c r="AR168" i="7" s="1"/>
  <c r="AR178" i="7" s="1"/>
  <c r="AS60" i="7"/>
  <c r="AS168" i="7" s="1"/>
  <c r="AS174" i="7" s="1"/>
  <c r="AT60" i="7"/>
  <c r="AT199" i="7" s="1"/>
  <c r="AT175" i="7" s="1"/>
  <c r="AU60" i="7"/>
  <c r="AV60" i="7"/>
  <c r="AW60" i="7"/>
  <c r="AX60" i="7"/>
  <c r="AX168" i="7" s="1"/>
  <c r="AX178" i="7" s="1"/>
  <c r="AY60" i="7"/>
  <c r="AZ60" i="7"/>
  <c r="AZ201" i="7" s="1"/>
  <c r="BA60" i="7"/>
  <c r="BA199" i="7" s="1"/>
  <c r="BA175" i="7" s="1"/>
  <c r="BB60" i="7"/>
  <c r="BC60" i="7"/>
  <c r="BC168" i="7" s="1"/>
  <c r="BD60" i="7"/>
  <c r="BF60" i="7"/>
  <c r="BG60" i="7"/>
  <c r="BG201" i="7" s="1"/>
  <c r="BH60" i="7"/>
  <c r="BH199" i="7" s="1"/>
  <c r="BH175" i="7" s="1"/>
  <c r="BJ60" i="7"/>
  <c r="BK60" i="7"/>
  <c r="BK201" i="7" s="1"/>
  <c r="BL60" i="7"/>
  <c r="BL168" i="7" s="1"/>
  <c r="BN60" i="7"/>
  <c r="BN201" i="7" s="1"/>
  <c r="BO60" i="7"/>
  <c r="BP60" i="7"/>
  <c r="BP201" i="7" s="1"/>
  <c r="BQ60" i="7"/>
  <c r="BR60" i="7"/>
  <c r="BR201" i="7" s="1"/>
  <c r="BS60" i="7"/>
  <c r="CS61" i="7"/>
  <c r="CT61" i="7"/>
  <c r="CU61" i="7"/>
  <c r="N68" i="7"/>
  <c r="O68" i="7"/>
  <c r="P68" i="7"/>
  <c r="Q68" i="7"/>
  <c r="R68" i="7"/>
  <c r="S68" i="7"/>
  <c r="T68" i="7"/>
  <c r="U68" i="7"/>
  <c r="V68" i="7"/>
  <c r="W68" i="7"/>
  <c r="X68" i="7"/>
  <c r="Y68" i="7"/>
  <c r="Z68" i="7"/>
  <c r="AA68" i="7"/>
  <c r="AB68" i="7"/>
  <c r="AC68" i="7"/>
  <c r="AD68" i="7"/>
  <c r="AE68" i="7"/>
  <c r="AF68" i="7"/>
  <c r="AG68" i="7"/>
  <c r="AH68" i="7"/>
  <c r="AI68" i="7"/>
  <c r="AJ68" i="7"/>
  <c r="AK68" i="7"/>
  <c r="AL68" i="7"/>
  <c r="AM68" i="7"/>
  <c r="AN68" i="7"/>
  <c r="AO68" i="7"/>
  <c r="AP68" i="7"/>
  <c r="AQ68" i="7"/>
  <c r="AR68" i="7"/>
  <c r="AS68" i="7"/>
  <c r="AT68" i="7"/>
  <c r="AU68" i="7"/>
  <c r="AV68" i="7"/>
  <c r="AW68" i="7"/>
  <c r="AX68" i="7"/>
  <c r="AY68" i="7"/>
  <c r="AZ68" i="7"/>
  <c r="BA68" i="7"/>
  <c r="BB68" i="7"/>
  <c r="BC68" i="7"/>
  <c r="BD68" i="7"/>
  <c r="BG68" i="7"/>
  <c r="BH68" i="7"/>
  <c r="BK68" i="7"/>
  <c r="BL68" i="7"/>
  <c r="BO68" i="7"/>
  <c r="BP68" i="7"/>
  <c r="BQ68" i="7"/>
  <c r="BR68" i="7"/>
  <c r="BS68" i="7"/>
  <c r="N69" i="7"/>
  <c r="O69" i="7"/>
  <c r="P69" i="7"/>
  <c r="Q69" i="7"/>
  <c r="R69" i="7"/>
  <c r="S69" i="7"/>
  <c r="T69" i="7"/>
  <c r="U69" i="7"/>
  <c r="V69" i="7"/>
  <c r="W69" i="7"/>
  <c r="X69" i="7"/>
  <c r="Y69" i="7"/>
  <c r="Z69" i="7"/>
  <c r="AA69" i="7"/>
  <c r="AB69" i="7"/>
  <c r="AC69" i="7"/>
  <c r="AD69" i="7"/>
  <c r="AE69" i="7"/>
  <c r="AF69" i="7"/>
  <c r="AG69" i="7"/>
  <c r="AH69" i="7"/>
  <c r="N70" i="7"/>
  <c r="Q70" i="7"/>
  <c r="U70" i="7"/>
  <c r="V70" i="7"/>
  <c r="X70" i="7"/>
  <c r="Y70" i="7"/>
  <c r="AC70" i="7"/>
  <c r="AD70" i="7"/>
  <c r="AG70" i="7"/>
  <c r="AH70" i="7"/>
  <c r="AL70" i="7"/>
  <c r="AL69" i="7" s="1"/>
  <c r="AO70" i="7"/>
  <c r="AO69" i="7" s="1"/>
  <c r="AP70" i="7"/>
  <c r="AP69" i="7" s="1"/>
  <c r="AR70" i="7"/>
  <c r="AR69" i="7"/>
  <c r="AT70" i="7"/>
  <c r="AT69" i="7" s="1"/>
  <c r="BD70" i="7"/>
  <c r="BD69" i="7"/>
  <c r="BJ70" i="7"/>
  <c r="BJ69" i="7" s="1"/>
  <c r="BL70" i="7"/>
  <c r="BL69" i="7" s="1"/>
  <c r="BP70" i="7"/>
  <c r="BP69" i="7"/>
  <c r="BQ70" i="7"/>
  <c r="BQ69" i="7" s="1"/>
  <c r="CE74" i="7"/>
  <c r="CF74" i="7"/>
  <c r="CG74" i="7"/>
  <c r="CH74" i="7"/>
  <c r="CI74" i="7"/>
  <c r="CJ74" i="7"/>
  <c r="CK74" i="7"/>
  <c r="CL74" i="7"/>
  <c r="CM74" i="7"/>
  <c r="CN74" i="7"/>
  <c r="CO74" i="7"/>
  <c r="CP74" i="7"/>
  <c r="CQ74" i="7"/>
  <c r="CR74" i="7"/>
  <c r="CS74" i="7"/>
  <c r="CT74" i="7"/>
  <c r="CU74" i="7"/>
  <c r="O80" i="7"/>
  <c r="Q80" i="7"/>
  <c r="R80" i="7"/>
  <c r="S80" i="7"/>
  <c r="T80" i="7"/>
  <c r="V80" i="7"/>
  <c r="V103" i="7" s="1"/>
  <c r="X80" i="7"/>
  <c r="Z80" i="7"/>
  <c r="AA80" i="7"/>
  <c r="AC80" i="7"/>
  <c r="AD104" i="7" s="1"/>
  <c r="AD80" i="7"/>
  <c r="AE80" i="7"/>
  <c r="AF80" i="7"/>
  <c r="AH80" i="7"/>
  <c r="AI104" i="7" s="1"/>
  <c r="AI80" i="7"/>
  <c r="AJ80" i="7"/>
  <c r="AL80" i="7"/>
  <c r="AN80" i="7"/>
  <c r="AP80" i="7"/>
  <c r="BA80" i="7"/>
  <c r="BB80" i="7"/>
  <c r="BE80" i="7"/>
  <c r="BF80" i="7"/>
  <c r="BI80" i="7"/>
  <c r="BJ80" i="7"/>
  <c r="BL80" i="7"/>
  <c r="BP80" i="7"/>
  <c r="N81" i="7"/>
  <c r="O81" i="7"/>
  <c r="P81" i="7"/>
  <c r="Q81" i="7"/>
  <c r="R81" i="7"/>
  <c r="S81" i="7"/>
  <c r="T81" i="7"/>
  <c r="U81" i="7"/>
  <c r="V81" i="7"/>
  <c r="W81" i="7"/>
  <c r="X81" i="7"/>
  <c r="Y81" i="7"/>
  <c r="Z81" i="7"/>
  <c r="AA81" i="7"/>
  <c r="AB81" i="7"/>
  <c r="AC81" i="7"/>
  <c r="AD81" i="7"/>
  <c r="AE81" i="7"/>
  <c r="AF81" i="7"/>
  <c r="AG81" i="7"/>
  <c r="AH81" i="7"/>
  <c r="AJ81" i="7"/>
  <c r="AK81" i="7"/>
  <c r="AL81" i="7"/>
  <c r="AM81" i="7"/>
  <c r="AN81" i="7"/>
  <c r="AP81" i="7"/>
  <c r="AQ81" i="7"/>
  <c r="AR81" i="7"/>
  <c r="AS81" i="7"/>
  <c r="AT81" i="7"/>
  <c r="AV81" i="7"/>
  <c r="AW81" i="7"/>
  <c r="AX81" i="7"/>
  <c r="AY81" i="7"/>
  <c r="AZ81" i="7"/>
  <c r="BB81" i="7"/>
  <c r="BD81" i="7"/>
  <c r="BE81" i="7"/>
  <c r="BF81" i="7"/>
  <c r="BG81" i="7"/>
  <c r="BH81" i="7"/>
  <c r="BJ81" i="7"/>
  <c r="BK81" i="7"/>
  <c r="BL81" i="7"/>
  <c r="BN81" i="7"/>
  <c r="BP81" i="7"/>
  <c r="BQ81" i="7"/>
  <c r="CV82" i="7"/>
  <c r="W83" i="7"/>
  <c r="X79" i="7" s="1"/>
  <c r="BC83" i="7"/>
  <c r="BD79" i="7" s="1"/>
  <c r="BD83" i="7"/>
  <c r="BE79" i="7" s="1"/>
  <c r="BE85" i="7" s="1"/>
  <c r="BF83" i="7"/>
  <c r="BG83" i="7"/>
  <c r="BH79" i="7" s="1"/>
  <c r="BH83" i="7"/>
  <c r="BI79" i="7" s="1"/>
  <c r="BI85" i="7" s="1"/>
  <c r="BK83" i="7"/>
  <c r="BL83" i="7"/>
  <c r="M88" i="7"/>
  <c r="H89" i="7"/>
  <c r="I89" i="7"/>
  <c r="L89" i="7"/>
  <c r="M89" i="7"/>
  <c r="O89" i="7"/>
  <c r="Q89" i="7"/>
  <c r="T89" i="7"/>
  <c r="V89" i="7"/>
  <c r="W89" i="7"/>
  <c r="X89" i="7"/>
  <c r="Y89" i="7"/>
  <c r="Z89" i="7"/>
  <c r="AA89" i="7"/>
  <c r="AD89" i="7"/>
  <c r="AF89" i="7"/>
  <c r="AG89" i="7"/>
  <c r="AH89" i="7"/>
  <c r="AJ89" i="7"/>
  <c r="AL89" i="7"/>
  <c r="AM89" i="7"/>
  <c r="AN89" i="7"/>
  <c r="AS89" i="7"/>
  <c r="AT89" i="7"/>
  <c r="AV89" i="7"/>
  <c r="AX89" i="7"/>
  <c r="AZ89" i="7"/>
  <c r="BF89" i="7"/>
  <c r="BL89" i="7"/>
  <c r="BM89" i="7"/>
  <c r="BN89" i="7"/>
  <c r="BP89" i="7"/>
  <c r="M90" i="7"/>
  <c r="M91" i="7"/>
  <c r="N88" i="7" s="1"/>
  <c r="N91" i="7"/>
  <c r="O88" i="7" s="1"/>
  <c r="O90" i="7" s="1"/>
  <c r="O92" i="7" s="1"/>
  <c r="O91" i="7"/>
  <c r="P91" i="7"/>
  <c r="Q91" i="7"/>
  <c r="R91" i="7"/>
  <c r="S88" i="7" s="1"/>
  <c r="S91" i="7"/>
  <c r="T88" i="7" s="1"/>
  <c r="T91" i="7"/>
  <c r="U88" i="7" s="1"/>
  <c r="U91" i="7"/>
  <c r="V88" i="7" s="1"/>
  <c r="V91" i="7"/>
  <c r="W88" i="7" s="1"/>
  <c r="W91" i="7"/>
  <c r="X91" i="7"/>
  <c r="Y88" i="7" s="1"/>
  <c r="Y91" i="7"/>
  <c r="Z88" i="7" s="1"/>
  <c r="Z91" i="7"/>
  <c r="AA88" i="7" s="1"/>
  <c r="AA91" i="7"/>
  <c r="AB88" i="7" s="1"/>
  <c r="AB91" i="7"/>
  <c r="AC88" i="7" s="1"/>
  <c r="AC91" i="7"/>
  <c r="AD88" i="7" s="1"/>
  <c r="AD90" i="7" s="1"/>
  <c r="AD91" i="7" s="1"/>
  <c r="AE88" i="7" s="1"/>
  <c r="AE90" i="7" s="1"/>
  <c r="AG91" i="7"/>
  <c r="AH88" i="7" s="1"/>
  <c r="AK91" i="7"/>
  <c r="AL88" i="7" s="1"/>
  <c r="AL90" i="7" s="1"/>
  <c r="AO91" i="7"/>
  <c r="AP88" i="7" s="1"/>
  <c r="AP90" i="7" s="1"/>
  <c r="AS91" i="7"/>
  <c r="AT88" i="7" s="1"/>
  <c r="AT90" i="7" s="1"/>
  <c r="AW91" i="7"/>
  <c r="AX88" i="7" s="1"/>
  <c r="AX90" i="7" s="1"/>
  <c r="BA91" i="7"/>
  <c r="BB88" i="7" s="1"/>
  <c r="BB90" i="7" s="1"/>
  <c r="BF91" i="7"/>
  <c r="BG88" i="7" s="1"/>
  <c r="BG91" i="7"/>
  <c r="BH91" i="7"/>
  <c r="BI88" i="7" s="1"/>
  <c r="BJ91" i="7"/>
  <c r="BK88" i="7" s="1"/>
  <c r="BK91" i="7"/>
  <c r="BL88" i="7" s="1"/>
  <c r="BL91" i="7"/>
  <c r="BN91" i="7"/>
  <c r="BO88" i="7" s="1"/>
  <c r="BO91" i="7"/>
  <c r="BP88" i="7" s="1"/>
  <c r="BP91" i="7"/>
  <c r="BR91" i="7"/>
  <c r="BS88" i="7" s="1"/>
  <c r="BS91" i="7"/>
  <c r="BT88" i="7" s="1"/>
  <c r="CL91" i="7"/>
  <c r="CM88" i="7" s="1"/>
  <c r="CZ97" i="7"/>
  <c r="AM108" i="7"/>
  <c r="AN108" i="7" s="1"/>
  <c r="BX117" i="7"/>
  <c r="BX139" i="7" s="1"/>
  <c r="BY117" i="7"/>
  <c r="BY139" i="7" s="1"/>
  <c r="CX117" i="7"/>
  <c r="CX139" i="7" s="1"/>
  <c r="CY117" i="7"/>
  <c r="CY139" i="7" s="1"/>
  <c r="CZ117" i="7"/>
  <c r="CZ139" i="7" s="1"/>
  <c r="DA117" i="7"/>
  <c r="DA139" i="7" s="1"/>
  <c r="M120" i="7"/>
  <c r="M142" i="7" s="1"/>
  <c r="N120" i="7"/>
  <c r="N142" i="7" s="1"/>
  <c r="O120" i="7"/>
  <c r="O142" i="7" s="1"/>
  <c r="P120" i="7"/>
  <c r="P142" i="7" s="1"/>
  <c r="Q120" i="7"/>
  <c r="Q142" i="7" s="1"/>
  <c r="R120" i="7"/>
  <c r="S120" i="7"/>
  <c r="S142" i="7" s="1"/>
  <c r="T120" i="7"/>
  <c r="T142" i="7" s="1"/>
  <c r="U120" i="7"/>
  <c r="U142" i="7" s="1"/>
  <c r="V120" i="7"/>
  <c r="V142" i="7" s="1"/>
  <c r="W120" i="7"/>
  <c r="W142" i="7" s="1"/>
  <c r="X120" i="7"/>
  <c r="X142" i="7" s="1"/>
  <c r="Y120" i="7"/>
  <c r="Y142" i="7" s="1"/>
  <c r="Z120" i="7"/>
  <c r="Z142" i="7" s="1"/>
  <c r="AA120" i="7"/>
  <c r="AA142" i="7" s="1"/>
  <c r="AB120" i="7"/>
  <c r="AB142" i="7" s="1"/>
  <c r="AC120" i="7"/>
  <c r="AC142" i="7" s="1"/>
  <c r="AD120" i="7"/>
  <c r="AE120" i="7"/>
  <c r="AF120" i="7"/>
  <c r="AG120" i="7"/>
  <c r="AH120" i="7"/>
  <c r="AI120" i="7"/>
  <c r="AJ120" i="7"/>
  <c r="AJ142" i="7" s="1"/>
  <c r="AK120" i="7"/>
  <c r="AK142" i="7" s="1"/>
  <c r="AL120" i="7"/>
  <c r="AL142" i="7" s="1"/>
  <c r="AM120" i="7"/>
  <c r="AM142" i="7" s="1"/>
  <c r="AN120" i="7"/>
  <c r="AN142" i="7" s="1"/>
  <c r="AO120" i="7"/>
  <c r="AO142" i="7" s="1"/>
  <c r="I123" i="7"/>
  <c r="J123" i="7"/>
  <c r="K123" i="7"/>
  <c r="L123" i="7"/>
  <c r="M123" i="7"/>
  <c r="N123" i="7"/>
  <c r="O123" i="7"/>
  <c r="P123" i="7"/>
  <c r="Q123" i="7"/>
  <c r="R123" i="7"/>
  <c r="S123" i="7"/>
  <c r="T123" i="7"/>
  <c r="U123" i="7"/>
  <c r="V123" i="7"/>
  <c r="W123" i="7"/>
  <c r="X123" i="7"/>
  <c r="Z123" i="7"/>
  <c r="AA123" i="7"/>
  <c r="AC123" i="7"/>
  <c r="AF123" i="7"/>
  <c r="AK123" i="7"/>
  <c r="AS123" i="7"/>
  <c r="AW123" i="7"/>
  <c r="AX123" i="7"/>
  <c r="BB123" i="7"/>
  <c r="BF123" i="7"/>
  <c r="BG123" i="7"/>
  <c r="BH123" i="7"/>
  <c r="I124" i="7"/>
  <c r="J124" i="7"/>
  <c r="K124" i="7"/>
  <c r="L124" i="7"/>
  <c r="M124" i="7"/>
  <c r="N124" i="7"/>
  <c r="O124" i="7"/>
  <c r="P124" i="7"/>
  <c r="Q124" i="7"/>
  <c r="R124" i="7"/>
  <c r="S124" i="7"/>
  <c r="T124" i="7"/>
  <c r="U124" i="7"/>
  <c r="V124" i="7"/>
  <c r="W124" i="7"/>
  <c r="X124" i="7"/>
  <c r="Z124" i="7"/>
  <c r="AA124" i="7"/>
  <c r="AG124" i="7"/>
  <c r="AW124" i="7"/>
  <c r="AX124" i="7"/>
  <c r="BB124" i="7"/>
  <c r="BF124" i="7"/>
  <c r="BG124" i="7"/>
  <c r="BH124" i="7"/>
  <c r="BM124" i="7"/>
  <c r="I125" i="7"/>
  <c r="J125" i="7"/>
  <c r="K125" i="7"/>
  <c r="L125" i="7"/>
  <c r="M125" i="7"/>
  <c r="N125" i="7"/>
  <c r="O125" i="7"/>
  <c r="P125" i="7"/>
  <c r="Q125" i="7"/>
  <c r="R125" i="7"/>
  <c r="S125" i="7"/>
  <c r="T125" i="7"/>
  <c r="U125" i="7"/>
  <c r="V125" i="7"/>
  <c r="W125" i="7"/>
  <c r="X125" i="7"/>
  <c r="Z125" i="7"/>
  <c r="AC125" i="7"/>
  <c r="AF125" i="7"/>
  <c r="AW125" i="7"/>
  <c r="BB125" i="7"/>
  <c r="BF125" i="7"/>
  <c r="BG125" i="7"/>
  <c r="BH125" i="7"/>
  <c r="BN125" i="7"/>
  <c r="M128" i="7"/>
  <c r="N128" i="7"/>
  <c r="O128" i="7"/>
  <c r="P128" i="7"/>
  <c r="Q128" i="7"/>
  <c r="R128" i="7"/>
  <c r="S128" i="7"/>
  <c r="T128" i="7"/>
  <c r="U128" i="7"/>
  <c r="V128" i="7"/>
  <c r="W128" i="7"/>
  <c r="X128" i="7"/>
  <c r="Y128" i="7"/>
  <c r="Z128" i="7"/>
  <c r="AA128" i="7"/>
  <c r="AB128" i="7"/>
  <c r="AC128" i="7"/>
  <c r="AD128" i="7"/>
  <c r="AE128" i="7"/>
  <c r="AF128" i="7"/>
  <c r="AG128" i="7"/>
  <c r="AH128" i="7"/>
  <c r="AI128" i="7"/>
  <c r="AJ128" i="7"/>
  <c r="AK128" i="7"/>
  <c r="AL128" i="7"/>
  <c r="AM128" i="7"/>
  <c r="AN128" i="7"/>
  <c r="AO128" i="7"/>
  <c r="AP128" i="7"/>
  <c r="AQ128" i="7"/>
  <c r="AR128" i="7"/>
  <c r="AS128" i="7"/>
  <c r="AT128" i="7"/>
  <c r="AU128" i="7"/>
  <c r="AV128" i="7"/>
  <c r="AW128" i="7"/>
  <c r="AX128" i="7"/>
  <c r="AY128" i="7"/>
  <c r="AZ128" i="7"/>
  <c r="BA128" i="7"/>
  <c r="BB128" i="7"/>
  <c r="BC128" i="7"/>
  <c r="BD128" i="7"/>
  <c r="BE128" i="7"/>
  <c r="BF128" i="7"/>
  <c r="BG128" i="7"/>
  <c r="BH128" i="7"/>
  <c r="BI128" i="7"/>
  <c r="BJ128" i="7"/>
  <c r="BK128" i="7"/>
  <c r="BL128" i="7"/>
  <c r="BM128" i="7"/>
  <c r="BN128" i="7"/>
  <c r="BO128" i="7"/>
  <c r="BP128" i="7"/>
  <c r="BQ128" i="7"/>
  <c r="BR128" i="7"/>
  <c r="BS128" i="7"/>
  <c r="BX140" i="7"/>
  <c r="BY140" i="7"/>
  <c r="CX140" i="7"/>
  <c r="CY140" i="7"/>
  <c r="CZ140" i="7"/>
  <c r="DA140" i="7"/>
  <c r="BX141" i="7"/>
  <c r="BY141" i="7"/>
  <c r="CX141" i="7"/>
  <c r="CY141" i="7"/>
  <c r="CZ141" i="7"/>
  <c r="DA141" i="7"/>
  <c r="BX142" i="7"/>
  <c r="BY142" i="7"/>
  <c r="CX142" i="7"/>
  <c r="CY142" i="7"/>
  <c r="CZ142" i="7"/>
  <c r="DA142" i="7"/>
  <c r="M146" i="7"/>
  <c r="M119" i="7" s="1"/>
  <c r="M141" i="7" s="1"/>
  <c r="N146" i="7"/>
  <c r="O146" i="7"/>
  <c r="O119" i="7" s="1"/>
  <c r="O141" i="7" s="1"/>
  <c r="P146" i="7"/>
  <c r="Q146" i="7"/>
  <c r="R146" i="7"/>
  <c r="S146" i="7"/>
  <c r="T146" i="7"/>
  <c r="U146" i="7"/>
  <c r="V146" i="7"/>
  <c r="W146" i="7"/>
  <c r="X146" i="7"/>
  <c r="X119" i="7" s="1"/>
  <c r="X141" i="7" s="1"/>
  <c r="Z146" i="7"/>
  <c r="AA146" i="7"/>
  <c r="AA119" i="7" s="1"/>
  <c r="AA141" i="7" s="1"/>
  <c r="AC146" i="7"/>
  <c r="AC119" i="7" s="1"/>
  <c r="AC141" i="7" s="1"/>
  <c r="AO146" i="7"/>
  <c r="M167" i="7"/>
  <c r="N167" i="7"/>
  <c r="O167" i="7"/>
  <c r="P167" i="7"/>
  <c r="Q167" i="7"/>
  <c r="R167" i="7"/>
  <c r="S167" i="7"/>
  <c r="T167" i="7"/>
  <c r="U167" i="7"/>
  <c r="V167" i="7"/>
  <c r="W167" i="7"/>
  <c r="W177" i="7" s="1"/>
  <c r="X167" i="7"/>
  <c r="Y167" i="7"/>
  <c r="Y177" i="7" s="1"/>
  <c r="Z167" i="7"/>
  <c r="Z177" i="7" s="1"/>
  <c r="AA167" i="7"/>
  <c r="AB167" i="7"/>
  <c r="AC167" i="7"/>
  <c r="AC177" i="7" s="1"/>
  <c r="AD167" i="7"/>
  <c r="AE167" i="7"/>
  <c r="AF167" i="7"/>
  <c r="AG167" i="7"/>
  <c r="AH167" i="7"/>
  <c r="AI167" i="7"/>
  <c r="AJ167" i="7"/>
  <c r="AK167" i="7"/>
  <c r="AL167" i="7"/>
  <c r="AM167" i="7"/>
  <c r="AM177" i="7" s="1"/>
  <c r="AN167" i="7"/>
  <c r="AO167" i="7"/>
  <c r="AO177" i="7" s="1"/>
  <c r="AP167" i="7"/>
  <c r="AP177" i="7" s="1"/>
  <c r="AQ167" i="7"/>
  <c r="AQ177" i="7" s="1"/>
  <c r="AR167" i="7"/>
  <c r="AS167" i="7"/>
  <c r="AS177" i="7" s="1"/>
  <c r="AT167" i="7"/>
  <c r="AT177" i="7" s="1"/>
  <c r="AU167" i="7"/>
  <c r="AU177" i="7" s="1"/>
  <c r="AV167" i="7"/>
  <c r="AW167" i="7"/>
  <c r="AW177" i="7" s="1"/>
  <c r="AX167" i="7"/>
  <c r="AY167" i="7"/>
  <c r="AY177" i="7" s="1"/>
  <c r="AZ167" i="7"/>
  <c r="BA167" i="7"/>
  <c r="BB167" i="7"/>
  <c r="BC167" i="7"/>
  <c r="BD167" i="7"/>
  <c r="BE167" i="7"/>
  <c r="BE177" i="7" s="1"/>
  <c r="BF167" i="7"/>
  <c r="BG167" i="7"/>
  <c r="BH167" i="7"/>
  <c r="BI167" i="7"/>
  <c r="BI177" i="7" s="1"/>
  <c r="BJ167" i="7"/>
  <c r="BJ177" i="7" s="1"/>
  <c r="BK167" i="7"/>
  <c r="BK177" i="7" s="1"/>
  <c r="BL167" i="7"/>
  <c r="BM167" i="7"/>
  <c r="BM177" i="7" s="1"/>
  <c r="BN167" i="7"/>
  <c r="BO167" i="7"/>
  <c r="BP167" i="7"/>
  <c r="BR167" i="7"/>
  <c r="BS167" i="7"/>
  <c r="BT167" i="7"/>
  <c r="BU167" i="7"/>
  <c r="BU177" i="7" s="1"/>
  <c r="P168" i="7"/>
  <c r="X168" i="7"/>
  <c r="X178" i="7" s="1"/>
  <c r="AV168" i="7"/>
  <c r="BG168" i="7"/>
  <c r="BG174" i="7" s="1"/>
  <c r="M169" i="7"/>
  <c r="N169" i="7"/>
  <c r="O169" i="7"/>
  <c r="O176" i="7" s="1"/>
  <c r="P169" i="7"/>
  <c r="Q169" i="7"/>
  <c r="R169" i="7"/>
  <c r="R176" i="7" s="1"/>
  <c r="S169" i="7"/>
  <c r="S176" i="7" s="1"/>
  <c r="T169" i="7"/>
  <c r="X169" i="7"/>
  <c r="X176" i="7" s="1"/>
  <c r="Y169" i="7"/>
  <c r="Z169" i="7"/>
  <c r="AA169" i="7"/>
  <c r="AB169" i="7"/>
  <c r="AC169" i="7"/>
  <c r="AD169" i="7"/>
  <c r="AD176" i="7" s="1"/>
  <c r="AE169" i="7"/>
  <c r="AF169" i="7"/>
  <c r="AF176" i="7" s="1"/>
  <c r="AG169" i="7"/>
  <c r="AH169" i="7"/>
  <c r="AH176" i="7" s="1"/>
  <c r="AI169" i="7"/>
  <c r="AI176" i="7" s="1"/>
  <c r="AJ169" i="7"/>
  <c r="AJ176" i="7" s="1"/>
  <c r="AK169" i="7"/>
  <c r="AK176" i="7" s="1"/>
  <c r="AL169" i="7"/>
  <c r="AM169" i="7"/>
  <c r="AN169" i="7"/>
  <c r="AN176" i="7" s="1"/>
  <c r="AO169" i="7"/>
  <c r="AO176" i="7" s="1"/>
  <c r="AP169" i="7"/>
  <c r="AQ169" i="7"/>
  <c r="AQ176" i="7" s="1"/>
  <c r="AR169" i="7"/>
  <c r="AS169" i="7"/>
  <c r="AS176" i="7" s="1"/>
  <c r="AT169" i="7"/>
  <c r="AT176" i="7" s="1"/>
  <c r="AU169" i="7"/>
  <c r="AU176" i="7" s="1"/>
  <c r="AV169" i="7"/>
  <c r="AV176" i="7" s="1"/>
  <c r="AW169" i="7"/>
  <c r="AW176" i="7" s="1"/>
  <c r="AX169" i="7"/>
  <c r="AY169" i="7"/>
  <c r="AZ169" i="7"/>
  <c r="BA169" i="7"/>
  <c r="BA176" i="7" s="1"/>
  <c r="BB169" i="7"/>
  <c r="BB176" i="7" s="1"/>
  <c r="BC169" i="7"/>
  <c r="BC176" i="7" s="1"/>
  <c r="BD169" i="7"/>
  <c r="BE169" i="7"/>
  <c r="BE176" i="7" s="1"/>
  <c r="BF169" i="7"/>
  <c r="BF176" i="7" s="1"/>
  <c r="BG169" i="7"/>
  <c r="BH169" i="7"/>
  <c r="BH171" i="7" s="1"/>
  <c r="BH179" i="7" s="1"/>
  <c r="BI169" i="7"/>
  <c r="BI176" i="7" s="1"/>
  <c r="BJ169" i="7"/>
  <c r="BJ176" i="7" s="1"/>
  <c r="BK169" i="7"/>
  <c r="BK176" i="7" s="1"/>
  <c r="BL169" i="7"/>
  <c r="BM169" i="7"/>
  <c r="BM176" i="7" s="1"/>
  <c r="BN169" i="7"/>
  <c r="BN176" i="7" s="1"/>
  <c r="BO169" i="7"/>
  <c r="BO176" i="7" s="1"/>
  <c r="BP169" i="7"/>
  <c r="BP176" i="7" s="1"/>
  <c r="BQ169" i="7"/>
  <c r="BR169" i="7"/>
  <c r="BS169" i="7"/>
  <c r="BT169" i="7"/>
  <c r="CE175" i="7"/>
  <c r="M182" i="7"/>
  <c r="N182" i="7"/>
  <c r="O182" i="7"/>
  <c r="P182" i="7"/>
  <c r="Q182" i="7"/>
  <c r="R182" i="7"/>
  <c r="S182" i="7"/>
  <c r="T182" i="7"/>
  <c r="X182" i="7"/>
  <c r="AA182" i="7"/>
  <c r="AC182" i="7"/>
  <c r="AW182" i="7"/>
  <c r="BA182" i="7"/>
  <c r="BB182" i="7"/>
  <c r="M183" i="7"/>
  <c r="N183" i="7"/>
  <c r="O183" i="7"/>
  <c r="P183" i="7"/>
  <c r="Q183" i="7"/>
  <c r="R183" i="7"/>
  <c r="S183" i="7"/>
  <c r="T183" i="7"/>
  <c r="X183" i="7"/>
  <c r="Y183" i="7"/>
  <c r="Z183" i="7"/>
  <c r="AA183" i="7"/>
  <c r="AB183" i="7"/>
  <c r="AC183" i="7"/>
  <c r="AD183" i="7"/>
  <c r="AE183" i="7"/>
  <c r="AF183" i="7"/>
  <c r="AG183" i="7"/>
  <c r="AH183" i="7"/>
  <c r="AI183" i="7"/>
  <c r="AJ183" i="7"/>
  <c r="AK183" i="7"/>
  <c r="AL183" i="7"/>
  <c r="AM183" i="7"/>
  <c r="AN183" i="7"/>
  <c r="AO183" i="7"/>
  <c r="AP183" i="7"/>
  <c r="AQ183" i="7"/>
  <c r="AR183" i="7"/>
  <c r="AS183" i="7"/>
  <c r="AT183" i="7"/>
  <c r="AU183" i="7"/>
  <c r="AV183" i="7"/>
  <c r="AW183" i="7"/>
  <c r="AX183" i="7"/>
  <c r="AY183" i="7"/>
  <c r="AZ183" i="7"/>
  <c r="BA183" i="7"/>
  <c r="BB183" i="7"/>
  <c r="BC183" i="7"/>
  <c r="BD183" i="7"/>
  <c r="BG183" i="7"/>
  <c r="BL183" i="7"/>
  <c r="BP183" i="7"/>
  <c r="M184" i="7"/>
  <c r="N184" i="7"/>
  <c r="O184" i="7"/>
  <c r="P184" i="7"/>
  <c r="Q184" i="7"/>
  <c r="R184" i="7"/>
  <c r="S184" i="7"/>
  <c r="T184" i="7"/>
  <c r="U184" i="7"/>
  <c r="X184" i="7"/>
  <c r="Y184" i="7"/>
  <c r="Z184" i="7"/>
  <c r="AA184" i="7"/>
  <c r="AB184" i="7"/>
  <c r="AC184" i="7"/>
  <c r="AD184" i="7"/>
  <c r="AE184" i="7"/>
  <c r="AF184" i="7"/>
  <c r="AG184" i="7"/>
  <c r="AH184" i="7"/>
  <c r="AI184" i="7"/>
  <c r="AJ184" i="7"/>
  <c r="AK184" i="7"/>
  <c r="AL184" i="7"/>
  <c r="AM184" i="7"/>
  <c r="AN184" i="7"/>
  <c r="AO184" i="7"/>
  <c r="AP184" i="7"/>
  <c r="AQ184" i="7"/>
  <c r="AR184" i="7"/>
  <c r="AS184" i="7"/>
  <c r="AT184" i="7"/>
  <c r="AU184" i="7"/>
  <c r="AV184" i="7"/>
  <c r="AW184" i="7"/>
  <c r="AX184" i="7"/>
  <c r="AY184" i="7"/>
  <c r="AZ184" i="7"/>
  <c r="BA184" i="7"/>
  <c r="BB184" i="7"/>
  <c r="BC184" i="7"/>
  <c r="BD184" i="7"/>
  <c r="BL184" i="7"/>
  <c r="BM184" i="7"/>
  <c r="BN184" i="7"/>
  <c r="Q191" i="7"/>
  <c r="R191" i="7"/>
  <c r="S191" i="7"/>
  <c r="T191" i="7"/>
  <c r="U191" i="7"/>
  <c r="V191" i="7"/>
  <c r="W191" i="7"/>
  <c r="X191" i="7"/>
  <c r="Z191" i="7"/>
  <c r="AA191" i="7"/>
  <c r="BA191" i="7"/>
  <c r="BB191" i="7"/>
  <c r="BE191" i="7"/>
  <c r="BF191" i="7"/>
  <c r="BM191" i="7"/>
  <c r="N192" i="7"/>
  <c r="O192" i="7"/>
  <c r="P192" i="7"/>
  <c r="Q192" i="7"/>
  <c r="R192" i="7"/>
  <c r="S192" i="7"/>
  <c r="T192" i="7"/>
  <c r="U192" i="7"/>
  <c r="V192" i="7"/>
  <c r="W192" i="7"/>
  <c r="X192" i="7"/>
  <c r="AA192" i="7"/>
  <c r="AC192" i="7"/>
  <c r="BB192" i="7"/>
  <c r="BG192" i="7"/>
  <c r="BH192" i="7"/>
  <c r="BI192" i="7"/>
  <c r="Q195" i="7"/>
  <c r="R195" i="7"/>
  <c r="S195" i="7"/>
  <c r="T195" i="7"/>
  <c r="U195" i="7"/>
  <c r="V195" i="7"/>
  <c r="W195" i="7"/>
  <c r="X195" i="7"/>
  <c r="Y195" i="7"/>
  <c r="Z195" i="7"/>
  <c r="AA195" i="7"/>
  <c r="AB195" i="7"/>
  <c r="AC195" i="7"/>
  <c r="AD195" i="7"/>
  <c r="AE195" i="7"/>
  <c r="AF195" i="7"/>
  <c r="AG195" i="7"/>
  <c r="AH195" i="7"/>
  <c r="AI195" i="7"/>
  <c r="AJ195" i="7"/>
  <c r="AK195" i="7"/>
  <c r="AL195" i="7"/>
  <c r="AM195" i="7"/>
  <c r="AN195" i="7"/>
  <c r="AO195" i="7"/>
  <c r="AP195" i="7"/>
  <c r="AQ195" i="7"/>
  <c r="AR195" i="7"/>
  <c r="AS195" i="7"/>
  <c r="AT195" i="7"/>
  <c r="AU195" i="7"/>
  <c r="AV195" i="7"/>
  <c r="AW195" i="7"/>
  <c r="AX195" i="7"/>
  <c r="AY195" i="7"/>
  <c r="AZ195" i="7"/>
  <c r="BA195" i="7"/>
  <c r="BB195" i="7"/>
  <c r="BC195" i="7"/>
  <c r="BD195" i="7"/>
  <c r="BE195" i="7"/>
  <c r="BF195" i="7"/>
  <c r="BG195" i="7"/>
  <c r="BH195" i="7"/>
  <c r="BI195" i="7"/>
  <c r="BJ195" i="7"/>
  <c r="BK195" i="7"/>
  <c r="BL195" i="7"/>
  <c r="BM195" i="7"/>
  <c r="BN195" i="7"/>
  <c r="BO195" i="7"/>
  <c r="BP195" i="7"/>
  <c r="BQ195" i="7"/>
  <c r="BR195" i="7"/>
  <c r="BS195" i="7"/>
  <c r="BT195" i="7"/>
  <c r="N196" i="7"/>
  <c r="O196" i="7"/>
  <c r="P196" i="7"/>
  <c r="Q196" i="7"/>
  <c r="R196" i="7"/>
  <c r="S196" i="7"/>
  <c r="T196" i="7"/>
  <c r="U196" i="7"/>
  <c r="V196" i="7"/>
  <c r="W196" i="7"/>
  <c r="X196" i="7"/>
  <c r="Y196" i="7"/>
  <c r="Z196" i="7"/>
  <c r="AA196" i="7"/>
  <c r="AB196" i="7"/>
  <c r="AC196" i="7"/>
  <c r="AD196" i="7"/>
  <c r="AE196" i="7"/>
  <c r="AF196" i="7"/>
  <c r="AG196" i="7"/>
  <c r="AH196" i="7"/>
  <c r="AI196" i="7"/>
  <c r="AJ196" i="7"/>
  <c r="AK196" i="7"/>
  <c r="AL196" i="7"/>
  <c r="AM196" i="7"/>
  <c r="AN196" i="7"/>
  <c r="AO196" i="7"/>
  <c r="AP196" i="7"/>
  <c r="AQ196" i="7"/>
  <c r="AR196" i="7"/>
  <c r="AS196" i="7"/>
  <c r="AT196" i="7"/>
  <c r="AU196" i="7"/>
  <c r="AV196" i="7"/>
  <c r="AW196" i="7"/>
  <c r="AX196" i="7"/>
  <c r="AY196" i="7"/>
  <c r="AZ196" i="7"/>
  <c r="BA196" i="7"/>
  <c r="BB196" i="7"/>
  <c r="BC196" i="7"/>
  <c r="BD196" i="7"/>
  <c r="BE196" i="7"/>
  <c r="BF196" i="7"/>
  <c r="BG196" i="7"/>
  <c r="BH196" i="7"/>
  <c r="BI196" i="7"/>
  <c r="BJ196" i="7"/>
  <c r="BK196" i="7"/>
  <c r="BL196" i="7"/>
  <c r="BM196" i="7"/>
  <c r="BN196" i="7"/>
  <c r="BO196" i="7"/>
  <c r="BP196" i="7"/>
  <c r="BQ196" i="7"/>
  <c r="BR196" i="7"/>
  <c r="BS196" i="7"/>
  <c r="BT196" i="7"/>
  <c r="P199" i="7"/>
  <c r="P200" i="7" s="1"/>
  <c r="T199" i="7"/>
  <c r="T175" i="7" s="1"/>
  <c r="V199" i="7"/>
  <c r="V175" i="7" s="1"/>
  <c r="AD199" i="7"/>
  <c r="AJ199" i="7"/>
  <c r="AJ175" i="7" s="1"/>
  <c r="BB199" i="7"/>
  <c r="BB175" i="7" s="1"/>
  <c r="BD199" i="7"/>
  <c r="BD175" i="7" s="1"/>
  <c r="BG199" i="7"/>
  <c r="BL199" i="7"/>
  <c r="BL175" i="7" s="1"/>
  <c r="BL201" i="7"/>
  <c r="BO201" i="7"/>
  <c r="M204" i="7"/>
  <c r="N204" i="7"/>
  <c r="O204" i="7"/>
  <c r="P204" i="7"/>
  <c r="Q204" i="7"/>
  <c r="R204" i="7"/>
  <c r="S204" i="7"/>
  <c r="T204" i="7"/>
  <c r="U204" i="7"/>
  <c r="V204" i="7"/>
  <c r="W204" i="7"/>
  <c r="X204" i="7"/>
  <c r="Z204" i="7"/>
  <c r="AA204" i="7"/>
  <c r="AC204" i="7"/>
  <c r="AL204" i="7"/>
  <c r="AN204" i="7"/>
  <c r="AT204" i="7"/>
  <c r="AW204" i="7"/>
  <c r="AX204" i="7"/>
  <c r="AY204" i="7"/>
  <c r="BA204" i="7"/>
  <c r="BB204" i="7"/>
  <c r="BC204" i="7"/>
  <c r="BF204" i="7"/>
  <c r="BG204" i="7"/>
  <c r="BH204" i="7"/>
  <c r="BK204" i="7"/>
  <c r="BT204" i="7"/>
  <c r="M205" i="7"/>
  <c r="N205" i="7"/>
  <c r="O205" i="7"/>
  <c r="P205" i="7"/>
  <c r="Q205" i="7"/>
  <c r="R205" i="7"/>
  <c r="R206" i="7" s="1"/>
  <c r="S205" i="7"/>
  <c r="T205" i="7"/>
  <c r="U205" i="7"/>
  <c r="V205" i="7"/>
  <c r="W205" i="7"/>
  <c r="X205" i="7"/>
  <c r="Y205" i="7"/>
  <c r="Z205" i="7"/>
  <c r="AA205" i="7"/>
  <c r="AB205" i="7"/>
  <c r="AC205" i="7"/>
  <c r="AD205" i="7"/>
  <c r="AE205" i="7"/>
  <c r="AF205" i="7"/>
  <c r="AG205" i="7"/>
  <c r="AH205" i="7"/>
  <c r="AI205" i="7"/>
  <c r="AJ205" i="7"/>
  <c r="AK205" i="7"/>
  <c r="AL205" i="7"/>
  <c r="AM205" i="7"/>
  <c r="AN205" i="7"/>
  <c r="AO205" i="7"/>
  <c r="AP205" i="7"/>
  <c r="AQ205" i="7"/>
  <c r="AR205" i="7"/>
  <c r="AS205" i="7"/>
  <c r="AT205" i="7"/>
  <c r="AU205" i="7"/>
  <c r="AV205" i="7"/>
  <c r="AW205" i="7"/>
  <c r="AX205" i="7"/>
  <c r="AY205" i="7"/>
  <c r="AZ205" i="7"/>
  <c r="BA205" i="7"/>
  <c r="BA206" i="7" s="1"/>
  <c r="BB205" i="7"/>
  <c r="BB206" i="7" s="1"/>
  <c r="BC205" i="7"/>
  <c r="BD205" i="7"/>
  <c r="BE205" i="7"/>
  <c r="BL205" i="7"/>
  <c r="BM205" i="7"/>
  <c r="BT205" i="7"/>
  <c r="BT206" i="7" s="1"/>
  <c r="AG209" i="7"/>
  <c r="AH209" i="7"/>
  <c r="AI209" i="7"/>
  <c r="AJ209" i="7"/>
  <c r="AK209" i="7"/>
  <c r="AL209" i="7"/>
  <c r="AM209" i="7"/>
  <c r="AN209" i="7"/>
  <c r="AO209" i="7"/>
  <c r="AO210" i="7" s="1"/>
  <c r="AP209" i="7"/>
  <c r="AP210" i="7" s="1"/>
  <c r="AQ209" i="7"/>
  <c r="AQ210" i="7" s="1"/>
  <c r="AR209" i="7"/>
  <c r="AR210" i="7" s="1"/>
  <c r="AS209" i="7"/>
  <c r="AS210" i="7" s="1"/>
  <c r="AT209" i="7"/>
  <c r="AT210" i="7" s="1"/>
  <c r="AU209" i="7"/>
  <c r="AU210" i="7" s="1"/>
  <c r="AV209" i="7"/>
  <c r="AV210" i="7" s="1"/>
  <c r="AW209" i="7"/>
  <c r="AX209" i="7"/>
  <c r="AY209" i="7"/>
  <c r="AY210" i="7" s="1"/>
  <c r="AZ209" i="7"/>
  <c r="AZ210" i="7" s="1"/>
  <c r="BA209" i="7"/>
  <c r="BA210" i="7" s="1"/>
  <c r="BB209" i="7"/>
  <c r="BB210" i="7" s="1"/>
  <c r="BC209" i="7"/>
  <c r="BC210" i="7" s="1"/>
  <c r="BD209" i="7"/>
  <c r="BD210" i="7" s="1"/>
  <c r="BE209" i="7"/>
  <c r="BE210" i="7" s="1"/>
  <c r="BF209" i="7"/>
  <c r="BF210" i="7" s="1"/>
  <c r="BG209" i="7"/>
  <c r="BG210" i="7" s="1"/>
  <c r="BH209" i="7"/>
  <c r="BI209" i="7"/>
  <c r="BI210" i="7" s="1"/>
  <c r="BJ209" i="7"/>
  <c r="BJ210" i="7" s="1"/>
  <c r="BK209" i="7"/>
  <c r="BK210" i="7" s="1"/>
  <c r="BL209" i="7"/>
  <c r="BL210" i="7" s="1"/>
  <c r="BM209" i="7"/>
  <c r="BM210" i="7" s="1"/>
  <c r="BN209" i="7"/>
  <c r="BN210" i="7" s="1"/>
  <c r="BO209" i="7"/>
  <c r="BO210" i="7" s="1"/>
  <c r="BP209" i="7"/>
  <c r="BP210" i="7" s="1"/>
  <c r="BQ209" i="7"/>
  <c r="BQ210" i="7" s="1"/>
  <c r="BR209" i="7"/>
  <c r="BR210" i="7" s="1"/>
  <c r="BS209" i="7"/>
  <c r="BS210" i="7" s="1"/>
  <c r="BT209" i="7"/>
  <c r="BT210" i="7" s="1"/>
  <c r="J11" i="1"/>
  <c r="K11" i="1"/>
  <c r="L11" i="1"/>
  <c r="L536" i="1" s="1"/>
  <c r="M11" i="1"/>
  <c r="N11" i="1"/>
  <c r="N537" i="1" s="1"/>
  <c r="O11" i="1"/>
  <c r="P11" i="1"/>
  <c r="Q11" i="1"/>
  <c r="R11" i="1"/>
  <c r="R554" i="1" s="1"/>
  <c r="S11" i="1"/>
  <c r="T11" i="1"/>
  <c r="U11" i="1"/>
  <c r="V11" i="1"/>
  <c r="W11" i="1"/>
  <c r="X11" i="1"/>
  <c r="Y11" i="1"/>
  <c r="Z11" i="1"/>
  <c r="Z537" i="1" s="1"/>
  <c r="AA11" i="1"/>
  <c r="AB11" i="1"/>
  <c r="AC11" i="1"/>
  <c r="AC536" i="1" s="1"/>
  <c r="AD11" i="1"/>
  <c r="AD151" i="7" s="1"/>
  <c r="AE11" i="1"/>
  <c r="AF11" i="1"/>
  <c r="AF537" i="1" s="1"/>
  <c r="AG11" i="1"/>
  <c r="AH11" i="1"/>
  <c r="AH623" i="1" s="1"/>
  <c r="AI11" i="1"/>
  <c r="AJ11" i="1"/>
  <c r="AJ536" i="1" s="1"/>
  <c r="AK11" i="1"/>
  <c r="AL11" i="1"/>
  <c r="AL134" i="1" s="1"/>
  <c r="AM11" i="1"/>
  <c r="AN11" i="1"/>
  <c r="AN620" i="1" s="1"/>
  <c r="AO11" i="1"/>
  <c r="CE11" i="1"/>
  <c r="BB12" i="1"/>
  <c r="BC12" i="1"/>
  <c r="BD12" i="1"/>
  <c r="BE12" i="1"/>
  <c r="BE17" i="1" s="1"/>
  <c r="BE23" i="1" s="1"/>
  <c r="BE129" i="1" s="1"/>
  <c r="BF12" i="1"/>
  <c r="BG12" i="1"/>
  <c r="BH12" i="1"/>
  <c r="BI12" i="1"/>
  <c r="BJ12" i="1"/>
  <c r="BK12" i="1"/>
  <c r="BL12" i="1"/>
  <c r="BM12" i="1"/>
  <c r="BN12" i="1"/>
  <c r="BO12" i="1"/>
  <c r="BP12" i="1"/>
  <c r="BQ12" i="1"/>
  <c r="BR12" i="1"/>
  <c r="BS12" i="1"/>
  <c r="BT12" i="1"/>
  <c r="BB13" i="1"/>
  <c r="BC13" i="1"/>
  <c r="BC18" i="1" s="1"/>
  <c r="BD13" i="1"/>
  <c r="BE13" i="1"/>
  <c r="BF13" i="1"/>
  <c r="BG13" i="1"/>
  <c r="BH13" i="1"/>
  <c r="BI13" i="1"/>
  <c r="BJ13" i="1"/>
  <c r="BJ145" i="1" s="1"/>
  <c r="BK13" i="1"/>
  <c r="BK145" i="1" s="1"/>
  <c r="BL13" i="1"/>
  <c r="BM13" i="1"/>
  <c r="BN13" i="1"/>
  <c r="BO13" i="1"/>
  <c r="BP13" i="1"/>
  <c r="BQ13" i="1"/>
  <c r="BR13" i="1"/>
  <c r="BS13" i="1"/>
  <c r="BT13" i="1"/>
  <c r="BB14" i="1"/>
  <c r="BB19" i="1"/>
  <c r="BB25" i="1" s="1"/>
  <c r="BB131" i="1" s="1"/>
  <c r="BC14" i="1"/>
  <c r="BC19" i="1" s="1"/>
  <c r="BC25" i="1" s="1"/>
  <c r="BD14" i="1"/>
  <c r="BE14" i="1"/>
  <c r="BE19" i="1"/>
  <c r="BE25" i="1" s="1"/>
  <c r="BE131" i="1" s="1"/>
  <c r="BF14" i="1"/>
  <c r="BG14" i="1"/>
  <c r="BH14" i="1"/>
  <c r="BI14" i="1"/>
  <c r="BJ14" i="1"/>
  <c r="BJ146" i="1" s="1"/>
  <c r="BK14" i="1"/>
  <c r="BL14" i="1"/>
  <c r="BM14" i="1"/>
  <c r="BN14" i="1"/>
  <c r="BN146" i="1" s="1"/>
  <c r="BO14" i="1"/>
  <c r="BP14" i="1"/>
  <c r="BQ14" i="1"/>
  <c r="BR14" i="1"/>
  <c r="BS14" i="1"/>
  <c r="BT14" i="1"/>
  <c r="DW28" i="1"/>
  <c r="DW29" i="1"/>
  <c r="AP30" i="1"/>
  <c r="AQ30" i="1"/>
  <c r="AR30" i="1"/>
  <c r="AS30" i="1"/>
  <c r="AT30" i="1"/>
  <c r="AT43" i="1" s="1"/>
  <c r="AT57" i="1" s="1"/>
  <c r="AU30" i="1"/>
  <c r="AV30" i="1"/>
  <c r="AW30" i="1"/>
  <c r="AX30" i="1"/>
  <c r="AY30" i="1"/>
  <c r="DW30" i="1"/>
  <c r="DW31" i="1"/>
  <c r="DW32" i="1"/>
  <c r="DW33" i="1"/>
  <c r="DW34" i="1"/>
  <c r="DW35" i="1"/>
  <c r="DW36" i="1"/>
  <c r="AP37" i="1"/>
  <c r="AP50" i="1" s="1"/>
  <c r="AQ37" i="1"/>
  <c r="AR37" i="1"/>
  <c r="AS37" i="1"/>
  <c r="AS50" i="1" s="1"/>
  <c r="AT37" i="1"/>
  <c r="AU37" i="1"/>
  <c r="AU50" i="1" s="1"/>
  <c r="AU64" i="1" s="1"/>
  <c r="AV37" i="1"/>
  <c r="AV50" i="1" s="1"/>
  <c r="AW37" i="1"/>
  <c r="AW50" i="1" s="1"/>
  <c r="AX37" i="1"/>
  <c r="AY37" i="1"/>
  <c r="AZ37" i="1"/>
  <c r="DW37" i="1"/>
  <c r="CE40" i="1"/>
  <c r="CF40" i="1"/>
  <c r="CG40" i="1"/>
  <c r="CG146" i="7" s="1"/>
  <c r="CG119" i="7" s="1"/>
  <c r="CG141" i="7" s="1"/>
  <c r="CH40" i="1"/>
  <c r="CI40" i="1"/>
  <c r="CJ40" i="1"/>
  <c r="CK40" i="1"/>
  <c r="CK120" i="7" s="1"/>
  <c r="CL40" i="1"/>
  <c r="CM40" i="1"/>
  <c r="DG40" i="1"/>
  <c r="DH40" i="1"/>
  <c r="DI40" i="1"/>
  <c r="DJ40" i="1"/>
  <c r="DK40" i="1"/>
  <c r="DL40" i="1"/>
  <c r="DM40" i="1"/>
  <c r="DN40" i="1"/>
  <c r="DW40" i="1"/>
  <c r="F53" i="1"/>
  <c r="F515" i="1" s="1"/>
  <c r="G53" i="1"/>
  <c r="H53" i="1"/>
  <c r="I53" i="1"/>
  <c r="I54" i="1" s="1"/>
  <c r="DW53" i="1"/>
  <c r="DW55" i="1"/>
  <c r="DW56" i="1"/>
  <c r="DW57" i="1"/>
  <c r="DW58" i="1"/>
  <c r="DW59" i="1"/>
  <c r="DW60" i="1"/>
  <c r="DW61" i="1"/>
  <c r="DW62" i="1"/>
  <c r="DW63" i="1"/>
  <c r="DW64" i="1"/>
  <c r="F67" i="1"/>
  <c r="F135" i="1" s="1"/>
  <c r="G67" i="1"/>
  <c r="H67" i="1"/>
  <c r="H135" i="1" s="1"/>
  <c r="J67" i="1"/>
  <c r="K67" i="1"/>
  <c r="L67" i="1"/>
  <c r="M67" i="1"/>
  <c r="M134" i="7" s="1"/>
  <c r="N67" i="1"/>
  <c r="O67" i="1"/>
  <c r="O134" i="7" s="1"/>
  <c r="P67" i="1"/>
  <c r="S67" i="1"/>
  <c r="T67" i="1"/>
  <c r="U67" i="1"/>
  <c r="V67" i="1"/>
  <c r="W67" i="1"/>
  <c r="X67" i="1"/>
  <c r="Z67" i="1"/>
  <c r="AA67" i="1"/>
  <c r="AB67" i="1"/>
  <c r="AB134" i="7" s="1"/>
  <c r="AC67" i="1"/>
  <c r="AD67" i="1"/>
  <c r="AE67" i="1"/>
  <c r="AF67" i="1"/>
  <c r="AG67" i="1"/>
  <c r="AH67" i="1"/>
  <c r="AI67" i="1"/>
  <c r="AJ67" i="1"/>
  <c r="AK67" i="1"/>
  <c r="AL67" i="1"/>
  <c r="AL151" i="1" s="1"/>
  <c r="AO67" i="1"/>
  <c r="AO130" i="7" s="1"/>
  <c r="AP67" i="1"/>
  <c r="AQ67" i="1"/>
  <c r="AR67" i="1"/>
  <c r="AT67" i="1"/>
  <c r="AU67" i="1"/>
  <c r="I68" i="1"/>
  <c r="Q68" i="1"/>
  <c r="R68" i="1"/>
  <c r="R149" i="1"/>
  <c r="AM68" i="1"/>
  <c r="AN68" i="1"/>
  <c r="AR149" i="1"/>
  <c r="AV68" i="1"/>
  <c r="AV149" i="1"/>
  <c r="AY68" i="1"/>
  <c r="BB68" i="1"/>
  <c r="BB164" i="1" s="1"/>
  <c r="BC68" i="1"/>
  <c r="BD68" i="1"/>
  <c r="BE68" i="1"/>
  <c r="BF68" i="1"/>
  <c r="BF540" i="1" s="1"/>
  <c r="BG68" i="1"/>
  <c r="BK149" i="1" s="1"/>
  <c r="BH68" i="1"/>
  <c r="BI68" i="1"/>
  <c r="BI540" i="1"/>
  <c r="BJ68" i="1"/>
  <c r="CF68" i="1"/>
  <c r="CI68" i="1"/>
  <c r="CJ68" i="1"/>
  <c r="CK68" i="1"/>
  <c r="CL68" i="1"/>
  <c r="CN68" i="1"/>
  <c r="CT68" i="1"/>
  <c r="DL68" i="1"/>
  <c r="DM68" i="1"/>
  <c r="DP68" i="1"/>
  <c r="DU68" i="1"/>
  <c r="DV68" i="1"/>
  <c r="I69" i="1"/>
  <c r="CE69" i="1" s="1"/>
  <c r="Q69" i="1"/>
  <c r="Y69" i="1"/>
  <c r="AM69" i="1"/>
  <c r="AM150" i="1"/>
  <c r="AN69" i="1"/>
  <c r="AS69" i="1"/>
  <c r="AV69" i="1"/>
  <c r="AW69" i="1"/>
  <c r="AX69" i="1"/>
  <c r="AX150" i="1"/>
  <c r="AY69" i="1"/>
  <c r="AY541" i="1"/>
  <c r="AZ69" i="1"/>
  <c r="BA69" i="1"/>
  <c r="BB69" i="1"/>
  <c r="BC69" i="1"/>
  <c r="BD69" i="1"/>
  <c r="BD541" i="1"/>
  <c r="BE69" i="1"/>
  <c r="BF69" i="1"/>
  <c r="BG69" i="1"/>
  <c r="BH69" i="1"/>
  <c r="BI69" i="1"/>
  <c r="BJ69" i="1"/>
  <c r="BK69" i="1"/>
  <c r="BL69" i="1"/>
  <c r="BL67" i="1" s="1"/>
  <c r="BM69" i="1"/>
  <c r="BN69" i="1"/>
  <c r="BO69" i="1"/>
  <c r="BP69" i="1"/>
  <c r="BQ69" i="1"/>
  <c r="BR69" i="1"/>
  <c r="BS69" i="1"/>
  <c r="BT69" i="1"/>
  <c r="CF69" i="1"/>
  <c r="CF67" i="1" s="1"/>
  <c r="CH69" i="1"/>
  <c r="CJ69" i="1"/>
  <c r="CK69" i="1"/>
  <c r="CL69" i="1"/>
  <c r="CL150" i="1" s="1"/>
  <c r="DL69" i="1"/>
  <c r="DM69" i="1"/>
  <c r="DM73" i="1"/>
  <c r="DN73" i="1"/>
  <c r="DO73" i="1"/>
  <c r="DP73" i="1"/>
  <c r="F74" i="1"/>
  <c r="G74" i="1"/>
  <c r="H74" i="1"/>
  <c r="I74" i="1"/>
  <c r="J74" i="1"/>
  <c r="K74" i="1"/>
  <c r="L74" i="1"/>
  <c r="M74" i="1"/>
  <c r="N74" i="1"/>
  <c r="O74" i="1"/>
  <c r="P74" i="1"/>
  <c r="Q74" i="1"/>
  <c r="S74" i="1"/>
  <c r="T74" i="1"/>
  <c r="U74" i="1"/>
  <c r="V74" i="1"/>
  <c r="W74" i="1"/>
  <c r="X74" i="1"/>
  <c r="Y74" i="1"/>
  <c r="Z74" i="1"/>
  <c r="AA74" i="1"/>
  <c r="AB74" i="1"/>
  <c r="AC74" i="1"/>
  <c r="AD74" i="1"/>
  <c r="AE74" i="1"/>
  <c r="AF74" i="1"/>
  <c r="AG74" i="1"/>
  <c r="AH74" i="1"/>
  <c r="AI74" i="1"/>
  <c r="AJ74" i="1"/>
  <c r="AK74" i="1"/>
  <c r="AL74" i="1"/>
  <c r="AM74" i="1"/>
  <c r="AN74" i="1"/>
  <c r="AP74" i="1"/>
  <c r="AQ74" i="1"/>
  <c r="AR74" i="1"/>
  <c r="AS74" i="1"/>
  <c r="AT74" i="1"/>
  <c r="AU74" i="1"/>
  <c r="AV74" i="1"/>
  <c r="AX74" i="1"/>
  <c r="AY74" i="1"/>
  <c r="AZ74" i="1"/>
  <c r="BB74" i="1"/>
  <c r="BC74" i="1"/>
  <c r="BD74" i="1"/>
  <c r="BF74" i="1"/>
  <c r="BG74" i="1"/>
  <c r="BH74" i="1"/>
  <c r="BJ74" i="1"/>
  <c r="BK74" i="1"/>
  <c r="BL74" i="1"/>
  <c r="BN74" i="1"/>
  <c r="BP74" i="1"/>
  <c r="AO75" i="1"/>
  <c r="AW75" i="1"/>
  <c r="DQ75" i="1" s="1"/>
  <c r="BA75" i="1"/>
  <c r="BE75" i="1"/>
  <c r="BE545" i="1" s="1"/>
  <c r="BI75" i="1"/>
  <c r="BM75" i="1"/>
  <c r="BO75" i="1"/>
  <c r="CE75" i="1"/>
  <c r="CE545" i="1" s="1"/>
  <c r="CF75" i="1"/>
  <c r="CG75" i="1"/>
  <c r="CH75" i="1"/>
  <c r="CI75" i="1"/>
  <c r="CI545" i="1" s="1"/>
  <c r="CJ75" i="1"/>
  <c r="CJ545" i="1" s="1"/>
  <c r="CK75" i="1"/>
  <c r="CL75" i="1"/>
  <c r="CN75" i="1"/>
  <c r="DL75" i="1"/>
  <c r="DM75" i="1"/>
  <c r="DN75" i="1"/>
  <c r="DP75" i="1"/>
  <c r="R76" i="1"/>
  <c r="AO76" i="1"/>
  <c r="AW76" i="1"/>
  <c r="BA76" i="1"/>
  <c r="BE76" i="1"/>
  <c r="BI76" i="1"/>
  <c r="DT76" i="1" s="1"/>
  <c r="BM76" i="1"/>
  <c r="BM74" i="1" s="1"/>
  <c r="BQ76" i="1"/>
  <c r="BR76" i="1"/>
  <c r="BR74" i="1"/>
  <c r="BS76" i="1"/>
  <c r="BS550" i="1" s="1"/>
  <c r="CE76" i="1"/>
  <c r="CE550" i="1" s="1"/>
  <c r="CF76" i="1"/>
  <c r="CF550" i="1" s="1"/>
  <c r="CG76" i="1"/>
  <c r="CG550" i="1" s="1"/>
  <c r="CI76" i="1"/>
  <c r="CJ76" i="1"/>
  <c r="CJ550" i="1" s="1"/>
  <c r="CK76" i="1"/>
  <c r="CK550" i="1" s="1"/>
  <c r="CL76" i="1"/>
  <c r="CN76" i="1"/>
  <c r="CN550" i="1" s="1"/>
  <c r="DL76" i="1"/>
  <c r="DM76" i="1"/>
  <c r="DN76" i="1"/>
  <c r="DP76" i="1"/>
  <c r="BC80" i="1"/>
  <c r="DR80" i="1" s="1"/>
  <c r="BO80" i="1"/>
  <c r="BP80" i="1"/>
  <c r="BP81" i="1" s="1"/>
  <c r="BQ80" i="1"/>
  <c r="BQ81" i="1" s="1"/>
  <c r="BQ118" i="8" s="1"/>
  <c r="CE80" i="1"/>
  <c r="CF80" i="1"/>
  <c r="CG80" i="1"/>
  <c r="CH80" i="1"/>
  <c r="CI80" i="1"/>
  <c r="CJ80" i="1"/>
  <c r="CK80" i="1"/>
  <c r="CL80" i="1"/>
  <c r="CM80" i="1"/>
  <c r="CN80" i="1"/>
  <c r="CO80" i="1"/>
  <c r="CP80" i="1"/>
  <c r="CR80" i="1"/>
  <c r="CS80" i="1"/>
  <c r="DL80" i="1"/>
  <c r="DM80" i="1"/>
  <c r="DN80" i="1"/>
  <c r="DO80" i="1"/>
  <c r="DP80" i="1"/>
  <c r="DQ80" i="1"/>
  <c r="DS80" i="1"/>
  <c r="DT80" i="1"/>
  <c r="F81" i="1"/>
  <c r="G81" i="1"/>
  <c r="H81" i="1"/>
  <c r="I81" i="1"/>
  <c r="J81" i="1"/>
  <c r="J118" i="8" s="1"/>
  <c r="K81" i="1"/>
  <c r="K118" i="8" s="1"/>
  <c r="L81" i="1"/>
  <c r="L118" i="8" s="1"/>
  <c r="M81" i="1"/>
  <c r="N81" i="1"/>
  <c r="N118" i="8" s="1"/>
  <c r="O81" i="1"/>
  <c r="O118" i="8" s="1"/>
  <c r="P81" i="1"/>
  <c r="P118" i="8" s="1"/>
  <c r="Q81" i="1"/>
  <c r="Q118" i="8" s="1"/>
  <c r="R81" i="1"/>
  <c r="R118" i="8" s="1"/>
  <c r="S81" i="1"/>
  <c r="S118" i="8" s="1"/>
  <c r="T81" i="1"/>
  <c r="T118" i="8" s="1"/>
  <c r="U81" i="1"/>
  <c r="U118" i="8" s="1"/>
  <c r="V81" i="1"/>
  <c r="V118" i="8" s="1"/>
  <c r="W81" i="1"/>
  <c r="W118" i="8" s="1"/>
  <c r="X81" i="1"/>
  <c r="X118" i="8" s="1"/>
  <c r="Y81" i="1"/>
  <c r="Y118" i="8" s="1"/>
  <c r="Z81" i="1"/>
  <c r="Z118" i="8" s="1"/>
  <c r="AA81" i="1"/>
  <c r="AA118" i="8" s="1"/>
  <c r="AB81" i="1"/>
  <c r="AB118" i="8" s="1"/>
  <c r="AD81" i="1"/>
  <c r="AD118" i="8" s="1"/>
  <c r="AE81" i="1"/>
  <c r="AE118" i="8" s="1"/>
  <c r="AF81" i="1"/>
  <c r="AF118" i="8" s="1"/>
  <c r="AG81" i="1"/>
  <c r="AG118" i="8" s="1"/>
  <c r="AH81" i="1"/>
  <c r="AH118" i="8" s="1"/>
  <c r="AI81" i="1"/>
  <c r="AJ81" i="1"/>
  <c r="AJ118" i="8" s="1"/>
  <c r="AK81" i="1"/>
  <c r="AL81" i="1"/>
  <c r="AM81" i="1"/>
  <c r="AM118" i="8" s="1"/>
  <c r="AN81" i="1"/>
  <c r="AO81" i="1"/>
  <c r="AP81" i="1"/>
  <c r="AQ81" i="1"/>
  <c r="AQ118" i="8" s="1"/>
  <c r="AR81" i="1"/>
  <c r="AS81" i="1"/>
  <c r="AS118" i="8" s="1"/>
  <c r="AT81" i="1"/>
  <c r="AT118" i="8" s="1"/>
  <c r="AU81" i="1"/>
  <c r="AV81" i="1"/>
  <c r="AW81" i="1"/>
  <c r="AW118" i="8" s="1"/>
  <c r="AX81" i="1"/>
  <c r="AY81" i="1"/>
  <c r="AY118" i="8" s="1"/>
  <c r="AZ81" i="1"/>
  <c r="AZ118" i="8" s="1"/>
  <c r="BA81" i="1"/>
  <c r="BA118" i="8" s="1"/>
  <c r="BB81" i="1"/>
  <c r="BD81" i="1"/>
  <c r="BE81" i="1"/>
  <c r="BE118" i="8" s="1"/>
  <c r="BF81" i="1"/>
  <c r="BF118" i="8" s="1"/>
  <c r="BG81" i="1"/>
  <c r="BH81" i="1"/>
  <c r="BH118" i="8" s="1"/>
  <c r="BI81" i="1"/>
  <c r="BJ81" i="1"/>
  <c r="BJ118" i="8" s="1"/>
  <c r="BK81" i="1"/>
  <c r="BL81" i="1"/>
  <c r="BL118" i="8" s="1"/>
  <c r="BM81" i="1"/>
  <c r="BM118" i="8" s="1"/>
  <c r="BN81" i="1"/>
  <c r="BN118" i="8" s="1"/>
  <c r="BR81" i="1"/>
  <c r="BS81" i="1"/>
  <c r="BS118" i="8" s="1"/>
  <c r="BT81" i="1"/>
  <c r="BT118" i="8" s="1"/>
  <c r="CE83" i="1"/>
  <c r="CF83" i="1"/>
  <c r="CG83" i="1"/>
  <c r="CH83" i="1"/>
  <c r="CI83" i="1"/>
  <c r="CJ83" i="1"/>
  <c r="CK83" i="1"/>
  <c r="DN83" i="1"/>
  <c r="DO83" i="1" s="1"/>
  <c r="DP83" i="1" s="1"/>
  <c r="DQ83" i="1" s="1"/>
  <c r="DR83" i="1" s="1"/>
  <c r="DS83" i="1" s="1"/>
  <c r="DT83" i="1" s="1"/>
  <c r="DU83" i="1" s="1"/>
  <c r="F89" i="1"/>
  <c r="F88" i="1" s="1"/>
  <c r="J89" i="1"/>
  <c r="J88" i="1" s="1"/>
  <c r="J117" i="8" s="1"/>
  <c r="K89" i="1"/>
  <c r="K88" i="1" s="1"/>
  <c r="K117" i="8" s="1"/>
  <c r="L89" i="1"/>
  <c r="L88" i="1" s="1"/>
  <c r="L117" i="8" s="1"/>
  <c r="M89" i="1"/>
  <c r="M88" i="1" s="1"/>
  <c r="M117" i="8" s="1"/>
  <c r="N89" i="1"/>
  <c r="N88" i="1" s="1"/>
  <c r="N117" i="8" s="1"/>
  <c r="O89" i="1"/>
  <c r="O88" i="1" s="1"/>
  <c r="O117" i="8" s="1"/>
  <c r="P89" i="1"/>
  <c r="P88" i="1" s="1"/>
  <c r="P117" i="8" s="1"/>
  <c r="R89" i="1"/>
  <c r="R88" i="1" s="1"/>
  <c r="R117" i="8" s="1"/>
  <c r="S89" i="1"/>
  <c r="S88" i="1" s="1"/>
  <c r="S117" i="8" s="1"/>
  <c r="T89" i="1"/>
  <c r="T88" i="1" s="1"/>
  <c r="T117" i="8" s="1"/>
  <c r="U89" i="1"/>
  <c r="U88" i="1" s="1"/>
  <c r="U117" i="8" s="1"/>
  <c r="V89" i="1"/>
  <c r="V88" i="1" s="1"/>
  <c r="V117" i="8" s="1"/>
  <c r="W89" i="1"/>
  <c r="W88" i="1" s="1"/>
  <c r="W117" i="8" s="1"/>
  <c r="X89" i="1"/>
  <c r="X88" i="1" s="1"/>
  <c r="X117" i="8" s="1"/>
  <c r="Y89" i="1"/>
  <c r="Y88" i="1" s="1"/>
  <c r="Y117" i="8" s="1"/>
  <c r="Z89" i="1"/>
  <c r="Z88" i="1" s="1"/>
  <c r="Z117" i="8" s="1"/>
  <c r="AA89" i="1"/>
  <c r="AA88" i="1" s="1"/>
  <c r="AA117" i="8" s="1"/>
  <c r="AB89" i="1"/>
  <c r="AB88" i="1" s="1"/>
  <c r="AC89" i="1"/>
  <c r="AD89" i="1"/>
  <c r="AD88" i="1" s="1"/>
  <c r="AD117" i="8" s="1"/>
  <c r="AE89" i="1"/>
  <c r="AE88" i="1" s="1"/>
  <c r="AF89" i="1"/>
  <c r="AG89" i="1"/>
  <c r="AG88" i="1" s="1"/>
  <c r="AG117" i="8" s="1"/>
  <c r="AH89" i="1"/>
  <c r="AH88" i="1" s="1"/>
  <c r="AH117" i="8" s="1"/>
  <c r="AI89" i="1"/>
  <c r="AI88" i="1" s="1"/>
  <c r="AI117" i="8" s="1"/>
  <c r="AJ89" i="1"/>
  <c r="AJ88" i="1" s="1"/>
  <c r="AK89" i="1"/>
  <c r="AK88" i="1" s="1"/>
  <c r="AL89" i="1"/>
  <c r="AL88" i="1" s="1"/>
  <c r="AL117" i="8" s="1"/>
  <c r="AN89" i="1"/>
  <c r="AN88" i="1" s="1"/>
  <c r="AO89" i="1"/>
  <c r="AP89" i="1"/>
  <c r="AP88" i="1" s="1"/>
  <c r="AQ89" i="1"/>
  <c r="AR89" i="1"/>
  <c r="AR88" i="1" s="1"/>
  <c r="AS89" i="1"/>
  <c r="AT89" i="1"/>
  <c r="AU89" i="1"/>
  <c r="AU88" i="1" s="1"/>
  <c r="AV89" i="1"/>
  <c r="AV88" i="1" s="1"/>
  <c r="AW89" i="1"/>
  <c r="AX89" i="1"/>
  <c r="AX88" i="1" s="1"/>
  <c r="AZ89" i="1"/>
  <c r="AZ88" i="1" s="1"/>
  <c r="BB89" i="1"/>
  <c r="BD89" i="1"/>
  <c r="BD88" i="1" s="1"/>
  <c r="BS89" i="1"/>
  <c r="BT89" i="1"/>
  <c r="BT88" i="1" s="1"/>
  <c r="BJ90" i="1"/>
  <c r="BZ90" i="1"/>
  <c r="CE90" i="1"/>
  <c r="CF90" i="1"/>
  <c r="CG90" i="1"/>
  <c r="CH90" i="1"/>
  <c r="CI90" i="1"/>
  <c r="CJ90" i="1"/>
  <c r="CK90" i="1"/>
  <c r="CL90" i="1"/>
  <c r="CM90" i="1"/>
  <c r="CN90" i="1"/>
  <c r="CO90" i="1"/>
  <c r="CP90" i="1"/>
  <c r="CQ90" i="1"/>
  <c r="CR90" i="1"/>
  <c r="CT90" i="1"/>
  <c r="CU90" i="1"/>
  <c r="DL90" i="1"/>
  <c r="DM90" i="1"/>
  <c r="DN90" i="1"/>
  <c r="DO90" i="1"/>
  <c r="DP90" i="1"/>
  <c r="DQ90" i="1"/>
  <c r="DR90" i="1"/>
  <c r="DS90" i="1"/>
  <c r="DU90" i="1"/>
  <c r="DV90" i="1"/>
  <c r="BA91" i="1"/>
  <c r="BA89" i="1"/>
  <c r="CE91" i="1"/>
  <c r="CF91" i="1"/>
  <c r="CG91" i="1"/>
  <c r="CH91" i="1"/>
  <c r="CI91" i="1"/>
  <c r="CJ91" i="1"/>
  <c r="CK91" i="1"/>
  <c r="CL91" i="1"/>
  <c r="CM91" i="1"/>
  <c r="CN91" i="1"/>
  <c r="CO91" i="1"/>
  <c r="CQ91" i="1"/>
  <c r="CR91" i="1"/>
  <c r="CS91" i="1"/>
  <c r="CT91" i="1"/>
  <c r="CU91" i="1"/>
  <c r="CV91" i="1"/>
  <c r="DL91" i="1"/>
  <c r="DM91" i="1"/>
  <c r="DN91" i="1"/>
  <c r="DO91" i="1"/>
  <c r="DP91" i="1"/>
  <c r="DQ91" i="1"/>
  <c r="DS91" i="1"/>
  <c r="DT91" i="1"/>
  <c r="DU91" i="1"/>
  <c r="DV91" i="1"/>
  <c r="DW91" i="1"/>
  <c r="CE92" i="1"/>
  <c r="CF92" i="1"/>
  <c r="CG92" i="1"/>
  <c r="CH92" i="1"/>
  <c r="CI92" i="1"/>
  <c r="CJ92" i="1"/>
  <c r="CK92" i="1"/>
  <c r="CL92" i="1"/>
  <c r="CM92" i="1"/>
  <c r="CN92" i="1"/>
  <c r="CO92" i="1"/>
  <c r="CP92" i="1"/>
  <c r="CQ92" i="1"/>
  <c r="CR92" i="1"/>
  <c r="CS92" i="1"/>
  <c r="CT92" i="1"/>
  <c r="CU92" i="1"/>
  <c r="CV92" i="1"/>
  <c r="DL92" i="1"/>
  <c r="DM92" i="1"/>
  <c r="DN92" i="1"/>
  <c r="DO92" i="1"/>
  <c r="DP92" i="1"/>
  <c r="DQ92" i="1"/>
  <c r="DR92" i="1"/>
  <c r="DS92" i="1"/>
  <c r="DT92" i="1"/>
  <c r="DU92" i="1"/>
  <c r="DV92" i="1"/>
  <c r="DW92" i="1"/>
  <c r="BU89" i="1"/>
  <c r="BU88" i="1" s="1"/>
  <c r="CE93" i="1"/>
  <c r="CF93" i="1"/>
  <c r="CG93" i="1"/>
  <c r="CH93" i="1"/>
  <c r="CI93" i="1"/>
  <c r="CJ93" i="1"/>
  <c r="CJ89" i="1" s="1"/>
  <c r="CK93" i="1"/>
  <c r="CL93" i="1"/>
  <c r="CM93" i="1"/>
  <c r="CN93" i="1"/>
  <c r="CO93" i="1"/>
  <c r="CP93" i="1"/>
  <c r="CQ93" i="1"/>
  <c r="CR93" i="1"/>
  <c r="CS93" i="1"/>
  <c r="CT93" i="1"/>
  <c r="DL93" i="1"/>
  <c r="DM93" i="1"/>
  <c r="DN93" i="1"/>
  <c r="DO93" i="1"/>
  <c r="DP93" i="1"/>
  <c r="DQ93" i="1"/>
  <c r="DR93" i="1"/>
  <c r="DS93" i="1"/>
  <c r="DT93" i="1"/>
  <c r="DU93" i="1"/>
  <c r="DV93" i="1"/>
  <c r="CE94" i="1"/>
  <c r="CF94" i="1"/>
  <c r="CG94" i="1"/>
  <c r="CH94" i="1"/>
  <c r="CI94" i="1"/>
  <c r="CJ94" i="1"/>
  <c r="CK94" i="1"/>
  <c r="CK89" i="1" s="1"/>
  <c r="CL94" i="1"/>
  <c r="CM94" i="1"/>
  <c r="CN94" i="1"/>
  <c r="CO94" i="1"/>
  <c r="CO89" i="1" s="1"/>
  <c r="CP94" i="1"/>
  <c r="CQ94" i="1"/>
  <c r="CR94" i="1"/>
  <c r="CS94" i="1"/>
  <c r="CT94" i="1"/>
  <c r="CU94" i="1"/>
  <c r="CV94" i="1"/>
  <c r="DL94" i="1"/>
  <c r="DM94" i="1"/>
  <c r="DN94" i="1"/>
  <c r="DO94" i="1"/>
  <c r="DP94" i="1"/>
  <c r="DQ94" i="1"/>
  <c r="DR94" i="1"/>
  <c r="DS94" i="1"/>
  <c r="DT94" i="1"/>
  <c r="DU94" i="1"/>
  <c r="DV94" i="1"/>
  <c r="DW94" i="1"/>
  <c r="G95" i="1"/>
  <c r="H95" i="1"/>
  <c r="H89" i="1" s="1"/>
  <c r="H88" i="1" s="1"/>
  <c r="I95" i="1"/>
  <c r="Q95" i="1"/>
  <c r="AM95" i="1"/>
  <c r="DN95" i="1" s="1"/>
  <c r="AY95" i="1"/>
  <c r="BC95" i="1"/>
  <c r="BC89" i="1"/>
  <c r="BC88" i="1" s="1"/>
  <c r="BE95" i="1"/>
  <c r="BF95" i="1"/>
  <c r="BF89" i="1"/>
  <c r="BF88" i="1" s="1"/>
  <c r="BG95" i="1"/>
  <c r="BG89" i="1" s="1"/>
  <c r="BG88" i="1" s="1"/>
  <c r="BH95" i="1"/>
  <c r="BI95" i="1"/>
  <c r="BJ95" i="1"/>
  <c r="BK95" i="1"/>
  <c r="BL95" i="1"/>
  <c r="BL89" i="1" s="1"/>
  <c r="BM95" i="1"/>
  <c r="BM89" i="1" s="1"/>
  <c r="BM88" i="1" s="1"/>
  <c r="BN95" i="1"/>
  <c r="BN89" i="1" s="1"/>
  <c r="BN88" i="1" s="1"/>
  <c r="BO95" i="1"/>
  <c r="BP95" i="1"/>
  <c r="BQ89" i="1"/>
  <c r="BR95" i="1"/>
  <c r="CF95" i="1"/>
  <c r="CH95" i="1"/>
  <c r="CH89" i="1" s="1"/>
  <c r="CH88" i="1" s="1"/>
  <c r="CH117" i="8" s="1"/>
  <c r="CI95" i="1"/>
  <c r="CJ95" i="1"/>
  <c r="CK95" i="1"/>
  <c r="CL95" i="1"/>
  <c r="CN95" i="1"/>
  <c r="CO95" i="1"/>
  <c r="CV95" i="1"/>
  <c r="DL95" i="1"/>
  <c r="DM95" i="1"/>
  <c r="DO95" i="1"/>
  <c r="DP95" i="1"/>
  <c r="DW95" i="1"/>
  <c r="AC96" i="1"/>
  <c r="CE96" i="1"/>
  <c r="CF96" i="1"/>
  <c r="CG96" i="1"/>
  <c r="CH96" i="1"/>
  <c r="CI96" i="1"/>
  <c r="CK96" i="1"/>
  <c r="CL96" i="1"/>
  <c r="CM96" i="1"/>
  <c r="CN96" i="1"/>
  <c r="CO96" i="1"/>
  <c r="CP96" i="1"/>
  <c r="CQ96" i="1"/>
  <c r="CR96" i="1"/>
  <c r="CS96" i="1"/>
  <c r="CT96" i="1"/>
  <c r="CU96" i="1"/>
  <c r="CV96" i="1"/>
  <c r="DM96" i="1"/>
  <c r="DN96" i="1"/>
  <c r="DO96" i="1"/>
  <c r="DP96" i="1"/>
  <c r="DQ96" i="1"/>
  <c r="DR96" i="1"/>
  <c r="DS96" i="1"/>
  <c r="DT96" i="1"/>
  <c r="DU96" i="1"/>
  <c r="DV96" i="1"/>
  <c r="DW96" i="1"/>
  <c r="F102" i="1"/>
  <c r="G102" i="1"/>
  <c r="H102" i="1"/>
  <c r="I102" i="1"/>
  <c r="K102" i="1"/>
  <c r="L102" i="1"/>
  <c r="N102" i="1"/>
  <c r="O102" i="1"/>
  <c r="P102" i="1"/>
  <c r="S102" i="1"/>
  <c r="T102" i="1"/>
  <c r="V102" i="1"/>
  <c r="W102" i="1"/>
  <c r="X102" i="1"/>
  <c r="X554" i="1" s="1"/>
  <c r="Y102" i="1"/>
  <c r="Z103" i="1"/>
  <c r="AA102" i="1"/>
  <c r="AB102" i="1"/>
  <c r="AD102" i="1"/>
  <c r="AE102" i="1"/>
  <c r="AF102" i="1"/>
  <c r="AG102" i="1"/>
  <c r="AG103" i="1" s="1"/>
  <c r="AK102" i="1"/>
  <c r="AK103" i="1" s="1"/>
  <c r="AL102" i="1"/>
  <c r="AM102" i="1"/>
  <c r="AO102" i="1"/>
  <c r="AO103" i="1" s="1"/>
  <c r="AP102" i="1"/>
  <c r="AP103" i="1" s="1"/>
  <c r="AS102" i="1"/>
  <c r="AS103" i="1" s="1"/>
  <c r="AT102" i="1"/>
  <c r="AT103" i="1" s="1"/>
  <c r="AV102" i="1"/>
  <c r="AV103" i="1" s="1"/>
  <c r="AX102" i="1"/>
  <c r="AX103" i="1" s="1"/>
  <c r="AZ102" i="1"/>
  <c r="BB102" i="1"/>
  <c r="BB103" i="1" s="1"/>
  <c r="BC102" i="1"/>
  <c r="BF102" i="1"/>
  <c r="BF103" i="1" s="1"/>
  <c r="BG102" i="1"/>
  <c r="BI102" i="1"/>
  <c r="BI103" i="1" s="1"/>
  <c r="BJ102" i="1"/>
  <c r="BJ103" i="1" s="1"/>
  <c r="BK102" i="1"/>
  <c r="BK103" i="1" s="1"/>
  <c r="BL103" i="1"/>
  <c r="BM102" i="1"/>
  <c r="BP102" i="1"/>
  <c r="BP103" i="1" s="1"/>
  <c r="BQ102" i="1"/>
  <c r="BQ103" i="1" s="1"/>
  <c r="BR102" i="1"/>
  <c r="BB118" i="1"/>
  <c r="BD118" i="1"/>
  <c r="BF118" i="1"/>
  <c r="BI118" i="1"/>
  <c r="BL118" i="1"/>
  <c r="BN118" i="1"/>
  <c r="BP118" i="1"/>
  <c r="BQ118" i="1"/>
  <c r="BR118" i="1"/>
  <c r="BS118" i="1"/>
  <c r="DL118" i="1"/>
  <c r="DM118" i="1"/>
  <c r="DN118" i="1"/>
  <c r="DO118" i="1"/>
  <c r="DP118" i="1"/>
  <c r="DQ118" i="1"/>
  <c r="BP119" i="1"/>
  <c r="CT119" i="1" s="1"/>
  <c r="CQ119" i="1"/>
  <c r="CR119" i="1"/>
  <c r="CS119" i="1"/>
  <c r="DL119" i="1"/>
  <c r="DM119" i="1"/>
  <c r="DN119" i="1"/>
  <c r="DO119" i="1"/>
  <c r="DP119" i="1"/>
  <c r="DQ119" i="1"/>
  <c r="DR119" i="1"/>
  <c r="DS119" i="1"/>
  <c r="DT119" i="1"/>
  <c r="DU119" i="1"/>
  <c r="DW119" i="1"/>
  <c r="AD121" i="1"/>
  <c r="AE121" i="1"/>
  <c r="AF121" i="1"/>
  <c r="AG121" i="1"/>
  <c r="CK121" i="1" s="1"/>
  <c r="AH121" i="1"/>
  <c r="AI121" i="1"/>
  <c r="AJ121" i="1"/>
  <c r="AK121" i="1"/>
  <c r="CL121" i="1" s="1"/>
  <c r="AM121" i="1"/>
  <c r="AN121" i="1"/>
  <c r="DO121" i="1" s="1"/>
  <c r="AW121" i="1"/>
  <c r="AX121" i="1"/>
  <c r="BH121" i="1"/>
  <c r="CG121" i="1"/>
  <c r="CH121" i="1"/>
  <c r="CI121" i="1"/>
  <c r="CJ121" i="1"/>
  <c r="CM121" i="1"/>
  <c r="CN121" i="1"/>
  <c r="CP121" i="1"/>
  <c r="CQ121" i="1"/>
  <c r="CR121" i="1"/>
  <c r="CS121" i="1"/>
  <c r="CT121" i="1"/>
  <c r="DP121" i="1"/>
  <c r="DR121" i="1"/>
  <c r="DS121" i="1"/>
  <c r="DT121" i="1"/>
  <c r="DU121" i="1"/>
  <c r="DV121" i="1"/>
  <c r="I122" i="1"/>
  <c r="I575" i="1" s="1"/>
  <c r="CT122" i="1"/>
  <c r="DL122" i="1"/>
  <c r="DM122" i="1"/>
  <c r="DN122" i="1"/>
  <c r="DO122" i="1"/>
  <c r="DP122" i="1"/>
  <c r="DQ122" i="1"/>
  <c r="DR122" i="1"/>
  <c r="DS122" i="1"/>
  <c r="DT122" i="1"/>
  <c r="DU122" i="1"/>
  <c r="DV122" i="1"/>
  <c r="F123" i="1"/>
  <c r="G123" i="1"/>
  <c r="H123" i="1"/>
  <c r="J123" i="1"/>
  <c r="K123"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K123" i="1"/>
  <c r="AL123" i="1"/>
  <c r="AM123" i="1"/>
  <c r="AN123" i="1"/>
  <c r="AO123" i="1"/>
  <c r="AP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BN123" i="1"/>
  <c r="BO123" i="1"/>
  <c r="BP123" i="1"/>
  <c r="I124" i="1"/>
  <c r="CT124" i="1"/>
  <c r="DL124" i="1"/>
  <c r="DM124" i="1"/>
  <c r="DN124" i="1"/>
  <c r="DO124" i="1"/>
  <c r="DP124" i="1"/>
  <c r="DQ124" i="1"/>
  <c r="DR124" i="1"/>
  <c r="DS124" i="1"/>
  <c r="DT124" i="1"/>
  <c r="DU124" i="1"/>
  <c r="DV124" i="1"/>
  <c r="F133" i="1"/>
  <c r="G133" i="1"/>
  <c r="H133" i="1"/>
  <c r="F134" i="1"/>
  <c r="G134" i="1"/>
  <c r="H134" i="1"/>
  <c r="N134" i="1"/>
  <c r="J149" i="1"/>
  <c r="K149" i="1"/>
  <c r="L149" i="1"/>
  <c r="N149" i="1"/>
  <c r="O149" i="1"/>
  <c r="P149" i="1"/>
  <c r="S149" i="1"/>
  <c r="T149" i="1"/>
  <c r="W149" i="1"/>
  <c r="X149" i="1"/>
  <c r="Y149" i="1"/>
  <c r="Z149" i="1"/>
  <c r="AA149" i="1"/>
  <c r="AB149" i="1"/>
  <c r="AC149" i="1"/>
  <c r="AD149" i="1"/>
  <c r="AE149" i="1"/>
  <c r="AF149" i="1"/>
  <c r="AG149" i="1"/>
  <c r="AH149" i="1"/>
  <c r="AI149" i="1"/>
  <c r="AJ149" i="1"/>
  <c r="AK149" i="1"/>
  <c r="AL149" i="1"/>
  <c r="AO149" i="1"/>
  <c r="AP149" i="1"/>
  <c r="AS149" i="1"/>
  <c r="AT149" i="1"/>
  <c r="AU149" i="1"/>
  <c r="AW149" i="1"/>
  <c r="AX149" i="1"/>
  <c r="BA149" i="1"/>
  <c r="BO149" i="1"/>
  <c r="BP149" i="1"/>
  <c r="BQ149" i="1"/>
  <c r="BR149" i="1"/>
  <c r="BS149" i="1"/>
  <c r="BT149" i="1"/>
  <c r="J150" i="1"/>
  <c r="K150" i="1"/>
  <c r="L150" i="1"/>
  <c r="M150" i="1"/>
  <c r="N150" i="1"/>
  <c r="O150" i="1"/>
  <c r="P150" i="1"/>
  <c r="R150" i="1"/>
  <c r="S150" i="1"/>
  <c r="T150" i="1"/>
  <c r="V150" i="1"/>
  <c r="W150" i="1"/>
  <c r="X150" i="1"/>
  <c r="Z150" i="1"/>
  <c r="AA150" i="1"/>
  <c r="AB150" i="1"/>
  <c r="AD150" i="1"/>
  <c r="AE150" i="1"/>
  <c r="AF150" i="1"/>
  <c r="AG150" i="1"/>
  <c r="AH150" i="1"/>
  <c r="AI150" i="1"/>
  <c r="AJ150" i="1"/>
  <c r="AK150" i="1"/>
  <c r="AL150" i="1"/>
  <c r="AO150" i="1"/>
  <c r="AP150" i="1"/>
  <c r="AT150" i="1"/>
  <c r="AU150" i="1"/>
  <c r="BR150" i="1"/>
  <c r="G158" i="1"/>
  <c r="H158" i="1"/>
  <c r="I158" i="1"/>
  <c r="G164" i="1"/>
  <c r="H164" i="1"/>
  <c r="K164" i="1"/>
  <c r="L164" i="1"/>
  <c r="M164" i="1"/>
  <c r="N164" i="1"/>
  <c r="O164" i="1"/>
  <c r="P164" i="1"/>
  <c r="T164" i="1"/>
  <c r="U164" i="1"/>
  <c r="V164" i="1"/>
  <c r="W164" i="1"/>
  <c r="X164" i="1"/>
  <c r="Y164" i="1"/>
  <c r="Z164" i="1"/>
  <c r="AA164" i="1"/>
  <c r="AB164" i="1"/>
  <c r="AC164" i="1"/>
  <c r="AD164" i="1"/>
  <c r="AE164" i="1"/>
  <c r="AF164" i="1"/>
  <c r="AG164" i="1"/>
  <c r="AH164" i="1"/>
  <c r="AI164" i="1"/>
  <c r="AJ164" i="1"/>
  <c r="AK164" i="1"/>
  <c r="AL164" i="1"/>
  <c r="AP164" i="1"/>
  <c r="AQ164" i="1"/>
  <c r="AR164" i="1"/>
  <c r="AS164" i="1"/>
  <c r="AT164" i="1"/>
  <c r="AU164" i="1"/>
  <c r="AV164" i="1"/>
  <c r="AX164" i="1"/>
  <c r="BA164" i="1"/>
  <c r="BK164" i="1"/>
  <c r="BL164" i="1"/>
  <c r="BM164" i="1"/>
  <c r="BN164" i="1"/>
  <c r="BO164" i="1"/>
  <c r="BP164" i="1"/>
  <c r="BQ164" i="1"/>
  <c r="BR164" i="1"/>
  <c r="BS164" i="1"/>
  <c r="BT164" i="1"/>
  <c r="G165" i="1"/>
  <c r="H165" i="1"/>
  <c r="I165" i="1"/>
  <c r="J165" i="1"/>
  <c r="K165" i="1"/>
  <c r="L165" i="1"/>
  <c r="M165" i="1"/>
  <c r="N165" i="1"/>
  <c r="O165" i="1"/>
  <c r="P165" i="1"/>
  <c r="S165" i="1"/>
  <c r="T165" i="1"/>
  <c r="U165" i="1"/>
  <c r="V165" i="1"/>
  <c r="W165" i="1"/>
  <c r="X165" i="1"/>
  <c r="AA165" i="1"/>
  <c r="AB165" i="1"/>
  <c r="AC165" i="1"/>
  <c r="AD165" i="1"/>
  <c r="AE165" i="1"/>
  <c r="AF165" i="1"/>
  <c r="AG165" i="1"/>
  <c r="AH165" i="1"/>
  <c r="AI165" i="1"/>
  <c r="AJ165" i="1"/>
  <c r="AK165" i="1"/>
  <c r="AL165" i="1"/>
  <c r="AP165" i="1"/>
  <c r="AQ165" i="1"/>
  <c r="AR165" i="1"/>
  <c r="AS165" i="1"/>
  <c r="AU165" i="1"/>
  <c r="AS214" i="1"/>
  <c r="AW214" i="1"/>
  <c r="AX214" i="1"/>
  <c r="AY214" i="1"/>
  <c r="BA218" i="1"/>
  <c r="AV219" i="1"/>
  <c r="BE202" i="1"/>
  <c r="BD220" i="1"/>
  <c r="BE220" i="1"/>
  <c r="BI220" i="1"/>
  <c r="BJ220" i="1"/>
  <c r="BL220" i="1"/>
  <c r="BQ220" i="1"/>
  <c r="AT221" i="1"/>
  <c r="AU221" i="1"/>
  <c r="AV221" i="1"/>
  <c r="AW221" i="1"/>
  <c r="AX221" i="1"/>
  <c r="AZ221" i="1"/>
  <c r="BA221" i="1"/>
  <c r="BB221" i="1"/>
  <c r="BC221" i="1"/>
  <c r="BD221" i="1"/>
  <c r="BE221" i="1"/>
  <c r="BG221" i="1"/>
  <c r="BI221" i="1"/>
  <c r="BJ221" i="1"/>
  <c r="BN221" i="1"/>
  <c r="BP221" i="1"/>
  <c r="BQ221" i="1"/>
  <c r="BR221" i="1"/>
  <c r="BS221" i="1"/>
  <c r="AS222" i="1"/>
  <c r="AT222" i="1"/>
  <c r="AV222" i="1"/>
  <c r="AW222" i="1"/>
  <c r="AZ222" i="1"/>
  <c r="BA222" i="1"/>
  <c r="BB222" i="1"/>
  <c r="BC222" i="1"/>
  <c r="BG222" i="1"/>
  <c r="BI222" i="1"/>
  <c r="BJ222" i="1"/>
  <c r="BL222" i="1"/>
  <c r="BO222" i="1"/>
  <c r="BP222" i="1"/>
  <c r="BQ222" i="1"/>
  <c r="BR222" i="1"/>
  <c r="BS222" i="1"/>
  <c r="BD223" i="1"/>
  <c r="BE223" i="1"/>
  <c r="BI223" i="1"/>
  <c r="BK223" i="1"/>
  <c r="BM223" i="1"/>
  <c r="BN223" i="1"/>
  <c r="BO223" i="1"/>
  <c r="BP223" i="1"/>
  <c r="BR223" i="1"/>
  <c r="AT224" i="1"/>
  <c r="AU224" i="1"/>
  <c r="AV224" i="1"/>
  <c r="AY224" i="1"/>
  <c r="AZ224" i="1"/>
  <c r="BB224" i="1"/>
  <c r="BC224" i="1"/>
  <c r="BF224" i="1"/>
  <c r="BG224" i="1"/>
  <c r="BI224" i="1"/>
  <c r="BJ224" i="1"/>
  <c r="BL224" i="1"/>
  <c r="BN224" i="1"/>
  <c r="BP224" i="1"/>
  <c r="BQ224" i="1"/>
  <c r="BS224" i="1"/>
  <c r="AR225" i="1"/>
  <c r="AV225" i="1"/>
  <c r="AW225" i="1"/>
  <c r="AX225" i="1"/>
  <c r="BA225" i="1"/>
  <c r="BB225" i="1"/>
  <c r="BD225" i="1"/>
  <c r="BH225" i="1"/>
  <c r="BJ225" i="1"/>
  <c r="BL225" i="1"/>
  <c r="BM225" i="1"/>
  <c r="BN225" i="1"/>
  <c r="BP225" i="1"/>
  <c r="BS225" i="1"/>
  <c r="BB229" i="1"/>
  <c r="BC229" i="1"/>
  <c r="BD229" i="1"/>
  <c r="BE229" i="1"/>
  <c r="BF229" i="1"/>
  <c r="BG229" i="1"/>
  <c r="BH229" i="1"/>
  <c r="BI229" i="1"/>
  <c r="BJ229" i="1"/>
  <c r="BK229" i="1"/>
  <c r="BL229" i="1"/>
  <c r="BM229" i="1"/>
  <c r="BN229" i="1"/>
  <c r="BO229" i="1"/>
  <c r="BP229" i="1"/>
  <c r="BQ229" i="1"/>
  <c r="BR229" i="1"/>
  <c r="BS229" i="1"/>
  <c r="BT229" i="1"/>
  <c r="BB233" i="1"/>
  <c r="BC233" i="1"/>
  <c r="BC235" i="1" s="1"/>
  <c r="BD233" i="1"/>
  <c r="BE233" i="1"/>
  <c r="BF233" i="1"/>
  <c r="BG233" i="1"/>
  <c r="BH233" i="1"/>
  <c r="BI233" i="1"/>
  <c r="BJ233" i="1"/>
  <c r="BK233" i="1"/>
  <c r="BL233" i="1"/>
  <c r="BM233" i="1"/>
  <c r="BN233" i="1"/>
  <c r="BO233" i="1"/>
  <c r="BP233" i="1"/>
  <c r="BQ233" i="1"/>
  <c r="BR233" i="1"/>
  <c r="BS233" i="1"/>
  <c r="BT233" i="1"/>
  <c r="CQ241" i="1"/>
  <c r="CR241" i="1"/>
  <c r="CS241" i="1"/>
  <c r="CT241" i="1"/>
  <c r="BF242" i="1"/>
  <c r="BG242" i="1"/>
  <c r="BH242" i="1"/>
  <c r="BI242" i="1"/>
  <c r="BJ242" i="1"/>
  <c r="BK242" i="1"/>
  <c r="BL242" i="1"/>
  <c r="BM242" i="1"/>
  <c r="BN242" i="1"/>
  <c r="BO242" i="1"/>
  <c r="BP242" i="1"/>
  <c r="BQ242" i="1"/>
  <c r="BR242" i="1"/>
  <c r="BS242" i="1"/>
  <c r="BT242" i="1"/>
  <c r="BC243" i="1"/>
  <c r="BD243" i="1"/>
  <c r="BE243" i="1"/>
  <c r="BF243" i="1"/>
  <c r="BG243" i="1"/>
  <c r="BH243" i="1"/>
  <c r="BI243" i="1"/>
  <c r="BJ243" i="1"/>
  <c r="BK243" i="1"/>
  <c r="BL243" i="1"/>
  <c r="BM243" i="1"/>
  <c r="BN243" i="1"/>
  <c r="BO243" i="1"/>
  <c r="BP243" i="1"/>
  <c r="BQ243" i="1"/>
  <c r="BR243" i="1"/>
  <c r="BS243" i="1"/>
  <c r="BT243" i="1"/>
  <c r="CQ245" i="1"/>
  <c r="CR245" i="1"/>
  <c r="CS245" i="1"/>
  <c r="CT245" i="1"/>
  <c r="BF246" i="1"/>
  <c r="BG246" i="1"/>
  <c r="BH246" i="1"/>
  <c r="BI246" i="1"/>
  <c r="BJ246" i="1"/>
  <c r="BK246" i="1"/>
  <c r="BL246" i="1"/>
  <c r="BM246" i="1"/>
  <c r="BN246" i="1"/>
  <c r="BO246" i="1"/>
  <c r="BP246" i="1"/>
  <c r="BQ246" i="1"/>
  <c r="BR246" i="1"/>
  <c r="BS246" i="1"/>
  <c r="BT246" i="1"/>
  <c r="BC247" i="1"/>
  <c r="BD247" i="1"/>
  <c r="BE247" i="1"/>
  <c r="BF247" i="1"/>
  <c r="BG247" i="1"/>
  <c r="BH247" i="1"/>
  <c r="BI247" i="1"/>
  <c r="BJ247" i="1"/>
  <c r="BK247" i="1"/>
  <c r="BL247" i="1"/>
  <c r="BM247" i="1"/>
  <c r="BN247" i="1"/>
  <c r="BO247" i="1"/>
  <c r="BP247" i="1"/>
  <c r="BQ247" i="1"/>
  <c r="BR247" i="1"/>
  <c r="BS247" i="1"/>
  <c r="BT247" i="1"/>
  <c r="BB249" i="1"/>
  <c r="BC249" i="1"/>
  <c r="BD249" i="1"/>
  <c r="BE249" i="1"/>
  <c r="BE251" i="1" s="1"/>
  <c r="BF249" i="1"/>
  <c r="BG249" i="1"/>
  <c r="BH249" i="1"/>
  <c r="BI249" i="1"/>
  <c r="BI250" i="1" s="1"/>
  <c r="BJ249" i="1"/>
  <c r="BK249" i="1"/>
  <c r="BL249" i="1"/>
  <c r="BM249" i="1"/>
  <c r="BN249" i="1"/>
  <c r="BO249" i="1"/>
  <c r="BP249" i="1"/>
  <c r="BQ249" i="1"/>
  <c r="BR249" i="1"/>
  <c r="BS249" i="1"/>
  <c r="BT249" i="1"/>
  <c r="BB261" i="1"/>
  <c r="CQ264" i="1"/>
  <c r="CR264" i="1"/>
  <c r="CS264" i="1"/>
  <c r="CT264" i="1"/>
  <c r="CU264" i="1"/>
  <c r="BF265" i="1"/>
  <c r="BG265" i="1"/>
  <c r="BH265" i="1"/>
  <c r="BI265" i="1"/>
  <c r="BJ265" i="1"/>
  <c r="BK265" i="1"/>
  <c r="BL265" i="1"/>
  <c r="BM265" i="1"/>
  <c r="BN265" i="1"/>
  <c r="BO265" i="1"/>
  <c r="BP265" i="1"/>
  <c r="BQ265" i="1"/>
  <c r="BR265" i="1"/>
  <c r="BS265" i="1"/>
  <c r="BC266" i="1"/>
  <c r="BD266" i="1"/>
  <c r="BE266" i="1"/>
  <c r="BF266" i="1"/>
  <c r="BG266" i="1"/>
  <c r="BH266" i="1"/>
  <c r="BI266" i="1"/>
  <c r="BJ266" i="1"/>
  <c r="BK266" i="1"/>
  <c r="BL266" i="1"/>
  <c r="BM266" i="1"/>
  <c r="BN266" i="1"/>
  <c r="BO266" i="1"/>
  <c r="BP266" i="1"/>
  <c r="BQ266" i="1"/>
  <c r="BR266" i="1"/>
  <c r="BS266" i="1"/>
  <c r="BC267" i="1"/>
  <c r="BC261" i="1" s="1"/>
  <c r="BJ269" i="1"/>
  <c r="BJ279" i="1" s="1"/>
  <c r="BB271" i="1"/>
  <c r="CQ274" i="1"/>
  <c r="CR274" i="1"/>
  <c r="CS274" i="1"/>
  <c r="CT274" i="1"/>
  <c r="CU274" i="1"/>
  <c r="BF275" i="1"/>
  <c r="BG275" i="1"/>
  <c r="BH275" i="1"/>
  <c r="BI275" i="1"/>
  <c r="BJ275" i="1"/>
  <c r="BK275" i="1"/>
  <c r="BL275" i="1"/>
  <c r="BM275" i="1"/>
  <c r="BN275" i="1"/>
  <c r="BO275" i="1"/>
  <c r="BP275" i="1"/>
  <c r="BQ275" i="1"/>
  <c r="BR275" i="1"/>
  <c r="BS275" i="1"/>
  <c r="BC276" i="1"/>
  <c r="BD276" i="1"/>
  <c r="BE276" i="1"/>
  <c r="BF276" i="1"/>
  <c r="BG276" i="1"/>
  <c r="BH276" i="1"/>
  <c r="BI276" i="1"/>
  <c r="BJ276" i="1"/>
  <c r="BK276" i="1"/>
  <c r="BL276" i="1"/>
  <c r="BM276" i="1"/>
  <c r="BN276" i="1"/>
  <c r="BO276" i="1"/>
  <c r="BP276" i="1"/>
  <c r="BQ276" i="1"/>
  <c r="BR276" i="1"/>
  <c r="BS276" i="1"/>
  <c r="BC279" i="1"/>
  <c r="BC277" i="1" s="1"/>
  <c r="BC271" i="1" s="1"/>
  <c r="BD279" i="1"/>
  <c r="BE279" i="1"/>
  <c r="BF279" i="1"/>
  <c r="BG279" i="1"/>
  <c r="BH279" i="1"/>
  <c r="BI279" i="1"/>
  <c r="BK279" i="1"/>
  <c r="BL279" i="1"/>
  <c r="BM279" i="1"/>
  <c r="BN279" i="1"/>
  <c r="BO279" i="1"/>
  <c r="BP279" i="1"/>
  <c r="BQ279" i="1"/>
  <c r="BB281" i="1"/>
  <c r="BB213" i="1" s="1"/>
  <c r="CQ284" i="1"/>
  <c r="CR284" i="1"/>
  <c r="CS284" i="1"/>
  <c r="CT284" i="1"/>
  <c r="CU284" i="1"/>
  <c r="BF285" i="1"/>
  <c r="BG285" i="1"/>
  <c r="BH285" i="1"/>
  <c r="BI285" i="1"/>
  <c r="BJ285" i="1"/>
  <c r="BK285" i="1"/>
  <c r="BL285" i="1"/>
  <c r="BM285" i="1"/>
  <c r="BN285" i="1"/>
  <c r="BO285" i="1"/>
  <c r="BP285" i="1"/>
  <c r="BQ285" i="1"/>
  <c r="BR285" i="1"/>
  <c r="BS285" i="1"/>
  <c r="BC286" i="1"/>
  <c r="BD286" i="1"/>
  <c r="BE286" i="1"/>
  <c r="BF286" i="1"/>
  <c r="BG286" i="1"/>
  <c r="BH286" i="1"/>
  <c r="BI286" i="1"/>
  <c r="BJ286" i="1"/>
  <c r="BK286" i="1"/>
  <c r="BL286" i="1"/>
  <c r="BM286" i="1"/>
  <c r="BN286" i="1"/>
  <c r="BO286" i="1"/>
  <c r="BP286" i="1"/>
  <c r="BQ286" i="1"/>
  <c r="BR286" i="1"/>
  <c r="BS286" i="1"/>
  <c r="BC287" i="1"/>
  <c r="BD287" i="1" s="1"/>
  <c r="CQ291" i="1"/>
  <c r="CQ13" i="1" s="1"/>
  <c r="CR291" i="1"/>
  <c r="CS291" i="1"/>
  <c r="CS13" i="1" s="1"/>
  <c r="CT291" i="1"/>
  <c r="BF292" i="1"/>
  <c r="BG292" i="1"/>
  <c r="BH292" i="1"/>
  <c r="BI292" i="1"/>
  <c r="BJ292" i="1"/>
  <c r="BK292" i="1"/>
  <c r="BL292" i="1"/>
  <c r="BM292" i="1"/>
  <c r="BN292" i="1"/>
  <c r="BO292" i="1"/>
  <c r="BP292" i="1"/>
  <c r="BQ292" i="1"/>
  <c r="BR292" i="1"/>
  <c r="BS292" i="1"/>
  <c r="BT292" i="1"/>
  <c r="BC293" i="1"/>
  <c r="BD293" i="1"/>
  <c r="BE293" i="1"/>
  <c r="BF293" i="1"/>
  <c r="BG293" i="1"/>
  <c r="BH293" i="1"/>
  <c r="BI293" i="1"/>
  <c r="BJ293" i="1"/>
  <c r="BK293" i="1"/>
  <c r="BL293" i="1"/>
  <c r="BM293" i="1"/>
  <c r="BN293" i="1"/>
  <c r="BO293" i="1"/>
  <c r="BP293" i="1"/>
  <c r="BQ293" i="1"/>
  <c r="BR293" i="1"/>
  <c r="BS293" i="1"/>
  <c r="BT293" i="1"/>
  <c r="CQ295" i="1"/>
  <c r="CR295" i="1"/>
  <c r="CS295" i="1"/>
  <c r="CS299" i="1" s="1"/>
  <c r="CT295" i="1"/>
  <c r="BF296" i="1"/>
  <c r="BG296" i="1"/>
  <c r="BH296" i="1"/>
  <c r="BI296" i="1"/>
  <c r="BJ296" i="1"/>
  <c r="BK296" i="1"/>
  <c r="BL296" i="1"/>
  <c r="BM296" i="1"/>
  <c r="BN296" i="1"/>
  <c r="BO296" i="1"/>
  <c r="BP296" i="1"/>
  <c r="BQ296" i="1"/>
  <c r="BR296" i="1"/>
  <c r="BS296" i="1"/>
  <c r="BT296" i="1"/>
  <c r="BC297" i="1"/>
  <c r="BD297" i="1"/>
  <c r="BE297" i="1"/>
  <c r="BF297" i="1"/>
  <c r="BG297" i="1"/>
  <c r="BH297" i="1"/>
  <c r="BI297" i="1"/>
  <c r="BJ297" i="1"/>
  <c r="BK297" i="1"/>
  <c r="BL297" i="1"/>
  <c r="BM297" i="1"/>
  <c r="BN297" i="1"/>
  <c r="BO297" i="1"/>
  <c r="BP297" i="1"/>
  <c r="BQ297" i="1"/>
  <c r="BR297" i="1"/>
  <c r="BS297" i="1"/>
  <c r="BT297" i="1"/>
  <c r="BB299" i="1"/>
  <c r="BC299" i="1"/>
  <c r="BC301" i="1" s="1"/>
  <c r="BD299" i="1"/>
  <c r="BE299" i="1"/>
  <c r="BF299" i="1"/>
  <c r="BG299" i="1"/>
  <c r="BH299" i="1"/>
  <c r="BI299" i="1"/>
  <c r="BJ299" i="1"/>
  <c r="BK299" i="1"/>
  <c r="BK301" i="1" s="1"/>
  <c r="BL299" i="1"/>
  <c r="BL300" i="1" s="1"/>
  <c r="BM299" i="1"/>
  <c r="BN299" i="1"/>
  <c r="BO299" i="1"/>
  <c r="BO300" i="1" s="1"/>
  <c r="BP299" i="1"/>
  <c r="BQ299" i="1"/>
  <c r="BR299" i="1"/>
  <c r="BS299" i="1"/>
  <c r="BT299" i="1"/>
  <c r="BT300" i="1" s="1"/>
  <c r="BB307" i="1"/>
  <c r="CQ310" i="1"/>
  <c r="CR310" i="1"/>
  <c r="CS310" i="1"/>
  <c r="CT310" i="1"/>
  <c r="CU310" i="1"/>
  <c r="BF311" i="1"/>
  <c r="BG311" i="1"/>
  <c r="BH311" i="1"/>
  <c r="BI311" i="1"/>
  <c r="BJ311" i="1"/>
  <c r="BK311" i="1"/>
  <c r="BL311" i="1"/>
  <c r="BM311" i="1"/>
  <c r="BN311" i="1"/>
  <c r="BO311" i="1"/>
  <c r="BP311" i="1"/>
  <c r="BQ311" i="1"/>
  <c r="BR311" i="1"/>
  <c r="BS311" i="1"/>
  <c r="BC312" i="1"/>
  <c r="BD312" i="1"/>
  <c r="BE312" i="1"/>
  <c r="BF312" i="1"/>
  <c r="BG312" i="1"/>
  <c r="BH312" i="1"/>
  <c r="BI312" i="1"/>
  <c r="BJ312" i="1"/>
  <c r="BK312" i="1"/>
  <c r="BL312" i="1"/>
  <c r="BM312" i="1"/>
  <c r="BN312" i="1"/>
  <c r="BO312" i="1"/>
  <c r="BP312" i="1"/>
  <c r="BQ312" i="1"/>
  <c r="BR312" i="1"/>
  <c r="BS312" i="1"/>
  <c r="BC313" i="1"/>
  <c r="CQ317" i="1"/>
  <c r="CR317" i="1"/>
  <c r="CS317" i="1"/>
  <c r="CS14" i="1" s="1"/>
  <c r="CT317" i="1"/>
  <c r="CT14" i="1" s="1"/>
  <c r="BF318" i="1"/>
  <c r="BG318" i="1"/>
  <c r="BH318" i="1"/>
  <c r="BI318" i="1"/>
  <c r="BJ318" i="1"/>
  <c r="BK318" i="1"/>
  <c r="BL318" i="1"/>
  <c r="BM318" i="1"/>
  <c r="BN318" i="1"/>
  <c r="BO318" i="1"/>
  <c r="BP318" i="1"/>
  <c r="BQ318" i="1"/>
  <c r="BR318" i="1"/>
  <c r="BS318" i="1"/>
  <c r="BT318" i="1"/>
  <c r="BC319" i="1"/>
  <c r="BD319" i="1"/>
  <c r="BE319" i="1"/>
  <c r="BF319" i="1"/>
  <c r="BG319" i="1"/>
  <c r="BH319" i="1"/>
  <c r="BI319" i="1"/>
  <c r="BJ319" i="1"/>
  <c r="BK319" i="1"/>
  <c r="BL319" i="1"/>
  <c r="BM319" i="1"/>
  <c r="BN319" i="1"/>
  <c r="BO319" i="1"/>
  <c r="BP319" i="1"/>
  <c r="BQ319" i="1"/>
  <c r="BR319" i="1"/>
  <c r="BS319" i="1"/>
  <c r="BT319" i="1"/>
  <c r="CQ321" i="1"/>
  <c r="CR321" i="1"/>
  <c r="CS321" i="1"/>
  <c r="CT321" i="1"/>
  <c r="BF322" i="1"/>
  <c r="BG322" i="1"/>
  <c r="BH322" i="1"/>
  <c r="BI322" i="1"/>
  <c r="BJ322" i="1"/>
  <c r="BK322" i="1"/>
  <c r="BL322" i="1"/>
  <c r="BM322" i="1"/>
  <c r="BN322" i="1"/>
  <c r="BO322" i="1"/>
  <c r="BP322" i="1"/>
  <c r="BQ322" i="1"/>
  <c r="BR322" i="1"/>
  <c r="BS322" i="1"/>
  <c r="BT322" i="1"/>
  <c r="BC323" i="1"/>
  <c r="BD323" i="1"/>
  <c r="BE323" i="1"/>
  <c r="BF323" i="1"/>
  <c r="BG323" i="1"/>
  <c r="BH323" i="1"/>
  <c r="BI323" i="1"/>
  <c r="BJ323" i="1"/>
  <c r="BK323" i="1"/>
  <c r="BL323" i="1"/>
  <c r="BM323" i="1"/>
  <c r="BN323" i="1"/>
  <c r="BO323" i="1"/>
  <c r="BP323" i="1"/>
  <c r="BQ323" i="1"/>
  <c r="BR323" i="1"/>
  <c r="BS323" i="1"/>
  <c r="BT323" i="1"/>
  <c r="BB325" i="1"/>
  <c r="BC325" i="1"/>
  <c r="BD325" i="1"/>
  <c r="BE325" i="1"/>
  <c r="BF325" i="1"/>
  <c r="BG325" i="1"/>
  <c r="BH325" i="1"/>
  <c r="BI325" i="1"/>
  <c r="BJ325" i="1"/>
  <c r="BK325" i="1"/>
  <c r="BL325" i="1"/>
  <c r="BM325" i="1"/>
  <c r="BN325" i="1"/>
  <c r="BO325" i="1"/>
  <c r="BP325" i="1"/>
  <c r="BQ325" i="1"/>
  <c r="BR325" i="1"/>
  <c r="BS325" i="1"/>
  <c r="BW326" i="1" s="1"/>
  <c r="BT325" i="1"/>
  <c r="BB343" i="1"/>
  <c r="BC346" i="1"/>
  <c r="BC349" i="1"/>
  <c r="BB356" i="1"/>
  <c r="BB219" i="1" s="1"/>
  <c r="BC361" i="1"/>
  <c r="BC359" i="1" s="1"/>
  <c r="BD361" i="1"/>
  <c r="BE361" i="1"/>
  <c r="BF361" i="1"/>
  <c r="BG361" i="1"/>
  <c r="BH361" i="1"/>
  <c r="BI361" i="1"/>
  <c r="BJ361" i="1"/>
  <c r="BK361" i="1"/>
  <c r="BL361" i="1"/>
  <c r="BM361" i="1"/>
  <c r="BN361" i="1"/>
  <c r="BO361" i="1"/>
  <c r="BP361" i="1"/>
  <c r="BQ361" i="1"/>
  <c r="BR361" i="1"/>
  <c r="J378" i="1"/>
  <c r="K378" i="1"/>
  <c r="L378" i="1"/>
  <c r="M378" i="1"/>
  <c r="N378" i="1"/>
  <c r="O378" i="1"/>
  <c r="P378" i="1"/>
  <c r="P379" i="1" s="1"/>
  <c r="Q378" i="1"/>
  <c r="R378" i="1"/>
  <c r="S378" i="1"/>
  <c r="T378" i="1"/>
  <c r="U378" i="1"/>
  <c r="V378" i="1"/>
  <c r="W378" i="1"/>
  <c r="X378" i="1"/>
  <c r="Y378" i="1"/>
  <c r="Y379" i="1" s="1"/>
  <c r="Z378" i="1"/>
  <c r="AA378" i="1"/>
  <c r="AB378" i="1"/>
  <c r="AC378" i="1"/>
  <c r="AD378" i="1"/>
  <c r="AD379" i="1" s="1"/>
  <c r="AE378" i="1"/>
  <c r="AF378" i="1"/>
  <c r="AG378" i="1"/>
  <c r="AH378" i="1"/>
  <c r="AI378" i="1"/>
  <c r="AJ378" i="1"/>
  <c r="AK378" i="1"/>
  <c r="AL378" i="1"/>
  <c r="AM378" i="1"/>
  <c r="AN378" i="1"/>
  <c r="AO378" i="1"/>
  <c r="CE382" i="1"/>
  <c r="CF382" i="1"/>
  <c r="CG382" i="1"/>
  <c r="CH382" i="1"/>
  <c r="CI382" i="1"/>
  <c r="CJ382" i="1"/>
  <c r="CK382" i="1"/>
  <c r="CL382" i="1"/>
  <c r="CM382" i="1"/>
  <c r="DN382" i="1"/>
  <c r="CP386" i="1"/>
  <c r="CQ386" i="1"/>
  <c r="CR386" i="1"/>
  <c r="CS386" i="1"/>
  <c r="CT386" i="1"/>
  <c r="CU386" i="1"/>
  <c r="CU387" i="1" s="1"/>
  <c r="DN386" i="1"/>
  <c r="DO386" i="1"/>
  <c r="DP386" i="1"/>
  <c r="DQ386" i="1"/>
  <c r="DR386" i="1"/>
  <c r="DS386" i="1"/>
  <c r="DT386" i="1"/>
  <c r="DU386" i="1"/>
  <c r="DV386" i="1"/>
  <c r="BD387" i="1"/>
  <c r="BE387" i="1"/>
  <c r="BF387" i="1"/>
  <c r="BG387" i="1"/>
  <c r="BH387" i="1"/>
  <c r="BI387" i="1"/>
  <c r="BJ387" i="1"/>
  <c r="BK387" i="1"/>
  <c r="BL387" i="1"/>
  <c r="BM387" i="1"/>
  <c r="BN387" i="1"/>
  <c r="BO387" i="1"/>
  <c r="BP387" i="1"/>
  <c r="BQ387" i="1"/>
  <c r="BR387" i="1"/>
  <c r="BA388" i="1"/>
  <c r="BB388" i="1"/>
  <c r="BC388" i="1"/>
  <c r="BD388" i="1"/>
  <c r="BE388" i="1"/>
  <c r="BF388" i="1"/>
  <c r="BG388" i="1"/>
  <c r="BH388" i="1"/>
  <c r="BI388" i="1"/>
  <c r="BJ388" i="1"/>
  <c r="BK388" i="1"/>
  <c r="BL388" i="1"/>
  <c r="BM388" i="1"/>
  <c r="BN388" i="1"/>
  <c r="BO388" i="1"/>
  <c r="BP388" i="1"/>
  <c r="BQ388" i="1"/>
  <c r="DN390" i="1"/>
  <c r="DO390" i="1"/>
  <c r="DP390" i="1"/>
  <c r="CJ395" i="1"/>
  <c r="CK395" i="1"/>
  <c r="CL395" i="1"/>
  <c r="CM395" i="1"/>
  <c r="CM396" i="1" s="1"/>
  <c r="DM395" i="1"/>
  <c r="DN395" i="1"/>
  <c r="N396" i="1"/>
  <c r="O396" i="1"/>
  <c r="P396" i="1"/>
  <c r="Q396" i="1"/>
  <c r="R396" i="1"/>
  <c r="S396" i="1"/>
  <c r="T396" i="1"/>
  <c r="U396" i="1"/>
  <c r="V396" i="1"/>
  <c r="W396" i="1"/>
  <c r="X396" i="1"/>
  <c r="Y396" i="1"/>
  <c r="Z396" i="1"/>
  <c r="AA396" i="1"/>
  <c r="AB396" i="1"/>
  <c r="AC396" i="1"/>
  <c r="AD396" i="1"/>
  <c r="AE396" i="1"/>
  <c r="AF396" i="1"/>
  <c r="AG396" i="1"/>
  <c r="AH396" i="1"/>
  <c r="AI396" i="1"/>
  <c r="AJ396" i="1"/>
  <c r="AK396" i="1"/>
  <c r="AL396" i="1"/>
  <c r="AM396" i="1"/>
  <c r="AN396" i="1"/>
  <c r="AO396" i="1"/>
  <c r="K397" i="1"/>
  <c r="L397" i="1"/>
  <c r="M397" i="1"/>
  <c r="N397" i="1"/>
  <c r="O397" i="1"/>
  <c r="P397" i="1"/>
  <c r="Q397" i="1"/>
  <c r="R397" i="1"/>
  <c r="S397" i="1"/>
  <c r="T397" i="1"/>
  <c r="U397" i="1"/>
  <c r="V397" i="1"/>
  <c r="W397" i="1"/>
  <c r="X397" i="1"/>
  <c r="Y397" i="1"/>
  <c r="Z397" i="1"/>
  <c r="AA397" i="1"/>
  <c r="AB397" i="1"/>
  <c r="AC397" i="1"/>
  <c r="AD397" i="1"/>
  <c r="AE397" i="1"/>
  <c r="AF397" i="1"/>
  <c r="AG397" i="1"/>
  <c r="AH397" i="1"/>
  <c r="AI397" i="1"/>
  <c r="AJ397" i="1"/>
  <c r="AK397" i="1"/>
  <c r="AL397" i="1"/>
  <c r="AM397" i="1"/>
  <c r="AN397" i="1"/>
  <c r="AO397" i="1"/>
  <c r="CJ398" i="1"/>
  <c r="AD409" i="1"/>
  <c r="AE409" i="1"/>
  <c r="AF409" i="1"/>
  <c r="AG409" i="1"/>
  <c r="AH409" i="1"/>
  <c r="AI409" i="1"/>
  <c r="AJ409" i="1"/>
  <c r="AK409" i="1"/>
  <c r="AL409" i="1"/>
  <c r="AM409" i="1"/>
  <c r="AN409" i="1"/>
  <c r="AO409" i="1"/>
  <c r="AP409" i="1"/>
  <c r="AQ409" i="1"/>
  <c r="AR409" i="1"/>
  <c r="AS409" i="1"/>
  <c r="AT409" i="1"/>
  <c r="AU409" i="1"/>
  <c r="AV409" i="1"/>
  <c r="AW409" i="1"/>
  <c r="AX409" i="1"/>
  <c r="AY409" i="1"/>
  <c r="AZ416" i="1"/>
  <c r="AZ30" i="1" s="1"/>
  <c r="AZ43" i="1" s="1"/>
  <c r="AZ57" i="1" s="1"/>
  <c r="CK416" i="1"/>
  <c r="BB419" i="1"/>
  <c r="CP419" i="1"/>
  <c r="AZ420" i="1"/>
  <c r="BA420" i="1"/>
  <c r="BA421" i="1"/>
  <c r="BA422" i="1"/>
  <c r="BB422" i="1" s="1"/>
  <c r="BC422" i="1" s="1"/>
  <c r="BD422" i="1" s="1"/>
  <c r="BE422" i="1" s="1"/>
  <c r="AP426" i="1"/>
  <c r="AQ426" i="1"/>
  <c r="AR426" i="1"/>
  <c r="AS426" i="1"/>
  <c r="AT426" i="1"/>
  <c r="AU426" i="1"/>
  <c r="AU208" i="1" s="1"/>
  <c r="AZ429" i="1"/>
  <c r="BA429" i="1"/>
  <c r="CK429" i="1"/>
  <c r="CL429" i="1"/>
  <c r="CM429" i="1"/>
  <c r="CN429" i="1"/>
  <c r="CO429" i="1"/>
  <c r="CU429" i="1"/>
  <c r="DM429" i="1"/>
  <c r="DN429" i="1"/>
  <c r="DO429" i="1"/>
  <c r="DP429" i="1"/>
  <c r="DQ429" i="1"/>
  <c r="AH430" i="1"/>
  <c r="AI430" i="1"/>
  <c r="AJ430" i="1"/>
  <c r="AK430" i="1"/>
  <c r="AL430" i="1"/>
  <c r="AM430" i="1"/>
  <c r="AN430" i="1"/>
  <c r="AO430" i="1"/>
  <c r="AP430" i="1"/>
  <c r="AQ430" i="1"/>
  <c r="AR430" i="1"/>
  <c r="AS430" i="1"/>
  <c r="AT430" i="1"/>
  <c r="AU430" i="1"/>
  <c r="AV430" i="1"/>
  <c r="AW430" i="1"/>
  <c r="AX430" i="1"/>
  <c r="AY430" i="1"/>
  <c r="AE431" i="1"/>
  <c r="AF431" i="1"/>
  <c r="AG431" i="1"/>
  <c r="AH431" i="1"/>
  <c r="AI431" i="1"/>
  <c r="AJ431" i="1"/>
  <c r="AK431" i="1"/>
  <c r="AL431" i="1"/>
  <c r="AM431" i="1"/>
  <c r="AN431" i="1"/>
  <c r="AO431" i="1"/>
  <c r="AP431" i="1"/>
  <c r="AQ431" i="1"/>
  <c r="AR431" i="1"/>
  <c r="AS431" i="1"/>
  <c r="AT431" i="1"/>
  <c r="AU431" i="1"/>
  <c r="AV431" i="1"/>
  <c r="AW431" i="1"/>
  <c r="AX431" i="1"/>
  <c r="AY431" i="1"/>
  <c r="AV432" i="1"/>
  <c r="AV426" i="1" s="1"/>
  <c r="AV31" i="1" s="1"/>
  <c r="AT433" i="1"/>
  <c r="AU433" i="1"/>
  <c r="AQ434" i="1"/>
  <c r="AR434" i="1"/>
  <c r="AS434" i="1"/>
  <c r="AT434" i="1"/>
  <c r="AU434" i="1"/>
  <c r="BJ434" i="1"/>
  <c r="BL434" i="1"/>
  <c r="AD440" i="1"/>
  <c r="AE440" i="1"/>
  <c r="AF440" i="1"/>
  <c r="AG440" i="1"/>
  <c r="AH440" i="1"/>
  <c r="AI440" i="1"/>
  <c r="AJ440" i="1"/>
  <c r="AK440" i="1"/>
  <c r="AL440" i="1"/>
  <c r="AM440" i="1"/>
  <c r="AN440" i="1"/>
  <c r="AO440" i="1"/>
  <c r="AP440" i="1"/>
  <c r="AQ440" i="1"/>
  <c r="AR440" i="1"/>
  <c r="AS440" i="1"/>
  <c r="AT440" i="1"/>
  <c r="AT441" i="1" s="1"/>
  <c r="AU440" i="1"/>
  <c r="AV440" i="1"/>
  <c r="AW440" i="1"/>
  <c r="AX440" i="1"/>
  <c r="AY440" i="1"/>
  <c r="AZ440" i="1"/>
  <c r="AZ220" i="1" s="1"/>
  <c r="BA440" i="1"/>
  <c r="BB440" i="1"/>
  <c r="BC440" i="1"/>
  <c r="BD440" i="1"/>
  <c r="BE440" i="1"/>
  <c r="BF440" i="1"/>
  <c r="BG440" i="1"/>
  <c r="BH440" i="1"/>
  <c r="BI440" i="1"/>
  <c r="BJ440" i="1"/>
  <c r="BK440" i="1"/>
  <c r="BK441" i="1" s="1"/>
  <c r="BL440" i="1"/>
  <c r="BM440" i="1"/>
  <c r="BN440" i="1"/>
  <c r="BO440" i="1"/>
  <c r="BP440" i="1"/>
  <c r="BQ440" i="1"/>
  <c r="BR440" i="1"/>
  <c r="CU440" i="1" s="1"/>
  <c r="AP447" i="1"/>
  <c r="AP33" i="1" s="1"/>
  <c r="AQ447" i="1"/>
  <c r="AR447" i="1"/>
  <c r="AS447" i="1"/>
  <c r="AT447" i="1"/>
  <c r="AT210" i="1" s="1"/>
  <c r="AU447" i="1"/>
  <c r="AU210" i="1" s="1"/>
  <c r="CK450" i="1"/>
  <c r="CL450" i="1"/>
  <c r="CM450" i="1"/>
  <c r="CN450" i="1"/>
  <c r="CO450" i="1"/>
  <c r="CO451" i="1" s="1"/>
  <c r="CP450" i="1"/>
  <c r="CQ450" i="1"/>
  <c r="CR450" i="1"/>
  <c r="CS450" i="1"/>
  <c r="CT450" i="1"/>
  <c r="CU450" i="1"/>
  <c r="DM450" i="1"/>
  <c r="DN450" i="1"/>
  <c r="DN451" i="1" s="1"/>
  <c r="DO450" i="1"/>
  <c r="DP450" i="1"/>
  <c r="DQ450" i="1"/>
  <c r="DR450" i="1"/>
  <c r="DS450" i="1"/>
  <c r="DT450" i="1"/>
  <c r="DU450" i="1"/>
  <c r="DV450" i="1"/>
  <c r="DV451" i="1" s="1"/>
  <c r="AH451" i="1"/>
  <c r="AI451" i="1"/>
  <c r="AJ451" i="1"/>
  <c r="AK451" i="1"/>
  <c r="AL451" i="1"/>
  <c r="AM451" i="1"/>
  <c r="AN451" i="1"/>
  <c r="AO451" i="1"/>
  <c r="AP451" i="1"/>
  <c r="AQ451" i="1"/>
  <c r="AR451" i="1"/>
  <c r="AS451" i="1"/>
  <c r="AT451" i="1"/>
  <c r="AU451" i="1"/>
  <c r="AV451" i="1"/>
  <c r="AW451" i="1"/>
  <c r="AX451" i="1"/>
  <c r="AY451" i="1"/>
  <c r="AZ451" i="1"/>
  <c r="BA451" i="1"/>
  <c r="BB451" i="1"/>
  <c r="BC451" i="1"/>
  <c r="BD451" i="1"/>
  <c r="BE451" i="1"/>
  <c r="BF451" i="1"/>
  <c r="BG451" i="1"/>
  <c r="BH451" i="1"/>
  <c r="BI451" i="1"/>
  <c r="BJ451" i="1"/>
  <c r="BK451" i="1"/>
  <c r="BL451" i="1"/>
  <c r="BM451" i="1"/>
  <c r="BN451" i="1"/>
  <c r="BO451" i="1"/>
  <c r="BP451" i="1"/>
  <c r="BQ451" i="1"/>
  <c r="BR451" i="1"/>
  <c r="AE452" i="1"/>
  <c r="AF452" i="1"/>
  <c r="AG452" i="1"/>
  <c r="AH452" i="1"/>
  <c r="AI452" i="1"/>
  <c r="AJ452" i="1"/>
  <c r="AK452" i="1"/>
  <c r="AL452" i="1"/>
  <c r="AM452" i="1"/>
  <c r="AN452" i="1"/>
  <c r="AO452" i="1"/>
  <c r="AP452" i="1"/>
  <c r="AQ452" i="1"/>
  <c r="AR452" i="1"/>
  <c r="AS452" i="1"/>
  <c r="AT452" i="1"/>
  <c r="AU452" i="1"/>
  <c r="AV452" i="1"/>
  <c r="AW452" i="1"/>
  <c r="AX452" i="1"/>
  <c r="AY452" i="1"/>
  <c r="AZ452" i="1"/>
  <c r="BA452" i="1"/>
  <c r="BB452" i="1"/>
  <c r="BC452" i="1"/>
  <c r="BD452" i="1"/>
  <c r="BE452" i="1"/>
  <c r="BF452" i="1"/>
  <c r="BG452" i="1"/>
  <c r="BH452" i="1"/>
  <c r="BI452" i="1"/>
  <c r="BJ452" i="1"/>
  <c r="BK452" i="1"/>
  <c r="BL452" i="1"/>
  <c r="BM452" i="1"/>
  <c r="BN452" i="1"/>
  <c r="BO452" i="1"/>
  <c r="BP452" i="1"/>
  <c r="BQ452" i="1"/>
  <c r="BR452" i="1"/>
  <c r="AV453" i="1"/>
  <c r="AW453" i="1" s="1"/>
  <c r="AP454" i="1"/>
  <c r="AQ454" i="1"/>
  <c r="AT454" i="1"/>
  <c r="AU454" i="1"/>
  <c r="AQ455" i="1"/>
  <c r="AR455" i="1"/>
  <c r="AS455" i="1"/>
  <c r="AT455" i="1"/>
  <c r="AU455" i="1"/>
  <c r="BJ455" i="1"/>
  <c r="BL455" i="1"/>
  <c r="AP457" i="1"/>
  <c r="AQ457" i="1"/>
  <c r="AR457" i="1"/>
  <c r="AS457" i="1"/>
  <c r="AT457" i="1"/>
  <c r="AT458" i="1" s="1"/>
  <c r="AU457" i="1"/>
  <c r="AU458" i="1" s="1"/>
  <c r="CK460" i="1"/>
  <c r="CL460" i="1"/>
  <c r="CM460" i="1"/>
  <c r="CN460" i="1"/>
  <c r="CO460" i="1"/>
  <c r="CP460" i="1"/>
  <c r="CQ460" i="1"/>
  <c r="CR460" i="1"/>
  <c r="CS460" i="1"/>
  <c r="CT460" i="1"/>
  <c r="CU460" i="1"/>
  <c r="DM460" i="1"/>
  <c r="DN460" i="1"/>
  <c r="DO460" i="1"/>
  <c r="DP460" i="1"/>
  <c r="DQ460" i="1"/>
  <c r="DR460" i="1"/>
  <c r="DS460" i="1"/>
  <c r="DT460" i="1"/>
  <c r="DU460" i="1"/>
  <c r="DV460" i="1"/>
  <c r="AH461" i="1"/>
  <c r="AI461" i="1"/>
  <c r="AJ461" i="1"/>
  <c r="AK461" i="1"/>
  <c r="AL461" i="1"/>
  <c r="AM461" i="1"/>
  <c r="AN461" i="1"/>
  <c r="AO461" i="1"/>
  <c r="AP461" i="1"/>
  <c r="AQ461" i="1"/>
  <c r="AR461" i="1"/>
  <c r="AS461" i="1"/>
  <c r="AT461" i="1"/>
  <c r="AU461" i="1"/>
  <c r="AV461" i="1"/>
  <c r="AW461" i="1"/>
  <c r="AX461" i="1"/>
  <c r="AY461" i="1"/>
  <c r="AZ461" i="1"/>
  <c r="BA461" i="1"/>
  <c r="BB461" i="1"/>
  <c r="BC461" i="1"/>
  <c r="BD461" i="1"/>
  <c r="BE461" i="1"/>
  <c r="BF461" i="1"/>
  <c r="BG461" i="1"/>
  <c r="BH461" i="1"/>
  <c r="BI461" i="1"/>
  <c r="BJ461" i="1"/>
  <c r="BK461" i="1"/>
  <c r="BL461" i="1"/>
  <c r="BM461" i="1"/>
  <c r="BN461" i="1"/>
  <c r="BO461" i="1"/>
  <c r="BP461" i="1"/>
  <c r="BQ461" i="1"/>
  <c r="BR461" i="1"/>
  <c r="AE462" i="1"/>
  <c r="AF462" i="1"/>
  <c r="AG462" i="1"/>
  <c r="AH462" i="1"/>
  <c r="AI462" i="1"/>
  <c r="AJ462" i="1"/>
  <c r="AK462" i="1"/>
  <c r="AL462" i="1"/>
  <c r="AM462" i="1"/>
  <c r="AN462" i="1"/>
  <c r="AO462" i="1"/>
  <c r="AP462" i="1"/>
  <c r="AQ462" i="1"/>
  <c r="AR462" i="1"/>
  <c r="AS462" i="1"/>
  <c r="AT462" i="1"/>
  <c r="AU462" i="1"/>
  <c r="AV462" i="1"/>
  <c r="AW462" i="1"/>
  <c r="AX462" i="1"/>
  <c r="AY462" i="1"/>
  <c r="AZ462" i="1"/>
  <c r="BA462" i="1"/>
  <c r="BB462" i="1"/>
  <c r="BC462" i="1"/>
  <c r="BD462" i="1"/>
  <c r="BE462" i="1"/>
  <c r="BF462" i="1"/>
  <c r="BG462" i="1"/>
  <c r="BH462" i="1"/>
  <c r="BI462" i="1"/>
  <c r="BJ462" i="1"/>
  <c r="BK462" i="1"/>
  <c r="BL462" i="1"/>
  <c r="BM462" i="1"/>
  <c r="BN462" i="1"/>
  <c r="BO462" i="1"/>
  <c r="BP462" i="1"/>
  <c r="BQ462" i="1"/>
  <c r="BR462" i="1"/>
  <c r="AV463" i="1"/>
  <c r="AT464" i="1"/>
  <c r="AU464" i="1"/>
  <c r="AQ465" i="1"/>
  <c r="AR465" i="1"/>
  <c r="AS465" i="1"/>
  <c r="AT465" i="1"/>
  <c r="AU465" i="1"/>
  <c r="BJ465" i="1"/>
  <c r="BL465" i="1"/>
  <c r="AD471" i="1"/>
  <c r="AE471" i="1"/>
  <c r="AF471" i="1"/>
  <c r="AG471" i="1"/>
  <c r="AH471" i="1"/>
  <c r="AI471" i="1"/>
  <c r="AJ471" i="1"/>
  <c r="AK471" i="1"/>
  <c r="AL471" i="1"/>
  <c r="AM471" i="1"/>
  <c r="AN471" i="1"/>
  <c r="AN472" i="1" s="1"/>
  <c r="AO471" i="1"/>
  <c r="AP471" i="1"/>
  <c r="AQ471" i="1"/>
  <c r="AR471" i="1"/>
  <c r="AS471" i="1"/>
  <c r="AT471" i="1"/>
  <c r="AU471" i="1"/>
  <c r="AV471" i="1"/>
  <c r="AW471" i="1"/>
  <c r="AX471" i="1"/>
  <c r="AY471" i="1"/>
  <c r="AZ471" i="1"/>
  <c r="BA471" i="1"/>
  <c r="BA223" i="1" s="1"/>
  <c r="BB471" i="1"/>
  <c r="BC471" i="1"/>
  <c r="BD471" i="1"/>
  <c r="BE471" i="1"/>
  <c r="BF471" i="1"/>
  <c r="BG471" i="1"/>
  <c r="BH471" i="1"/>
  <c r="BI471" i="1"/>
  <c r="BI472" i="1" s="1"/>
  <c r="BJ471" i="1"/>
  <c r="BK471" i="1"/>
  <c r="BL471" i="1"/>
  <c r="BM471" i="1"/>
  <c r="BN471" i="1"/>
  <c r="BO471" i="1"/>
  <c r="BO472" i="1" s="1"/>
  <c r="BP471" i="1"/>
  <c r="BQ471" i="1"/>
  <c r="BR471" i="1"/>
  <c r="BR472" i="1" s="1"/>
  <c r="AP478" i="1"/>
  <c r="AP468" i="1" s="1"/>
  <c r="AQ478" i="1"/>
  <c r="AR478" i="1"/>
  <c r="AS478" i="1"/>
  <c r="AT478" i="1"/>
  <c r="AU478" i="1"/>
  <c r="CK481" i="1"/>
  <c r="CL481" i="1"/>
  <c r="CM481" i="1"/>
  <c r="CN481" i="1"/>
  <c r="CO481" i="1"/>
  <c r="CP481" i="1"/>
  <c r="CQ481" i="1"/>
  <c r="CR481" i="1"/>
  <c r="CS481" i="1"/>
  <c r="CT481" i="1"/>
  <c r="CU481" i="1"/>
  <c r="DM481" i="1"/>
  <c r="DN481" i="1"/>
  <c r="DO481" i="1"/>
  <c r="DP481" i="1"/>
  <c r="DQ481" i="1"/>
  <c r="DR481" i="1"/>
  <c r="DS481" i="1"/>
  <c r="DT481" i="1"/>
  <c r="DU481" i="1"/>
  <c r="DV481" i="1"/>
  <c r="AH482" i="1"/>
  <c r="AI482" i="1"/>
  <c r="AJ482" i="1"/>
  <c r="AK482" i="1"/>
  <c r="AL482" i="1"/>
  <c r="AM482" i="1"/>
  <c r="AN482" i="1"/>
  <c r="AO482" i="1"/>
  <c r="AP482" i="1"/>
  <c r="AQ482" i="1"/>
  <c r="AR482" i="1"/>
  <c r="AS482" i="1"/>
  <c r="AT482" i="1"/>
  <c r="AU482" i="1"/>
  <c r="AV482" i="1"/>
  <c r="AW482" i="1"/>
  <c r="AX482" i="1"/>
  <c r="AY482" i="1"/>
  <c r="AZ482" i="1"/>
  <c r="BA482" i="1"/>
  <c r="BB482" i="1"/>
  <c r="BC482" i="1"/>
  <c r="BD482" i="1"/>
  <c r="BE482" i="1"/>
  <c r="BF482" i="1"/>
  <c r="BG482" i="1"/>
  <c r="BH482" i="1"/>
  <c r="BI482" i="1"/>
  <c r="BJ482" i="1"/>
  <c r="BK482" i="1"/>
  <c r="BL482" i="1"/>
  <c r="BM482" i="1"/>
  <c r="BN482" i="1"/>
  <c r="BO482" i="1"/>
  <c r="BP482" i="1"/>
  <c r="BQ482" i="1"/>
  <c r="BR482" i="1"/>
  <c r="AE483" i="1"/>
  <c r="AF483" i="1"/>
  <c r="AG483" i="1"/>
  <c r="AH483" i="1"/>
  <c r="AI483" i="1"/>
  <c r="AJ483" i="1"/>
  <c r="AK483" i="1"/>
  <c r="AL483" i="1"/>
  <c r="AM483" i="1"/>
  <c r="AN483" i="1"/>
  <c r="AO483" i="1"/>
  <c r="AP483" i="1"/>
  <c r="AQ483" i="1"/>
  <c r="AR483" i="1"/>
  <c r="AS483" i="1"/>
  <c r="AT483" i="1"/>
  <c r="AU483" i="1"/>
  <c r="AV483" i="1"/>
  <c r="AW483" i="1"/>
  <c r="AX483" i="1"/>
  <c r="AY483" i="1"/>
  <c r="AZ483" i="1"/>
  <c r="BA483" i="1"/>
  <c r="BB483" i="1"/>
  <c r="BC483" i="1"/>
  <c r="BD483" i="1"/>
  <c r="BE483" i="1"/>
  <c r="BF483" i="1"/>
  <c r="BG483" i="1"/>
  <c r="BH483" i="1"/>
  <c r="BI483" i="1"/>
  <c r="BJ483" i="1"/>
  <c r="BK483" i="1"/>
  <c r="BL483" i="1"/>
  <c r="BM483" i="1"/>
  <c r="BN483" i="1"/>
  <c r="BO483" i="1"/>
  <c r="BP483" i="1"/>
  <c r="BQ483" i="1"/>
  <c r="BR483" i="1"/>
  <c r="AV484" i="1"/>
  <c r="AW484" i="1" s="1"/>
  <c r="AT485" i="1"/>
  <c r="AU485" i="1"/>
  <c r="AQ486" i="1"/>
  <c r="AR486" i="1"/>
  <c r="AS486" i="1"/>
  <c r="AT486" i="1"/>
  <c r="AU486" i="1"/>
  <c r="BJ486" i="1"/>
  <c r="BL486" i="1"/>
  <c r="CN488" i="1"/>
  <c r="CO488" i="1"/>
  <c r="DP488" i="1"/>
  <c r="DQ488" i="1"/>
  <c r="AD489" i="1"/>
  <c r="AE489" i="1"/>
  <c r="AF489" i="1"/>
  <c r="AG489" i="1"/>
  <c r="AH489" i="1"/>
  <c r="AI489" i="1"/>
  <c r="AJ489" i="1"/>
  <c r="AK489" i="1"/>
  <c r="AL489" i="1"/>
  <c r="AM489" i="1"/>
  <c r="AN489" i="1"/>
  <c r="AO489" i="1"/>
  <c r="AP489" i="1"/>
  <c r="AQ489" i="1"/>
  <c r="AR489" i="1"/>
  <c r="AS489" i="1"/>
  <c r="AT489" i="1"/>
  <c r="AU489" i="1"/>
  <c r="AV489" i="1"/>
  <c r="AW489" i="1"/>
  <c r="AX489" i="1"/>
  <c r="AY489" i="1"/>
  <c r="AZ489" i="1"/>
  <c r="AA490" i="1"/>
  <c r="AB490" i="1"/>
  <c r="AC490" i="1"/>
  <c r="AD490" i="1"/>
  <c r="AE490" i="1"/>
  <c r="AF490" i="1"/>
  <c r="AG490" i="1"/>
  <c r="AH490" i="1"/>
  <c r="AI490" i="1"/>
  <c r="AJ490" i="1"/>
  <c r="AK490" i="1"/>
  <c r="AL490" i="1"/>
  <c r="AM490" i="1"/>
  <c r="AN490" i="1"/>
  <c r="AO490" i="1"/>
  <c r="AP490" i="1"/>
  <c r="AQ490" i="1"/>
  <c r="AR490" i="1"/>
  <c r="AS490" i="1"/>
  <c r="AT490" i="1"/>
  <c r="AU490" i="1"/>
  <c r="AV490" i="1"/>
  <c r="AW490" i="1"/>
  <c r="AX490" i="1"/>
  <c r="AY490" i="1"/>
  <c r="AZ490" i="1"/>
  <c r="CK491" i="1"/>
  <c r="CL491" i="1"/>
  <c r="CM491" i="1"/>
  <c r="CN491" i="1"/>
  <c r="CO491" i="1"/>
  <c r="CP491" i="1"/>
  <c r="CQ491" i="1"/>
  <c r="CR491" i="1"/>
  <c r="CS491" i="1"/>
  <c r="CT491" i="1"/>
  <c r="CU491" i="1"/>
  <c r="DM491" i="1"/>
  <c r="DN491" i="1"/>
  <c r="DO491" i="1"/>
  <c r="DP491" i="1"/>
  <c r="DQ491" i="1"/>
  <c r="DR491" i="1"/>
  <c r="DS491" i="1"/>
  <c r="DT491" i="1"/>
  <c r="DU491" i="1"/>
  <c r="DV491" i="1"/>
  <c r="AH492" i="1"/>
  <c r="AI492" i="1"/>
  <c r="AJ492" i="1"/>
  <c r="AK492" i="1"/>
  <c r="AL492" i="1"/>
  <c r="AM492" i="1"/>
  <c r="AN492" i="1"/>
  <c r="AO492" i="1"/>
  <c r="AP492" i="1"/>
  <c r="AQ492" i="1"/>
  <c r="AR492" i="1"/>
  <c r="AS492" i="1"/>
  <c r="AT492" i="1"/>
  <c r="AU492" i="1"/>
  <c r="AV492" i="1"/>
  <c r="AW492" i="1"/>
  <c r="AX492" i="1"/>
  <c r="AY492" i="1"/>
  <c r="AZ492" i="1"/>
  <c r="BA492" i="1"/>
  <c r="BB492" i="1"/>
  <c r="BC492" i="1"/>
  <c r="BD492" i="1"/>
  <c r="BE492" i="1"/>
  <c r="BF492" i="1"/>
  <c r="BG492" i="1"/>
  <c r="BH492" i="1"/>
  <c r="BI492" i="1"/>
  <c r="BJ492" i="1"/>
  <c r="BK492" i="1"/>
  <c r="BL492" i="1"/>
  <c r="BM492" i="1"/>
  <c r="BN492" i="1"/>
  <c r="BO492" i="1"/>
  <c r="BP492" i="1"/>
  <c r="BQ492" i="1"/>
  <c r="BR492" i="1"/>
  <c r="AE493" i="1"/>
  <c r="AF493" i="1"/>
  <c r="AG493" i="1"/>
  <c r="AH493" i="1"/>
  <c r="AI493" i="1"/>
  <c r="AJ493" i="1"/>
  <c r="AK493" i="1"/>
  <c r="AL493" i="1"/>
  <c r="AM493" i="1"/>
  <c r="AN493" i="1"/>
  <c r="AO493" i="1"/>
  <c r="AP493" i="1"/>
  <c r="AQ493" i="1"/>
  <c r="AR493" i="1"/>
  <c r="AS493" i="1"/>
  <c r="AT493" i="1"/>
  <c r="AU493" i="1"/>
  <c r="AV493" i="1"/>
  <c r="AW493" i="1"/>
  <c r="AX493" i="1"/>
  <c r="AY493" i="1"/>
  <c r="AZ493" i="1"/>
  <c r="BA493" i="1"/>
  <c r="BB493" i="1"/>
  <c r="BC493" i="1"/>
  <c r="BD493" i="1"/>
  <c r="BE493" i="1"/>
  <c r="BF493" i="1"/>
  <c r="BG493" i="1"/>
  <c r="BH493" i="1"/>
  <c r="BI493" i="1"/>
  <c r="BJ493" i="1"/>
  <c r="BK493" i="1"/>
  <c r="BL493" i="1"/>
  <c r="BM493" i="1"/>
  <c r="BN493" i="1"/>
  <c r="BO493" i="1"/>
  <c r="BP493" i="1"/>
  <c r="BQ493" i="1"/>
  <c r="BR493" i="1"/>
  <c r="AD494" i="1"/>
  <c r="AE494" i="1"/>
  <c r="AF494" i="1"/>
  <c r="AG494" i="1"/>
  <c r="AH494" i="1"/>
  <c r="AI494" i="1"/>
  <c r="AJ494" i="1"/>
  <c r="AK494" i="1"/>
  <c r="AL494" i="1"/>
  <c r="AM494" i="1"/>
  <c r="AN494" i="1"/>
  <c r="AO494" i="1"/>
  <c r="AP494" i="1"/>
  <c r="AQ494" i="1"/>
  <c r="AR494" i="1"/>
  <c r="AS494" i="1"/>
  <c r="AS495" i="1" s="1"/>
  <c r="AT494" i="1"/>
  <c r="AU494" i="1"/>
  <c r="AV494" i="1"/>
  <c r="AW494" i="1"/>
  <c r="AX494" i="1"/>
  <c r="AX495" i="1" s="1"/>
  <c r="AY494" i="1"/>
  <c r="AZ494" i="1"/>
  <c r="BA494" i="1" s="1"/>
  <c r="BJ496" i="1"/>
  <c r="BL496" i="1"/>
  <c r="BQ499" i="1"/>
  <c r="AF500" i="1"/>
  <c r="AG500" i="1"/>
  <c r="AH500" i="1"/>
  <c r="AI500" i="1"/>
  <c r="AJ500" i="1"/>
  <c r="AK500" i="1"/>
  <c r="AL500" i="1"/>
  <c r="AM500" i="1"/>
  <c r="AN500" i="1"/>
  <c r="AO500" i="1"/>
  <c r="AP500" i="1"/>
  <c r="AQ500" i="1"/>
  <c r="AR500" i="1"/>
  <c r="AS500" i="1"/>
  <c r="AT500" i="1"/>
  <c r="AU500" i="1"/>
  <c r="AV500" i="1"/>
  <c r="AW500" i="1"/>
  <c r="AX500" i="1"/>
  <c r="AY500" i="1"/>
  <c r="AZ500" i="1"/>
  <c r="BA500" i="1"/>
  <c r="BB500" i="1"/>
  <c r="BC500" i="1"/>
  <c r="BD500" i="1"/>
  <c r="BH501" i="1" s="1"/>
  <c r="BE500" i="1"/>
  <c r="BF500" i="1"/>
  <c r="BG500" i="1"/>
  <c r="CJ500" i="1"/>
  <c r="CS500" i="1"/>
  <c r="BL501" i="1"/>
  <c r="BM501" i="1"/>
  <c r="BN501" i="1"/>
  <c r="BO501" i="1"/>
  <c r="BP501" i="1"/>
  <c r="BI502" i="1"/>
  <c r="BJ502" i="1"/>
  <c r="BK502" i="1"/>
  <c r="BL502" i="1"/>
  <c r="BM502" i="1"/>
  <c r="BN502" i="1"/>
  <c r="BO502" i="1"/>
  <c r="BP502" i="1"/>
  <c r="CL503" i="1"/>
  <c r="CM503" i="1"/>
  <c r="CN503" i="1"/>
  <c r="CO503" i="1"/>
  <c r="CP503" i="1"/>
  <c r="CQ503" i="1"/>
  <c r="CR503" i="1"/>
  <c r="CS503" i="1"/>
  <c r="AJ504" i="1"/>
  <c r="AK504" i="1"/>
  <c r="AL504" i="1"/>
  <c r="AM504" i="1"/>
  <c r="AN504" i="1"/>
  <c r="AO504" i="1"/>
  <c r="AP504" i="1"/>
  <c r="AQ504" i="1"/>
  <c r="AR504" i="1"/>
  <c r="AS504" i="1"/>
  <c r="AT504" i="1"/>
  <c r="AU504" i="1"/>
  <c r="AV504" i="1"/>
  <c r="AW504" i="1"/>
  <c r="AX504" i="1"/>
  <c r="AY504" i="1"/>
  <c r="AZ504" i="1"/>
  <c r="BA504" i="1"/>
  <c r="BB504" i="1"/>
  <c r="BC504" i="1"/>
  <c r="BD504" i="1"/>
  <c r="BE504" i="1"/>
  <c r="BF504" i="1"/>
  <c r="BG504" i="1"/>
  <c r="BH504" i="1"/>
  <c r="BI504" i="1"/>
  <c r="BJ504" i="1"/>
  <c r="BK504" i="1"/>
  <c r="BL504" i="1"/>
  <c r="BM504" i="1"/>
  <c r="BN504" i="1"/>
  <c r="BO504" i="1"/>
  <c r="BP504" i="1"/>
  <c r="AG505" i="1"/>
  <c r="AH505" i="1"/>
  <c r="AI505" i="1"/>
  <c r="AJ505" i="1"/>
  <c r="AK505" i="1"/>
  <c r="AL505" i="1"/>
  <c r="AM505" i="1"/>
  <c r="AN505" i="1"/>
  <c r="AO505" i="1"/>
  <c r="AP505" i="1"/>
  <c r="AQ505" i="1"/>
  <c r="AR505" i="1"/>
  <c r="AS505" i="1"/>
  <c r="AT505" i="1"/>
  <c r="AU505" i="1"/>
  <c r="AV505" i="1"/>
  <c r="AW505" i="1"/>
  <c r="AX505" i="1"/>
  <c r="AY505" i="1"/>
  <c r="AZ505" i="1"/>
  <c r="BA505" i="1"/>
  <c r="BB505" i="1"/>
  <c r="BC505" i="1"/>
  <c r="BD505" i="1"/>
  <c r="BE505" i="1"/>
  <c r="BF505" i="1"/>
  <c r="BG505" i="1"/>
  <c r="BH505" i="1"/>
  <c r="BI505" i="1"/>
  <c r="BJ505" i="1"/>
  <c r="BK505" i="1"/>
  <c r="BL505" i="1"/>
  <c r="BM505" i="1"/>
  <c r="BN505" i="1"/>
  <c r="BO505" i="1"/>
  <c r="BP505" i="1"/>
  <c r="CL506" i="1"/>
  <c r="CM506" i="1"/>
  <c r="CN506" i="1"/>
  <c r="CO506" i="1"/>
  <c r="CP506" i="1"/>
  <c r="CQ506" i="1"/>
  <c r="CR506" i="1"/>
  <c r="CS506" i="1"/>
  <c r="AJ507" i="1"/>
  <c r="AK507" i="1"/>
  <c r="AL507" i="1"/>
  <c r="AM507" i="1"/>
  <c r="AN507" i="1"/>
  <c r="AO507" i="1"/>
  <c r="AP507" i="1"/>
  <c r="AQ507" i="1"/>
  <c r="AR507" i="1"/>
  <c r="AS507" i="1"/>
  <c r="AT507" i="1"/>
  <c r="AU507" i="1"/>
  <c r="AV507" i="1"/>
  <c r="AW507" i="1"/>
  <c r="AX507" i="1"/>
  <c r="AY507" i="1"/>
  <c r="AZ507" i="1"/>
  <c r="BA507" i="1"/>
  <c r="BB507" i="1"/>
  <c r="BC507" i="1"/>
  <c r="BD507" i="1"/>
  <c r="BE507" i="1"/>
  <c r="BF507" i="1"/>
  <c r="BG507" i="1"/>
  <c r="BH507" i="1"/>
  <c r="BI507" i="1"/>
  <c r="BJ507" i="1"/>
  <c r="BK507" i="1"/>
  <c r="BL507" i="1"/>
  <c r="BM507" i="1"/>
  <c r="BN507" i="1"/>
  <c r="BO507" i="1"/>
  <c r="BP507" i="1"/>
  <c r="AG508" i="1"/>
  <c r="AH508" i="1"/>
  <c r="AI508" i="1"/>
  <c r="AJ508" i="1"/>
  <c r="AK508" i="1"/>
  <c r="AL508" i="1"/>
  <c r="AM508" i="1"/>
  <c r="AN508" i="1"/>
  <c r="AO508" i="1"/>
  <c r="AP508" i="1"/>
  <c r="AQ508" i="1"/>
  <c r="AR508" i="1"/>
  <c r="AS508" i="1"/>
  <c r="AT508" i="1"/>
  <c r="AU508" i="1"/>
  <c r="AV508" i="1"/>
  <c r="AW508" i="1"/>
  <c r="AX508" i="1"/>
  <c r="AY508" i="1"/>
  <c r="AZ508" i="1"/>
  <c r="BA508" i="1"/>
  <c r="BB508" i="1"/>
  <c r="BC508" i="1"/>
  <c r="BD508" i="1"/>
  <c r="BE508" i="1"/>
  <c r="BF508" i="1"/>
  <c r="BG508" i="1"/>
  <c r="BH508" i="1"/>
  <c r="BI508" i="1"/>
  <c r="BJ508" i="1"/>
  <c r="BK508" i="1"/>
  <c r="BL508" i="1"/>
  <c r="BM508" i="1"/>
  <c r="BN508" i="1"/>
  <c r="BO508" i="1"/>
  <c r="BP508" i="1"/>
  <c r="BQ510" i="1"/>
  <c r="CR509" i="1"/>
  <c r="CS509" i="1"/>
  <c r="BI510" i="1"/>
  <c r="BJ510" i="1"/>
  <c r="BK510" i="1"/>
  <c r="BL510" i="1"/>
  <c r="BM510" i="1"/>
  <c r="BN510" i="1"/>
  <c r="BO510" i="1"/>
  <c r="BP510" i="1"/>
  <c r="BF511" i="1"/>
  <c r="BG511" i="1"/>
  <c r="BH511" i="1"/>
  <c r="BI511" i="1"/>
  <c r="BJ511" i="1"/>
  <c r="BK511" i="1"/>
  <c r="BL511" i="1"/>
  <c r="BM511" i="1"/>
  <c r="BN511" i="1"/>
  <c r="BO511" i="1"/>
  <c r="BP511" i="1"/>
  <c r="CZ517" i="1"/>
  <c r="DA517" i="1" s="1"/>
  <c r="DB517" i="1" s="1"/>
  <c r="DC517" i="1" s="1"/>
  <c r="CN533" i="1"/>
  <c r="CO533" i="1"/>
  <c r="CP533" i="1"/>
  <c r="BX535" i="1"/>
  <c r="BY535" i="1"/>
  <c r="CX535" i="1"/>
  <c r="CY535" i="1"/>
  <c r="CZ535" i="1"/>
  <c r="DA535" i="1"/>
  <c r="F536" i="1"/>
  <c r="G536" i="1"/>
  <c r="H536" i="1"/>
  <c r="N536" i="1"/>
  <c r="F537" i="1"/>
  <c r="G537" i="1"/>
  <c r="H537" i="1"/>
  <c r="I537" i="1"/>
  <c r="T537" i="1"/>
  <c r="F540" i="1"/>
  <c r="G540" i="1"/>
  <c r="H540" i="1"/>
  <c r="J540" i="1"/>
  <c r="K540" i="1"/>
  <c r="L540" i="1"/>
  <c r="M540" i="1"/>
  <c r="N540" i="1"/>
  <c r="O540" i="1"/>
  <c r="P540" i="1"/>
  <c r="S540" i="1"/>
  <c r="T540" i="1"/>
  <c r="U540" i="1"/>
  <c r="V540" i="1"/>
  <c r="W540" i="1"/>
  <c r="X540" i="1"/>
  <c r="Y540" i="1"/>
  <c r="Z540" i="1"/>
  <c r="AA540" i="1"/>
  <c r="AB540" i="1"/>
  <c r="AC540" i="1"/>
  <c r="AD540" i="1"/>
  <c r="AE540" i="1"/>
  <c r="AF540" i="1"/>
  <c r="AG540" i="1"/>
  <c r="AH540" i="1"/>
  <c r="AI540" i="1"/>
  <c r="AJ540" i="1"/>
  <c r="AK540" i="1"/>
  <c r="AL540" i="1"/>
  <c r="AN540" i="1"/>
  <c r="AO540" i="1"/>
  <c r="AP540" i="1"/>
  <c r="AQ540" i="1"/>
  <c r="AR540" i="1"/>
  <c r="AS540" i="1"/>
  <c r="AT540" i="1"/>
  <c r="AU540" i="1"/>
  <c r="AV540" i="1"/>
  <c r="AW540" i="1"/>
  <c r="AX540" i="1"/>
  <c r="AZ540" i="1"/>
  <c r="BA540" i="1"/>
  <c r="BB540" i="1"/>
  <c r="BC540" i="1"/>
  <c r="BD540" i="1"/>
  <c r="BE540" i="1"/>
  <c r="BH540" i="1"/>
  <c r="BJ540" i="1"/>
  <c r="BK540" i="1"/>
  <c r="BL540" i="1"/>
  <c r="BM540" i="1"/>
  <c r="BN540" i="1"/>
  <c r="BO540" i="1"/>
  <c r="BP540" i="1"/>
  <c r="BQ540" i="1"/>
  <c r="F541" i="1"/>
  <c r="G541" i="1"/>
  <c r="H541" i="1"/>
  <c r="I541" i="1"/>
  <c r="J541" i="1"/>
  <c r="K541" i="1"/>
  <c r="L541" i="1"/>
  <c r="M541" i="1"/>
  <c r="N541" i="1"/>
  <c r="O541" i="1"/>
  <c r="P541" i="1"/>
  <c r="R541" i="1"/>
  <c r="S541" i="1"/>
  <c r="T541" i="1"/>
  <c r="U541" i="1"/>
  <c r="V541" i="1"/>
  <c r="W541" i="1"/>
  <c r="X541" i="1"/>
  <c r="Y541" i="1"/>
  <c r="Z541" i="1"/>
  <c r="AA541" i="1"/>
  <c r="AB541" i="1"/>
  <c r="AC541" i="1"/>
  <c r="AD541" i="1"/>
  <c r="AE541" i="1"/>
  <c r="AF541" i="1"/>
  <c r="AG541" i="1"/>
  <c r="AH541" i="1"/>
  <c r="AI541" i="1"/>
  <c r="AJ541" i="1"/>
  <c r="AK541" i="1"/>
  <c r="AL541" i="1"/>
  <c r="AO541" i="1"/>
  <c r="AP541" i="1"/>
  <c r="AQ541" i="1"/>
  <c r="AR541" i="1"/>
  <c r="AT541" i="1"/>
  <c r="AU541" i="1"/>
  <c r="AV541" i="1"/>
  <c r="AW541" i="1"/>
  <c r="AX541" i="1"/>
  <c r="BE541" i="1"/>
  <c r="BI541" i="1"/>
  <c r="BJ541" i="1"/>
  <c r="BM541" i="1"/>
  <c r="BN541" i="1"/>
  <c r="N544" i="1"/>
  <c r="O544" i="1"/>
  <c r="P544" i="1"/>
  <c r="Q544" i="1"/>
  <c r="R544" i="1"/>
  <c r="S544" i="1"/>
  <c r="T544" i="1"/>
  <c r="T546" i="1" s="1"/>
  <c r="U544" i="1"/>
  <c r="Y544" i="1"/>
  <c r="Z544" i="1"/>
  <c r="AA544" i="1"/>
  <c r="AA546" i="1" s="1"/>
  <c r="AB544" i="1"/>
  <c r="AC544" i="1"/>
  <c r="AD544" i="1"/>
  <c r="AE544" i="1"/>
  <c r="AE546" i="1" s="1"/>
  <c r="AF544" i="1"/>
  <c r="AG544" i="1"/>
  <c r="AH544" i="1"/>
  <c r="AI544" i="1"/>
  <c r="AI546" i="1" s="1"/>
  <c r="AJ544" i="1"/>
  <c r="AK544" i="1"/>
  <c r="AL544" i="1"/>
  <c r="AM544" i="1"/>
  <c r="AN544" i="1"/>
  <c r="AO544" i="1"/>
  <c r="AP544" i="1"/>
  <c r="AQ544" i="1"/>
  <c r="AQ546" i="1" s="1"/>
  <c r="AR544" i="1"/>
  <c r="AS544" i="1"/>
  <c r="AT544" i="1"/>
  <c r="AU544" i="1"/>
  <c r="AU546" i="1" s="1"/>
  <c r="AV544" i="1"/>
  <c r="AW544" i="1"/>
  <c r="AX544" i="1"/>
  <c r="AY544" i="1"/>
  <c r="AZ544" i="1"/>
  <c r="BA544" i="1"/>
  <c r="BB544" i="1"/>
  <c r="BC544" i="1"/>
  <c r="BC546" i="1" s="1"/>
  <c r="BD544" i="1"/>
  <c r="BE544" i="1"/>
  <c r="BE546" i="1" s="1"/>
  <c r="BF544" i="1"/>
  <c r="BG544" i="1"/>
  <c r="BH544" i="1"/>
  <c r="BI544" i="1"/>
  <c r="BJ544" i="1"/>
  <c r="BK544" i="1"/>
  <c r="BL544" i="1"/>
  <c r="BM544" i="1"/>
  <c r="BN544" i="1"/>
  <c r="BO544" i="1"/>
  <c r="BP544" i="1"/>
  <c r="BQ544" i="1"/>
  <c r="BR544" i="1"/>
  <c r="BS544" i="1"/>
  <c r="CE544" i="1"/>
  <c r="F545" i="1"/>
  <c r="G545" i="1"/>
  <c r="H545" i="1"/>
  <c r="I545" i="1"/>
  <c r="J545" i="1"/>
  <c r="K545" i="1"/>
  <c r="L545" i="1"/>
  <c r="M545" i="1"/>
  <c r="N545" i="1"/>
  <c r="O545" i="1"/>
  <c r="P545" i="1"/>
  <c r="Q545" i="1"/>
  <c r="R545" i="1"/>
  <c r="S545" i="1"/>
  <c r="T545" i="1"/>
  <c r="U545" i="1"/>
  <c r="V545" i="1"/>
  <c r="W545" i="1"/>
  <c r="X545" i="1"/>
  <c r="Y545" i="1"/>
  <c r="Z545" i="1"/>
  <c r="AA545" i="1"/>
  <c r="AB545" i="1"/>
  <c r="AC545" i="1"/>
  <c r="AD545" i="1"/>
  <c r="AE545" i="1"/>
  <c r="AF545" i="1"/>
  <c r="AG545" i="1"/>
  <c r="AH545" i="1"/>
  <c r="AI545" i="1"/>
  <c r="AJ545" i="1"/>
  <c r="AK545" i="1"/>
  <c r="AL545" i="1"/>
  <c r="AM545" i="1"/>
  <c r="AN545" i="1"/>
  <c r="AP545" i="1"/>
  <c r="AQ545" i="1"/>
  <c r="AR545" i="1"/>
  <c r="AS545" i="1"/>
  <c r="AT545" i="1"/>
  <c r="AU545" i="1"/>
  <c r="AV545" i="1"/>
  <c r="AX545" i="1"/>
  <c r="AY545" i="1"/>
  <c r="AZ545" i="1"/>
  <c r="BB545" i="1"/>
  <c r="BC545" i="1"/>
  <c r="BD545" i="1"/>
  <c r="BF545" i="1"/>
  <c r="BG545" i="1"/>
  <c r="BH545" i="1"/>
  <c r="BJ545" i="1"/>
  <c r="BK545" i="1"/>
  <c r="BL545" i="1"/>
  <c r="BN545" i="1"/>
  <c r="BP545" i="1"/>
  <c r="BR545" i="1"/>
  <c r="BS545" i="1"/>
  <c r="N549" i="1"/>
  <c r="O549" i="1"/>
  <c r="P549" i="1"/>
  <c r="Q549" i="1"/>
  <c r="R549" i="1"/>
  <c r="S549" i="1"/>
  <c r="T549" i="1"/>
  <c r="U549" i="1"/>
  <c r="V549" i="1"/>
  <c r="W549" i="1"/>
  <c r="X549" i="1"/>
  <c r="Y549" i="1"/>
  <c r="Z549" i="1"/>
  <c r="AA549" i="1"/>
  <c r="AB549" i="1"/>
  <c r="AC549" i="1"/>
  <c r="AD549" i="1"/>
  <c r="AE549" i="1"/>
  <c r="AF549" i="1"/>
  <c r="AG549" i="1"/>
  <c r="AH549" i="1"/>
  <c r="AI549" i="1"/>
  <c r="AJ549" i="1"/>
  <c r="AK549" i="1"/>
  <c r="AL549" i="1"/>
  <c r="AM549" i="1"/>
  <c r="AN549" i="1"/>
  <c r="AO549" i="1"/>
  <c r="AP549" i="1"/>
  <c r="AQ549" i="1"/>
  <c r="AR549" i="1"/>
  <c r="AS549" i="1"/>
  <c r="AT549" i="1"/>
  <c r="AU549" i="1"/>
  <c r="AV549" i="1"/>
  <c r="AW549" i="1"/>
  <c r="AX549" i="1"/>
  <c r="AY549" i="1"/>
  <c r="AZ549" i="1"/>
  <c r="BA549" i="1"/>
  <c r="BB549" i="1"/>
  <c r="BC549" i="1"/>
  <c r="BD549" i="1"/>
  <c r="BE549" i="1"/>
  <c r="BE551" i="1" s="1"/>
  <c r="BF549" i="1"/>
  <c r="BG549" i="1"/>
  <c r="BH549" i="1"/>
  <c r="BI549" i="1"/>
  <c r="BJ549" i="1"/>
  <c r="BK549" i="1"/>
  <c r="BL549" i="1"/>
  <c r="BM549" i="1"/>
  <c r="BN549" i="1"/>
  <c r="BO549" i="1"/>
  <c r="BP549" i="1"/>
  <c r="BQ549" i="1"/>
  <c r="BR549" i="1"/>
  <c r="BS549" i="1"/>
  <c r="CF549" i="1"/>
  <c r="CN549" i="1"/>
  <c r="F550" i="1"/>
  <c r="G550" i="1"/>
  <c r="H550" i="1"/>
  <c r="I550" i="1"/>
  <c r="J550" i="1"/>
  <c r="K550" i="1"/>
  <c r="L550" i="1"/>
  <c r="M550" i="1"/>
  <c r="N550" i="1"/>
  <c r="O550" i="1"/>
  <c r="P550" i="1"/>
  <c r="Q550" i="1"/>
  <c r="S550" i="1"/>
  <c r="T550" i="1"/>
  <c r="U550" i="1"/>
  <c r="V550" i="1"/>
  <c r="W550" i="1"/>
  <c r="X550" i="1"/>
  <c r="Y550" i="1"/>
  <c r="Z550" i="1"/>
  <c r="AA550" i="1"/>
  <c r="AB550" i="1"/>
  <c r="AC550" i="1"/>
  <c r="AD550" i="1"/>
  <c r="AE550" i="1"/>
  <c r="AF550" i="1"/>
  <c r="AG550" i="1"/>
  <c r="AH550" i="1"/>
  <c r="AI550" i="1"/>
  <c r="AJ550" i="1"/>
  <c r="AK550" i="1"/>
  <c r="AL550" i="1"/>
  <c r="AM550" i="1"/>
  <c r="AN550" i="1"/>
  <c r="AP550" i="1"/>
  <c r="AQ550" i="1"/>
  <c r="AR550" i="1"/>
  <c r="AS550" i="1"/>
  <c r="AT550" i="1"/>
  <c r="AU550" i="1"/>
  <c r="AV550" i="1"/>
  <c r="AX550" i="1"/>
  <c r="AY550" i="1"/>
  <c r="AZ550" i="1"/>
  <c r="BA550" i="1"/>
  <c r="BB550" i="1"/>
  <c r="BC550" i="1"/>
  <c r="BD550" i="1"/>
  <c r="BF550" i="1"/>
  <c r="BG550" i="1"/>
  <c r="BH550" i="1"/>
  <c r="BI550" i="1"/>
  <c r="BJ550" i="1"/>
  <c r="BK550" i="1"/>
  <c r="BL550" i="1"/>
  <c r="BN550" i="1"/>
  <c r="BO550" i="1"/>
  <c r="BP550" i="1"/>
  <c r="F557" i="1"/>
  <c r="F83" i="1" s="1"/>
  <c r="G557" i="1"/>
  <c r="G83" i="1" s="1"/>
  <c r="H557" i="1"/>
  <c r="H83" i="1" s="1"/>
  <c r="I557" i="1"/>
  <c r="I83" i="1" s="1"/>
  <c r="J557" i="1"/>
  <c r="J83" i="1" s="1"/>
  <c r="K557" i="1"/>
  <c r="K83" i="1" s="1"/>
  <c r="L557" i="1"/>
  <c r="L83" i="1" s="1"/>
  <c r="M557" i="1"/>
  <c r="M83" i="1" s="1"/>
  <c r="N557" i="1"/>
  <c r="N83" i="1" s="1"/>
  <c r="O557" i="1"/>
  <c r="O83" i="1" s="1"/>
  <c r="P557" i="1"/>
  <c r="P83" i="1" s="1"/>
  <c r="Q557" i="1"/>
  <c r="Q83" i="1" s="1"/>
  <c r="R557" i="1"/>
  <c r="R83" i="1" s="1"/>
  <c r="S557" i="1"/>
  <c r="S83" i="1" s="1"/>
  <c r="T557" i="1"/>
  <c r="T83" i="1" s="1"/>
  <c r="U557" i="1"/>
  <c r="U83" i="1" s="1"/>
  <c r="V557" i="1"/>
  <c r="V83" i="1" s="1"/>
  <c r="W557" i="1"/>
  <c r="W83" i="1" s="1"/>
  <c r="X557" i="1"/>
  <c r="X83" i="1" s="1"/>
  <c r="Y557" i="1"/>
  <c r="Y83" i="1" s="1"/>
  <c r="Z557" i="1"/>
  <c r="Z83" i="1" s="1"/>
  <c r="AA557" i="1"/>
  <c r="AA83" i="1" s="1"/>
  <c r="AB557" i="1"/>
  <c r="AB83" i="1" s="1"/>
  <c r="AC557" i="1"/>
  <c r="AC83" i="1" s="1"/>
  <c r="AD557" i="1"/>
  <c r="AD83" i="1" s="1"/>
  <c r="AE557" i="1"/>
  <c r="AE83" i="1" s="1"/>
  <c r="AF557" i="1"/>
  <c r="AF83" i="1" s="1"/>
  <c r="AG557" i="1"/>
  <c r="AG83" i="1" s="1"/>
  <c r="CL557" i="1"/>
  <c r="O567" i="1"/>
  <c r="P567" i="1"/>
  <c r="Q567" i="1"/>
  <c r="R567" i="1"/>
  <c r="S567" i="1"/>
  <c r="T567" i="1"/>
  <c r="U567" i="1"/>
  <c r="V567" i="1"/>
  <c r="W567" i="1"/>
  <c r="X567" i="1"/>
  <c r="Y567" i="1"/>
  <c r="Z567" i="1"/>
  <c r="Z601" i="1" s="1"/>
  <c r="AA567" i="1"/>
  <c r="AA601" i="1" s="1"/>
  <c r="AB567" i="1"/>
  <c r="AB601" i="1" s="1"/>
  <c r="AC567" i="1"/>
  <c r="AD567" i="1"/>
  <c r="AD601" i="1" s="1"/>
  <c r="AE567" i="1"/>
  <c r="AE601" i="1" s="1"/>
  <c r="AF567" i="1"/>
  <c r="AF601" i="1" s="1"/>
  <c r="AG567" i="1"/>
  <c r="AH567" i="1"/>
  <c r="AH601" i="1" s="1"/>
  <c r="AI567" i="1"/>
  <c r="AI601" i="1" s="1"/>
  <c r="AJ567" i="1"/>
  <c r="AJ601" i="1" s="1"/>
  <c r="AK567" i="1"/>
  <c r="AL567" i="1"/>
  <c r="AL601" i="1" s="1"/>
  <c r="AQ567" i="1"/>
  <c r="AR567" i="1"/>
  <c r="AR601" i="1" s="1"/>
  <c r="AS567" i="1"/>
  <c r="AT567" i="1"/>
  <c r="AT601" i="1" s="1"/>
  <c r="AU567" i="1"/>
  <c r="AU601" i="1" s="1"/>
  <c r="AV567" i="1"/>
  <c r="AV601" i="1" s="1"/>
  <c r="AW567" i="1"/>
  <c r="AX567" i="1"/>
  <c r="AX601" i="1" s="1"/>
  <c r="AY567" i="1"/>
  <c r="AY601" i="1" s="1"/>
  <c r="AZ567" i="1"/>
  <c r="BA567" i="1"/>
  <c r="BB567" i="1"/>
  <c r="BB601" i="1" s="1"/>
  <c r="BC567" i="1"/>
  <c r="BC601" i="1" s="1"/>
  <c r="BD567" i="1"/>
  <c r="BD601" i="1" s="1"/>
  <c r="BE567" i="1"/>
  <c r="BF567" i="1"/>
  <c r="BF601" i="1" s="1"/>
  <c r="BG567" i="1"/>
  <c r="BH567" i="1"/>
  <c r="BH601" i="1" s="1"/>
  <c r="BI567" i="1"/>
  <c r="BJ567" i="1"/>
  <c r="BJ601" i="1" s="1"/>
  <c r="BK567" i="1"/>
  <c r="BK601" i="1" s="1"/>
  <c r="BL567" i="1"/>
  <c r="BL601" i="1" s="1"/>
  <c r="CH567" i="1"/>
  <c r="CH568" i="1"/>
  <c r="CI568" i="1"/>
  <c r="CJ568" i="1"/>
  <c r="CK568" i="1"/>
  <c r="CL568" i="1"/>
  <c r="CM568" i="1"/>
  <c r="CN568" i="1"/>
  <c r="CO568" i="1"/>
  <c r="CP568" i="1"/>
  <c r="CQ568" i="1"/>
  <c r="CR568" i="1"/>
  <c r="CS568" i="1"/>
  <c r="CT568" i="1"/>
  <c r="CU568" i="1"/>
  <c r="CV568" i="1"/>
  <c r="CH569" i="1"/>
  <c r="CI569" i="1"/>
  <c r="CJ569" i="1"/>
  <c r="CK569" i="1"/>
  <c r="CL569" i="1"/>
  <c r="CM569" i="1"/>
  <c r="CN569" i="1"/>
  <c r="CO569" i="1"/>
  <c r="CP569" i="1"/>
  <c r="CQ569" i="1"/>
  <c r="CR569" i="1"/>
  <c r="CS569" i="1"/>
  <c r="CT569" i="1"/>
  <c r="CU569" i="1"/>
  <c r="CV569" i="1"/>
  <c r="Z570" i="1"/>
  <c r="AA570" i="1"/>
  <c r="AB570" i="1"/>
  <c r="AD570" i="1"/>
  <c r="AE570" i="1"/>
  <c r="AF570" i="1"/>
  <c r="AH570" i="1"/>
  <c r="AI570" i="1"/>
  <c r="AJ570" i="1"/>
  <c r="AL570" i="1"/>
  <c r="AM570" i="1"/>
  <c r="AN570" i="1"/>
  <c r="AP570" i="1"/>
  <c r="AQ570" i="1"/>
  <c r="AR570" i="1"/>
  <c r="AT570" i="1"/>
  <c r="AU570" i="1"/>
  <c r="AV570" i="1"/>
  <c r="AX570" i="1"/>
  <c r="AY570" i="1"/>
  <c r="AZ570" i="1"/>
  <c r="BB570" i="1"/>
  <c r="BC570" i="1"/>
  <c r="BD570" i="1"/>
  <c r="BF570" i="1"/>
  <c r="BG570" i="1"/>
  <c r="BH570" i="1"/>
  <c r="BJ570" i="1"/>
  <c r="BK570" i="1"/>
  <c r="BL570" i="1"/>
  <c r="BN570" i="1"/>
  <c r="BO570" i="1"/>
  <c r="BR570" i="1"/>
  <c r="CH571" i="1"/>
  <c r="CI571" i="1"/>
  <c r="CJ571" i="1"/>
  <c r="CK571" i="1"/>
  <c r="CL571" i="1"/>
  <c r="CM571" i="1"/>
  <c r="CN571" i="1"/>
  <c r="CO571" i="1"/>
  <c r="CP571" i="1"/>
  <c r="CQ571" i="1"/>
  <c r="CR571" i="1"/>
  <c r="CS571" i="1"/>
  <c r="CT571" i="1"/>
  <c r="CU571" i="1"/>
  <c r="CV571" i="1"/>
  <c r="F572" i="1"/>
  <c r="G572" i="1"/>
  <c r="H572" i="1"/>
  <c r="I572" i="1"/>
  <c r="J572" i="1"/>
  <c r="K572" i="1"/>
  <c r="L572" i="1"/>
  <c r="M572" i="1"/>
  <c r="N572" i="1"/>
  <c r="O572" i="1"/>
  <c r="P572" i="1"/>
  <c r="Q572" i="1"/>
  <c r="R572" i="1"/>
  <c r="S572" i="1"/>
  <c r="T572" i="1"/>
  <c r="U572" i="1"/>
  <c r="V572" i="1"/>
  <c r="W572" i="1"/>
  <c r="X572" i="1"/>
  <c r="Y572" i="1"/>
  <c r="Z572" i="1"/>
  <c r="AA572" i="1"/>
  <c r="AB572" i="1"/>
  <c r="AC572" i="1"/>
  <c r="AD572" i="1"/>
  <c r="AE572" i="1"/>
  <c r="AF572" i="1"/>
  <c r="AG572" i="1"/>
  <c r="AH572" i="1"/>
  <c r="AI572" i="1"/>
  <c r="AJ572" i="1"/>
  <c r="AK572" i="1"/>
  <c r="AL572" i="1"/>
  <c r="AT572" i="1"/>
  <c r="BA572" i="1"/>
  <c r="BB572" i="1"/>
  <c r="BC572" i="1"/>
  <c r="BD572" i="1"/>
  <c r="BE572" i="1"/>
  <c r="BF572" i="1"/>
  <c r="BG572" i="1"/>
  <c r="BH572" i="1"/>
  <c r="BI572" i="1"/>
  <c r="BJ572" i="1"/>
  <c r="BK572" i="1"/>
  <c r="BL572" i="1"/>
  <c r="BM572" i="1"/>
  <c r="BN572" i="1"/>
  <c r="BO572" i="1"/>
  <c r="BP572" i="1"/>
  <c r="BQ572" i="1"/>
  <c r="BR572" i="1"/>
  <c r="BS572" i="1"/>
  <c r="F573" i="1"/>
  <c r="G573" i="1"/>
  <c r="H573" i="1"/>
  <c r="I573" i="1"/>
  <c r="J573" i="1"/>
  <c r="K573" i="1"/>
  <c r="L573" i="1"/>
  <c r="M573" i="1"/>
  <c r="N567" i="1" s="1"/>
  <c r="AL573" i="1"/>
  <c r="AL121" i="1" s="1"/>
  <c r="AM573" i="1"/>
  <c r="AN567" i="1"/>
  <c r="AN601" i="1" s="1"/>
  <c r="AN573" i="1"/>
  <c r="AO567" i="1" s="1"/>
  <c r="AO573" i="1"/>
  <c r="AP567" i="1" s="1"/>
  <c r="AP601" i="1" s="1"/>
  <c r="BL573" i="1"/>
  <c r="BM567" i="1" s="1"/>
  <c r="BM573" i="1"/>
  <c r="BN573" i="1"/>
  <c r="BO567" i="1" s="1"/>
  <c r="BO601" i="1" s="1"/>
  <c r="BO573" i="1"/>
  <c r="BP567" i="1" s="1"/>
  <c r="BP573" i="1"/>
  <c r="BQ567" i="1" s="1"/>
  <c r="BQ573" i="1"/>
  <c r="CT573" i="1" s="1"/>
  <c r="CU567" i="1" s="1"/>
  <c r="BR573" i="1"/>
  <c r="BS567" i="1" s="1"/>
  <c r="BS573" i="1"/>
  <c r="BT567" i="1" s="1"/>
  <c r="CH573" i="1"/>
  <c r="CI567" i="1" s="1"/>
  <c r="CI601" i="1" s="1"/>
  <c r="CI573" i="1"/>
  <c r="CJ567" i="1" s="1"/>
  <c r="CJ601" i="1" s="1"/>
  <c r="CJ573" i="1"/>
  <c r="CK567" i="1" s="1"/>
  <c r="CK573" i="1"/>
  <c r="CL567" i="1" s="1"/>
  <c r="CL573" i="1"/>
  <c r="CM567" i="1" s="1"/>
  <c r="CP573" i="1"/>
  <c r="CQ567" i="1" s="1"/>
  <c r="CQ573" i="1"/>
  <c r="CR573" i="1"/>
  <c r="F575" i="1"/>
  <c r="G575" i="1"/>
  <c r="H575" i="1"/>
  <c r="J575" i="1"/>
  <c r="K575" i="1"/>
  <c r="L575" i="1"/>
  <c r="M575" i="1"/>
  <c r="N575" i="1"/>
  <c r="O575" i="1"/>
  <c r="P575" i="1"/>
  <c r="Q575" i="1"/>
  <c r="R575" i="1"/>
  <c r="S575" i="1"/>
  <c r="T575" i="1"/>
  <c r="U575" i="1"/>
  <c r="V575" i="1"/>
  <c r="W575" i="1"/>
  <c r="X575" i="1"/>
  <c r="Y575" i="1"/>
  <c r="Z575" i="1"/>
  <c r="AA575" i="1"/>
  <c r="AB575" i="1"/>
  <c r="AC575" i="1"/>
  <c r="AD575" i="1"/>
  <c r="AE575" i="1"/>
  <c r="AF575" i="1"/>
  <c r="AG575" i="1"/>
  <c r="AH575" i="1"/>
  <c r="AI575" i="1"/>
  <c r="AJ575" i="1"/>
  <c r="AK575" i="1"/>
  <c r="AL575" i="1"/>
  <c r="AM575" i="1"/>
  <c r="AN575" i="1"/>
  <c r="AO575" i="1"/>
  <c r="AP575" i="1"/>
  <c r="AQ575" i="1"/>
  <c r="AR575" i="1"/>
  <c r="AS575" i="1"/>
  <c r="AT575" i="1"/>
  <c r="AU575" i="1"/>
  <c r="AV575" i="1"/>
  <c r="AW575" i="1"/>
  <c r="AX575" i="1"/>
  <c r="AY575" i="1"/>
  <c r="AZ575" i="1"/>
  <c r="BA575" i="1"/>
  <c r="BB575" i="1"/>
  <c r="BC575" i="1"/>
  <c r="BD575" i="1"/>
  <c r="BE575" i="1"/>
  <c r="BF575" i="1"/>
  <c r="BG575" i="1"/>
  <c r="BH575" i="1"/>
  <c r="BI575" i="1"/>
  <c r="BJ575" i="1"/>
  <c r="BK575" i="1"/>
  <c r="BL575" i="1"/>
  <c r="BM575" i="1"/>
  <c r="BN575" i="1"/>
  <c r="BO575" i="1"/>
  <c r="BP575" i="1"/>
  <c r="BQ575" i="1"/>
  <c r="BR575" i="1"/>
  <c r="BS575" i="1"/>
  <c r="CE575" i="1"/>
  <c r="CF575" i="1"/>
  <c r="CG575" i="1"/>
  <c r="CH575" i="1"/>
  <c r="CI575" i="1"/>
  <c r="CJ576" i="1"/>
  <c r="CK576" i="1"/>
  <c r="CL576" i="1"/>
  <c r="F577" i="1"/>
  <c r="G577" i="1"/>
  <c r="H577" i="1"/>
  <c r="J577" i="1"/>
  <c r="K577" i="1"/>
  <c r="L577" i="1"/>
  <c r="M577" i="1"/>
  <c r="N577" i="1"/>
  <c r="N576" i="1" s="1"/>
  <c r="O577" i="1"/>
  <c r="P577" i="1"/>
  <c r="Q577" i="1"/>
  <c r="R577" i="1"/>
  <c r="S577" i="1"/>
  <c r="T577" i="1"/>
  <c r="U577" i="1"/>
  <c r="V577" i="1"/>
  <c r="W577" i="1"/>
  <c r="X577" i="1"/>
  <c r="Y577" i="1"/>
  <c r="Z577" i="1"/>
  <c r="AA577" i="1"/>
  <c r="AB577" i="1"/>
  <c r="AC577" i="1"/>
  <c r="AD577" i="1"/>
  <c r="AE577" i="1"/>
  <c r="AF577" i="1"/>
  <c r="AG577" i="1"/>
  <c r="AH577" i="1"/>
  <c r="AI577" i="1"/>
  <c r="AJ577" i="1"/>
  <c r="AK577" i="1"/>
  <c r="AL577" i="1"/>
  <c r="AL578" i="1" s="1"/>
  <c r="AM577" i="1"/>
  <c r="AN577" i="1"/>
  <c r="AO577" i="1"/>
  <c r="AP577" i="1"/>
  <c r="AQ577" i="1"/>
  <c r="AR577" i="1"/>
  <c r="AS577" i="1"/>
  <c r="AT577" i="1"/>
  <c r="AU577" i="1"/>
  <c r="AV577" i="1"/>
  <c r="AW577" i="1"/>
  <c r="AX577" i="1"/>
  <c r="AX576" i="1" s="1"/>
  <c r="AY577" i="1"/>
  <c r="AZ577" i="1"/>
  <c r="BA577" i="1"/>
  <c r="BB577" i="1"/>
  <c r="BB578" i="1" s="1"/>
  <c r="BC577" i="1"/>
  <c r="BD577" i="1"/>
  <c r="BE577" i="1"/>
  <c r="BF577" i="1"/>
  <c r="BG577" i="1"/>
  <c r="BH577" i="1"/>
  <c r="BI577" i="1"/>
  <c r="BJ577" i="1"/>
  <c r="BK577" i="1"/>
  <c r="BL577" i="1"/>
  <c r="BM577" i="1"/>
  <c r="BN577" i="1"/>
  <c r="BO577" i="1"/>
  <c r="BP577" i="1"/>
  <c r="BQ577" i="1"/>
  <c r="BR577" i="1"/>
  <c r="BR578" i="1" s="1"/>
  <c r="BS577" i="1"/>
  <c r="CE577" i="1"/>
  <c r="CF577" i="1"/>
  <c r="CG577" i="1"/>
  <c r="CH577" i="1"/>
  <c r="CI577" i="1"/>
  <c r="CJ578" i="1"/>
  <c r="CK578" i="1"/>
  <c r="CL578" i="1"/>
  <c r="U581" i="1"/>
  <c r="AD581" i="1"/>
  <c r="U582" i="1"/>
  <c r="CH582" i="1" s="1"/>
  <c r="V582" i="1"/>
  <c r="V587" i="1" s="1"/>
  <c r="X582" i="1"/>
  <c r="Y582" i="1"/>
  <c r="Y587" i="1" s="1"/>
  <c r="Z582" i="1"/>
  <c r="AB582" i="1"/>
  <c r="AC582" i="1"/>
  <c r="AC587" i="1" s="1"/>
  <c r="AD582" i="1"/>
  <c r="AE582" i="1"/>
  <c r="AF582" i="1"/>
  <c r="AF587" i="1" s="1"/>
  <c r="AG582" i="1"/>
  <c r="AG587" i="1" s="1"/>
  <c r="AH582" i="1"/>
  <c r="AK582" i="1"/>
  <c r="AM582" i="1"/>
  <c r="AN582" i="1"/>
  <c r="AO582" i="1"/>
  <c r="AP582" i="1"/>
  <c r="AR582" i="1"/>
  <c r="AV582" i="1"/>
  <c r="AX582" i="1"/>
  <c r="BD582" i="1"/>
  <c r="BE582" i="1"/>
  <c r="BJ582" i="1"/>
  <c r="BL582" i="1"/>
  <c r="BM582" i="1"/>
  <c r="BN582" i="1"/>
  <c r="BP582" i="1"/>
  <c r="BQ582" i="1"/>
  <c r="CE582" i="1"/>
  <c r="CF582" i="1"/>
  <c r="CG582" i="1"/>
  <c r="CV582" i="1"/>
  <c r="CE583" i="1"/>
  <c r="CF583" i="1"/>
  <c r="CG583" i="1"/>
  <c r="CH583" i="1"/>
  <c r="CI583" i="1"/>
  <c r="CJ583" i="1"/>
  <c r="CK583" i="1"/>
  <c r="CL583" i="1"/>
  <c r="CM583" i="1"/>
  <c r="CN583" i="1"/>
  <c r="CO583" i="1"/>
  <c r="CP583" i="1"/>
  <c r="CQ583" i="1"/>
  <c r="CR583" i="1"/>
  <c r="CS583" i="1"/>
  <c r="CT583" i="1"/>
  <c r="CU583" i="1"/>
  <c r="CV583" i="1"/>
  <c r="CE586" i="1"/>
  <c r="CF586" i="1"/>
  <c r="CG586" i="1"/>
  <c r="CH586" i="1"/>
  <c r="CI586" i="1"/>
  <c r="CJ586" i="1"/>
  <c r="CK586" i="1"/>
  <c r="CL586" i="1"/>
  <c r="CQ586" i="1"/>
  <c r="CR586" i="1"/>
  <c r="CS586" i="1"/>
  <c r="CT586" i="1"/>
  <c r="AL587" i="1"/>
  <c r="AM587" i="1"/>
  <c r="AN587" i="1"/>
  <c r="AO587" i="1"/>
  <c r="AP587" i="1"/>
  <c r="AQ587" i="1"/>
  <c r="AR587" i="1"/>
  <c r="AS587" i="1"/>
  <c r="AT587" i="1"/>
  <c r="AU587" i="1"/>
  <c r="AV587" i="1"/>
  <c r="AW587" i="1"/>
  <c r="AX587" i="1"/>
  <c r="AY587" i="1"/>
  <c r="AZ587" i="1"/>
  <c r="BK587" i="1"/>
  <c r="BL587" i="1"/>
  <c r="BO587" i="1"/>
  <c r="BP587" i="1"/>
  <c r="BQ587" i="1"/>
  <c r="BR587" i="1"/>
  <c r="BS587" i="1"/>
  <c r="N590" i="1"/>
  <c r="R590" i="1"/>
  <c r="V590" i="1"/>
  <c r="Z590" i="1"/>
  <c r="AD590" i="1"/>
  <c r="AD594" i="1" s="1"/>
  <c r="AE590" i="1" s="1"/>
  <c r="AE603" i="1" s="1"/>
  <c r="CF590" i="1"/>
  <c r="CG590" i="1"/>
  <c r="N591" i="1"/>
  <c r="O591" i="1"/>
  <c r="P591" i="1"/>
  <c r="R591" i="1"/>
  <c r="S591" i="1"/>
  <c r="T591" i="1"/>
  <c r="V591" i="1"/>
  <c r="W591" i="1"/>
  <c r="X591" i="1"/>
  <c r="Y591" i="1" s="1"/>
  <c r="Y601" i="1" s="1"/>
  <c r="AC591" i="1"/>
  <c r="AG591" i="1"/>
  <c r="AK591" i="1"/>
  <c r="CL591" i="1" s="1"/>
  <c r="AO591" i="1"/>
  <c r="CM591" i="1" s="1"/>
  <c r="AQ591" i="1"/>
  <c r="AS591" i="1" s="1"/>
  <c r="AW591" i="1"/>
  <c r="CO591" i="1" s="1"/>
  <c r="AZ591" i="1"/>
  <c r="BA591" i="1" s="1"/>
  <c r="BE591" i="1"/>
  <c r="BF591" i="1"/>
  <c r="BG591" i="1"/>
  <c r="BM591" i="1"/>
  <c r="CS591" i="1" s="1"/>
  <c r="BP591" i="1"/>
  <c r="BS591" i="1"/>
  <c r="N592" i="1"/>
  <c r="O592" i="1"/>
  <c r="O570" i="1" s="1"/>
  <c r="P592" i="1"/>
  <c r="P570" i="1" s="1"/>
  <c r="R592" i="1"/>
  <c r="R602" i="1" s="1"/>
  <c r="S592" i="1"/>
  <c r="T592" i="1"/>
  <c r="V592" i="1"/>
  <c r="V570" i="1" s="1"/>
  <c r="W592" i="1"/>
  <c r="W570" i="1" s="1"/>
  <c r="X592" i="1"/>
  <c r="AC592" i="1"/>
  <c r="AC570" i="1" s="1"/>
  <c r="AG592" i="1"/>
  <c r="AK592" i="1"/>
  <c r="AO592" i="1"/>
  <c r="CM592" i="1" s="1"/>
  <c r="AS592" i="1"/>
  <c r="AS598" i="1" s="1"/>
  <c r="AW592" i="1"/>
  <c r="BA592" i="1"/>
  <c r="BE592" i="1"/>
  <c r="BI592" i="1"/>
  <c r="BM592" i="1"/>
  <c r="BM598" i="1" s="1"/>
  <c r="BP592" i="1"/>
  <c r="BS592" i="1"/>
  <c r="N593" i="1"/>
  <c r="O593" i="1"/>
  <c r="P593" i="1"/>
  <c r="R593" i="1"/>
  <c r="R603" i="1" s="1"/>
  <c r="S593" i="1"/>
  <c r="T593" i="1"/>
  <c r="V593" i="1"/>
  <c r="W593" i="1"/>
  <c r="X593" i="1"/>
  <c r="AC593" i="1"/>
  <c r="AG593" i="1"/>
  <c r="CK593" i="1" s="1"/>
  <c r="AK593" i="1"/>
  <c r="CL593" i="1" s="1"/>
  <c r="AO593" i="1"/>
  <c r="CM593" i="1" s="1"/>
  <c r="AS593" i="1"/>
  <c r="CN593" i="1" s="1"/>
  <c r="AW593" i="1"/>
  <c r="CO593" i="1" s="1"/>
  <c r="BA593" i="1"/>
  <c r="CP593" i="1" s="1"/>
  <c r="BE593" i="1"/>
  <c r="CQ593" i="1" s="1"/>
  <c r="BI593" i="1"/>
  <c r="CR593" i="1" s="1"/>
  <c r="BM593" i="1"/>
  <c r="CS593" i="1" s="1"/>
  <c r="BP593" i="1"/>
  <c r="BS593" i="1"/>
  <c r="BT593" i="1" s="1"/>
  <c r="BU593" i="1" s="1"/>
  <c r="CU593" i="1" s="1"/>
  <c r="N596" i="1"/>
  <c r="O596" i="1"/>
  <c r="P596" i="1"/>
  <c r="R596" i="1"/>
  <c r="S596" i="1"/>
  <c r="T596" i="1"/>
  <c r="V596" i="1"/>
  <c r="W596" i="1"/>
  <c r="X596" i="1"/>
  <c r="BR596" i="1"/>
  <c r="BR598" i="1"/>
  <c r="Z597" i="1"/>
  <c r="AA597" i="1"/>
  <c r="AB597" i="1"/>
  <c r="AC597" i="1"/>
  <c r="AD597" i="1"/>
  <c r="AE597" i="1"/>
  <c r="AF597" i="1"/>
  <c r="AG597" i="1"/>
  <c r="AH597" i="1"/>
  <c r="AI597" i="1"/>
  <c r="AJ597" i="1"/>
  <c r="AK597" i="1"/>
  <c r="AL597" i="1"/>
  <c r="AM597" i="1"/>
  <c r="AN597" i="1"/>
  <c r="AO597" i="1"/>
  <c r="AP597" i="1"/>
  <c r="AQ597" i="1"/>
  <c r="AR597" i="1"/>
  <c r="AS597" i="1"/>
  <c r="AT597" i="1"/>
  <c r="AU597" i="1"/>
  <c r="AV597" i="1"/>
  <c r="AW597" i="1"/>
  <c r="AX597" i="1"/>
  <c r="AY597" i="1"/>
  <c r="AZ597" i="1"/>
  <c r="BA597" i="1"/>
  <c r="BB597" i="1"/>
  <c r="BC597" i="1"/>
  <c r="BD597" i="1"/>
  <c r="BE597" i="1"/>
  <c r="BF597" i="1"/>
  <c r="BG597" i="1"/>
  <c r="BH597" i="1"/>
  <c r="BI597" i="1"/>
  <c r="BJ597" i="1"/>
  <c r="BK597" i="1"/>
  <c r="BL597" i="1"/>
  <c r="BM597" i="1"/>
  <c r="BN597" i="1"/>
  <c r="BO597" i="1"/>
  <c r="BP597" i="1"/>
  <c r="BQ597" i="1"/>
  <c r="CX597" i="1"/>
  <c r="CY597" i="1" s="1"/>
  <c r="CZ597" i="1" s="1"/>
  <c r="DA597" i="1" s="1"/>
  <c r="DB597" i="1" s="1"/>
  <c r="DC597" i="1" s="1"/>
  <c r="Z598" i="1"/>
  <c r="AA598" i="1"/>
  <c r="AB598" i="1"/>
  <c r="AD598" i="1"/>
  <c r="AE598" i="1"/>
  <c r="AF598" i="1"/>
  <c r="AH598" i="1"/>
  <c r="AI598" i="1"/>
  <c r="AJ598" i="1"/>
  <c r="AL598" i="1"/>
  <c r="AM598" i="1"/>
  <c r="AN598" i="1"/>
  <c r="AP598" i="1"/>
  <c r="AQ598" i="1"/>
  <c r="AR598" i="1"/>
  <c r="AT598" i="1"/>
  <c r="AU598" i="1"/>
  <c r="AV598" i="1"/>
  <c r="AX598" i="1"/>
  <c r="AY598" i="1"/>
  <c r="AZ598" i="1"/>
  <c r="BB598" i="1"/>
  <c r="BC598" i="1"/>
  <c r="BD598" i="1"/>
  <c r="BF598" i="1"/>
  <c r="BG598" i="1"/>
  <c r="BH598" i="1"/>
  <c r="BJ598" i="1"/>
  <c r="BK598" i="1"/>
  <c r="BL598" i="1"/>
  <c r="BN598" i="1"/>
  <c r="BO598" i="1"/>
  <c r="CG598" i="1"/>
  <c r="CH598" i="1"/>
  <c r="CI598" i="1"/>
  <c r="CJ598" i="1"/>
  <c r="CG606" i="1"/>
  <c r="CH606" i="1"/>
  <c r="CI606" i="1"/>
  <c r="CI608" i="1" s="1"/>
  <c r="CJ606" i="1"/>
  <c r="CJ608" i="1" s="1"/>
  <c r="CK606" i="1"/>
  <c r="CL606" i="1"/>
  <c r="CM606" i="1"/>
  <c r="CN606" i="1"/>
  <c r="CO606" i="1"/>
  <c r="CP606" i="1"/>
  <c r="CQ606" i="1"/>
  <c r="CR606" i="1"/>
  <c r="CS606" i="1"/>
  <c r="CT606" i="1"/>
  <c r="CE619" i="1"/>
  <c r="CF619" i="1"/>
  <c r="CG619" i="1"/>
  <c r="CH619" i="1"/>
  <c r="CH628" i="1" s="1"/>
  <c r="CI619" i="1"/>
  <c r="CJ619" i="1"/>
  <c r="CJ628" i="1" s="1"/>
  <c r="CK619" i="1"/>
  <c r="CK628" i="1" s="1"/>
  <c r="T620" i="1"/>
  <c r="X620" i="1"/>
  <c r="AJ620" i="1"/>
  <c r="T621" i="1"/>
  <c r="V621" i="1"/>
  <c r="X621" i="1"/>
  <c r="AJ621" i="1"/>
  <c r="X622" i="1"/>
  <c r="AA622" i="1"/>
  <c r="AH622" i="1"/>
  <c r="AJ622" i="1"/>
  <c r="AL622" i="1"/>
  <c r="CQ622" i="1"/>
  <c r="AD623" i="1"/>
  <c r="AE623" i="1"/>
  <c r="AJ623" i="1"/>
  <c r="AL623" i="1"/>
  <c r="CV626" i="1"/>
  <c r="CW626" i="1" s="1"/>
  <c r="CX626" i="1" s="1"/>
  <c r="CY626" i="1" s="1"/>
  <c r="CZ626" i="1" s="1"/>
  <c r="DA626" i="1" s="1"/>
  <c r="DB626" i="1" s="1"/>
  <c r="DC626" i="1" s="1"/>
  <c r="CG632" i="1"/>
  <c r="CH632" i="1"/>
  <c r="CI632" i="1"/>
  <c r="CJ632" i="1"/>
  <c r="CK632" i="1"/>
  <c r="CL632" i="1"/>
  <c r="CM632" i="1"/>
  <c r="CN632" i="1"/>
  <c r="CO632" i="1"/>
  <c r="CG633" i="1"/>
  <c r="CH633" i="1"/>
  <c r="CI633" i="1"/>
  <c r="CJ633" i="1"/>
  <c r="CK633" i="1"/>
  <c r="CL633" i="1"/>
  <c r="CM633" i="1"/>
  <c r="CN633" i="1"/>
  <c r="CO633" i="1"/>
  <c r="CG634" i="1"/>
  <c r="CH634" i="1"/>
  <c r="CI634" i="1"/>
  <c r="CJ634" i="1"/>
  <c r="CK634" i="1"/>
  <c r="CL634" i="1"/>
  <c r="CM634" i="1"/>
  <c r="CN634" i="1"/>
  <c r="CO634" i="1"/>
  <c r="CJ635" i="1"/>
  <c r="CK635" i="1"/>
  <c r="CL635" i="1"/>
  <c r="CM635" i="1"/>
  <c r="CN635" i="1"/>
  <c r="CO635" i="1"/>
  <c r="AG643" i="1"/>
  <c r="AJ643" i="1"/>
  <c r="AK643" i="1"/>
  <c r="AO643" i="1"/>
  <c r="CJ643" i="1"/>
  <c r="CK643" i="1"/>
  <c r="CL643" i="1"/>
  <c r="CQ648" i="1"/>
  <c r="CR648" i="1"/>
  <c r="AU651" i="1"/>
  <c r="AV651" i="1"/>
  <c r="AW651" i="1"/>
  <c r="AX651" i="1"/>
  <c r="AY651" i="1"/>
  <c r="AZ651" i="1"/>
  <c r="BA651" i="1"/>
  <c r="BB651" i="1"/>
  <c r="BC651" i="1"/>
  <c r="BD651" i="1"/>
  <c r="BE651" i="1"/>
  <c r="BF651" i="1"/>
  <c r="BG651" i="1"/>
  <c r="BH651" i="1"/>
  <c r="BI651" i="1"/>
  <c r="BJ651" i="1"/>
  <c r="BK651" i="1"/>
  <c r="BL651" i="1"/>
  <c r="BM651" i="1"/>
  <c r="BN651" i="1"/>
  <c r="BO651" i="1"/>
  <c r="BP651" i="1"/>
  <c r="AU653" i="1"/>
  <c r="AV653" i="1"/>
  <c r="AW653" i="1"/>
  <c r="AX653" i="1"/>
  <c r="AY653" i="1"/>
  <c r="AZ653" i="1"/>
  <c r="BA653" i="1"/>
  <c r="BB653" i="1"/>
  <c r="BC653" i="1"/>
  <c r="BD653" i="1"/>
  <c r="BE653" i="1"/>
  <c r="BF653" i="1"/>
  <c r="BG653" i="1"/>
  <c r="BH653" i="1"/>
  <c r="BI653" i="1"/>
  <c r="BJ653" i="1"/>
  <c r="BK653" i="1"/>
  <c r="BL653" i="1"/>
  <c r="BM653" i="1"/>
  <c r="BN653" i="1"/>
  <c r="BO653" i="1"/>
  <c r="BP653" i="1"/>
  <c r="BQ653" i="1"/>
  <c r="BR653" i="1"/>
  <c r="BV13" i="1"/>
  <c r="BV18" i="1" s="1"/>
  <c r="BT116" i="8"/>
  <c r="AV454" i="1"/>
  <c r="BK225" i="1"/>
  <c r="BG225" i="1"/>
  <c r="AY225" i="1"/>
  <c r="BO221" i="1"/>
  <c r="BK221" i="1"/>
  <c r="AY221" i="1"/>
  <c r="BU293" i="1"/>
  <c r="CU245" i="1"/>
  <c r="AQ468" i="1"/>
  <c r="AQ35" i="1" s="1"/>
  <c r="AU31" i="1"/>
  <c r="AU44" i="1" s="1"/>
  <c r="AU58" i="1" s="1"/>
  <c r="CR14" i="1"/>
  <c r="BG223" i="1"/>
  <c r="CY518" i="1"/>
  <c r="CZ518" i="1" s="1"/>
  <c r="DA518" i="1" s="1"/>
  <c r="DB518" i="1" s="1"/>
  <c r="DC518" i="1" s="1"/>
  <c r="AW217" i="1"/>
  <c r="AU406" i="1"/>
  <c r="BJ300" i="1"/>
  <c r="AY222" i="1"/>
  <c r="AU222" i="1"/>
  <c r="AY173" i="1"/>
  <c r="AY195" i="1" s="1"/>
  <c r="CO121" i="1"/>
  <c r="CU93" i="1"/>
  <c r="BV89" i="1"/>
  <c r="BC81" i="1"/>
  <c r="BC118" i="8" s="1"/>
  <c r="CQ80" i="1"/>
  <c r="DR68" i="1"/>
  <c r="BI67" i="1"/>
  <c r="Y67" i="1"/>
  <c r="Y151" i="1" s="1"/>
  <c r="AX43" i="1"/>
  <c r="AX57" i="1" s="1"/>
  <c r="AP43" i="1"/>
  <c r="AP57" i="1" s="1"/>
  <c r="BP177" i="7"/>
  <c r="BL177" i="7"/>
  <c r="BH177" i="7"/>
  <c r="BD177" i="7"/>
  <c r="AZ177" i="7"/>
  <c r="AN177" i="7"/>
  <c r="AF177" i="7"/>
  <c r="X177" i="7"/>
  <c r="P177" i="7"/>
  <c r="CK88" i="7"/>
  <c r="CN183" i="7"/>
  <c r="AK24" i="7"/>
  <c r="AK83" i="7" s="1"/>
  <c r="CL26" i="7"/>
  <c r="BH67" i="1"/>
  <c r="AV67" i="1"/>
  <c r="AF134" i="7"/>
  <c r="AF130" i="7"/>
  <c r="Q88" i="7"/>
  <c r="CS73" i="8"/>
  <c r="L26" i="8"/>
  <c r="M26" i="8"/>
  <c r="L76" i="8"/>
  <c r="L98" i="8" s="1"/>
  <c r="DQ121" i="1"/>
  <c r="BR89" i="1"/>
  <c r="BR88" i="1" s="1"/>
  <c r="DT68" i="1"/>
  <c r="BO67" i="1"/>
  <c r="BK67" i="1"/>
  <c r="BR176" i="7"/>
  <c r="AL176" i="7"/>
  <c r="CT195" i="7"/>
  <c r="CL128" i="7"/>
  <c r="CU119" i="1"/>
  <c r="DR95" i="1"/>
  <c r="CQ75" i="1"/>
  <c r="CQ116" i="8" s="1"/>
  <c r="DT69" i="1"/>
  <c r="DS68" i="1"/>
  <c r="DO68" i="1"/>
  <c r="CO68" i="1"/>
  <c r="CG68" i="1"/>
  <c r="BR67" i="1"/>
  <c r="BN67" i="1"/>
  <c r="BJ67" i="1"/>
  <c r="BB67" i="1"/>
  <c r="AX67" i="1"/>
  <c r="AL130" i="7"/>
  <c r="AL134" i="7"/>
  <c r="Z130" i="7"/>
  <c r="Z134" i="7"/>
  <c r="BT19" i="1"/>
  <c r="BL19" i="1"/>
  <c r="BL25" i="1" s="1"/>
  <c r="BL131" i="1" s="1"/>
  <c r="BH19" i="1"/>
  <c r="BH25" i="1" s="1"/>
  <c r="BH131" i="1" s="1"/>
  <c r="U79" i="7"/>
  <c r="T94" i="7"/>
  <c r="T102" i="7" s="1"/>
  <c r="Q79" i="7"/>
  <c r="Q85" i="7" s="1"/>
  <c r="BS184" i="7"/>
  <c r="BS205" i="7"/>
  <c r="BS43" i="7"/>
  <c r="BS51" i="7" s="1"/>
  <c r="BS62" i="7" s="1"/>
  <c r="BG43" i="7"/>
  <c r="BG51" i="7" s="1"/>
  <c r="BG62" i="7" s="1"/>
  <c r="BG184" i="7"/>
  <c r="BG182" i="7"/>
  <c r="BG205" i="7"/>
  <c r="BX14" i="7"/>
  <c r="BY14" i="7" s="1"/>
  <c r="CU14" i="7"/>
  <c r="CP85" i="8"/>
  <c r="CP43" i="8"/>
  <c r="AW49" i="8"/>
  <c r="CM43" i="8"/>
  <c r="CK43" i="8"/>
  <c r="AG49" i="8"/>
  <c r="Y49" i="8"/>
  <c r="CH43" i="8"/>
  <c r="U49" i="8"/>
  <c r="BO20" i="8"/>
  <c r="BN120" i="8"/>
  <c r="AY20" i="8"/>
  <c r="CP20" i="8" s="1"/>
  <c r="AX120" i="8"/>
  <c r="AI20" i="8"/>
  <c r="CL20" i="8" s="1"/>
  <c r="AH120" i="8"/>
  <c r="CK20" i="8"/>
  <c r="AD29" i="8"/>
  <c r="AD120" i="8"/>
  <c r="CJ20" i="8"/>
  <c r="Z120" i="8"/>
  <c r="CH20" i="8"/>
  <c r="AJ131" i="7"/>
  <c r="X131" i="7"/>
  <c r="T131" i="7"/>
  <c r="V129" i="7"/>
  <c r="N129" i="7"/>
  <c r="AE118" i="7"/>
  <c r="AJ101" i="7"/>
  <c r="T101" i="7"/>
  <c r="BF98" i="7"/>
  <c r="T85" i="7"/>
  <c r="Y22" i="7"/>
  <c r="Y33" i="7" s="1"/>
  <c r="AT96" i="8"/>
  <c r="AT98" i="8" s="1"/>
  <c r="AT48" i="8"/>
  <c r="AM48" i="8"/>
  <c r="AN48" i="8"/>
  <c r="AM96" i="8"/>
  <c r="CF121" i="8"/>
  <c r="BM28" i="8"/>
  <c r="CS75" i="8"/>
  <c r="CQ75" i="8"/>
  <c r="BE28" i="8"/>
  <c r="CQ28" i="8" s="1"/>
  <c r="W28" i="8"/>
  <c r="W119" i="8"/>
  <c r="S28" i="8"/>
  <c r="S29" i="8" s="1"/>
  <c r="S76" i="8"/>
  <c r="K28" i="8"/>
  <c r="K76" i="8"/>
  <c r="G28" i="8"/>
  <c r="G76" i="8"/>
  <c r="AI50" i="8"/>
  <c r="CL50" i="8"/>
  <c r="CG46" i="8"/>
  <c r="P49" i="8"/>
  <c r="BG34" i="8"/>
  <c r="AQ34" i="8"/>
  <c r="BS18" i="8"/>
  <c r="CU18" i="8" s="1"/>
  <c r="BR117" i="8"/>
  <c r="BC18" i="8"/>
  <c r="BB117" i="8"/>
  <c r="BB120" i="8"/>
  <c r="AM18" i="8"/>
  <c r="CM18" i="8" s="1"/>
  <c r="BR18" i="1"/>
  <c r="BN18" i="1"/>
  <c r="AE131" i="7"/>
  <c r="O131" i="7"/>
  <c r="Z118" i="7"/>
  <c r="Z140" i="7" s="1"/>
  <c r="N118" i="7"/>
  <c r="N140" i="7" s="1"/>
  <c r="X101" i="7"/>
  <c r="BE60" i="7"/>
  <c r="BE201" i="7" s="1"/>
  <c r="BF68" i="7"/>
  <c r="CT31" i="7"/>
  <c r="AO24" i="7"/>
  <c r="CM24" i="7" s="1"/>
  <c r="CM26" i="7"/>
  <c r="CJ16" i="7"/>
  <c r="CJ123" i="7" s="1"/>
  <c r="BX88" i="8"/>
  <c r="BC48" i="8"/>
  <c r="CQ48" i="8"/>
  <c r="BS47" i="8"/>
  <c r="CU47" i="8" s="1"/>
  <c r="BC47" i="8"/>
  <c r="BC118" i="1" s="1"/>
  <c r="BS42" i="8"/>
  <c r="CU42" i="8"/>
  <c r="BC42" i="8"/>
  <c r="CQ42" i="8" s="1"/>
  <c r="CQ41" i="8"/>
  <c r="CO41" i="8"/>
  <c r="AV119" i="8"/>
  <c r="CK27" i="8"/>
  <c r="AF119" i="8"/>
  <c r="BK25" i="8"/>
  <c r="CS25" i="8" s="1"/>
  <c r="AU25" i="8"/>
  <c r="CO25" i="8"/>
  <c r="AT119" i="8"/>
  <c r="BQ19" i="1"/>
  <c r="BM19" i="1"/>
  <c r="BM25" i="1" s="1"/>
  <c r="BM131" i="1" s="1"/>
  <c r="BI19" i="1"/>
  <c r="BI25" i="1" s="1"/>
  <c r="BI131" i="1" s="1"/>
  <c r="BN177" i="7"/>
  <c r="AH177" i="7"/>
  <c r="AA129" i="7"/>
  <c r="AJ118" i="7"/>
  <c r="AJ140" i="7" s="1"/>
  <c r="AB118" i="7"/>
  <c r="AB140" i="7" s="1"/>
  <c r="X118" i="7"/>
  <c r="T118" i="7"/>
  <c r="P118" i="7"/>
  <c r="P140" i="7" s="1"/>
  <c r="AA101" i="7"/>
  <c r="P88" i="7"/>
  <c r="P90" i="7" s="1"/>
  <c r="P92" i="7" s="1"/>
  <c r="AF62" i="7"/>
  <c r="AY51" i="7"/>
  <c r="AI51" i="7"/>
  <c r="W51" i="7"/>
  <c r="S51" i="7"/>
  <c r="O51" i="7"/>
  <c r="K51" i="7"/>
  <c r="G51" i="7"/>
  <c r="CF41" i="8"/>
  <c r="CF34" i="8"/>
  <c r="M18" i="8"/>
  <c r="CF65" i="8"/>
  <c r="CT16" i="8"/>
  <c r="AZ120" i="8"/>
  <c r="BG79" i="7"/>
  <c r="BG84" i="7" s="1"/>
  <c r="CU41" i="7"/>
  <c r="CU32" i="7"/>
  <c r="CU31" i="7"/>
  <c r="CP93" i="8"/>
  <c r="BK43" i="8"/>
  <c r="BL43" i="8"/>
  <c r="BL49" i="8" s="1"/>
  <c r="BR85" i="8"/>
  <c r="AB76" i="8"/>
  <c r="AB98" i="8" s="1"/>
  <c r="CF75" i="8"/>
  <c r="CF28" i="8"/>
  <c r="AQ28" i="8"/>
  <c r="CN28" i="8" s="1"/>
  <c r="BQ26" i="8"/>
  <c r="J26" i="8"/>
  <c r="BS25" i="8"/>
  <c r="CU25" i="8" s="1"/>
  <c r="CP68" i="8"/>
  <c r="BR21" i="8"/>
  <c r="BR120" i="8" s="1"/>
  <c r="BR76" i="8"/>
  <c r="H21" i="8"/>
  <c r="BS48" i="8"/>
  <c r="CU48" i="8" s="1"/>
  <c r="BG47" i="8"/>
  <c r="CO46" i="8"/>
  <c r="CK44" i="8"/>
  <c r="AF49" i="8"/>
  <c r="X49" i="8"/>
  <c r="Z49" i="8"/>
  <c r="V49" i="8"/>
  <c r="N49" i="8"/>
  <c r="J49" i="8"/>
  <c r="F49" i="8"/>
  <c r="AV38" i="8"/>
  <c r="CJ36" i="8"/>
  <c r="AB38" i="8"/>
  <c r="CH35" i="8"/>
  <c r="U38" i="8"/>
  <c r="BK34" i="8"/>
  <c r="K26" i="8"/>
  <c r="BO25" i="8"/>
  <c r="CT25" i="8"/>
  <c r="AI25" i="8"/>
  <c r="AC21" i="8"/>
  <c r="M21" i="8"/>
  <c r="CN20" i="8"/>
  <c r="BS20" i="8"/>
  <c r="CU20" i="8" s="1"/>
  <c r="BC20" i="8"/>
  <c r="CQ20" i="8"/>
  <c r="AN29" i="8"/>
  <c r="P98" i="8"/>
  <c r="CT95" i="8"/>
  <c r="BQ48" i="8"/>
  <c r="BQ49" i="8"/>
  <c r="CL95" i="8"/>
  <c r="AK48" i="8"/>
  <c r="AK49" i="8"/>
  <c r="BH43" i="8"/>
  <c r="BH49" i="8" s="1"/>
  <c r="BM36" i="8"/>
  <c r="BM38" i="8"/>
  <c r="CS83" i="8"/>
  <c r="CS85" i="8" s="1"/>
  <c r="BM85" i="8"/>
  <c r="BJ48" i="8"/>
  <c r="AI48" i="8"/>
  <c r="BK47" i="8"/>
  <c r="BK118" i="1" s="1"/>
  <c r="BP49" i="8"/>
  <c r="CQ43" i="8"/>
  <c r="CJ43" i="8"/>
  <c r="BK42" i="8"/>
  <c r="AU42" i="8"/>
  <c r="AI34" i="8"/>
  <c r="CM28" i="8"/>
  <c r="CH27" i="8"/>
  <c r="BS26" i="8"/>
  <c r="BE21" i="8"/>
  <c r="BE120" i="8" s="1"/>
  <c r="I21" i="8"/>
  <c r="AW29" i="8"/>
  <c r="AO29" i="8"/>
  <c r="AK29" i="8"/>
  <c r="Y29" i="8"/>
  <c r="BK18" i="8"/>
  <c r="AU18" i="8"/>
  <c r="CM15" i="8"/>
  <c r="CI15" i="8"/>
  <c r="CH15" i="8"/>
  <c r="CH135" i="8" s="1"/>
  <c r="CQ13" i="8"/>
  <c r="CP13" i="8"/>
  <c r="CM13" i="8"/>
  <c r="CL13" i="8"/>
  <c r="CI13" i="8"/>
  <c r="CH13" i="8"/>
  <c r="CS28" i="7"/>
  <c r="BS96" i="8"/>
  <c r="BA96" i="8"/>
  <c r="BA98" i="8" s="1"/>
  <c r="BR96" i="8"/>
  <c r="BR41" i="8"/>
  <c r="BR49" i="8"/>
  <c r="BI36" i="8"/>
  <c r="BI85" i="8"/>
  <c r="BQ85" i="8"/>
  <c r="BQ32" i="8"/>
  <c r="T28" i="8"/>
  <c r="T119" i="8" s="1"/>
  <c r="L28" i="8"/>
  <c r="BN76" i="8"/>
  <c r="BN98" i="8" s="1"/>
  <c r="BN26" i="8"/>
  <c r="BI26" i="8"/>
  <c r="BI119" i="8"/>
  <c r="BG21" i="8"/>
  <c r="F21" i="8"/>
  <c r="F29" i="8"/>
  <c r="AP48" i="8"/>
  <c r="AP49" i="8" s="1"/>
  <c r="BD49" i="8"/>
  <c r="BO42" i="8"/>
  <c r="AY42" i="8"/>
  <c r="CP42" i="8" s="1"/>
  <c r="AI42" i="8"/>
  <c r="CL42" i="8"/>
  <c r="BJ38" i="8"/>
  <c r="CJ35" i="8"/>
  <c r="BS34" i="8"/>
  <c r="BC34" i="8"/>
  <c r="AM34" i="8"/>
  <c r="BE38" i="8"/>
  <c r="CO33" i="8"/>
  <c r="CQ32" i="8"/>
  <c r="AE38" i="8"/>
  <c r="W38" i="8"/>
  <c r="CI32" i="8"/>
  <c r="CH32" i="8"/>
  <c r="O38" i="8"/>
  <c r="AP29" i="8"/>
  <c r="BQ28" i="8"/>
  <c r="BQ119" i="8" s="1"/>
  <c r="CM27" i="8"/>
  <c r="G26" i="8"/>
  <c r="BG25" i="8"/>
  <c r="CR25" i="8"/>
  <c r="AQ25" i="8"/>
  <c r="CN25" i="8" s="1"/>
  <c r="CJ23" i="8"/>
  <c r="CH23" i="8"/>
  <c r="CL21" i="8"/>
  <c r="CH21" i="8"/>
  <c r="AU20" i="8"/>
  <c r="CO20" i="8"/>
  <c r="BO18" i="8"/>
  <c r="BO117" i="8" s="1"/>
  <c r="AY18" i="8"/>
  <c r="AI18" i="8"/>
  <c r="CL18" i="8" s="1"/>
  <c r="CT17" i="8"/>
  <c r="CP17" i="8"/>
  <c r="CL17" i="8"/>
  <c r="CH17" i="8"/>
  <c r="CR16" i="8"/>
  <c r="CN16" i="8"/>
  <c r="CK15" i="8"/>
  <c r="CG15" i="8"/>
  <c r="CN14" i="8"/>
  <c r="AF29" i="8"/>
  <c r="CJ14" i="8"/>
  <c r="CS13" i="8"/>
  <c r="CO13" i="8"/>
  <c r="CK13" i="8"/>
  <c r="CG13" i="8"/>
  <c r="AS48" i="8"/>
  <c r="AS49" i="8" s="1"/>
  <c r="CU46" i="8"/>
  <c r="BC46" i="8"/>
  <c r="CQ46" i="8" s="1"/>
  <c r="AM46" i="8"/>
  <c r="CM46" i="8"/>
  <c r="BS44" i="8"/>
  <c r="CU44" i="8" s="1"/>
  <c r="BC44" i="8"/>
  <c r="CQ44" i="8"/>
  <c r="AM44" i="8"/>
  <c r="BO27" i="8"/>
  <c r="CT27" i="8"/>
  <c r="AY27" i="8"/>
  <c r="AI27" i="8"/>
  <c r="CL27" i="8"/>
  <c r="BO23" i="8"/>
  <c r="CT23" i="8" s="1"/>
  <c r="AY23" i="8"/>
  <c r="CP23" i="8" s="1"/>
  <c r="AI23" i="8"/>
  <c r="CL23" i="8" s="1"/>
  <c r="CS16" i="8"/>
  <c r="CO16" i="8"/>
  <c r="BS16" i="8"/>
  <c r="CU16" i="8" s="1"/>
  <c r="BC16" i="8"/>
  <c r="CQ16" i="8"/>
  <c r="AM16" i="8"/>
  <c r="CO14" i="8"/>
  <c r="BS14" i="8"/>
  <c r="CU14" i="8"/>
  <c r="BC14" i="8"/>
  <c r="CQ14" i="8" s="1"/>
  <c r="AM14" i="8"/>
  <c r="BN49" i="8"/>
  <c r="AX49" i="8"/>
  <c r="R49" i="8"/>
  <c r="BU13" i="1"/>
  <c r="BU292" i="1"/>
  <c r="BU14" i="1"/>
  <c r="BU19" i="1" s="1"/>
  <c r="BU25" i="1" s="1"/>
  <c r="BU131" i="1" s="1"/>
  <c r="CU317" i="1"/>
  <c r="BV119" i="1"/>
  <c r="DS186" i="1"/>
  <c r="AW184" i="1"/>
  <c r="CN176" i="1"/>
  <c r="CT175" i="1"/>
  <c r="CR181" i="1"/>
  <c r="CR177" i="1"/>
  <c r="BX32" i="7"/>
  <c r="BY32" i="7" s="1"/>
  <c r="W14" i="7"/>
  <c r="W13" i="7" s="1"/>
  <c r="X544" i="1" s="1"/>
  <c r="X546" i="1" s="1"/>
  <c r="AL177" i="7"/>
  <c r="BR177" i="7"/>
  <c r="AP170" i="7"/>
  <c r="AP164" i="7" s="1"/>
  <c r="BG176" i="7"/>
  <c r="S135" i="1"/>
  <c r="Y98" i="8"/>
  <c r="CG96" i="8"/>
  <c r="CR96" i="8"/>
  <c r="CN96" i="8"/>
  <c r="AE104" i="7"/>
  <c r="AA104" i="7"/>
  <c r="S104" i="7"/>
  <c r="S103" i="7"/>
  <c r="CS81" i="7"/>
  <c r="AM117" i="8"/>
  <c r="BB104" i="7"/>
  <c r="AP103" i="7"/>
  <c r="BP98" i="7"/>
  <c r="AD98" i="8"/>
  <c r="AD102" i="8"/>
  <c r="CJ46" i="8"/>
  <c r="M49" i="8"/>
  <c r="I49" i="8"/>
  <c r="S49" i="8"/>
  <c r="BK37" i="8"/>
  <c r="CS37" i="8"/>
  <c r="BG37" i="8"/>
  <c r="BO36" i="8"/>
  <c r="AM35" i="8"/>
  <c r="CM35" i="8"/>
  <c r="BC23" i="8"/>
  <c r="CQ23" i="8"/>
  <c r="CJ18" i="8"/>
  <c r="CK16" i="8"/>
  <c r="CM45" i="8"/>
  <c r="CM70" i="7"/>
  <c r="K49" i="8"/>
  <c r="T38" i="8"/>
  <c r="CU17" i="8"/>
  <c r="CO17" i="8"/>
  <c r="CN17" i="8"/>
  <c r="CQ50" i="8"/>
  <c r="CJ50" i="8"/>
  <c r="CI50" i="8"/>
  <c r="CG48" i="8"/>
  <c r="CK45" i="8"/>
  <c r="CK70" i="7"/>
  <c r="CJ45" i="8"/>
  <c r="CJ70" i="7"/>
  <c r="CI45" i="8"/>
  <c r="CI70" i="7" s="1"/>
  <c r="CK42" i="8"/>
  <c r="AJ49" i="8"/>
  <c r="CG37" i="8"/>
  <c r="CK34" i="8"/>
  <c r="BG32" i="8"/>
  <c r="CP28" i="8"/>
  <c r="CO28" i="8"/>
  <c r="CO26" i="8"/>
  <c r="CL24" i="8"/>
  <c r="CJ24" i="8"/>
  <c r="CK21" i="8"/>
  <c r="CG18" i="8"/>
  <c r="CK17" i="8"/>
  <c r="CG17" i="8"/>
  <c r="AJ120" i="8"/>
  <c r="CH50" i="8"/>
  <c r="CJ48" i="8"/>
  <c r="CG45" i="8"/>
  <c r="CG70" i="7" s="1"/>
  <c r="AS38" i="8"/>
  <c r="AC38" i="8"/>
  <c r="X38" i="8"/>
  <c r="BH38" i="8"/>
  <c r="CG34" i="8"/>
  <c r="CP26" i="8"/>
  <c r="CH26" i="8"/>
  <c r="CG24" i="8"/>
  <c r="AU23" i="8"/>
  <c r="AU19" i="8"/>
  <c r="CO19" i="8"/>
  <c r="CQ17" i="8"/>
  <c r="CI17" i="8"/>
  <c r="AI16" i="8"/>
  <c r="CG16" i="8"/>
  <c r="CI14" i="8"/>
  <c r="P206" i="7"/>
  <c r="BT176" i="7"/>
  <c r="Y176" i="7"/>
  <c r="X174" i="7"/>
  <c r="AT171" i="7"/>
  <c r="AT179" i="7" s="1"/>
  <c r="AL171" i="7"/>
  <c r="AL179" i="7" s="1"/>
  <c r="CP49" i="7"/>
  <c r="S206" i="7"/>
  <c r="T176" i="7"/>
  <c r="O206" i="7"/>
  <c r="AP163" i="7"/>
  <c r="BT43" i="7"/>
  <c r="BC206" i="7"/>
  <c r="BR171" i="7"/>
  <c r="CR16" i="7"/>
  <c r="AT123" i="7"/>
  <c r="AT124" i="7"/>
  <c r="AT125" i="7"/>
  <c r="AT22" i="7"/>
  <c r="AT33" i="7" s="1"/>
  <c r="AU152" i="7" s="1"/>
  <c r="AP123" i="7"/>
  <c r="AP124" i="7"/>
  <c r="AP125" i="7"/>
  <c r="AP22" i="7"/>
  <c r="AP33" i="7" s="1"/>
  <c r="AQ152" i="7" s="1"/>
  <c r="AL123" i="7"/>
  <c r="AL124" i="7"/>
  <c r="AL125" i="7"/>
  <c r="AH22" i="7"/>
  <c r="AH33" i="7" s="1"/>
  <c r="AH123" i="7"/>
  <c r="AH124" i="7"/>
  <c r="AH125" i="7"/>
  <c r="AD123" i="7"/>
  <c r="AA206" i="7"/>
  <c r="CS57" i="7"/>
  <c r="CU47" i="7"/>
  <c r="AB546" i="1"/>
  <c r="BG175" i="7"/>
  <c r="AR170" i="7"/>
  <c r="AR164" i="7" s="1"/>
  <c r="AR174" i="7"/>
  <c r="BG178" i="7"/>
  <c r="U177" i="7"/>
  <c r="P178" i="7"/>
  <c r="AW171" i="7"/>
  <c r="AW179" i="7" s="1"/>
  <c r="AX163" i="7"/>
  <c r="AE142" i="7"/>
  <c r="AH171" i="7"/>
  <c r="Q176" i="7"/>
  <c r="AX539" i="1"/>
  <c r="I67" i="1"/>
  <c r="I166" i="1" s="1"/>
  <c r="DV119" i="1"/>
  <c r="DV76" i="1"/>
  <c r="CQ76" i="1"/>
  <c r="BE550" i="1"/>
  <c r="DS76" i="1"/>
  <c r="CM76" i="1"/>
  <c r="AO550" i="1"/>
  <c r="DO76" i="1"/>
  <c r="BI116" i="8"/>
  <c r="CR75" i="1"/>
  <c r="BI74" i="1"/>
  <c r="BI545" i="1"/>
  <c r="DT75" i="1"/>
  <c r="CE74" i="1"/>
  <c r="R119" i="7"/>
  <c r="R141" i="7" s="1"/>
  <c r="CX46" i="8"/>
  <c r="CY46" i="8"/>
  <c r="BT85" i="8"/>
  <c r="BT119" i="8"/>
  <c r="BV167" i="7"/>
  <c r="CP34" i="8"/>
  <c r="CK76" i="8"/>
  <c r="AG98" i="8"/>
  <c r="AG102" i="8"/>
  <c r="AQ46" i="8"/>
  <c r="CN46" i="8" s="1"/>
  <c r="AI46" i="8"/>
  <c r="BG45" i="8"/>
  <c r="BG70" i="7"/>
  <c r="BG69" i="7" s="1"/>
  <c r="AQ45" i="8"/>
  <c r="BK44" i="8"/>
  <c r="AU44" i="8"/>
  <c r="CO44" i="8"/>
  <c r="BC37" i="8"/>
  <c r="CQ37" i="8" s="1"/>
  <c r="CL36" i="8"/>
  <c r="AY36" i="8"/>
  <c r="CS32" i="8"/>
  <c r="CS121" i="8" s="1"/>
  <c r="CL26" i="8"/>
  <c r="CK26" i="8"/>
  <c r="AN38" i="8"/>
  <c r="CJ25" i="8"/>
  <c r="AR119" i="8"/>
  <c r="V29" i="8"/>
  <c r="BT70" i="7"/>
  <c r="BT69" i="7" s="1"/>
  <c r="BT582" i="1"/>
  <c r="BB38" i="8"/>
  <c r="CL28" i="8"/>
  <c r="CN26" i="8"/>
  <c r="CI26" i="8"/>
  <c r="CK25" i="8"/>
  <c r="AJ29" i="8"/>
  <c r="CM19" i="8"/>
  <c r="BO15" i="8"/>
  <c r="BO135" i="8"/>
  <c r="AQ15" i="8"/>
  <c r="AI15" i="8"/>
  <c r="CL15" i="8" s="1"/>
  <c r="CL115" i="8" s="1"/>
  <c r="BG15" i="8"/>
  <c r="CR15" i="8"/>
  <c r="CN482" i="1"/>
  <c r="AR472" i="1"/>
  <c r="AT472" i="1"/>
  <c r="AP36" i="1"/>
  <c r="BK472" i="1"/>
  <c r="AW463" i="1"/>
  <c r="CQ461" i="1"/>
  <c r="AF501" i="1"/>
  <c r="AZ501" i="1"/>
  <c r="AO501" i="1"/>
  <c r="AJ501" i="1"/>
  <c r="AP34" i="1"/>
  <c r="AP47" i="1" s="1"/>
  <c r="DU451" i="1"/>
  <c r="AW432" i="1"/>
  <c r="CU461" i="1"/>
  <c r="AQ442" i="1"/>
  <c r="AV433" i="1"/>
  <c r="AK411" i="1"/>
  <c r="AL379" i="1"/>
  <c r="AA380" i="1"/>
  <c r="BX93" i="1"/>
  <c r="CX582" i="1"/>
  <c r="CX45" i="8" s="1"/>
  <c r="CH629" i="1"/>
  <c r="CS592" i="1"/>
  <c r="AS570" i="1"/>
  <c r="AC598" i="1"/>
  <c r="BD501" i="1"/>
  <c r="AN501" i="1"/>
  <c r="AT496" i="1"/>
  <c r="AR495" i="1"/>
  <c r="AN495" i="1"/>
  <c r="AJ495" i="1"/>
  <c r="DO492" i="1"/>
  <c r="AV478" i="1"/>
  <c r="AV36" i="1" s="1"/>
  <c r="AV49" i="1" s="1"/>
  <c r="AV63" i="1" s="1"/>
  <c r="AU36" i="1"/>
  <c r="AS468" i="1"/>
  <c r="BK473" i="1"/>
  <c r="AP472" i="1"/>
  <c r="AS34" i="1"/>
  <c r="AS47" i="1" s="1"/>
  <c r="AV447" i="1"/>
  <c r="AV449" i="1" s="1"/>
  <c r="BG442" i="1"/>
  <c r="AM380" i="1"/>
  <c r="AA379" i="1"/>
  <c r="BM326" i="1"/>
  <c r="CR296" i="1"/>
  <c r="F539" i="1"/>
  <c r="AT448" i="1"/>
  <c r="BR441" i="1"/>
  <c r="AT220" i="1"/>
  <c r="AT208" i="1"/>
  <c r="AX496" i="1"/>
  <c r="AL495" i="1"/>
  <c r="AW495" i="1"/>
  <c r="AO495" i="1"/>
  <c r="AV485" i="1"/>
  <c r="BL473" i="1"/>
  <c r="BM300" i="1"/>
  <c r="BI301" i="1"/>
  <c r="BI300" i="1"/>
  <c r="BJ235" i="1"/>
  <c r="BF234" i="1"/>
  <c r="AW88" i="1"/>
  <c r="CT318" i="1"/>
  <c r="BF235" i="1"/>
  <c r="CI116" i="8"/>
  <c r="AT50" i="1"/>
  <c r="BC17" i="1"/>
  <c r="BC23" i="1" s="1"/>
  <c r="BC129" i="1" s="1"/>
  <c r="BQ11" i="1"/>
  <c r="BI11" i="1"/>
  <c r="BI622" i="1" s="1"/>
  <c r="Z131" i="7"/>
  <c r="P129" i="7"/>
  <c r="AH131" i="7"/>
  <c r="AH101" i="7"/>
  <c r="R101" i="7"/>
  <c r="R118" i="7"/>
  <c r="R140" i="7" s="1"/>
  <c r="R131" i="7"/>
  <c r="BX38" i="7"/>
  <c r="BY38" i="7" s="1"/>
  <c r="CU38" i="7"/>
  <c r="CT15" i="8"/>
  <c r="CT135" i="8" s="1"/>
  <c r="BT118" i="1"/>
  <c r="BT103" i="1"/>
  <c r="BT22" i="7"/>
  <c r="BT33" i="7" s="1"/>
  <c r="BH442" i="1"/>
  <c r="CT285" i="1"/>
  <c r="Y578" i="1"/>
  <c r="H71" i="1"/>
  <c r="G515" i="1"/>
  <c r="AD133" i="1"/>
  <c r="Z134" i="1"/>
  <c r="Z536" i="1"/>
  <c r="Z554" i="1"/>
  <c r="Z133" i="1"/>
  <c r="S130" i="7"/>
  <c r="M130" i="7"/>
  <c r="BQ159" i="1"/>
  <c r="BL17" i="1"/>
  <c r="BL23" i="1" s="1"/>
  <c r="BL144" i="1"/>
  <c r="BH17" i="1"/>
  <c r="BI159" i="1"/>
  <c r="AK537" i="1"/>
  <c r="BA473" i="1"/>
  <c r="AU442" i="1"/>
  <c r="AU441" i="1"/>
  <c r="BN327" i="1"/>
  <c r="BJ326" i="1"/>
  <c r="BQ237" i="1"/>
  <c r="BQ234" i="1"/>
  <c r="BM234" i="1"/>
  <c r="BM237" i="1"/>
  <c r="AO116" i="8"/>
  <c r="DO75" i="1"/>
  <c r="AO545" i="1"/>
  <c r="AO546" i="1" s="1"/>
  <c r="AK601" i="1"/>
  <c r="AD603" i="1"/>
  <c r="CL550" i="1"/>
  <c r="BR160" i="1"/>
  <c r="BO160" i="1"/>
  <c r="W53" i="1"/>
  <c r="W54" i="1" s="1"/>
  <c r="W554" i="1"/>
  <c r="W537" i="1"/>
  <c r="S143" i="1"/>
  <c r="S187" i="7" s="1"/>
  <c r="O53" i="1"/>
  <c r="O128" i="1" s="1"/>
  <c r="O536" i="1"/>
  <c r="L134" i="1"/>
  <c r="L537" i="1"/>
  <c r="L143" i="1"/>
  <c r="AS546" i="1"/>
  <c r="CP507" i="1"/>
  <c r="AJ473" i="1"/>
  <c r="AZ430" i="1"/>
  <c r="T380" i="1"/>
  <c r="BQ301" i="1"/>
  <c r="BS237" i="1"/>
  <c r="BE11" i="1"/>
  <c r="BL251" i="1"/>
  <c r="CT246" i="1"/>
  <c r="AF129" i="7"/>
  <c r="CT311" i="1"/>
  <c r="AP551" i="1"/>
  <c r="AJ472" i="1"/>
  <c r="BL237" i="1"/>
  <c r="AW219" i="1"/>
  <c r="BE203" i="1"/>
  <c r="BM202" i="1"/>
  <c r="AW202" i="1"/>
  <c r="BQ184" i="1"/>
  <c r="BQ198" i="1" s="1"/>
  <c r="CO190" i="1"/>
  <c r="CO222" i="1" s="1"/>
  <c r="CN189" i="1"/>
  <c r="BT184" i="1"/>
  <c r="AR219" i="1"/>
  <c r="CN187" i="1"/>
  <c r="DQ186" i="1"/>
  <c r="DS181" i="1"/>
  <c r="DU180" i="1"/>
  <c r="BQ173" i="1"/>
  <c r="DU80" i="1"/>
  <c r="BO81" i="1"/>
  <c r="CT80" i="1"/>
  <c r="AY150" i="1"/>
  <c r="BC150" i="1"/>
  <c r="AY165" i="1"/>
  <c r="CO69" i="1"/>
  <c r="CO67" i="1" s="1"/>
  <c r="AV150" i="1"/>
  <c r="AV165" i="1"/>
  <c r="N151" i="1"/>
  <c r="BO441" i="1"/>
  <c r="AQ441" i="1"/>
  <c r="BF326" i="1"/>
  <c r="BP237" i="1"/>
  <c r="BO224" i="1"/>
  <c r="AR221" i="1"/>
  <c r="BV203" i="1"/>
  <c r="BB203" i="1"/>
  <c r="AV202" i="1"/>
  <c r="DU186" i="1"/>
  <c r="BI184" i="1"/>
  <c r="DW182" i="1"/>
  <c r="DW214" i="1" s="1"/>
  <c r="CP95" i="1"/>
  <c r="AY89" i="1"/>
  <c r="DQ95" i="1"/>
  <c r="CT492" i="1"/>
  <c r="AU472" i="1"/>
  <c r="BP300" i="1"/>
  <c r="BE237" i="1"/>
  <c r="BQ235" i="1"/>
  <c r="BI235" i="1"/>
  <c r="BI234" i="1"/>
  <c r="BJ203" i="1"/>
  <c r="BI202" i="1"/>
  <c r="BA202" i="1"/>
  <c r="BN220" i="1"/>
  <c r="BF220" i="1"/>
  <c r="AX203" i="1"/>
  <c r="BB17" i="1"/>
  <c r="AM143" i="1"/>
  <c r="AM187" i="7" s="1"/>
  <c r="DQ190" i="1"/>
  <c r="DQ222" i="1" s="1"/>
  <c r="BW203" i="1"/>
  <c r="CP181" i="1"/>
  <c r="CR179" i="1"/>
  <c r="DW175" i="1"/>
  <c r="DW207" i="1" s="1"/>
  <c r="DT95" i="1"/>
  <c r="BH89" i="1"/>
  <c r="BH88" i="1" s="1"/>
  <c r="G54" i="1"/>
  <c r="G128" i="1"/>
  <c r="BK146" i="1"/>
  <c r="BC11" i="1"/>
  <c r="BC623" i="1" s="1"/>
  <c r="BR145" i="1"/>
  <c r="BN145" i="1"/>
  <c r="BT17" i="1"/>
  <c r="BT23" i="1" s="1"/>
  <c r="BT144" i="1"/>
  <c r="BP144" i="1"/>
  <c r="BP17" i="1"/>
  <c r="BT74" i="1"/>
  <c r="BT550" i="1"/>
  <c r="BT551" i="1" s="1"/>
  <c r="DS175" i="1"/>
  <c r="BM173" i="1"/>
  <c r="BJ149" i="1"/>
  <c r="BN149" i="1"/>
  <c r="CS68" i="1"/>
  <c r="BF149" i="1"/>
  <c r="BB149" i="1"/>
  <c r="Q149" i="1"/>
  <c r="U149" i="1"/>
  <c r="V134" i="1"/>
  <c r="V133" i="1"/>
  <c r="R133" i="1"/>
  <c r="R134" i="1"/>
  <c r="R143" i="1"/>
  <c r="R187" i="7" s="1"/>
  <c r="K143" i="1"/>
  <c r="BI231" i="1"/>
  <c r="BE231" i="1"/>
  <c r="BR220" i="1"/>
  <c r="BW202" i="1"/>
  <c r="DW192" i="1"/>
  <c r="DW224" i="1" s="1"/>
  <c r="BV184" i="1"/>
  <c r="BH223" i="1"/>
  <c r="CN191" i="1"/>
  <c r="CN180" i="1"/>
  <c r="DW176" i="1"/>
  <c r="DW208" i="1" s="1"/>
  <c r="DQ176" i="1"/>
  <c r="CP175" i="1"/>
  <c r="L158" i="1"/>
  <c r="BT67" i="1"/>
  <c r="BH149" i="1"/>
  <c r="BL149" i="1"/>
  <c r="BD149" i="1"/>
  <c r="BI144" i="1"/>
  <c r="BI17" i="1"/>
  <c r="BI23" i="1" s="1"/>
  <c r="BM144" i="1"/>
  <c r="CQ95" i="1"/>
  <c r="BU251" i="1"/>
  <c r="BC24" i="1"/>
  <c r="BC130" i="1" s="1"/>
  <c r="BK230" i="1"/>
  <c r="BH231" i="1"/>
  <c r="BG230" i="1"/>
  <c r="BD231" i="1"/>
  <c r="BS251" i="1"/>
  <c r="BR11" i="1"/>
  <c r="DU12" i="1"/>
  <c r="CT249" i="1"/>
  <c r="AI142" i="7"/>
  <c r="BO250" i="1"/>
  <c r="BS250" i="1"/>
  <c r="BH250" i="1"/>
  <c r="BH251" i="1"/>
  <c r="BD251" i="1"/>
  <c r="BL230" i="1"/>
  <c r="BN231" i="1"/>
  <c r="BU230" i="1"/>
  <c r="BR250" i="1"/>
  <c r="BU231" i="1"/>
  <c r="BI225" i="1"/>
  <c r="BE224" i="1"/>
  <c r="BA224" i="1"/>
  <c r="AW224" i="1"/>
  <c r="CO192" i="1"/>
  <c r="AS224" i="1"/>
  <c r="BO225" i="1"/>
  <c r="AT225" i="1"/>
  <c r="CR192" i="1"/>
  <c r="CU190" i="1"/>
  <c r="DS190" i="1"/>
  <c r="DS222" i="1" s="1"/>
  <c r="BD222" i="1"/>
  <c r="AZ225" i="1"/>
  <c r="BR224" i="1"/>
  <c r="DS191" i="1"/>
  <c r="BF184" i="1"/>
  <c r="BB223" i="1"/>
  <c r="CR193" i="1"/>
  <c r="BF225" i="1"/>
  <c r="DV190" i="1"/>
  <c r="DW190" i="1"/>
  <c r="DW222" i="1" s="1"/>
  <c r="AT551" i="1"/>
  <c r="AS225" i="1"/>
  <c r="BN184" i="1"/>
  <c r="BR184" i="1"/>
  <c r="BT173" i="1"/>
  <c r="BT195" i="1" s="1"/>
  <c r="DR185" i="1"/>
  <c r="AZ173" i="1"/>
  <c r="CN181" i="1"/>
  <c r="BI173" i="1"/>
  <c r="AW173" i="1"/>
  <c r="DP174" i="1"/>
  <c r="AD103" i="1"/>
  <c r="CU311" i="1"/>
  <c r="BD349" i="1"/>
  <c r="BE349" i="1" s="1"/>
  <c r="CQ492" i="1"/>
  <c r="CM492" i="1"/>
  <c r="AK442" i="1"/>
  <c r="DQ430" i="1"/>
  <c r="CL492" i="1"/>
  <c r="AH502" i="1"/>
  <c r="AW501" i="1"/>
  <c r="BG473" i="1"/>
  <c r="BD472" i="1"/>
  <c r="DQ451" i="1"/>
  <c r="CP451" i="1"/>
  <c r="AO411" i="1"/>
  <c r="AL502" i="1"/>
  <c r="AO496" i="1"/>
  <c r="AG496" i="1"/>
  <c r="DP492" i="1"/>
  <c r="CU492" i="1"/>
  <c r="CL482" i="1"/>
  <c r="CM461" i="1"/>
  <c r="AQ34" i="1"/>
  <c r="AJ380" i="1"/>
  <c r="CL461" i="1"/>
  <c r="BB502" i="1"/>
  <c r="AP495" i="1"/>
  <c r="CU482" i="1"/>
  <c r="CQ482" i="1"/>
  <c r="AT480" i="1"/>
  <c r="BJ472" i="1"/>
  <c r="DT461" i="1"/>
  <c r="BC441" i="1"/>
  <c r="AH410" i="1"/>
  <c r="AW64" i="1"/>
  <c r="AL143" i="1"/>
  <c r="AL187" i="7" s="1"/>
  <c r="AL131" i="7"/>
  <c r="AL53" i="1"/>
  <c r="AL128" i="1" s="1"/>
  <c r="AL554" i="1"/>
  <c r="AL133" i="1"/>
  <c r="AL536" i="1"/>
  <c r="AL620" i="1"/>
  <c r="AL621" i="1"/>
  <c r="AL118" i="7"/>
  <c r="AL140" i="7" s="1"/>
  <c r="AL135" i="1"/>
  <c r="AL537" i="1"/>
  <c r="AL101" i="7"/>
  <c r="AL129" i="7"/>
  <c r="AH135" i="1"/>
  <c r="AH143" i="1"/>
  <c r="AH187" i="7" s="1"/>
  <c r="AH53" i="1"/>
  <c r="AH621" i="1"/>
  <c r="AH133" i="1"/>
  <c r="AH537" i="1"/>
  <c r="AH536" i="1"/>
  <c r="AH620" i="1"/>
  <c r="AH129" i="7"/>
  <c r="AH118" i="7"/>
  <c r="DU482" i="1"/>
  <c r="DT482" i="1"/>
  <c r="DP482" i="1"/>
  <c r="DQ482" i="1"/>
  <c r="AP406" i="1"/>
  <c r="AP31" i="1"/>
  <c r="AP44" i="1" s="1"/>
  <c r="BI501" i="1"/>
  <c r="BE502" i="1"/>
  <c r="AM501" i="1"/>
  <c r="AI495" i="1"/>
  <c r="AU479" i="1"/>
  <c r="AU468" i="1"/>
  <c r="CS471" i="1"/>
  <c r="AW410" i="1"/>
  <c r="AT411" i="1"/>
  <c r="AS410" i="1"/>
  <c r="AS217" i="1"/>
  <c r="BG501" i="1"/>
  <c r="BA502" i="1"/>
  <c r="AP502" i="1"/>
  <c r="CN500" i="1"/>
  <c r="DS492" i="1"/>
  <c r="CO494" i="1"/>
  <c r="AS33" i="1"/>
  <c r="BF441" i="1"/>
  <c r="AP441" i="1"/>
  <c r="AM442" i="1"/>
  <c r="AL398" i="1"/>
  <c r="AL401" i="1" s="1"/>
  <c r="AH398" i="1"/>
  <c r="AH441" i="1"/>
  <c r="BA430" i="1"/>
  <c r="AX501" i="1"/>
  <c r="AT501" i="1"/>
  <c r="AT502" i="1"/>
  <c r="CK500" i="1"/>
  <c r="CK501" i="1" s="1"/>
  <c r="AG502" i="1"/>
  <c r="AF502" i="1"/>
  <c r="AY495" i="1"/>
  <c r="AR36" i="1"/>
  <c r="AR213" i="1"/>
  <c r="AR468" i="1"/>
  <c r="AR480" i="1"/>
  <c r="CN478" i="1"/>
  <c r="CN484" i="1" s="1"/>
  <c r="BF473" i="1"/>
  <c r="BE472" i="1"/>
  <c r="BE473" i="1"/>
  <c r="AY472" i="1"/>
  <c r="AL473" i="1"/>
  <c r="CM471" i="1"/>
  <c r="CQ504" i="1"/>
  <c r="AK501" i="1"/>
  <c r="AR501" i="1"/>
  <c r="AM496" i="1"/>
  <c r="CS482" i="1"/>
  <c r="AR473" i="1"/>
  <c r="AM473" i="1"/>
  <c r="DT451" i="1"/>
  <c r="AT449" i="1"/>
  <c r="BJ441" i="1"/>
  <c r="AZ442" i="1"/>
  <c r="BD441" i="1"/>
  <c r="AF442" i="1"/>
  <c r="AE442" i="1"/>
  <c r="AJ410" i="1"/>
  <c r="AI379" i="1"/>
  <c r="AE379" i="1"/>
  <c r="Z135" i="1"/>
  <c r="V143" i="1"/>
  <c r="V187" i="7" s="1"/>
  <c r="V131" i="7"/>
  <c r="V53" i="1"/>
  <c r="CO504" i="1"/>
  <c r="BL442" i="1"/>
  <c r="BL441" i="1"/>
  <c r="T53" i="1"/>
  <c r="T133" i="1"/>
  <c r="T134" i="1"/>
  <c r="T143" i="1"/>
  <c r="T187" i="7" s="1"/>
  <c r="X143" i="1"/>
  <c r="X187" i="7" s="1"/>
  <c r="T158" i="1"/>
  <c r="T188" i="7" s="1"/>
  <c r="T129" i="7"/>
  <c r="P143" i="1"/>
  <c r="P187" i="7" s="1"/>
  <c r="P158" i="1"/>
  <c r="P188" i="7" s="1"/>
  <c r="P133" i="1"/>
  <c r="P134" i="1"/>
  <c r="M53" i="1"/>
  <c r="CS507" i="1"/>
  <c r="AS501" i="1"/>
  <c r="AR496" i="1"/>
  <c r="DO482" i="1"/>
  <c r="BC472" i="1"/>
  <c r="DQ471" i="1"/>
  <c r="AK410" i="1"/>
  <c r="AH411" i="1"/>
  <c r="X379" i="1"/>
  <c r="AS43" i="1"/>
  <c r="AS57" i="1" s="1"/>
  <c r="AD143" i="1"/>
  <c r="AD187" i="7" s="1"/>
  <c r="AD131" i="7"/>
  <c r="AD53" i="1"/>
  <c r="AD128" i="1" s="1"/>
  <c r="Z143" i="1"/>
  <c r="Z187" i="7" s="1"/>
  <c r="AA158" i="1"/>
  <c r="AA188" i="7" s="1"/>
  <c r="Z53" i="1"/>
  <c r="Z71" i="1" s="1"/>
  <c r="Z114" i="8" s="1"/>
  <c r="DU461" i="1"/>
  <c r="DO461" i="1"/>
  <c r="CT461" i="1"/>
  <c r="BP441" i="1"/>
  <c r="AI441" i="1"/>
  <c r="AT427" i="1"/>
  <c r="AT410" i="1"/>
  <c r="AM379" i="1"/>
  <c r="AB379" i="1"/>
  <c r="O380" i="1"/>
  <c r="DP451" i="1"/>
  <c r="BP442" i="1"/>
  <c r="BK442" i="1"/>
  <c r="AY441" i="1"/>
  <c r="AV410" i="1"/>
  <c r="CN451" i="1"/>
  <c r="DP430" i="1"/>
  <c r="CL430" i="1"/>
  <c r="AX411" i="1"/>
  <c r="AN410" i="1"/>
  <c r="AL411" i="1"/>
  <c r="DN396" i="1"/>
  <c r="AN379" i="1"/>
  <c r="N379" i="1"/>
  <c r="CU291" i="1"/>
  <c r="CU292" i="1" s="1"/>
  <c r="AP178" i="7"/>
  <c r="AX174" i="7"/>
  <c r="CK629" i="1"/>
  <c r="CK627" i="1"/>
  <c r="AO598" i="1"/>
  <c r="CM598" i="1" s="1"/>
  <c r="CM596" i="1" s="1"/>
  <c r="CM608" i="1" s="1"/>
  <c r="AX578" i="1"/>
  <c r="AG578" i="1"/>
  <c r="CI629" i="1"/>
  <c r="CK626" i="1"/>
  <c r="V598" i="1"/>
  <c r="AO570" i="1"/>
  <c r="CP504" i="1"/>
  <c r="BE501" i="1"/>
  <c r="AQ495" i="1"/>
  <c r="AS473" i="1"/>
  <c r="AV472" i="1"/>
  <c r="AM472" i="1"/>
  <c r="DM471" i="1"/>
  <c r="BP473" i="1"/>
  <c r="BM472" i="1"/>
  <c r="AI473" i="1"/>
  <c r="DP461" i="1"/>
  <c r="CM451" i="1"/>
  <c r="BD442" i="1"/>
  <c r="AN442" i="1"/>
  <c r="BG441" i="1"/>
  <c r="AN441" i="1"/>
  <c r="BC442" i="1"/>
  <c r="AY442" i="1"/>
  <c r="AL441" i="1"/>
  <c r="AI442" i="1"/>
  <c r="BA431" i="1"/>
  <c r="AW411" i="1"/>
  <c r="AP411" i="1"/>
  <c r="AX410" i="1"/>
  <c r="AL410" i="1"/>
  <c r="AB380" i="1"/>
  <c r="L380" i="1"/>
  <c r="AF379" i="1"/>
  <c r="CU321" i="1"/>
  <c r="CR322" i="1"/>
  <c r="BC281" i="1"/>
  <c r="CT12" i="1"/>
  <c r="BJ237" i="1"/>
  <c r="AT479" i="1"/>
  <c r="BN235" i="1"/>
  <c r="AK495" i="1"/>
  <c r="AO473" i="1"/>
  <c r="BQ473" i="1"/>
  <c r="AT459" i="1"/>
  <c r="AY411" i="1"/>
  <c r="AG411" i="1"/>
  <c r="AO410" i="1"/>
  <c r="AF380" i="1"/>
  <c r="CK378" i="1"/>
  <c r="AG501" i="1"/>
  <c r="AN473" i="1"/>
  <c r="AE380" i="1"/>
  <c r="CR325" i="1"/>
  <c r="CU295" i="1"/>
  <c r="CS246" i="1"/>
  <c r="BM235" i="1"/>
  <c r="BH230" i="1"/>
  <c r="DU75" i="1"/>
  <c r="CL67" i="1"/>
  <c r="BM231" i="1"/>
  <c r="G135" i="1"/>
  <c r="BS18" i="1"/>
  <c r="BS24" i="1" s="1"/>
  <c r="BS130" i="1" s="1"/>
  <c r="BO18" i="1"/>
  <c r="BQ17" i="1"/>
  <c r="BQ23" i="1" s="1"/>
  <c r="BN17" i="1"/>
  <c r="AN129" i="7"/>
  <c r="CR76" i="1"/>
  <c r="CR74" i="1" s="1"/>
  <c r="DP37" i="1"/>
  <c r="BG18" i="1"/>
  <c r="CE53" i="1"/>
  <c r="R53" i="1"/>
  <c r="BQ18" i="1"/>
  <c r="BQ24" i="1" s="1"/>
  <c r="BQ130" i="1" s="1"/>
  <c r="BS17" i="1"/>
  <c r="AE53" i="1"/>
  <c r="BN19" i="1"/>
  <c r="BN25" i="1" s="1"/>
  <c r="BN131" i="1" s="1"/>
  <c r="BK18" i="1"/>
  <c r="BK24" i="1" s="1"/>
  <c r="BK130" i="1" s="1"/>
  <c r="BJ17" i="1"/>
  <c r="BX249" i="1"/>
  <c r="CU92" i="8"/>
  <c r="CU572" i="1"/>
  <c r="CU586" i="1"/>
  <c r="BU12" i="1"/>
  <c r="CU241" i="1"/>
  <c r="CU249" i="1" s="1"/>
  <c r="CU40" i="7"/>
  <c r="BU195" i="7"/>
  <c r="BU196" i="7"/>
  <c r="CU15" i="7"/>
  <c r="CU21" i="7"/>
  <c r="CU18" i="7"/>
  <c r="CU19" i="7"/>
  <c r="CU17" i="7"/>
  <c r="CU37" i="7"/>
  <c r="CU19" i="8"/>
  <c r="CU66" i="8"/>
  <c r="CU79" i="8"/>
  <c r="CU68" i="1"/>
  <c r="BU149" i="1"/>
  <c r="BU67" i="1"/>
  <c r="BU164" i="1"/>
  <c r="CU70" i="8"/>
  <c r="CU23" i="8"/>
  <c r="CU69" i="1"/>
  <c r="BU165" i="1"/>
  <c r="BU150" i="1"/>
  <c r="CU20" i="7"/>
  <c r="CU74" i="8"/>
  <c r="CU27" i="8"/>
  <c r="CU72" i="8"/>
  <c r="CU71" i="8"/>
  <c r="CU80" i="8"/>
  <c r="CU39" i="7"/>
  <c r="BU205" i="7"/>
  <c r="BU43" i="7"/>
  <c r="CU46" i="7"/>
  <c r="BU49" i="7"/>
  <c r="CU26" i="8"/>
  <c r="CU73" i="8"/>
  <c r="CU75" i="8"/>
  <c r="CU62" i="8"/>
  <c r="BU115" i="8"/>
  <c r="BU135" i="8"/>
  <c r="CU80" i="1"/>
  <c r="CU30" i="7"/>
  <c r="CU60" i="8"/>
  <c r="CU122" i="1"/>
  <c r="CU124" i="1"/>
  <c r="CU94" i="8"/>
  <c r="BU96" i="8"/>
  <c r="CU58" i="7"/>
  <c r="BU168" i="7"/>
  <c r="BU184" i="7"/>
  <c r="BU169" i="7"/>
  <c r="BU183" i="7"/>
  <c r="CU13" i="7"/>
  <c r="CU81" i="8"/>
  <c r="CU34" i="8"/>
  <c r="BU85" i="8"/>
  <c r="BX295" i="1"/>
  <c r="BX296" i="1" s="1"/>
  <c r="AA176" i="7"/>
  <c r="BI171" i="7"/>
  <c r="BI179" i="7" s="1"/>
  <c r="CU57" i="7"/>
  <c r="CU54" i="7"/>
  <c r="BV56" i="7"/>
  <c r="BW56" i="7" s="1"/>
  <c r="AV118" i="8"/>
  <c r="AO118" i="8"/>
  <c r="AK118" i="8"/>
  <c r="AU151" i="1"/>
  <c r="AK134" i="7"/>
  <c r="AG130" i="7"/>
  <c r="AD166" i="1"/>
  <c r="AD134" i="7"/>
  <c r="AE166" i="1"/>
  <c r="AD151" i="1"/>
  <c r="AH151" i="1"/>
  <c r="AD135" i="1"/>
  <c r="AD130" i="7"/>
  <c r="BP578" i="1"/>
  <c r="AV578" i="1"/>
  <c r="AR539" i="1"/>
  <c r="AG539" i="1"/>
  <c r="CI541" i="1"/>
  <c r="AV166" i="1"/>
  <c r="AV151" i="1"/>
  <c r="BK118" i="8"/>
  <c r="CH81" i="1"/>
  <c r="CH118" i="8" s="1"/>
  <c r="W134" i="7"/>
  <c r="W130" i="7"/>
  <c r="W135" i="1"/>
  <c r="W151" i="1"/>
  <c r="S134" i="7"/>
  <c r="N134" i="7"/>
  <c r="DR89" i="1"/>
  <c r="DS75" i="1"/>
  <c r="CS75" i="1"/>
  <c r="AK117" i="8"/>
  <c r="AB117" i="8"/>
  <c r="BA88" i="1"/>
  <c r="BQ88" i="1"/>
  <c r="AS88" i="1"/>
  <c r="AO88" i="1"/>
  <c r="BV54" i="7"/>
  <c r="CU59" i="7"/>
  <c r="BV57" i="7"/>
  <c r="BW57" i="7" s="1"/>
  <c r="AE140" i="7"/>
  <c r="BM539" i="1"/>
  <c r="AW539" i="1"/>
  <c r="AK539" i="1"/>
  <c r="AI539" i="1"/>
  <c r="AE539" i="1"/>
  <c r="S539" i="1"/>
  <c r="M539" i="1"/>
  <c r="AQ501" i="1"/>
  <c r="AN502" i="1"/>
  <c r="DP478" i="1"/>
  <c r="DP484" i="1" s="1"/>
  <c r="AT468" i="1"/>
  <c r="AU223" i="1"/>
  <c r="AU473" i="1"/>
  <c r="AK472" i="1"/>
  <c r="AU459" i="1"/>
  <c r="AU448" i="1"/>
  <c r="AU33" i="1"/>
  <c r="AU46" i="1" s="1"/>
  <c r="AS210" i="1"/>
  <c r="AV427" i="1"/>
  <c r="AR31" i="1"/>
  <c r="AR406" i="1"/>
  <c r="AT217" i="1"/>
  <c r="AF398" i="1"/>
  <c r="BN222" i="1"/>
  <c r="CT190" i="1"/>
  <c r="CT222" i="1" s="1"/>
  <c r="BH222" i="1"/>
  <c r="BF222" i="1"/>
  <c r="CR190" i="1"/>
  <c r="CR222" i="1" s="1"/>
  <c r="AX222" i="1"/>
  <c r="DP190" i="1"/>
  <c r="DP222" i="1" s="1"/>
  <c r="BL221" i="1"/>
  <c r="DU189" i="1"/>
  <c r="DU221" i="1" s="1"/>
  <c r="BH221" i="1"/>
  <c r="DT189" i="1"/>
  <c r="DT221" i="1" s="1"/>
  <c r="BF221" i="1"/>
  <c r="CR189" i="1"/>
  <c r="AS221" i="1"/>
  <c r="DP189" i="1"/>
  <c r="DP221" i="1" s="1"/>
  <c r="BO220" i="1"/>
  <c r="BO184" i="1"/>
  <c r="BM220" i="1"/>
  <c r="DU188" i="1"/>
  <c r="BK220" i="1"/>
  <c r="BG220" i="1"/>
  <c r="BC220" i="1"/>
  <c r="BC184" i="1"/>
  <c r="DW187" i="1"/>
  <c r="DW219" i="1" s="1"/>
  <c r="BO202" i="1"/>
  <c r="BO203" i="1"/>
  <c r="BP203" i="1"/>
  <c r="BM203" i="1"/>
  <c r="DU187" i="1"/>
  <c r="BL203" i="1"/>
  <c r="CS187" i="1"/>
  <c r="BI203" i="1"/>
  <c r="BH202" i="1"/>
  <c r="BD202" i="1"/>
  <c r="BB202" i="1"/>
  <c r="DR187" i="1"/>
  <c r="AZ203" i="1"/>
  <c r="CU185" i="1"/>
  <c r="AM502" i="1"/>
  <c r="BG502" i="1"/>
  <c r="CQ187" i="1"/>
  <c r="DS189" i="1"/>
  <c r="DS221" i="1" s="1"/>
  <c r="DT188" i="1"/>
  <c r="AQ474" i="1"/>
  <c r="DQ189" i="1"/>
  <c r="DQ221" i="1" s="1"/>
  <c r="S380" i="1"/>
  <c r="AU428" i="1"/>
  <c r="CP440" i="1"/>
  <c r="AU501" i="1"/>
  <c r="BD203" i="1"/>
  <c r="DT187" i="1"/>
  <c r="CT187" i="1"/>
  <c r="AS211" i="1"/>
  <c r="AX398" i="1"/>
  <c r="DP471" i="1"/>
  <c r="AO398" i="1"/>
  <c r="AT36" i="1"/>
  <c r="AT49" i="1" s="1"/>
  <c r="AT63" i="1" s="1"/>
  <c r="AU34" i="1"/>
  <c r="AU47" i="1" s="1"/>
  <c r="AU61" i="1" s="1"/>
  <c r="AT473" i="1"/>
  <c r="BN473" i="1"/>
  <c r="BD502" i="1"/>
  <c r="AR442" i="1"/>
  <c r="AR220" i="1"/>
  <c r="BD346" i="1"/>
  <c r="BR326" i="1"/>
  <c r="BS327" i="1"/>
  <c r="BL235" i="1"/>
  <c r="AR222" i="1"/>
  <c r="AX219" i="1"/>
  <c r="AZ202" i="1"/>
  <c r="BR225" i="1"/>
  <c r="CU193" i="1"/>
  <c r="CU225" i="1" s="1"/>
  <c r="BM224" i="1"/>
  <c r="BU184" i="1"/>
  <c r="BS223" i="1"/>
  <c r="BA184" i="1"/>
  <c r="DR191" i="1"/>
  <c r="AS219" i="1"/>
  <c r="AC601" i="1"/>
  <c r="O601" i="1"/>
  <c r="BH546" i="1"/>
  <c r="AV502" i="1"/>
  <c r="AR502" i="1"/>
  <c r="BB473" i="1"/>
  <c r="AH473" i="1"/>
  <c r="AR441" i="1"/>
  <c r="AJ442" i="1"/>
  <c r="K380" i="1"/>
  <c r="BD237" i="1"/>
  <c r="AW203" i="1"/>
  <c r="AS173" i="1"/>
  <c r="BH161" i="1"/>
  <c r="AI101" i="7"/>
  <c r="Q101" i="7"/>
  <c r="BV59" i="7"/>
  <c r="BW59" i="7" s="1"/>
  <c r="BV70" i="7"/>
  <c r="AL98" i="7"/>
  <c r="BJ587" i="1"/>
  <c r="BE587" i="1"/>
  <c r="BM103" i="1"/>
  <c r="AN103" i="1"/>
  <c r="AN554" i="1"/>
  <c r="AL103" i="1"/>
  <c r="AB103" i="1"/>
  <c r="CR81" i="7"/>
  <c r="CO81" i="7"/>
  <c r="CH81" i="7"/>
  <c r="BP103" i="7"/>
  <c r="O98" i="7"/>
  <c r="O101" i="7"/>
  <c r="AC85" i="7"/>
  <c r="U104" i="7"/>
  <c r="CG81" i="7"/>
  <c r="BJ104" i="7"/>
  <c r="AJ98" i="7"/>
  <c r="V98" i="7"/>
  <c r="T98" i="7"/>
  <c r="BA98" i="7"/>
  <c r="Y98" i="7"/>
  <c r="R104" i="7"/>
  <c r="W551" i="1"/>
  <c r="R546" i="1"/>
  <c r="AK502" i="1"/>
  <c r="AJ398" i="1"/>
  <c r="CN192" i="1"/>
  <c r="BS202" i="1"/>
  <c r="BQ203" i="1"/>
  <c r="BP202" i="1"/>
  <c r="BC202" i="1"/>
  <c r="BA203" i="1"/>
  <c r="CT181" i="1"/>
  <c r="CR178" i="1"/>
  <c r="CR176" i="1"/>
  <c r="CN175" i="1"/>
  <c r="BP160" i="1"/>
  <c r="CT182" i="1"/>
  <c r="DT179" i="1"/>
  <c r="DU178" i="1"/>
  <c r="CP178" i="1"/>
  <c r="CR175" i="1"/>
  <c r="BW173" i="1"/>
  <c r="BW195" i="1" s="1"/>
  <c r="BP173" i="1"/>
  <c r="AI166" i="1"/>
  <c r="CX93" i="8"/>
  <c r="BR98" i="8"/>
  <c r="BD587" i="1"/>
  <c r="AJ587" i="1"/>
  <c r="CT35" i="8"/>
  <c r="CJ26" i="8"/>
  <c r="CH25" i="8"/>
  <c r="CK24" i="8"/>
  <c r="CO21" i="8"/>
  <c r="CM21" i="8"/>
  <c r="Y104" i="7"/>
  <c r="AS98" i="7"/>
  <c r="AA98" i="7"/>
  <c r="AN98" i="8"/>
  <c r="AH98" i="8"/>
  <c r="AH102" i="8"/>
  <c r="CN42" i="8"/>
  <c r="L49" i="8"/>
  <c r="H49" i="8"/>
  <c r="CI34" i="8"/>
  <c r="CG27" i="8"/>
  <c r="CM26" i="8"/>
  <c r="CN24" i="8"/>
  <c r="CH24" i="8"/>
  <c r="CK23" i="8"/>
  <c r="CI23" i="8"/>
  <c r="CI21" i="8"/>
  <c r="CG21" i="8"/>
  <c r="CI18" i="8"/>
  <c r="CJ16" i="8"/>
  <c r="CI16" i="8"/>
  <c r="CH16" i="8"/>
  <c r="CB88" i="8"/>
  <c r="CC88" i="8" s="1"/>
  <c r="CW88" i="8" s="1"/>
  <c r="CT18" i="8"/>
  <c r="CQ121" i="8"/>
  <c r="AN129" i="8"/>
  <c r="K119" i="8"/>
  <c r="CS34" i="8"/>
  <c r="BK38" i="8"/>
  <c r="J119" i="8"/>
  <c r="J29" i="8"/>
  <c r="J129" i="8" s="1"/>
  <c r="J131" i="8" s="1"/>
  <c r="CM16" i="8"/>
  <c r="CM120" i="8" s="1"/>
  <c r="CP18" i="8"/>
  <c r="AY117" i="8"/>
  <c r="CT42" i="8"/>
  <c r="BQ38" i="8"/>
  <c r="BQ80" i="7"/>
  <c r="BQ121" i="8"/>
  <c r="BS41" i="8"/>
  <c r="CU41" i="8"/>
  <c r="CI135" i="8"/>
  <c r="CI89" i="7"/>
  <c r="CN34" i="8"/>
  <c r="BI103" i="7"/>
  <c r="AC103" i="7"/>
  <c r="CH80" i="7"/>
  <c r="AK100" i="8"/>
  <c r="CS46" i="8"/>
  <c r="AY45" i="8"/>
  <c r="CK96" i="8"/>
  <c r="BO45" i="8"/>
  <c r="AI45" i="8"/>
  <c r="CT50" i="8"/>
  <c r="CR50" i="8"/>
  <c r="CK50" i="8"/>
  <c r="CH45" i="8"/>
  <c r="Q49" i="8"/>
  <c r="BO44" i="8"/>
  <c r="BO43" i="8"/>
  <c r="CT43" i="8" s="1"/>
  <c r="CG43" i="8"/>
  <c r="AU37" i="8"/>
  <c r="CO37" i="8" s="1"/>
  <c r="BF38" i="8"/>
  <c r="H38" i="8"/>
  <c r="F38" i="8"/>
  <c r="F51" i="8" s="1"/>
  <c r="F55" i="8" s="1"/>
  <c r="CS17" i="8"/>
  <c r="CR17" i="8"/>
  <c r="CM17" i="8"/>
  <c r="AU15" i="8"/>
  <c r="CJ15" i="8"/>
  <c r="CN13" i="8"/>
  <c r="CI19" i="8"/>
  <c r="CJ17" i="8"/>
  <c r="CJ29" i="8" s="1"/>
  <c r="CK14" i="8"/>
  <c r="CJ13" i="8"/>
  <c r="BM171" i="7"/>
  <c r="AO171" i="7"/>
  <c r="BK171" i="7"/>
  <c r="BE171" i="7"/>
  <c r="P174" i="7"/>
  <c r="BA177" i="7"/>
  <c r="Z104" i="7"/>
  <c r="BF104" i="7"/>
  <c r="X163" i="7"/>
  <c r="Y85" i="7"/>
  <c r="S101" i="7"/>
  <c r="AD101" i="7"/>
  <c r="X82" i="7"/>
  <c r="AB94" i="7"/>
  <c r="BC551" i="1"/>
  <c r="Q107" i="7"/>
  <c r="AC104" i="7"/>
  <c r="AB103" i="7"/>
  <c r="BE98" i="7"/>
  <c r="Q98" i="7"/>
  <c r="AN103" i="7"/>
  <c r="AJ104" i="7"/>
  <c r="AH103" i="7"/>
  <c r="AI103" i="7"/>
  <c r="AF104" i="7"/>
  <c r="V104" i="7"/>
  <c r="X103" i="7"/>
  <c r="T104" i="7"/>
  <c r="AB199" i="7"/>
  <c r="AB200" i="7" s="1"/>
  <c r="AB201" i="7"/>
  <c r="Z168" i="7"/>
  <c r="Z199" i="7"/>
  <c r="Z201" i="7"/>
  <c r="BN22" i="7"/>
  <c r="BN33" i="7" s="1"/>
  <c r="BN182" i="7"/>
  <c r="AX22" i="7"/>
  <c r="AX33" i="7" s="1"/>
  <c r="AX182" i="7"/>
  <c r="AX192" i="7"/>
  <c r="AU124" i="7"/>
  <c r="AS22" i="7"/>
  <c r="AS33" i="7" s="1"/>
  <c r="CN16" i="7"/>
  <c r="AW191" i="7"/>
  <c r="AT192" i="7"/>
  <c r="AR192" i="7"/>
  <c r="AK204" i="7"/>
  <c r="AE22" i="7"/>
  <c r="AE33" i="7" s="1"/>
  <c r="AE123" i="7"/>
  <c r="AE124" i="7"/>
  <c r="AE125" i="7"/>
  <c r="AE191" i="7"/>
  <c r="AF192" i="7"/>
  <c r="AE204" i="7"/>
  <c r="AE206" i="7" s="1"/>
  <c r="X94" i="7"/>
  <c r="X112" i="7" s="1"/>
  <c r="AF103" i="7"/>
  <c r="AB104" i="7"/>
  <c r="CJ80" i="7"/>
  <c r="U103" i="7"/>
  <c r="CG24" i="7"/>
  <c r="Q108" i="7"/>
  <c r="R108" i="7" s="1"/>
  <c r="S108" i="7" s="1"/>
  <c r="T108" i="7" s="1"/>
  <c r="Q109" i="7"/>
  <c r="R109" i="7" s="1"/>
  <c r="S109" i="7" s="1"/>
  <c r="T109" i="7" s="1"/>
  <c r="CF24" i="7"/>
  <c r="M83" i="7"/>
  <c r="M107" i="7"/>
  <c r="M110" i="7"/>
  <c r="Y171" i="7"/>
  <c r="Y179" i="7" s="1"/>
  <c r="BA22" i="7"/>
  <c r="BA33" i="7" s="1"/>
  <c r="CP16" i="7"/>
  <c r="AR176" i="7"/>
  <c r="CU55" i="7"/>
  <c r="CU56" i="7"/>
  <c r="BX47" i="7"/>
  <c r="BR179" i="7"/>
  <c r="U584" i="1"/>
  <c r="V581" i="1" s="1"/>
  <c r="AT437" i="1"/>
  <c r="AU449" i="1"/>
  <c r="AH472" i="1"/>
  <c r="AY473" i="1"/>
  <c r="AU480" i="1"/>
  <c r="CM500" i="1"/>
  <c r="CN501" i="1" s="1"/>
  <c r="AY501" i="1"/>
  <c r="AS502" i="1"/>
  <c r="AT398" i="1"/>
  <c r="BA416" i="1"/>
  <c r="BA418" i="1" s="1"/>
  <c r="AT34" i="1"/>
  <c r="AV398" i="1"/>
  <c r="AX453" i="1"/>
  <c r="DR471" i="1"/>
  <c r="CL500" i="1"/>
  <c r="AL501" i="1"/>
  <c r="AV428" i="1"/>
  <c r="BA488" i="1"/>
  <c r="BA214" i="1" s="1"/>
  <c r="BS652" i="1"/>
  <c r="AN632" i="1"/>
  <c r="U587" i="1"/>
  <c r="V551" i="1"/>
  <c r="AW223" i="1"/>
  <c r="AS223" i="1"/>
  <c r="BQ300" i="1"/>
  <c r="BR203" i="1"/>
  <c r="AP166" i="1"/>
  <c r="BQ161" i="1"/>
  <c r="BO161" i="1"/>
  <c r="BJ161" i="1"/>
  <c r="BL160" i="1"/>
  <c r="BJ160" i="1"/>
  <c r="BF160" i="1"/>
  <c r="BF159" i="1"/>
  <c r="AF158" i="1"/>
  <c r="AF188" i="7" s="1"/>
  <c r="AB158" i="1"/>
  <c r="AB188" i="7" s="1"/>
  <c r="AE143" i="1"/>
  <c r="AE187" i="7" s="1"/>
  <c r="U143" i="1"/>
  <c r="U187" i="7" s="1"/>
  <c r="N143" i="1"/>
  <c r="N187" i="7" s="1"/>
  <c r="M134" i="1"/>
  <c r="N133" i="1"/>
  <c r="N53" i="1"/>
  <c r="BI18" i="1"/>
  <c r="AA539" i="1"/>
  <c r="W539" i="1"/>
  <c r="CR507" i="1"/>
  <c r="CP461" i="1"/>
  <c r="DO451" i="1"/>
  <c r="AJ441" i="1"/>
  <c r="AM411" i="1"/>
  <c r="BT237" i="1"/>
  <c r="BE235" i="1"/>
  <c r="BI230" i="1"/>
  <c r="BI146" i="1"/>
  <c r="BF146" i="1"/>
  <c r="BV116" i="8"/>
  <c r="DZ124" i="1"/>
  <c r="AP46" i="1"/>
  <c r="AP60" i="1" s="1"/>
  <c r="Y593" i="1"/>
  <c r="Q593" i="1"/>
  <c r="BQ576" i="1"/>
  <c r="AF576" i="1"/>
  <c r="AC539" i="1"/>
  <c r="DR492" i="1"/>
  <c r="CS492" i="1"/>
  <c r="AP398" i="1"/>
  <c r="CS387" i="1"/>
  <c r="BH327" i="1"/>
  <c r="BE301" i="1"/>
  <c r="BH237" i="1"/>
  <c r="I128" i="1"/>
  <c r="AJ53" i="1"/>
  <c r="AJ54" i="1" s="1"/>
  <c r="X53" i="1"/>
  <c r="X128" i="1" s="1"/>
  <c r="BN161" i="1"/>
  <c r="W598" i="1"/>
  <c r="DP457" i="1"/>
  <c r="DP463" i="1" s="1"/>
  <c r="AM441" i="1"/>
  <c r="CM430" i="1"/>
  <c r="T379" i="1"/>
  <c r="BP234" i="1"/>
  <c r="BQ231" i="1"/>
  <c r="DR76" i="1"/>
  <c r="CP76" i="1"/>
  <c r="AX50" i="1"/>
  <c r="AX64" i="1" s="1"/>
  <c r="AR50" i="1"/>
  <c r="AV43" i="1"/>
  <c r="AV57" i="1" s="1"/>
  <c r="AQ43" i="1"/>
  <c r="AQ57" i="1" s="1"/>
  <c r="BR161" i="1"/>
  <c r="BB23" i="1"/>
  <c r="BB129" i="1" s="1"/>
  <c r="BQ238" i="1"/>
  <c r="BF198" i="1"/>
  <c r="BV198" i="1"/>
  <c r="BT198" i="1"/>
  <c r="BI195" i="1"/>
  <c r="H138" i="1"/>
  <c r="AV210" i="1"/>
  <c r="CY582" i="1"/>
  <c r="CQ550" i="1"/>
  <c r="CQ74" i="1"/>
  <c r="BK501" i="1"/>
  <c r="AW502" i="1"/>
  <c r="AU217" i="1"/>
  <c r="AT211" i="1"/>
  <c r="CO471" i="1"/>
  <c r="BA472" i="1"/>
  <c r="AX473" i="1"/>
  <c r="BF501" i="1"/>
  <c r="CJ627" i="1"/>
  <c r="CG603" i="1"/>
  <c r="BT591" i="1"/>
  <c r="AY502" i="1"/>
  <c r="CN494" i="1"/>
  <c r="CO495" i="1" s="1"/>
  <c r="DQ461" i="1"/>
  <c r="AW116" i="8"/>
  <c r="CO75" i="1"/>
  <c r="AU43" i="1"/>
  <c r="AU42" i="1" s="1"/>
  <c r="BA116" i="8"/>
  <c r="AF53" i="1"/>
  <c r="AJ210" i="7"/>
  <c r="BQ104" i="7"/>
  <c r="CO15" i="8"/>
  <c r="AN130" i="8"/>
  <c r="AN131" i="8"/>
  <c r="Z174" i="7"/>
  <c r="Z163" i="7"/>
  <c r="Z178" i="7"/>
  <c r="AH587" i="1"/>
  <c r="BR202" i="1"/>
  <c r="AY202" i="1"/>
  <c r="DV174" i="1"/>
  <c r="AM103" i="1"/>
  <c r="CO189" i="1"/>
  <c r="DP188" i="1"/>
  <c r="DQ187" i="1"/>
  <c r="DQ219" i="1" s="1"/>
  <c r="BS144" i="1"/>
  <c r="AG570" i="1"/>
  <c r="CK570" i="1" s="1"/>
  <c r="CK592" i="1"/>
  <c r="AG598" i="1"/>
  <c r="CJ570" i="1"/>
  <c r="U576" i="1"/>
  <c r="Q576" i="1"/>
  <c r="M578" i="1"/>
  <c r="DQ494" i="1"/>
  <c r="DR482" i="1"/>
  <c r="BN441" i="1"/>
  <c r="R379" i="1"/>
  <c r="BI326" i="1"/>
  <c r="BR301" i="1"/>
  <c r="BM230" i="1"/>
  <c r="BQ230" i="1"/>
  <c r="BS146" i="1"/>
  <c r="BT146" i="1"/>
  <c r="BI145" i="1"/>
  <c r="BM161" i="1"/>
  <c r="BI161" i="1"/>
  <c r="BL145" i="1"/>
  <c r="BF18" i="1"/>
  <c r="BF24" i="1" s="1"/>
  <c r="BF130" i="1" s="1"/>
  <c r="BF145" i="1"/>
  <c r="BO17" i="1"/>
  <c r="BQ144" i="1"/>
  <c r="BM159" i="1"/>
  <c r="AN53" i="1"/>
  <c r="AN133" i="1"/>
  <c r="AJ129" i="7"/>
  <c r="AJ134" i="1"/>
  <c r="AJ158" i="1"/>
  <c r="AJ188" i="7" s="1"/>
  <c r="AF133" i="1"/>
  <c r="AF134" i="1"/>
  <c r="AB53" i="1"/>
  <c r="AB515" i="1" s="1"/>
  <c r="AB133" i="1"/>
  <c r="AB134" i="1"/>
  <c r="X129" i="7"/>
  <c r="X133" i="1"/>
  <c r="X134" i="1"/>
  <c r="BI237" i="1"/>
  <c r="BL231" i="1"/>
  <c r="BO151" i="1"/>
  <c r="T570" i="1"/>
  <c r="CF629" i="1"/>
  <c r="P601" i="1"/>
  <c r="T598" i="1"/>
  <c r="V603" i="1"/>
  <c r="CE578" i="1"/>
  <c r="AV539" i="1"/>
  <c r="AH379" i="1"/>
  <c r="BN301" i="1"/>
  <c r="CQ471" i="1"/>
  <c r="CN457" i="1"/>
  <c r="CN463" i="1" s="1"/>
  <c r="AD398" i="1"/>
  <c r="BP231" i="1"/>
  <c r="AU49" i="1"/>
  <c r="AU63" i="1" s="1"/>
  <c r="CR116" i="8"/>
  <c r="CR545" i="1"/>
  <c r="AZ197" i="1"/>
  <c r="CM550" i="1"/>
  <c r="BA495" i="1"/>
  <c r="BB494" i="1"/>
  <c r="BC494" i="1" s="1"/>
  <c r="AP501" i="1"/>
  <c r="BK326" i="1"/>
  <c r="BH234" i="1"/>
  <c r="BT230" i="1"/>
  <c r="BP230" i="1"/>
  <c r="BV14" i="1"/>
  <c r="BV19" i="1" s="1"/>
  <c r="BV229" i="1"/>
  <c r="BZ89" i="1"/>
  <c r="BZ88" i="1" s="1"/>
  <c r="CW93" i="1"/>
  <c r="CR204" i="7"/>
  <c r="CJ124" i="7"/>
  <c r="BE168" i="7"/>
  <c r="AO109" i="7"/>
  <c r="AP109" i="7" s="1"/>
  <c r="AQ109" i="7" s="1"/>
  <c r="AR109" i="7" s="1"/>
  <c r="AO110" i="7"/>
  <c r="AP110" i="7" s="1"/>
  <c r="AQ110" i="7" s="1"/>
  <c r="AR110" i="7" s="1"/>
  <c r="X85" i="7"/>
  <c r="P176" i="7"/>
  <c r="AE176" i="7"/>
  <c r="BC51" i="7"/>
  <c r="AW51" i="7"/>
  <c r="AU51" i="7"/>
  <c r="AC51" i="7"/>
  <c r="Q51" i="7"/>
  <c r="AU115" i="8"/>
  <c r="AU89" i="7"/>
  <c r="BR104" i="7"/>
  <c r="AI120" i="8"/>
  <c r="CL16" i="8"/>
  <c r="CL120" i="8" s="1"/>
  <c r="AP129" i="8"/>
  <c r="AP130" i="8" s="1"/>
  <c r="AC120" i="8"/>
  <c r="AC29" i="8"/>
  <c r="CJ21" i="8"/>
  <c r="CL25" i="8"/>
  <c r="CL119" i="8" s="1"/>
  <c r="AI119" i="8"/>
  <c r="BS21" i="8"/>
  <c r="BR29" i="8"/>
  <c r="AQ582" i="1"/>
  <c r="CN15" i="8"/>
  <c r="Y129" i="8"/>
  <c r="CK89" i="7"/>
  <c r="CK90" i="7"/>
  <c r="CK92" i="7" s="1"/>
  <c r="CH115" i="8"/>
  <c r="CT48" i="8"/>
  <c r="CM115" i="8"/>
  <c r="CM135" i="8"/>
  <c r="AW129" i="8"/>
  <c r="AW130" i="8" s="1"/>
  <c r="BG118" i="1"/>
  <c r="CR47" i="8"/>
  <c r="AN49" i="8"/>
  <c r="AN51" i="8" s="1"/>
  <c r="AT49" i="8"/>
  <c r="AU48" i="8"/>
  <c r="CO85" i="8"/>
  <c r="CJ32" i="8"/>
  <c r="CH19" i="8"/>
  <c r="L119" i="8"/>
  <c r="AY120" i="8"/>
  <c r="V101" i="7"/>
  <c r="AE101" i="7"/>
  <c r="CM89" i="7"/>
  <c r="AR586" i="1"/>
  <c r="AR572" i="1" s="1"/>
  <c r="AP76" i="8"/>
  <c r="AP98" i="8" s="1"/>
  <c r="CU50" i="8"/>
  <c r="CP50" i="8"/>
  <c r="CN36" i="8"/>
  <c r="CQ35" i="8"/>
  <c r="CO35" i="8"/>
  <c r="AZ38" i="8"/>
  <c r="AM32" i="8"/>
  <c r="AL38" i="8"/>
  <c r="CG25" i="8"/>
  <c r="CH18" i="8"/>
  <c r="CH14" i="8"/>
  <c r="CR13" i="8"/>
  <c r="BB29" i="8"/>
  <c r="CG14" i="8"/>
  <c r="BV242" i="1"/>
  <c r="BV12" i="1"/>
  <c r="BV159" i="1" s="1"/>
  <c r="BV243" i="1"/>
  <c r="BR567" i="1"/>
  <c r="BR601" i="1" s="1"/>
  <c r="CF628" i="1"/>
  <c r="R594" i="1"/>
  <c r="S590" i="1" s="1"/>
  <c r="AW601" i="1"/>
  <c r="CN507" i="1"/>
  <c r="CO500" i="1"/>
  <c r="BJ473" i="1"/>
  <c r="BS326" i="1"/>
  <c r="BL234" i="1"/>
  <c r="BF237" i="1"/>
  <c r="BF161" i="1"/>
  <c r="BM17" i="1"/>
  <c r="BQ146" i="1"/>
  <c r="R164" i="1"/>
  <c r="BC160" i="1"/>
  <c r="AN143" i="1"/>
  <c r="AN187" i="7" s="1"/>
  <c r="K158" i="1"/>
  <c r="AW195" i="1"/>
  <c r="BV88" i="1"/>
  <c r="AH401" i="1"/>
  <c r="BJ23" i="1"/>
  <c r="BJ129" i="1" s="1"/>
  <c r="AE128" i="1"/>
  <c r="AE515" i="1"/>
  <c r="AE54" i="1"/>
  <c r="BU17" i="1"/>
  <c r="BU23" i="1" s="1"/>
  <c r="BU144" i="1"/>
  <c r="CN468" i="1"/>
  <c r="CU325" i="1"/>
  <c r="CU13" i="1"/>
  <c r="AP29" i="1"/>
  <c r="AP412" i="1"/>
  <c r="AH54" i="1"/>
  <c r="BA501" i="1"/>
  <c r="CP591" i="1"/>
  <c r="Z578" i="1"/>
  <c r="V602" i="1"/>
  <c r="AW598" i="1"/>
  <c r="CO598" i="1" s="1"/>
  <c r="AX502" i="1"/>
  <c r="CQ500" i="1"/>
  <c r="BN587" i="1"/>
  <c r="W601" i="1"/>
  <c r="AQ601" i="1"/>
  <c r="H535" i="1"/>
  <c r="AW454" i="1"/>
  <c r="AW447" i="1"/>
  <c r="CG594" i="1"/>
  <c r="CH590" i="1" s="1"/>
  <c r="CG602" i="1"/>
  <c r="Z602" i="1"/>
  <c r="AZ601" i="1"/>
  <c r="DQ489" i="1"/>
  <c r="AV208" i="1"/>
  <c r="AV406" i="1"/>
  <c r="AV29" i="1" s="1"/>
  <c r="BH300" i="1"/>
  <c r="CU95" i="1"/>
  <c r="AM210" i="7"/>
  <c r="AN210" i="7"/>
  <c r="R67" i="1"/>
  <c r="BE18" i="1"/>
  <c r="BE24" i="1" s="1"/>
  <c r="BE170" i="7"/>
  <c r="BE164" i="7" s="1"/>
  <c r="BV121" i="8"/>
  <c r="CU25" i="7"/>
  <c r="CU29" i="7"/>
  <c r="CU91" i="7" s="1"/>
  <c r="CV88" i="7" s="1"/>
  <c r="CU27" i="7"/>
  <c r="CU26" i="7"/>
  <c r="CU28" i="7"/>
  <c r="BV165" i="1"/>
  <c r="BV150" i="1"/>
  <c r="BV196" i="7"/>
  <c r="BV233" i="1"/>
  <c r="V594" i="1"/>
  <c r="W590" i="1" s="1"/>
  <c r="W602" i="1" s="1"/>
  <c r="AW433" i="1"/>
  <c r="AW426" i="1"/>
  <c r="CO426" i="1" s="1"/>
  <c r="AX432" i="1"/>
  <c r="BD327" i="1"/>
  <c r="BG326" i="1"/>
  <c r="AR43" i="1"/>
  <c r="CN30" i="1"/>
  <c r="DV222" i="1"/>
  <c r="BJ234" i="1"/>
  <c r="CT13" i="1"/>
  <c r="CL471" i="1"/>
  <c r="CS325" i="1"/>
  <c r="O151" i="1"/>
  <c r="CT265" i="1"/>
  <c r="DP30" i="1"/>
  <c r="DR461" i="1"/>
  <c r="CF627" i="1"/>
  <c r="CF626" i="1"/>
  <c r="BQ591" i="1"/>
  <c r="T601" i="1"/>
  <c r="BN237" i="1"/>
  <c r="AE473" i="1"/>
  <c r="S151" i="1"/>
  <c r="AS437" i="1"/>
  <c r="AS32" i="1" s="1"/>
  <c r="AK557" i="1"/>
  <c r="AK83" i="1" s="1"/>
  <c r="K166" i="1"/>
  <c r="AK473" i="1"/>
  <c r="CT292" i="1"/>
  <c r="O130" i="7"/>
  <c r="CT275" i="1"/>
  <c r="N570" i="1"/>
  <c r="N598" i="1"/>
  <c r="O598" i="1"/>
  <c r="BE570" i="1"/>
  <c r="BI539" i="1"/>
  <c r="AA134" i="1"/>
  <c r="AA537" i="1"/>
  <c r="AA53" i="1"/>
  <c r="AE148" i="1" s="1"/>
  <c r="AA133" i="1"/>
  <c r="AJ133" i="1"/>
  <c r="BL146" i="1"/>
  <c r="BP146" i="1"/>
  <c r="G166" i="1"/>
  <c r="BJ19" i="1"/>
  <c r="BJ25" i="1" s="1"/>
  <c r="BJ131" i="1" s="1"/>
  <c r="BP171" i="7"/>
  <c r="BP179" i="7" s="1"/>
  <c r="M176" i="7"/>
  <c r="AC176" i="7"/>
  <c r="BT196" i="1"/>
  <c r="BD224" i="1"/>
  <c r="BL184" i="1"/>
  <c r="BL223" i="1"/>
  <c r="BM222" i="1"/>
  <c r="DU190" i="1"/>
  <c r="DU222" i="1" s="1"/>
  <c r="BE222" i="1"/>
  <c r="AY203" i="1"/>
  <c r="CP187" i="1"/>
  <c r="AY219" i="1"/>
  <c r="AT214" i="1"/>
  <c r="CS180" i="1"/>
  <c r="BG173" i="1"/>
  <c r="BQ225" i="1"/>
  <c r="BB220" i="1"/>
  <c r="AX220" i="1"/>
  <c r="DS182" i="1"/>
  <c r="AU225" i="1"/>
  <c r="AR224" i="1"/>
  <c r="DP192" i="1"/>
  <c r="DP224" i="1" s="1"/>
  <c r="BJ223" i="1"/>
  <c r="CS191" i="1"/>
  <c r="CS223" i="1" s="1"/>
  <c r="BF223" i="1"/>
  <c r="CR191" i="1"/>
  <c r="BH220" i="1"/>
  <c r="CR188" i="1"/>
  <c r="CR220" i="1" s="1"/>
  <c r="AY184" i="1"/>
  <c r="AU184" i="1"/>
  <c r="CO185" i="1"/>
  <c r="DP178" i="1"/>
  <c r="CO178" i="1"/>
  <c r="AV173" i="1"/>
  <c r="CO177" i="1"/>
  <c r="DQ177" i="1"/>
  <c r="CN177" i="1"/>
  <c r="AR173" i="1"/>
  <c r="DU175" i="1"/>
  <c r="CQ174" i="1"/>
  <c r="BA173" i="1"/>
  <c r="BA195" i="1" s="1"/>
  <c r="DR174" i="1"/>
  <c r="BE225" i="1"/>
  <c r="DS193" i="1"/>
  <c r="DS225" i="1" s="1"/>
  <c r="AX224" i="1"/>
  <c r="DQ192" i="1"/>
  <c r="DQ224" i="1" s="1"/>
  <c r="DW188" i="1"/>
  <c r="DW220" i="1" s="1"/>
  <c r="BU202" i="1"/>
  <c r="BQ202" i="1"/>
  <c r="DP182" i="1"/>
  <c r="DP214" i="1" s="1"/>
  <c r="DU179" i="1"/>
  <c r="CN174" i="1"/>
  <c r="CT191" i="1"/>
  <c r="CT223" i="1" s="1"/>
  <c r="BF203" i="1"/>
  <c r="CF119" i="8"/>
  <c r="CQ118" i="1"/>
  <c r="DR118" i="1"/>
  <c r="CT115" i="8"/>
  <c r="CM14" i="8"/>
  <c r="CQ47" i="8"/>
  <c r="CM50" i="8"/>
  <c r="CR48" i="8"/>
  <c r="BE49" i="8"/>
  <c r="BO28" i="8"/>
  <c r="BU582" i="1"/>
  <c r="BU89" i="7"/>
  <c r="BV85" i="8"/>
  <c r="CV628" i="1"/>
  <c r="CW628" i="1" s="1"/>
  <c r="CX628" i="1" s="1"/>
  <c r="CY628" i="1" s="1"/>
  <c r="CZ628" i="1" s="1"/>
  <c r="DA628" i="1" s="1"/>
  <c r="DB628" i="1" s="1"/>
  <c r="DC628" i="1" s="1"/>
  <c r="CV627" i="1"/>
  <c r="CW627" i="1" s="1"/>
  <c r="CX627" i="1" s="1"/>
  <c r="CY627" i="1" s="1"/>
  <c r="CZ627" i="1" s="1"/>
  <c r="DA627" i="1" s="1"/>
  <c r="DB627" i="1" s="1"/>
  <c r="DC627" i="1" s="1"/>
  <c r="BU587" i="1"/>
  <c r="CU606" i="1"/>
  <c r="BU209" i="7"/>
  <c r="BU210" i="7" s="1"/>
  <c r="AH71" i="1"/>
  <c r="AH137" i="1" s="1"/>
  <c r="AT64" i="1"/>
  <c r="BV195" i="7"/>
  <c r="DW321" i="1"/>
  <c r="DW322" i="1" s="1"/>
  <c r="BQ593" i="1"/>
  <c r="CT593" i="1" s="1"/>
  <c r="AL472" i="1"/>
  <c r="BB207" i="1"/>
  <c r="AR223" i="1"/>
  <c r="AW43" i="1"/>
  <c r="AW57" i="1" s="1"/>
  <c r="BA199" i="1"/>
  <c r="BO198" i="1"/>
  <c r="BN198" i="1"/>
  <c r="BC223" i="1"/>
  <c r="BV209" i="7"/>
  <c r="BV191" i="7"/>
  <c r="BV572" i="1"/>
  <c r="CV629" i="1"/>
  <c r="CW629" i="1" s="1"/>
  <c r="CX629" i="1" s="1"/>
  <c r="CY629" i="1" s="1"/>
  <c r="CZ629" i="1" s="1"/>
  <c r="DA629" i="1" s="1"/>
  <c r="DB629" i="1" s="1"/>
  <c r="DC629" i="1" s="1"/>
  <c r="CU573" i="1"/>
  <c r="BV567" i="1"/>
  <c r="BV591" i="1" s="1"/>
  <c r="CU118" i="1"/>
  <c r="BV96" i="8"/>
  <c r="BU103" i="1"/>
  <c r="P119" i="7"/>
  <c r="U119" i="7"/>
  <c r="Q119" i="7"/>
  <c r="Q141" i="7" s="1"/>
  <c r="N119" i="7"/>
  <c r="N141" i="7" s="1"/>
  <c r="CB70" i="7"/>
  <c r="Z119" i="7"/>
  <c r="T119" i="7"/>
  <c r="T141" i="7" s="1"/>
  <c r="BV326" i="1"/>
  <c r="BX299" i="1"/>
  <c r="BY299" i="1" s="1"/>
  <c r="CV117" i="8"/>
  <c r="BY42" i="7"/>
  <c r="BV250" i="1"/>
  <c r="BW250" i="1"/>
  <c r="BV164" i="1"/>
  <c r="BV149" i="1"/>
  <c r="BV67" i="1"/>
  <c r="BV134" i="7" s="1"/>
  <c r="BY88" i="8"/>
  <c r="CV88" i="8" s="1"/>
  <c r="AR49" i="1"/>
  <c r="AO401" i="1"/>
  <c r="AU470" i="1"/>
  <c r="R54" i="1"/>
  <c r="R128" i="1"/>
  <c r="R515" i="1"/>
  <c r="AH128" i="1"/>
  <c r="AH515" i="1"/>
  <c r="T54" i="1"/>
  <c r="T128" i="1"/>
  <c r="T515" i="1"/>
  <c r="AT47" i="1"/>
  <c r="AT61" i="1" s="1"/>
  <c r="AL535" i="1"/>
  <c r="AV44" i="1"/>
  <c r="AP64" i="1"/>
  <c r="AF143" i="1"/>
  <c r="AF187" i="7" s="1"/>
  <c r="BV49" i="7"/>
  <c r="BV43" i="7"/>
  <c r="BV205" i="7"/>
  <c r="BW209" i="7"/>
  <c r="BV204" i="7"/>
  <c r="BV206" i="7" s="1"/>
  <c r="BV115" i="8"/>
  <c r="BV135" i="8"/>
  <c r="BV201" i="7"/>
  <c r="BV199" i="7"/>
  <c r="BV168" i="7"/>
  <c r="BV178" i="7" s="1"/>
  <c r="BV183" i="7"/>
  <c r="BV169" i="7"/>
  <c r="BV182" i="7"/>
  <c r="BV22" i="7"/>
  <c r="BV33" i="7" s="1"/>
  <c r="BW152" i="7" s="1"/>
  <c r="BV184" i="7"/>
  <c r="CY516" i="1"/>
  <c r="CY603" i="1"/>
  <c r="CZ603" i="1" s="1"/>
  <c r="DA603" i="1" s="1"/>
  <c r="DB603" i="1" s="1"/>
  <c r="DC603" i="1" s="1"/>
  <c r="CY602" i="1"/>
  <c r="CZ602" i="1" s="1"/>
  <c r="DA602" i="1" s="1"/>
  <c r="DB602" i="1" s="1"/>
  <c r="DC602" i="1" s="1"/>
  <c r="CY546" i="1"/>
  <c r="CZ546" i="1" s="1"/>
  <c r="DA546" i="1" s="1"/>
  <c r="DB546" i="1" s="1"/>
  <c r="DC546" i="1" s="1"/>
  <c r="BU171" i="7"/>
  <c r="BU179" i="7" s="1"/>
  <c r="BU176" i="7"/>
  <c r="BU170" i="7"/>
  <c r="BU164" i="7" s="1"/>
  <c r="AJ171" i="7"/>
  <c r="AJ179" i="7" s="1"/>
  <c r="AJ177" i="7"/>
  <c r="AB177" i="7"/>
  <c r="CO128" i="7"/>
  <c r="CT544" i="1"/>
  <c r="AR177" i="7"/>
  <c r="AR163" i="7"/>
  <c r="Q177" i="7"/>
  <c r="Q171" i="7"/>
  <c r="Q179" i="7" s="1"/>
  <c r="M171" i="7"/>
  <c r="M179" i="7" s="1"/>
  <c r="CQ57" i="7"/>
  <c r="BE68" i="7"/>
  <c r="AR201" i="7"/>
  <c r="AR199" i="7"/>
  <c r="AR175" i="7" s="1"/>
  <c r="N206" i="7"/>
  <c r="N147" i="7" s="1"/>
  <c r="Y109" i="7"/>
  <c r="Z109" i="7" s="1"/>
  <c r="AA109" i="7" s="1"/>
  <c r="AB109" i="7" s="1"/>
  <c r="BT125" i="7"/>
  <c r="BT123" i="7"/>
  <c r="BT124" i="7"/>
  <c r="AS64" i="1"/>
  <c r="BC343" i="1"/>
  <c r="BC207" i="1" s="1"/>
  <c r="BC356" i="1"/>
  <c r="BD356" i="1"/>
  <c r="BD219" i="1" s="1"/>
  <c r="BD218" i="1"/>
  <c r="BU363" i="1"/>
  <c r="BC213" i="1"/>
  <c r="BC257" i="1"/>
  <c r="BC253" i="1" s="1"/>
  <c r="BC283" i="1"/>
  <c r="BD281" i="1"/>
  <c r="BD213" i="1" s="1"/>
  <c r="BE287" i="1"/>
  <c r="BE281" i="1" s="1"/>
  <c r="CU285" i="1"/>
  <c r="CR285" i="1"/>
  <c r="CR275" i="1"/>
  <c r="BD267" i="1"/>
  <c r="BD261" i="1" s="1"/>
  <c r="CR265" i="1"/>
  <c r="CR221" i="1"/>
  <c r="BC273" i="1"/>
  <c r="BD277" i="1"/>
  <c r="BB257" i="1"/>
  <c r="BB253" i="1" s="1"/>
  <c r="BB209" i="1"/>
  <c r="BB210" i="1"/>
  <c r="BX325" i="1"/>
  <c r="BY325" i="1" s="1"/>
  <c r="AF515" i="1"/>
  <c r="BT129" i="1"/>
  <c r="AS578" i="1"/>
  <c r="AJ539" i="1"/>
  <c r="BI576" i="1"/>
  <c r="BB88" i="1"/>
  <c r="BD118" i="8"/>
  <c r="AR118" i="8"/>
  <c r="DP81" i="1"/>
  <c r="CJ116" i="8"/>
  <c r="CJ74" i="1"/>
  <c r="CF116" i="8"/>
  <c r="CF545" i="1"/>
  <c r="CF74" i="1"/>
  <c r="BA74" i="1"/>
  <c r="DR74" i="1" s="1"/>
  <c r="DL74" i="1"/>
  <c r="Q540" i="1"/>
  <c r="Q164" i="1"/>
  <c r="Q67" i="1"/>
  <c r="Q166" i="1" s="1"/>
  <c r="Q133" i="1"/>
  <c r="AH130" i="7"/>
  <c r="AH134" i="7"/>
  <c r="U130" i="7"/>
  <c r="U134" i="7"/>
  <c r="CS76" i="1"/>
  <c r="CS550" i="1" s="1"/>
  <c r="DU76" i="1"/>
  <c r="BM550" i="1"/>
  <c r="CN116" i="8"/>
  <c r="CN545" i="1"/>
  <c r="BM116" i="8"/>
  <c r="BM545" i="1"/>
  <c r="BM546" i="1" s="1"/>
  <c r="Q541" i="1"/>
  <c r="CG541" i="1" s="1"/>
  <c r="U150" i="1"/>
  <c r="Q134" i="1"/>
  <c r="CG69" i="1"/>
  <c r="CG67" i="1" s="1"/>
  <c r="Q150" i="1"/>
  <c r="AB151" i="1"/>
  <c r="CF541" i="1"/>
  <c r="Q165" i="1"/>
  <c r="AP151" i="1"/>
  <c r="L166" i="1"/>
  <c r="CF89" i="1"/>
  <c r="CF88" i="1" s="1"/>
  <c r="CF117" i="8" s="1"/>
  <c r="AL576" i="1"/>
  <c r="AX463" i="1"/>
  <c r="AY463" i="1" s="1"/>
  <c r="AW457" i="1"/>
  <c r="AW458" i="1" s="1"/>
  <c r="AW464" i="1"/>
  <c r="AW448" i="1"/>
  <c r="AT209" i="1"/>
  <c r="AT32" i="1"/>
  <c r="AT443" i="1"/>
  <c r="BP195" i="1"/>
  <c r="BU200" i="1"/>
  <c r="BQ195" i="1"/>
  <c r="BL238" i="1"/>
  <c r="S570" i="1"/>
  <c r="S598" i="1"/>
  <c r="U592" i="1"/>
  <c r="BR576" i="1"/>
  <c r="N578" i="1"/>
  <c r="AR410" i="1"/>
  <c r="DP409" i="1"/>
  <c r="AR411" i="1"/>
  <c r="AS411" i="1"/>
  <c r="CN409" i="1"/>
  <c r="AR398" i="1"/>
  <c r="BF327" i="1"/>
  <c r="BE327" i="1"/>
  <c r="BR300" i="1"/>
  <c r="BN300" i="1"/>
  <c r="CS265" i="1"/>
  <c r="BR251" i="1"/>
  <c r="BQ250" i="1"/>
  <c r="BQ251" i="1"/>
  <c r="BU250" i="1"/>
  <c r="BI118" i="8"/>
  <c r="AN118" i="8"/>
  <c r="CO76" i="1"/>
  <c r="DQ76" i="1"/>
  <c r="AW74" i="1"/>
  <c r="AW550" i="1"/>
  <c r="CK116" i="8"/>
  <c r="CK74" i="1"/>
  <c r="CK545" i="1"/>
  <c r="CG116" i="8"/>
  <c r="CG74" i="1"/>
  <c r="CG545" i="1"/>
  <c r="CP550" i="1"/>
  <c r="AS46" i="1"/>
  <c r="AS60" i="1" s="1"/>
  <c r="AU474" i="1"/>
  <c r="AU475" i="1" s="1"/>
  <c r="AU35" i="1"/>
  <c r="AU469" i="1"/>
  <c r="BW89" i="1"/>
  <c r="BW88" i="1" s="1"/>
  <c r="DW93" i="1"/>
  <c r="BK166" i="1"/>
  <c r="DT67" i="1"/>
  <c r="BH23" i="1"/>
  <c r="BW119" i="1"/>
  <c r="CS504" i="1"/>
  <c r="CR504" i="1"/>
  <c r="BC501" i="1"/>
  <c r="AZ502" i="1"/>
  <c r="CP500" i="1"/>
  <c r="DU492" i="1"/>
  <c r="DV492" i="1"/>
  <c r="CO492" i="1"/>
  <c r="CN492" i="1"/>
  <c r="BH473" i="1"/>
  <c r="CR471" i="1"/>
  <c r="DT471" i="1"/>
  <c r="BH472" i="1"/>
  <c r="BI473" i="1"/>
  <c r="AZ223" i="1"/>
  <c r="AZ472" i="1"/>
  <c r="AZ473" i="1"/>
  <c r="CP471" i="1"/>
  <c r="CN471" i="1"/>
  <c r="CO472" i="1" s="1"/>
  <c r="AQ473" i="1"/>
  <c r="DO471" i="1"/>
  <c r="AP473" i="1"/>
  <c r="AV220" i="1"/>
  <c r="AZ441" i="1"/>
  <c r="AV441" i="1"/>
  <c r="AV442" i="1"/>
  <c r="AW442" i="1"/>
  <c r="DQ440" i="1"/>
  <c r="AQ47" i="1"/>
  <c r="AQ61" i="1" s="1"/>
  <c r="AP474" i="1"/>
  <c r="AQ476" i="1" s="1"/>
  <c r="AP35" i="1"/>
  <c r="BL472" i="1"/>
  <c r="DN461" i="1"/>
  <c r="BO301" i="1"/>
  <c r="BN251" i="1"/>
  <c r="BN250" i="1"/>
  <c r="BO251" i="1"/>
  <c r="CR572" i="1"/>
  <c r="AW472" i="1"/>
  <c r="AS472" i="1"/>
  <c r="AI410" i="1"/>
  <c r="AK380" i="1"/>
  <c r="AK379" i="1"/>
  <c r="BB303" i="1"/>
  <c r="BB214" i="1"/>
  <c r="BL250" i="1"/>
  <c r="CL89" i="1"/>
  <c r="CL88" i="1" s="1"/>
  <c r="CL117" i="8" s="1"/>
  <c r="AQ459" i="1"/>
  <c r="AP437" i="1"/>
  <c r="AP395" i="1" s="1"/>
  <c r="BN234" i="1"/>
  <c r="CS233" i="1"/>
  <c r="AG210" i="7"/>
  <c r="Q143" i="1"/>
  <c r="Q187" i="7" s="1"/>
  <c r="DW186" i="1"/>
  <c r="DW218" i="1" s="1"/>
  <c r="DV192" i="1"/>
  <c r="DV224" i="1" s="1"/>
  <c r="BE173" i="1"/>
  <c r="BE195" i="1" s="1"/>
  <c r="BS184" i="1"/>
  <c r="BS198" i="1" s="1"/>
  <c r="BJ184" i="1"/>
  <c r="DP193" i="1"/>
  <c r="DP225" i="1" s="1"/>
  <c r="CQ182" i="1"/>
  <c r="CP188" i="1"/>
  <c r="CP220" i="1" s="1"/>
  <c r="DR188" i="1"/>
  <c r="CT193" i="1"/>
  <c r="CT225" i="1" s="1"/>
  <c r="DS180" i="1"/>
  <c r="CO181" i="1"/>
  <c r="BR200" i="1"/>
  <c r="BK224" i="1"/>
  <c r="DQ193" i="1"/>
  <c r="DQ225" i="1" s="1"/>
  <c r="DV193" i="1"/>
  <c r="DV225" i="1" s="1"/>
  <c r="AS184" i="1"/>
  <c r="CR187" i="1"/>
  <c r="BK184" i="1"/>
  <c r="CP190" i="1"/>
  <c r="CP222" i="1" s="1"/>
  <c r="DR190" i="1"/>
  <c r="DR222" i="1" s="1"/>
  <c r="AT213" i="1"/>
  <c r="BR198" i="1"/>
  <c r="CU189" i="1"/>
  <c r="CU221" i="1" s="1"/>
  <c r="BB184" i="1"/>
  <c r="BF199" i="1" s="1"/>
  <c r="BM184" i="1"/>
  <c r="BM200" i="1" s="1"/>
  <c r="CS193" i="1"/>
  <c r="CS225" i="1" s="1"/>
  <c r="CQ192" i="1"/>
  <c r="CQ224" i="1" s="1"/>
  <c r="DU182" i="1"/>
  <c r="CT188" i="1"/>
  <c r="CT220" i="1" s="1"/>
  <c r="CT179" i="1"/>
  <c r="DT182" i="1"/>
  <c r="BB173" i="1"/>
  <c r="BB195" i="1" s="1"/>
  <c r="BD184" i="1"/>
  <c r="BD198" i="1" s="1"/>
  <c r="DU193" i="1"/>
  <c r="DU225" i="1" s="1"/>
  <c r="BP220" i="1"/>
  <c r="CS185" i="1"/>
  <c r="DW181" i="1"/>
  <c r="DW213" i="1" s="1"/>
  <c r="DW180" i="1"/>
  <c r="DW212" i="1" s="1"/>
  <c r="BO173" i="1"/>
  <c r="BO195" i="1" s="1"/>
  <c r="DQ180" i="1"/>
  <c r="BU199" i="1"/>
  <c r="BG203" i="1"/>
  <c r="CT189" i="1"/>
  <c r="CT221" i="1" s="1"/>
  <c r="DP191" i="1"/>
  <c r="DP223" i="1" s="1"/>
  <c r="DS188" i="1"/>
  <c r="BF202" i="1"/>
  <c r="BV199" i="1"/>
  <c r="CT192" i="1"/>
  <c r="CT224" i="1" s="1"/>
  <c r="DT174" i="1"/>
  <c r="DS185" i="1"/>
  <c r="CT176" i="1"/>
  <c r="CS188" i="1"/>
  <c r="CS220" i="1" s="1"/>
  <c r="BG184" i="1"/>
  <c r="BG198" i="1" s="1"/>
  <c r="BE184" i="1"/>
  <c r="DU191" i="1"/>
  <c r="BH224" i="1"/>
  <c r="DR192" i="1"/>
  <c r="DR224" i="1" s="1"/>
  <c r="DQ182" i="1"/>
  <c r="DQ214" i="1" s="1"/>
  <c r="CR180" i="1"/>
  <c r="DV179" i="1"/>
  <c r="CQ189" i="1"/>
  <c r="CQ221" i="1" s="1"/>
  <c r="AS220" i="1"/>
  <c r="CP191" i="1"/>
  <c r="CQ180" i="1"/>
  <c r="DV176" i="1"/>
  <c r="DV189" i="1"/>
  <c r="DV221" i="1" s="1"/>
  <c r="DR189" i="1"/>
  <c r="DR221" i="1" s="1"/>
  <c r="AX223" i="1"/>
  <c r="AT223" i="1"/>
  <c r="AV214" i="1"/>
  <c r="BJ202" i="1"/>
  <c r="BW184" i="1"/>
  <c r="DW184" i="1" s="1"/>
  <c r="DW216" i="1" s="1"/>
  <c r="DW185" i="1"/>
  <c r="DW217" i="1" s="1"/>
  <c r="AT184" i="1"/>
  <c r="CU182" i="1"/>
  <c r="DQ181" i="1"/>
  <c r="DW177" i="1"/>
  <c r="DW209" i="1" s="1"/>
  <c r="DU177" i="1"/>
  <c r="DR176" i="1"/>
  <c r="BB211" i="1"/>
  <c r="CO193" i="1"/>
  <c r="CO225" i="1" s="1"/>
  <c r="AX184" i="1"/>
  <c r="CQ190" i="1"/>
  <c r="CQ222" i="1" s="1"/>
  <c r="DS192" i="1"/>
  <c r="DS224" i="1" s="1"/>
  <c r="DU192" i="1"/>
  <c r="DU224" i="1" s="1"/>
  <c r="DR193" i="1"/>
  <c r="DR225" i="1" s="1"/>
  <c r="BC225" i="1"/>
  <c r="DT193" i="1"/>
  <c r="DT225" i="1" s="1"/>
  <c r="BJ173" i="1"/>
  <c r="BJ197" i="1" s="1"/>
  <c r="BV202" i="1"/>
  <c r="CU181" i="1"/>
  <c r="CS179" i="1"/>
  <c r="CT178" i="1"/>
  <c r="CQ177" i="1"/>
  <c r="AL210" i="7"/>
  <c r="AL211" i="7" s="1"/>
  <c r="DN121" i="1"/>
  <c r="BI591" i="1"/>
  <c r="BI601" i="1" s="1"/>
  <c r="P539" i="1"/>
  <c r="BK89" i="1"/>
  <c r="BK88" i="1" s="1"/>
  <c r="CS95" i="1"/>
  <c r="CM95" i="1"/>
  <c r="CM89" i="1" s="1"/>
  <c r="CM88" i="1" s="1"/>
  <c r="CM117" i="8" s="1"/>
  <c r="AM89" i="1"/>
  <c r="DT192" i="1"/>
  <c r="DT224" i="1" s="1"/>
  <c r="CO191" i="1"/>
  <c r="CO223" i="1" s="1"/>
  <c r="DV175" i="1"/>
  <c r="Q89" i="1"/>
  <c r="Q88" i="1" s="1"/>
  <c r="CG95" i="1"/>
  <c r="CG89" i="1" s="1"/>
  <c r="CG88" i="1" s="1"/>
  <c r="CG117" i="8" s="1"/>
  <c r="G89" i="1"/>
  <c r="G88" i="1" s="1"/>
  <c r="BK250" i="1"/>
  <c r="CP182" i="1"/>
  <c r="BH173" i="1"/>
  <c r="BI197" i="1" s="1"/>
  <c r="CS174" i="1"/>
  <c r="R74" i="1"/>
  <c r="AX210" i="7"/>
  <c r="AM67" i="1"/>
  <c r="AM135" i="1" s="1"/>
  <c r="BC161" i="1"/>
  <c r="AW428" i="1"/>
  <c r="CT145" i="1"/>
  <c r="CN135" i="8"/>
  <c r="DS118" i="1"/>
  <c r="BO24" i="1"/>
  <c r="BO130" i="1" s="1"/>
  <c r="CU121" i="1"/>
  <c r="CN115" i="8"/>
  <c r="AB102" i="7"/>
  <c r="CU149" i="1"/>
  <c r="BG24" i="1"/>
  <c r="AW406" i="1"/>
  <c r="Y130" i="8"/>
  <c r="Z54" i="1"/>
  <c r="Z128" i="1"/>
  <c r="CU68" i="7"/>
  <c r="AY88" i="1"/>
  <c r="CV544" i="1"/>
  <c r="BU145" i="1"/>
  <c r="BU18" i="1"/>
  <c r="BU24" i="1" s="1"/>
  <c r="BU130" i="1" s="1"/>
  <c r="BO115" i="8"/>
  <c r="BU160" i="1"/>
  <c r="AU206" i="1"/>
  <c r="BI89" i="1"/>
  <c r="CR89" i="1" s="1"/>
  <c r="CR95" i="1"/>
  <c r="AQ33" i="1"/>
  <c r="AQ449" i="1"/>
  <c r="BI198" i="1"/>
  <c r="BO89" i="7"/>
  <c r="AU102" i="1"/>
  <c r="AU103" i="1" s="1"/>
  <c r="AK108" i="7"/>
  <c r="CL24" i="7"/>
  <c r="CI115" i="8"/>
  <c r="Y134" i="7"/>
  <c r="BE199" i="7"/>
  <c r="BE175" i="7" s="1"/>
  <c r="CQ60" i="7"/>
  <c r="BT203" i="1"/>
  <c r="BT652" i="1"/>
  <c r="BT653" i="1" s="1"/>
  <c r="BO230" i="1"/>
  <c r="CU85" i="8"/>
  <c r="BC117" i="8"/>
  <c r="BP551" i="1"/>
  <c r="BP546" i="1"/>
  <c r="AJ546" i="1"/>
  <c r="AF546" i="1"/>
  <c r="BG541" i="1"/>
  <c r="BC541" i="1"/>
  <c r="BC539" i="1" s="1"/>
  <c r="AS541" i="1"/>
  <c r="AS539" i="1" s="1"/>
  <c r="CS510" i="1"/>
  <c r="CP492" i="1"/>
  <c r="DV461" i="1"/>
  <c r="AR211" i="1"/>
  <c r="AJ411" i="1"/>
  <c r="BF301" i="1"/>
  <c r="CU246" i="1"/>
  <c r="DT191" i="1"/>
  <c r="BL165" i="1"/>
  <c r="V149" i="1"/>
  <c r="J133" i="1"/>
  <c r="Y554" i="1"/>
  <c r="BS74" i="1"/>
  <c r="J53" i="1"/>
  <c r="BN205" i="7"/>
  <c r="AW168" i="7"/>
  <c r="BQ167" i="7"/>
  <c r="AS83" i="7"/>
  <c r="AS94" i="7" s="1"/>
  <c r="AE103" i="7"/>
  <c r="CJ205" i="7"/>
  <c r="BQ24" i="7"/>
  <c r="CN24" i="7"/>
  <c r="AD135" i="8"/>
  <c r="AA115" i="8"/>
  <c r="W115" i="8"/>
  <c r="BG43" i="8"/>
  <c r="CR43" i="8" s="1"/>
  <c r="CQ85" i="8"/>
  <c r="CN85" i="8"/>
  <c r="CL85" i="8"/>
  <c r="AQ18" i="8"/>
  <c r="AP117" i="8"/>
  <c r="S120" i="8"/>
  <c r="O120" i="8"/>
  <c r="AF120" i="8"/>
  <c r="X120" i="8"/>
  <c r="BN115" i="8"/>
  <c r="BN135" i="8"/>
  <c r="P115" i="8"/>
  <c r="P135" i="8"/>
  <c r="BT49" i="8"/>
  <c r="R76" i="8"/>
  <c r="R98" i="8"/>
  <c r="R28" i="8"/>
  <c r="N28" i="8"/>
  <c r="N119" i="8" s="1"/>
  <c r="N76" i="8"/>
  <c r="Q592" i="1"/>
  <c r="R540" i="1"/>
  <c r="R539" i="1" s="1"/>
  <c r="AY223" i="1"/>
  <c r="CP429" i="1"/>
  <c r="DP426" i="1"/>
  <c r="AG380" i="1"/>
  <c r="Y380" i="1"/>
  <c r="U380" i="1"/>
  <c r="DW193" i="1"/>
  <c r="DW225" i="1" s="1"/>
  <c r="AV203" i="1"/>
  <c r="CO176" i="1"/>
  <c r="BG165" i="1"/>
  <c r="BK150" i="1"/>
  <c r="BE149" i="1"/>
  <c r="J134" i="1"/>
  <c r="CN69" i="1"/>
  <c r="CN67" i="1" s="1"/>
  <c r="BS145" i="1"/>
  <c r="N199" i="7"/>
  <c r="N175" i="7" s="1"/>
  <c r="AN168" i="7"/>
  <c r="AN201" i="7"/>
  <c r="AA135" i="8"/>
  <c r="AA121" i="8"/>
  <c r="AO96" i="8"/>
  <c r="AO98" i="8" s="1"/>
  <c r="CM95" i="8"/>
  <c r="CM96" i="8" s="1"/>
  <c r="BF121" i="8"/>
  <c r="AY32" i="8"/>
  <c r="AR115" i="8"/>
  <c r="AS150" i="1"/>
  <c r="AE130" i="7"/>
  <c r="BE67" i="1"/>
  <c r="BI151" i="1" s="1"/>
  <c r="CS69" i="1"/>
  <c r="AM567" i="1"/>
  <c r="AM601" i="1" s="1"/>
  <c r="Y622" i="1"/>
  <c r="BG601" i="1"/>
  <c r="S601" i="1"/>
  <c r="AX586" i="1"/>
  <c r="AX572" i="1" s="1"/>
  <c r="AO578" i="1"/>
  <c r="Y576" i="1"/>
  <c r="U578" i="1"/>
  <c r="CK572" i="1"/>
  <c r="CI572" i="1"/>
  <c r="Z551" i="1"/>
  <c r="CL545" i="1"/>
  <c r="AC546" i="1"/>
  <c r="BL541" i="1"/>
  <c r="BL539" i="1" s="1"/>
  <c r="M536" i="1"/>
  <c r="AI380" i="1"/>
  <c r="BK203" i="1"/>
  <c r="BC203" i="1"/>
  <c r="CT180" i="1"/>
  <c r="CU179" i="1"/>
  <c r="AZ164" i="1"/>
  <c r="S164" i="1"/>
  <c r="BP150" i="1"/>
  <c r="AX165" i="1"/>
  <c r="BD164" i="1"/>
  <c r="BF201" i="7"/>
  <c r="BN183" i="7"/>
  <c r="N168" i="7"/>
  <c r="AN115" i="8"/>
  <c r="R121" i="8"/>
  <c r="BA115" i="8"/>
  <c r="BA135" i="8"/>
  <c r="CI42" i="8"/>
  <c r="AF98" i="8"/>
  <c r="AF102" i="8" s="1"/>
  <c r="T98" i="8"/>
  <c r="AE119" i="8"/>
  <c r="BP51" i="7"/>
  <c r="BP62" i="7" s="1"/>
  <c r="CL544" i="1"/>
  <c r="BL21" i="8"/>
  <c r="CR41" i="8"/>
  <c r="BY93" i="1"/>
  <c r="AA148" i="1"/>
  <c r="BB129" i="8"/>
  <c r="BB130" i="8"/>
  <c r="AV196" i="1"/>
  <c r="CO447" i="1"/>
  <c r="P141" i="7"/>
  <c r="AA71" i="1"/>
  <c r="AA78" i="1" s="1"/>
  <c r="AA139" i="1" s="1"/>
  <c r="BV234" i="1"/>
  <c r="CT11" i="1"/>
  <c r="BS654" i="1"/>
  <c r="BS653" i="1"/>
  <c r="CP191" i="7"/>
  <c r="CF83" i="7"/>
  <c r="CF94" i="7" s="1"/>
  <c r="CF108" i="7"/>
  <c r="CF30" i="7"/>
  <c r="CG109" i="7"/>
  <c r="CG108" i="7"/>
  <c r="CG107" i="7"/>
  <c r="CG30" i="7"/>
  <c r="CL45" i="8"/>
  <c r="CL70" i="7" s="1"/>
  <c r="AI582" i="1"/>
  <c r="AI70" i="7"/>
  <c r="AI69" i="7" s="1"/>
  <c r="BD283" i="1"/>
  <c r="AR63" i="1"/>
  <c r="CS326" i="1"/>
  <c r="AH399" i="1"/>
  <c r="AD401" i="1"/>
  <c r="CG110" i="7"/>
  <c r="CJ89" i="7"/>
  <c r="CJ135" i="8"/>
  <c r="CJ115" i="8"/>
  <c r="H137" i="1"/>
  <c r="AO107" i="7"/>
  <c r="AP107" i="7" s="1"/>
  <c r="AQ107" i="7" s="1"/>
  <c r="AR107" i="7" s="1"/>
  <c r="AO108" i="7"/>
  <c r="AP108" i="7" s="1"/>
  <c r="AQ108" i="7" s="1"/>
  <c r="AR108" i="7" s="1"/>
  <c r="AO83" i="7"/>
  <c r="AO94" i="7" s="1"/>
  <c r="BA578" i="1"/>
  <c r="BA576" i="1"/>
  <c r="AW578" i="1"/>
  <c r="AW576" i="1"/>
  <c r="AK578" i="1"/>
  <c r="AK576" i="1"/>
  <c r="AC578" i="1"/>
  <c r="AC576" i="1"/>
  <c r="CS567" i="1"/>
  <c r="BO49" i="8"/>
  <c r="CU96" i="8"/>
  <c r="AI135" i="8"/>
  <c r="AI89" i="7"/>
  <c r="AI98" i="7" s="1"/>
  <c r="CF18" i="8"/>
  <c r="CJ626" i="1"/>
  <c r="CJ629" i="1"/>
  <c r="R576" i="1"/>
  <c r="R578" i="1"/>
  <c r="J576" i="1"/>
  <c r="J578" i="1"/>
  <c r="BU159" i="1"/>
  <c r="CJ125" i="7"/>
  <c r="N594" i="1"/>
  <c r="O590" i="1" s="1"/>
  <c r="AR34" i="1"/>
  <c r="Q380" i="1"/>
  <c r="AR208" i="1"/>
  <c r="BK546" i="1"/>
  <c r="AX546" i="1"/>
  <c r="DS461" i="1"/>
  <c r="AZ431" i="1"/>
  <c r="BJ301" i="1"/>
  <c r="CU275" i="1"/>
  <c r="BH235" i="1"/>
  <c r="AY220" i="1"/>
  <c r="AU220" i="1"/>
  <c r="AU219" i="1"/>
  <c r="DU185" i="1"/>
  <c r="DT185" i="1"/>
  <c r="CN185" i="1"/>
  <c r="DV182" i="1"/>
  <c r="CQ181" i="1"/>
  <c r="DP181" i="1"/>
  <c r="DP213" i="1" s="1"/>
  <c r="DQ179" i="1"/>
  <c r="CN178" i="1"/>
  <c r="AN164" i="1"/>
  <c r="DL121" i="1"/>
  <c r="BN150" i="1"/>
  <c r="CH68" i="1"/>
  <c r="BH164" i="1"/>
  <c r="DQ30" i="1"/>
  <c r="BS168" i="7"/>
  <c r="BS199" i="7"/>
  <c r="BS201" i="7"/>
  <c r="BT182" i="7"/>
  <c r="BT183" i="7"/>
  <c r="BT184" i="7"/>
  <c r="BP184" i="7"/>
  <c r="BP205" i="7"/>
  <c r="AX98" i="8"/>
  <c r="BS173" i="1"/>
  <c r="BK165" i="1"/>
  <c r="Y165" i="1"/>
  <c r="BC164" i="1"/>
  <c r="AN149" i="1"/>
  <c r="AO164" i="1"/>
  <c r="BD192" i="7"/>
  <c r="AY125" i="7"/>
  <c r="AY192" i="7"/>
  <c r="AY124" i="7"/>
  <c r="BC191" i="7"/>
  <c r="AZ192" i="7"/>
  <c r="AY22" i="7"/>
  <c r="AY33" i="7" s="1"/>
  <c r="AY123" i="7"/>
  <c r="AY182" i="7"/>
  <c r="AT182" i="7"/>
  <c r="AT191" i="7"/>
  <c r="AP191" i="7"/>
  <c r="AP204" i="7"/>
  <c r="AP206" i="7" s="1"/>
  <c r="AP182" i="7"/>
  <c r="AL22" i="7"/>
  <c r="AL33" i="7" s="1"/>
  <c r="AM152" i="7" s="1"/>
  <c r="AL182" i="7"/>
  <c r="AM192" i="7"/>
  <c r="AL191" i="7"/>
  <c r="AH146" i="7"/>
  <c r="AH204" i="7"/>
  <c r="AH206" i="7" s="1"/>
  <c r="AH182" i="7"/>
  <c r="AD182" i="7"/>
  <c r="Q28" i="8"/>
  <c r="CG75" i="8"/>
  <c r="BD76" i="8"/>
  <c r="BD98" i="8" s="1"/>
  <c r="BD21" i="8"/>
  <c r="BM301" i="1"/>
  <c r="X633" i="1"/>
  <c r="X632" i="1"/>
  <c r="Q578" i="1"/>
  <c r="M576" i="1"/>
  <c r="H539" i="1"/>
  <c r="AV223" i="1"/>
  <c r="AO472" i="1"/>
  <c r="BR442" i="1"/>
  <c r="CQ191" i="1"/>
  <c r="CQ223" i="1" s="1"/>
  <c r="CO186" i="1"/>
  <c r="CQ185" i="1"/>
  <c r="CS176" i="1"/>
  <c r="CI69" i="1"/>
  <c r="BD165" i="1"/>
  <c r="L53" i="1"/>
  <c r="L133" i="1"/>
  <c r="AX191" i="7"/>
  <c r="AL146" i="7"/>
  <c r="BE103" i="7"/>
  <c r="CG192" i="7"/>
  <c r="CJ96" i="8"/>
  <c r="BR199" i="1"/>
  <c r="CG89" i="7"/>
  <c r="CG90" i="7" s="1"/>
  <c r="CG92" i="7" s="1"/>
  <c r="CJ609" i="1"/>
  <c r="BM576" i="1"/>
  <c r="AS576" i="1"/>
  <c r="AD576" i="1"/>
  <c r="AY576" i="1"/>
  <c r="CN504" i="1"/>
  <c r="DQ492" i="1"/>
  <c r="CR492" i="1"/>
  <c r="AU437" i="1"/>
  <c r="CT299" i="1"/>
  <c r="CT300" i="1" s="1"/>
  <c r="CU192" i="1"/>
  <c r="CU224" i="1" s="1"/>
  <c r="CN188" i="1"/>
  <c r="DU176" i="1"/>
  <c r="BD150" i="1"/>
  <c r="AC150" i="1"/>
  <c r="Y150" i="1"/>
  <c r="DV80" i="1"/>
  <c r="BJ164" i="1"/>
  <c r="BI149" i="1"/>
  <c r="CO37" i="1"/>
  <c r="AE134" i="1"/>
  <c r="AO199" i="7"/>
  <c r="AO175" i="7" s="1"/>
  <c r="AL168" i="7"/>
  <c r="AL163" i="7" s="1"/>
  <c r="AL201" i="7"/>
  <c r="AL200" i="7" s="1"/>
  <c r="BM43" i="7"/>
  <c r="BM51" i="7" s="1"/>
  <c r="CS39" i="7"/>
  <c r="BI43" i="7"/>
  <c r="BI51" i="7" s="1"/>
  <c r="BI184" i="7"/>
  <c r="BI205" i="7"/>
  <c r="CR39" i="7"/>
  <c r="CQ39" i="7"/>
  <c r="BE183" i="7"/>
  <c r="BE43" i="7"/>
  <c r="BE51" i="7" s="1"/>
  <c r="BE62" i="7" s="1"/>
  <c r="BR184" i="7"/>
  <c r="BR43" i="7"/>
  <c r="BR182" i="7"/>
  <c r="BR183" i="7"/>
  <c r="AM115" i="8"/>
  <c r="AO51" i="7"/>
  <c r="AO62" i="7" s="1"/>
  <c r="AE121" i="8"/>
  <c r="BB115" i="8"/>
  <c r="AJ98" i="8"/>
  <c r="AJ102" i="8" s="1"/>
  <c r="V121" i="8"/>
  <c r="BH121" i="8"/>
  <c r="AA120" i="8"/>
  <c r="W120" i="8"/>
  <c r="BR89" i="7"/>
  <c r="R89" i="7"/>
  <c r="N89" i="7"/>
  <c r="BH80" i="7"/>
  <c r="BD80" i="7"/>
  <c r="AZ80" i="7"/>
  <c r="AT80" i="7"/>
  <c r="AT104" i="7"/>
  <c r="P80" i="7"/>
  <c r="AG51" i="7"/>
  <c r="AG62" i="7" s="1"/>
  <c r="BH135" i="8"/>
  <c r="R135" i="8"/>
  <c r="N135" i="8"/>
  <c r="BF117" i="8"/>
  <c r="R115" i="8"/>
  <c r="N115" i="8"/>
  <c r="BC98" i="8"/>
  <c r="AQ98" i="8"/>
  <c r="BA46" i="8"/>
  <c r="BA49" i="8" s="1"/>
  <c r="AS98" i="8"/>
  <c r="AP119" i="8"/>
  <c r="M20" i="8"/>
  <c r="M120" i="8"/>
  <c r="CF67" i="8"/>
  <c r="CF20" i="8" s="1"/>
  <c r="CF29" i="8" s="1"/>
  <c r="H18" i="8"/>
  <c r="CR23" i="8"/>
  <c r="CG23" i="8"/>
  <c r="CP14" i="8"/>
  <c r="CL14" i="8"/>
  <c r="CS182" i="1"/>
  <c r="DT178" i="1"/>
  <c r="CQ178" i="1"/>
  <c r="DS177" i="1"/>
  <c r="DR175" i="1"/>
  <c r="CO174" i="1"/>
  <c r="DV95" i="1"/>
  <c r="BT165" i="1"/>
  <c r="AU166" i="1"/>
  <c r="AN171" i="7"/>
  <c r="AZ168" i="7"/>
  <c r="AT168" i="7"/>
  <c r="V168" i="7"/>
  <c r="R168" i="7"/>
  <c r="U110" i="7"/>
  <c r="V110" i="7" s="1"/>
  <c r="W110" i="7" s="1"/>
  <c r="X110" i="7" s="1"/>
  <c r="BL98" i="7"/>
  <c r="BG200" i="7"/>
  <c r="AQ51" i="7"/>
  <c r="AM51" i="7"/>
  <c r="BR135" i="8"/>
  <c r="BD121" i="8"/>
  <c r="U121" i="8"/>
  <c r="AV98" i="8"/>
  <c r="AE98" i="8"/>
  <c r="AE102" i="8" s="1"/>
  <c r="W98" i="8"/>
  <c r="AK98" i="8"/>
  <c r="AK102" i="8" s="1"/>
  <c r="AL100" i="8"/>
  <c r="AL102" i="8" s="1"/>
  <c r="BF119" i="8"/>
  <c r="I26" i="8"/>
  <c r="CE73" i="8"/>
  <c r="CE26" i="8"/>
  <c r="BP21" i="8"/>
  <c r="BP120" i="8"/>
  <c r="CM41" i="8"/>
  <c r="CK37" i="8"/>
  <c r="J38" i="8"/>
  <c r="J51" i="8"/>
  <c r="P38" i="8"/>
  <c r="CK48" i="8"/>
  <c r="CN44" i="8"/>
  <c r="CR42" i="8"/>
  <c r="AV49" i="8"/>
  <c r="CJ41" i="8"/>
  <c r="CH41" i="8"/>
  <c r="N38" i="8"/>
  <c r="N51" i="8" s="1"/>
  <c r="CI24" i="8"/>
  <c r="CN23" i="8"/>
  <c r="BU124" i="7"/>
  <c r="BV124" i="7" s="1"/>
  <c r="BU125" i="7"/>
  <c r="BV125" i="7" s="1"/>
  <c r="BL28" i="8"/>
  <c r="BL119" i="8" s="1"/>
  <c r="BM21" i="8"/>
  <c r="BM120" i="8"/>
  <c r="BI76" i="8"/>
  <c r="BI98" i="8"/>
  <c r="L21" i="8"/>
  <c r="L120" i="8"/>
  <c r="G21" i="8"/>
  <c r="CS50" i="8"/>
  <c r="CH48" i="8"/>
  <c r="Q38" i="8"/>
  <c r="M38" i="8"/>
  <c r="CS27" i="8"/>
  <c r="CR27" i="8"/>
  <c r="CQ27" i="8"/>
  <c r="CO27" i="8"/>
  <c r="CN27" i="8"/>
  <c r="CJ27" i="8"/>
  <c r="CI27" i="8"/>
  <c r="AO119" i="8"/>
  <c r="AE120" i="8"/>
  <c r="CS19" i="8"/>
  <c r="CK19" i="8"/>
  <c r="BT24" i="7"/>
  <c r="BK198" i="1"/>
  <c r="AY200" i="1"/>
  <c r="BF287" i="1"/>
  <c r="BD336" i="1"/>
  <c r="BG200" i="1"/>
  <c r="BV51" i="7"/>
  <c r="BV62" i="7" s="1"/>
  <c r="CT591" i="1"/>
  <c r="AW427" i="1"/>
  <c r="BG195" i="1"/>
  <c r="AW197" i="1"/>
  <c r="AV195" i="1"/>
  <c r="AW208" i="1"/>
  <c r="CO48" i="8"/>
  <c r="AU49" i="8"/>
  <c r="CR135" i="8"/>
  <c r="CR115" i="8"/>
  <c r="AP58" i="1"/>
  <c r="BM238" i="1"/>
  <c r="BI239" i="1"/>
  <c r="CZ46" i="8"/>
  <c r="CZ93" i="8" s="1"/>
  <c r="CY93" i="8"/>
  <c r="BV146" i="1"/>
  <c r="X102" i="7"/>
  <c r="Z515" i="1"/>
  <c r="BV68" i="7"/>
  <c r="AQ115" i="8"/>
  <c r="BG89" i="7"/>
  <c r="BG80" i="7"/>
  <c r="CR32" i="8"/>
  <c r="CL48" i="8"/>
  <c r="AQ470" i="1"/>
  <c r="Q591" i="1"/>
  <c r="Q601" i="1" s="1"/>
  <c r="CT44" i="8"/>
  <c r="BG115" i="8"/>
  <c r="CS44" i="8"/>
  <c r="BG121" i="8"/>
  <c r="DT74" i="1"/>
  <c r="BQ508" i="1"/>
  <c r="BS117" i="8"/>
  <c r="R598" i="1"/>
  <c r="AN576" i="1"/>
  <c r="CU184" i="7"/>
  <c r="BA601" i="1"/>
  <c r="BG135" i="8"/>
  <c r="AF129" i="8"/>
  <c r="BL576" i="1"/>
  <c r="AD551" i="1"/>
  <c r="N551" i="1"/>
  <c r="AN546" i="1"/>
  <c r="AX472" i="1"/>
  <c r="AI472" i="1"/>
  <c r="AZ409" i="1"/>
  <c r="BB212" i="1"/>
  <c r="CP193" i="1"/>
  <c r="CP225" i="1" s="1"/>
  <c r="CN193" i="1"/>
  <c r="AT203" i="1"/>
  <c r="CT186" i="1"/>
  <c r="CR186" i="1"/>
  <c r="CP186" i="1"/>
  <c r="DW179" i="1"/>
  <c r="DW211" i="1" s="1"/>
  <c r="CP179" i="1"/>
  <c r="CN179" i="1"/>
  <c r="DV178" i="1"/>
  <c r="DP176" i="1"/>
  <c r="DR91" i="1"/>
  <c r="DN69" i="1"/>
  <c r="CR69" i="1"/>
  <c r="BP67" i="1"/>
  <c r="BF164" i="1"/>
  <c r="CN81" i="7"/>
  <c r="CI81" i="7"/>
  <c r="BA104" i="7"/>
  <c r="BT51" i="7"/>
  <c r="BT62" i="7" s="1"/>
  <c r="AI121" i="8"/>
  <c r="DN492" i="1"/>
  <c r="CO489" i="1"/>
  <c r="BQ472" i="1"/>
  <c r="BF472" i="1"/>
  <c r="CK471" i="1"/>
  <c r="DR451" i="1"/>
  <c r="BT327" i="1"/>
  <c r="AS213" i="1"/>
  <c r="CQ179" i="1"/>
  <c r="CP176" i="1"/>
  <c r="CP91" i="1"/>
  <c r="CP89" i="1" s="1"/>
  <c r="CP88" i="1" s="1"/>
  <c r="CP117" i="8" s="1"/>
  <c r="AI151" i="1"/>
  <c r="AE134" i="7"/>
  <c r="AF171" i="7"/>
  <c r="P163" i="7"/>
  <c r="AG398" i="1"/>
  <c r="AH400" i="1" s="1"/>
  <c r="BD359" i="1"/>
  <c r="CR36" i="8"/>
  <c r="Z576" i="1"/>
  <c r="F576" i="1"/>
  <c r="AH551" i="1"/>
  <c r="AG546" i="1"/>
  <c r="Y546" i="1"/>
  <c r="T539" i="1"/>
  <c r="BB501" i="1"/>
  <c r="DV482" i="1"/>
  <c r="AQ472" i="1"/>
  <c r="CS461" i="1"/>
  <c r="AS459" i="1"/>
  <c r="AV217" i="1"/>
  <c r="AO380" i="1"/>
  <c r="AJ379" i="1"/>
  <c r="BO327" i="1"/>
  <c r="BO326" i="1"/>
  <c r="BG327" i="1"/>
  <c r="CS318" i="1"/>
  <c r="BJ251" i="1"/>
  <c r="BT231" i="1"/>
  <c r="CS229" i="1"/>
  <c r="CS192" i="1"/>
  <c r="CS224" i="1" s="1"/>
  <c r="DW189" i="1"/>
  <c r="DW221" i="1" s="1"/>
  <c r="BC218" i="1"/>
  <c r="CN186" i="1"/>
  <c r="BP184" i="1"/>
  <c r="AU173" i="1"/>
  <c r="AY196" i="1" s="1"/>
  <c r="CU175" i="1"/>
  <c r="CO175" i="1"/>
  <c r="BN165" i="1"/>
  <c r="BJ165" i="1"/>
  <c r="I515" i="1"/>
  <c r="AC158" i="1"/>
  <c r="AC188" i="7" s="1"/>
  <c r="AL206" i="7"/>
  <c r="AL147" i="7" s="1"/>
  <c r="CR28" i="7"/>
  <c r="BI24" i="7"/>
  <c r="AU121" i="8"/>
  <c r="AU80" i="7"/>
  <c r="CJ167" i="7"/>
  <c r="CP28" i="7"/>
  <c r="AK152" i="7"/>
  <c r="BC22" i="7"/>
  <c r="BC33" i="7" s="1"/>
  <c r="CH13" i="7"/>
  <c r="AW98" i="8"/>
  <c r="AL96" i="8"/>
  <c r="AL98" i="8" s="1"/>
  <c r="CO96" i="8"/>
  <c r="CM85" i="8"/>
  <c r="BS76" i="8"/>
  <c r="V76" i="8"/>
  <c r="V98" i="8"/>
  <c r="AB28" i="8"/>
  <c r="BG26" i="8"/>
  <c r="BG119" i="8" s="1"/>
  <c r="CQ76" i="8"/>
  <c r="BO21" i="8"/>
  <c r="BO120" i="8" s="1"/>
  <c r="CR68" i="8"/>
  <c r="CR76" i="8" s="1"/>
  <c r="K21" i="8"/>
  <c r="K29" i="8" s="1"/>
  <c r="I18" i="8"/>
  <c r="CP76" i="8"/>
  <c r="CI48" i="8"/>
  <c r="BB49" i="8"/>
  <c r="BB51" i="8" s="1"/>
  <c r="CP44" i="8"/>
  <c r="CP37" i="8"/>
  <c r="G38" i="8"/>
  <c r="CK36" i="8"/>
  <c r="CI36" i="8"/>
  <c r="CP35" i="8"/>
  <c r="AW38" i="8"/>
  <c r="AW51" i="8"/>
  <c r="AF38" i="8"/>
  <c r="AF51" i="8"/>
  <c r="CR34" i="8"/>
  <c r="V38" i="8"/>
  <c r="V51" i="8" s="1"/>
  <c r="CM33" i="8"/>
  <c r="AQ119" i="8"/>
  <c r="CJ19" i="8"/>
  <c r="CG19" i="8"/>
  <c r="AE51" i="7"/>
  <c r="AA51" i="7"/>
  <c r="BM110" i="7"/>
  <c r="BN110" i="7" s="1"/>
  <c r="BK22" i="7"/>
  <c r="BK33" i="7" s="1"/>
  <c r="AZ46" i="8"/>
  <c r="CI85" i="8"/>
  <c r="BF76" i="8"/>
  <c r="BF98" i="8" s="1"/>
  <c r="N98" i="8"/>
  <c r="BP28" i="8"/>
  <c r="CT28" i="8" s="1"/>
  <c r="M76" i="8"/>
  <c r="I28" i="8"/>
  <c r="BM76" i="8"/>
  <c r="BM98" i="8" s="1"/>
  <c r="CJ76" i="8"/>
  <c r="CG50" i="8"/>
  <c r="CK46" i="8"/>
  <c r="CI46" i="8"/>
  <c r="CH46" i="8"/>
  <c r="L38" i="8"/>
  <c r="CG26" i="8"/>
  <c r="AS29" i="8"/>
  <c r="CM25" i="8"/>
  <c r="CI25" i="8"/>
  <c r="BJ119" i="8"/>
  <c r="BF29" i="8"/>
  <c r="AV29" i="8"/>
  <c r="AL29" i="8"/>
  <c r="AG120" i="8"/>
  <c r="CI20" i="8"/>
  <c r="CI120" i="8"/>
  <c r="U120" i="8"/>
  <c r="Q120" i="8"/>
  <c r="CR19" i="8"/>
  <c r="CT96" i="8"/>
  <c r="CH96" i="8"/>
  <c r="BR119" i="8"/>
  <c r="BA38" i="8"/>
  <c r="Y103" i="7"/>
  <c r="CP27" i="8"/>
  <c r="Y119" i="8"/>
  <c r="AX29" i="8"/>
  <c r="AS119" i="8"/>
  <c r="AD119" i="8"/>
  <c r="BB119" i="8"/>
  <c r="AW119" i="8"/>
  <c r="AN119" i="8"/>
  <c r="AJ119" i="8"/>
  <c r="AA119" i="8"/>
  <c r="W29" i="8"/>
  <c r="Z29" i="8"/>
  <c r="CT20" i="8"/>
  <c r="AK120" i="8"/>
  <c r="AB120" i="8"/>
  <c r="P120" i="8"/>
  <c r="AZ98" i="7"/>
  <c r="Z98" i="7"/>
  <c r="AP201" i="7"/>
  <c r="AS51" i="7"/>
  <c r="CH49" i="7"/>
  <c r="CT49" i="7"/>
  <c r="Y51" i="7"/>
  <c r="Y62" i="7" s="1"/>
  <c r="I51" i="7"/>
  <c r="CH549" i="1"/>
  <c r="CG123" i="7"/>
  <c r="CG97" i="8"/>
  <c r="BL98" i="8"/>
  <c r="AU98" i="8"/>
  <c r="Z98" i="8"/>
  <c r="AR48" i="8"/>
  <c r="AR49" i="8" s="1"/>
  <c r="AO48" i="8"/>
  <c r="CT84" i="8"/>
  <c r="CT85" i="8"/>
  <c r="CT98" i="8" s="1"/>
  <c r="CK85" i="8"/>
  <c r="CK98" i="8" s="1"/>
  <c r="CK102" i="8" s="1"/>
  <c r="CL100" i="8" s="1"/>
  <c r="CG85" i="8"/>
  <c r="Q76" i="8"/>
  <c r="Q98" i="8" s="1"/>
  <c r="BK26" i="8"/>
  <c r="BE26" i="8"/>
  <c r="CQ26" i="8" s="1"/>
  <c r="CT72" i="8"/>
  <c r="CT76" i="8" s="1"/>
  <c r="CL76" i="8"/>
  <c r="CG68" i="8"/>
  <c r="CG76" i="8" s="1"/>
  <c r="BJ76" i="8"/>
  <c r="BJ98" i="8" s="1"/>
  <c r="H76" i="8"/>
  <c r="H98" i="8" s="1"/>
  <c r="H102" i="8" s="1"/>
  <c r="CT46" i="8"/>
  <c r="AH49" i="8"/>
  <c r="AD49" i="8"/>
  <c r="CJ44" i="8"/>
  <c r="CI44" i="8"/>
  <c r="CO43" i="8"/>
  <c r="CN43" i="8"/>
  <c r="CL43" i="8"/>
  <c r="AB49" i="8"/>
  <c r="CI43" i="8"/>
  <c r="T49" i="8"/>
  <c r="CR33" i="8"/>
  <c r="AO38" i="8"/>
  <c r="CK28" i="8"/>
  <c r="CK119" i="8" s="1"/>
  <c r="AM119" i="8"/>
  <c r="AG119" i="8"/>
  <c r="BA119" i="8"/>
  <c r="AH119" i="8"/>
  <c r="V119" i="8"/>
  <c r="R119" i="8"/>
  <c r="AT120" i="8"/>
  <c r="AV120" i="8"/>
  <c r="BT32" i="8"/>
  <c r="BU24" i="7"/>
  <c r="BV251" i="1"/>
  <c r="BV363" i="1"/>
  <c r="BU32" i="8"/>
  <c r="BU35" i="8"/>
  <c r="CU35" i="8" s="1"/>
  <c r="BV327" i="1"/>
  <c r="BV49" i="8"/>
  <c r="BV546" i="1"/>
  <c r="AW210" i="7"/>
  <c r="BE199" i="1"/>
  <c r="BF200" i="1"/>
  <c r="BH195" i="1"/>
  <c r="BH197" i="1"/>
  <c r="BD200" i="1"/>
  <c r="BN200" i="1"/>
  <c r="DU184" i="1"/>
  <c r="BQ199" i="1"/>
  <c r="BP197" i="1"/>
  <c r="BC200" i="1"/>
  <c r="BV174" i="7"/>
  <c r="BV163" i="7"/>
  <c r="BC353" i="1"/>
  <c r="BW199" i="1"/>
  <c r="AW29" i="1"/>
  <c r="BA196" i="1"/>
  <c r="CH602" i="1"/>
  <c r="DA46" i="8"/>
  <c r="DB46" i="8" s="1"/>
  <c r="DC46" i="8" s="1"/>
  <c r="DC93" i="8" s="1"/>
  <c r="M94" i="7"/>
  <c r="N79" i="7"/>
  <c r="CH70" i="7"/>
  <c r="CH69" i="7" s="1"/>
  <c r="CL501" i="1"/>
  <c r="CM501" i="1"/>
  <c r="AX399" i="1"/>
  <c r="CZ582" i="1"/>
  <c r="CY45" i="8"/>
  <c r="CY92" i="8" s="1"/>
  <c r="CP488" i="1"/>
  <c r="BA490" i="1"/>
  <c r="BA37" i="1"/>
  <c r="CP37" i="1" s="1"/>
  <c r="BA489" i="1"/>
  <c r="J130" i="8"/>
  <c r="BG582" i="1"/>
  <c r="V129" i="8"/>
  <c r="CP36" i="8"/>
  <c r="AV33" i="1"/>
  <c r="CI121" i="8"/>
  <c r="AQ48" i="8"/>
  <c r="CN48" i="8" s="1"/>
  <c r="CO18" i="8"/>
  <c r="CG149" i="1"/>
  <c r="CH149" i="1"/>
  <c r="AT33" i="1"/>
  <c r="AT46" i="1" s="1"/>
  <c r="AT45" i="1" s="1"/>
  <c r="AT59" i="1" s="1"/>
  <c r="AT130" i="1" s="1"/>
  <c r="BO442" i="1"/>
  <c r="CS275" i="1"/>
  <c r="BD235" i="1"/>
  <c r="CQ233" i="1"/>
  <c r="CQ193" i="1"/>
  <c r="CQ225" i="1" s="1"/>
  <c r="CQ188" i="1"/>
  <c r="CQ220" i="1" s="1"/>
  <c r="BS203" i="1"/>
  <c r="BH203" i="1"/>
  <c r="BL202" i="1"/>
  <c r="CP180" i="1"/>
  <c r="DR180" i="1"/>
  <c r="DS179" i="1"/>
  <c r="CS178" i="1"/>
  <c r="CU176" i="1"/>
  <c r="DS95" i="1"/>
  <c r="BE89" i="1"/>
  <c r="CQ89" i="1" s="1"/>
  <c r="DS69" i="1"/>
  <c r="BE165" i="1"/>
  <c r="BG149" i="1"/>
  <c r="BG164" i="1"/>
  <c r="BG540" i="1"/>
  <c r="CR68" i="1"/>
  <c r="BG67" i="1"/>
  <c r="BD67" i="1"/>
  <c r="BE164" i="1"/>
  <c r="CP68" i="1"/>
  <c r="DQ68" i="1"/>
  <c r="AY164" i="1"/>
  <c r="AY540" i="1"/>
  <c r="AY149" i="1"/>
  <c r="AY67" i="1"/>
  <c r="DQ37" i="1"/>
  <c r="AY50" i="1"/>
  <c r="CN37" i="1"/>
  <c r="AQ50" i="1"/>
  <c r="BP161" i="1"/>
  <c r="BP19" i="1"/>
  <c r="BP25" i="1" s="1"/>
  <c r="BF11" i="1"/>
  <c r="BF19" i="1"/>
  <c r="AN536" i="1"/>
  <c r="AN623" i="1"/>
  <c r="AN118" i="7"/>
  <c r="AN621" i="1"/>
  <c r="AN622" i="1"/>
  <c r="AN131" i="7"/>
  <c r="AK620" i="1"/>
  <c r="AK622" i="1"/>
  <c r="AK623" i="1"/>
  <c r="AK621" i="1"/>
  <c r="AK129" i="7"/>
  <c r="AG129" i="7"/>
  <c r="AG620" i="1"/>
  <c r="AG622" i="1"/>
  <c r="AG623" i="1"/>
  <c r="AG621" i="1"/>
  <c r="AG131" i="7"/>
  <c r="W620" i="1"/>
  <c r="W118" i="7"/>
  <c r="W140" i="7" s="1"/>
  <c r="CI11" i="1"/>
  <c r="W134" i="1"/>
  <c r="Y145" i="7"/>
  <c r="R145" i="7"/>
  <c r="P135" i="1"/>
  <c r="DI11" i="1"/>
  <c r="Q145" i="7"/>
  <c r="S145" i="7"/>
  <c r="P53" i="1"/>
  <c r="P131" i="7"/>
  <c r="K536" i="1"/>
  <c r="CF11" i="1"/>
  <c r="K537" i="1"/>
  <c r="M145" i="7"/>
  <c r="BG206" i="7"/>
  <c r="CH167" i="7"/>
  <c r="BF177" i="7"/>
  <c r="BF171" i="7"/>
  <c r="AX177" i="7"/>
  <c r="AD177" i="7"/>
  <c r="AD171" i="7"/>
  <c r="AD179" i="7" s="1"/>
  <c r="BQ88" i="7"/>
  <c r="CJ81" i="7"/>
  <c r="Z101" i="7"/>
  <c r="Z103" i="7"/>
  <c r="BD168" i="7"/>
  <c r="BD201" i="7"/>
  <c r="BD200" i="7" s="1"/>
  <c r="AC201" i="7"/>
  <c r="Y201" i="7"/>
  <c r="CR49" i="7"/>
  <c r="CR167" i="7"/>
  <c r="CR549" i="1"/>
  <c r="CT39" i="7"/>
  <c r="BJ183" i="7"/>
  <c r="BJ43" i="7"/>
  <c r="BJ184" i="7"/>
  <c r="BJ205" i="7"/>
  <c r="BF183" i="7"/>
  <c r="BF184" i="7"/>
  <c r="BF205" i="7"/>
  <c r="BF206" i="7" s="1"/>
  <c r="BF182" i="7"/>
  <c r="BK183" i="7"/>
  <c r="BM108" i="7"/>
  <c r="BN108" i="7" s="1"/>
  <c r="BM83" i="7"/>
  <c r="CS24" i="7"/>
  <c r="BM107" i="7"/>
  <c r="BN107" i="7" s="1"/>
  <c r="BN25" i="7" s="1"/>
  <c r="BI107" i="7"/>
  <c r="BJ107" i="7" s="1"/>
  <c r="BE22" i="7"/>
  <c r="BE33" i="7" s="1"/>
  <c r="AC191" i="7"/>
  <c r="CM195" i="7"/>
  <c r="BS43" i="8"/>
  <c r="CF38" i="8"/>
  <c r="BS32" i="8"/>
  <c r="BR121" i="8"/>
  <c r="BR38" i="8"/>
  <c r="BR51" i="8" s="1"/>
  <c r="CS76" i="8"/>
  <c r="CM44" i="8"/>
  <c r="CS36" i="8"/>
  <c r="T29" i="8"/>
  <c r="DO102" i="1"/>
  <c r="AJ103" i="1"/>
  <c r="DN103" i="1" s="1"/>
  <c r="DN102" i="1"/>
  <c r="U554" i="1"/>
  <c r="T112" i="7"/>
  <c r="BV145" i="1"/>
  <c r="BS597" i="1"/>
  <c r="BR597" i="1"/>
  <c r="Z587" i="1"/>
  <c r="AS442" i="1"/>
  <c r="DP440" i="1"/>
  <c r="DP220" i="1" s="1"/>
  <c r="BB336" i="1"/>
  <c r="BB217" i="1" s="1"/>
  <c r="BB353" i="1"/>
  <c r="CR292" i="1"/>
  <c r="CQ299" i="1"/>
  <c r="BT235" i="1"/>
  <c r="CP189" i="1"/>
  <c r="CP221" i="1" s="1"/>
  <c r="CT177" i="1"/>
  <c r="BN173" i="1"/>
  <c r="BN196" i="1" s="1"/>
  <c r="DT90" i="1"/>
  <c r="BJ89" i="1"/>
  <c r="BJ88" i="1" s="1"/>
  <c r="CS90" i="1"/>
  <c r="CH76" i="1"/>
  <c r="CH550" i="1" s="1"/>
  <c r="R550" i="1"/>
  <c r="R551" i="1" s="1"/>
  <c r="DP74" i="1"/>
  <c r="DN74" i="1"/>
  <c r="BR165" i="1"/>
  <c r="BQ67" i="1"/>
  <c r="CT69" i="1"/>
  <c r="CT67" i="1" s="1"/>
  <c r="CT135" i="1" s="1"/>
  <c r="DV69" i="1"/>
  <c r="BQ150" i="1"/>
  <c r="BQ165" i="1"/>
  <c r="BQ541" i="1"/>
  <c r="BQ539" i="1" s="1"/>
  <c r="BA150" i="1"/>
  <c r="AW150" i="1"/>
  <c r="AW165" i="1"/>
  <c r="AW67" i="1"/>
  <c r="AW166" i="1" s="1"/>
  <c r="DQ69" i="1"/>
  <c r="AN537" i="1"/>
  <c r="AN541" i="1"/>
  <c r="AO165" i="1"/>
  <c r="R165" i="1"/>
  <c r="Q537" i="1"/>
  <c r="CJ149" i="1"/>
  <c r="AC130" i="7"/>
  <c r="BB18" i="1"/>
  <c r="AF536" i="1"/>
  <c r="AF620" i="1"/>
  <c r="AJ632" i="1" s="1"/>
  <c r="AF622" i="1"/>
  <c r="AF619" i="1" s="1"/>
  <c r="AF623" i="1"/>
  <c r="AF118" i="7"/>
  <c r="AF621" i="1"/>
  <c r="AJ633" i="1" s="1"/>
  <c r="AF135" i="1"/>
  <c r="AF131" i="7"/>
  <c r="AD129" i="7"/>
  <c r="AD537" i="1"/>
  <c r="AD620" i="1"/>
  <c r="AH632" i="1" s="1"/>
  <c r="AG145" i="7"/>
  <c r="AD118" i="7"/>
  <c r="AD621" i="1"/>
  <c r="DL11" i="1"/>
  <c r="Z620" i="1"/>
  <c r="Z622" i="1"/>
  <c r="AB145" i="7"/>
  <c r="Z129" i="7"/>
  <c r="Z621" i="1"/>
  <c r="Z633" i="1" s="1"/>
  <c r="AA145" i="7"/>
  <c r="P175" i="7"/>
  <c r="AG177" i="7"/>
  <c r="BO109" i="7"/>
  <c r="BN27" i="7"/>
  <c r="BF103" i="7"/>
  <c r="BJ103" i="7"/>
  <c r="AD98" i="7"/>
  <c r="AD103" i="7"/>
  <c r="BQ168" i="7"/>
  <c r="BQ174" i="7" s="1"/>
  <c r="BQ201" i="7"/>
  <c r="BQ199" i="7"/>
  <c r="AF168" i="7"/>
  <c r="AF199" i="7"/>
  <c r="AF175" i="7" s="1"/>
  <c r="AF201" i="7"/>
  <c r="CJ177" i="7"/>
  <c r="CP167" i="7"/>
  <c r="CP177" i="7" s="1"/>
  <c r="CP549" i="1"/>
  <c r="CP551" i="1" s="1"/>
  <c r="CL167" i="7"/>
  <c r="CL177" i="7" s="1"/>
  <c r="CL549" i="1"/>
  <c r="CL551" i="1" s="1"/>
  <c r="AZ199" i="7"/>
  <c r="AA94" i="7"/>
  <c r="AA102" i="7" s="1"/>
  <c r="M109" i="7"/>
  <c r="N109" i="7" s="1"/>
  <c r="O109" i="7" s="1"/>
  <c r="P109" i="7" s="1"/>
  <c r="M108" i="7"/>
  <c r="BQ204" i="7"/>
  <c r="BF129" i="8"/>
  <c r="BF130" i="8"/>
  <c r="L29" i="8"/>
  <c r="BD103" i="1"/>
  <c r="BS115" i="8"/>
  <c r="BS89" i="7"/>
  <c r="AY135" i="8"/>
  <c r="AY89" i="7"/>
  <c r="CP89" i="7" s="1"/>
  <c r="AY115" i="8"/>
  <c r="CP15" i="8"/>
  <c r="CL135" i="8"/>
  <c r="CR45" i="8"/>
  <c r="CR70" i="7" s="1"/>
  <c r="AI115" i="8"/>
  <c r="AX91" i="7"/>
  <c r="AD129" i="8"/>
  <c r="CS18" i="8"/>
  <c r="BK117" i="8"/>
  <c r="G578" i="1"/>
  <c r="G576" i="1"/>
  <c r="CS572" i="1"/>
  <c r="CJ572" i="1"/>
  <c r="BB441" i="1"/>
  <c r="AX441" i="1"/>
  <c r="AT406" i="1"/>
  <c r="AT31" i="1"/>
  <c r="BH301" i="1"/>
  <c r="BG250" i="1"/>
  <c r="BG251" i="1"/>
  <c r="CR242" i="1"/>
  <c r="CQ12" i="1"/>
  <c r="CQ249" i="1"/>
  <c r="CU191" i="1"/>
  <c r="CU223" i="1" s="1"/>
  <c r="DW191" i="1"/>
  <c r="DW223" i="1" s="1"/>
  <c r="DV191" i="1"/>
  <c r="BQ223" i="1"/>
  <c r="DQ191" i="1"/>
  <c r="DQ223" i="1" s="1"/>
  <c r="DW178" i="1"/>
  <c r="DW210" i="1" s="1"/>
  <c r="DQ178" i="1"/>
  <c r="DT177" i="1"/>
  <c r="DU95" i="1"/>
  <c r="BO89" i="1"/>
  <c r="BE74" i="1"/>
  <c r="DS74" i="1" s="1"/>
  <c r="BE116" i="8"/>
  <c r="CM75" i="1"/>
  <c r="AO74" i="1"/>
  <c r="BS150" i="1"/>
  <c r="BS165" i="1"/>
  <c r="AZ541" i="1"/>
  <c r="CP69" i="1"/>
  <c r="AZ67" i="1"/>
  <c r="BD151" i="1" s="1"/>
  <c r="BA165" i="1"/>
  <c r="M149" i="1"/>
  <c r="BO145" i="1"/>
  <c r="BH18" i="1"/>
  <c r="BH11" i="1"/>
  <c r="BH133" i="1" s="1"/>
  <c r="DS13" i="1"/>
  <c r="BD11" i="1"/>
  <c r="BD18" i="1"/>
  <c r="U621" i="1"/>
  <c r="DJ11" i="1"/>
  <c r="W145" i="7"/>
  <c r="U129" i="7"/>
  <c r="U53" i="1"/>
  <c r="U515" i="1" s="1"/>
  <c r="U133" i="1"/>
  <c r="U622" i="1"/>
  <c r="U131" i="7"/>
  <c r="V145" i="7"/>
  <c r="R536" i="1"/>
  <c r="R537" i="1"/>
  <c r="R622" i="1"/>
  <c r="U145" i="7"/>
  <c r="R621" i="1"/>
  <c r="R620" i="1"/>
  <c r="R129" i="7"/>
  <c r="V206" i="7"/>
  <c r="V147" i="7" s="1"/>
  <c r="AF101" i="7"/>
  <c r="Q168" i="7"/>
  <c r="Q163" i="7" s="1"/>
  <c r="CN49" i="7"/>
  <c r="CF49" i="7"/>
  <c r="BG33" i="7"/>
  <c r="O94" i="7"/>
  <c r="O112" i="7" s="1"/>
  <c r="P79" i="7"/>
  <c r="CR183" i="7"/>
  <c r="BJ182" i="7"/>
  <c r="BK192" i="7"/>
  <c r="BJ123" i="7"/>
  <c r="BJ125" i="7"/>
  <c r="BJ204" i="7"/>
  <c r="BJ22" i="7"/>
  <c r="BJ33" i="7" s="1"/>
  <c r="BJ124" i="7"/>
  <c r="BJ191" i="7"/>
  <c r="BN191" i="7"/>
  <c r="BJ192" i="7"/>
  <c r="AV22" i="7"/>
  <c r="AV182" i="7"/>
  <c r="AV124" i="7"/>
  <c r="AV204" i="7"/>
  <c r="AV206" i="7" s="1"/>
  <c r="AV123" i="7"/>
  <c r="AV125" i="7"/>
  <c r="AV191" i="7"/>
  <c r="AW192" i="7"/>
  <c r="AR182" i="7"/>
  <c r="AR123" i="7"/>
  <c r="AR125" i="7"/>
  <c r="AR191" i="7"/>
  <c r="AS192" i="7"/>
  <c r="AR204" i="7"/>
  <c r="AR206" i="7" s="1"/>
  <c r="AR22" i="7"/>
  <c r="AR33" i="7" s="1"/>
  <c r="AS152" i="7" s="1"/>
  <c r="AR124" i="7"/>
  <c r="AN182" i="7"/>
  <c r="AN124" i="7"/>
  <c r="AN123" i="7"/>
  <c r="AN125" i="7"/>
  <c r="AN146" i="7"/>
  <c r="AN191" i="7"/>
  <c r="AO192" i="7"/>
  <c r="AJ182" i="7"/>
  <c r="AJ204" i="7"/>
  <c r="AJ206" i="7" s="1"/>
  <c r="AJ147" i="7" s="1"/>
  <c r="AJ123" i="7"/>
  <c r="AJ125" i="7"/>
  <c r="AJ146" i="7"/>
  <c r="AJ119" i="7" s="1"/>
  <c r="AJ191" i="7"/>
  <c r="AJ124" i="7"/>
  <c r="AF22" i="7"/>
  <c r="AF33" i="7" s="1"/>
  <c r="AF124" i="7"/>
  <c r="AF146" i="7"/>
  <c r="AF182" i="7"/>
  <c r="AF204" i="7"/>
  <c r="AF206" i="7" s="1"/>
  <c r="AF147" i="7" s="1"/>
  <c r="BS135" i="8"/>
  <c r="M98" i="8"/>
  <c r="G98" i="8"/>
  <c r="G102" i="8" s="1"/>
  <c r="CL81" i="7"/>
  <c r="S119" i="8"/>
  <c r="BG117" i="8"/>
  <c r="CN18" i="8"/>
  <c r="AQ117" i="8"/>
  <c r="AS51" i="8"/>
  <c r="U85" i="7"/>
  <c r="CH572" i="1"/>
  <c r="AO502" i="1"/>
  <c r="BP235" i="1"/>
  <c r="AV184" i="1"/>
  <c r="DQ185" i="1"/>
  <c r="CO182" i="1"/>
  <c r="CO214" i="1" s="1"/>
  <c r="AU214" i="1"/>
  <c r="AR214" i="1"/>
  <c r="CN182" i="1"/>
  <c r="DU181" i="1"/>
  <c r="CS181" i="1"/>
  <c r="CP177" i="1"/>
  <c r="DR177" i="1"/>
  <c r="BD173" i="1"/>
  <c r="AN165" i="1"/>
  <c r="AJ143" i="1"/>
  <c r="AJ187" i="7" s="1"/>
  <c r="BC103" i="1"/>
  <c r="CQ102" i="1"/>
  <c r="DL96" i="1"/>
  <c r="AC81" i="1"/>
  <c r="CJ96" i="1"/>
  <c r="CJ88" i="1" s="1"/>
  <c r="CJ117" i="8" s="1"/>
  <c r="CI89" i="1"/>
  <c r="CI88" i="1" s="1"/>
  <c r="BR550" i="1"/>
  <c r="BR551" i="1" s="1"/>
  <c r="BU76" i="1"/>
  <c r="CU76" i="1" s="1"/>
  <c r="BO116" i="8"/>
  <c r="BO545" i="1"/>
  <c r="BO546" i="1" s="1"/>
  <c r="BQ75" i="1"/>
  <c r="BQ74" i="1" s="1"/>
  <c r="BO74" i="1"/>
  <c r="BF150" i="1"/>
  <c r="BB165" i="1"/>
  <c r="BB150" i="1"/>
  <c r="BC165" i="1"/>
  <c r="CQ69" i="1"/>
  <c r="BB541" i="1"/>
  <c r="BB539" i="1" s="1"/>
  <c r="CQ68" i="1"/>
  <c r="AM164" i="1"/>
  <c r="AM540" i="1"/>
  <c r="AM536" i="1"/>
  <c r="CM68" i="1"/>
  <c r="CM149" i="1" s="1"/>
  <c r="DN68" i="1"/>
  <c r="AM149" i="1"/>
  <c r="AQ149" i="1"/>
  <c r="BK161" i="1"/>
  <c r="DT14" i="1"/>
  <c r="BT11" i="1"/>
  <c r="BN24" i="1"/>
  <c r="BO144" i="1"/>
  <c r="BK17" i="1"/>
  <c r="AP171" i="7"/>
  <c r="AP179" i="7" s="1"/>
  <c r="AP176" i="7"/>
  <c r="BS177" i="7"/>
  <c r="AV177" i="7"/>
  <c r="AV163" i="7"/>
  <c r="BH85" i="7"/>
  <c r="BG85" i="7"/>
  <c r="AN98" i="7"/>
  <c r="AN101" i="7"/>
  <c r="AJ103" i="7"/>
  <c r="BO168" i="7"/>
  <c r="BO199" i="7"/>
  <c r="BO200" i="7" s="1"/>
  <c r="BJ201" i="7"/>
  <c r="BJ168" i="7"/>
  <c r="BJ199" i="7"/>
  <c r="BJ175" i="7" s="1"/>
  <c r="AV201" i="7"/>
  <c r="BF43" i="7"/>
  <c r="CQ28" i="7"/>
  <c r="BS24" i="7"/>
  <c r="BS108" i="7" s="1"/>
  <c r="CJ26" i="7"/>
  <c r="AC24" i="7"/>
  <c r="U107" i="7"/>
  <c r="V107" i="7" s="1"/>
  <c r="W107" i="7" s="1"/>
  <c r="X107" i="7" s="1"/>
  <c r="AN22" i="7"/>
  <c r="AN33" i="7" s="1"/>
  <c r="AO152" i="7" s="1"/>
  <c r="CF169" i="7"/>
  <c r="CF176" i="7" s="1"/>
  <c r="CG544" i="1"/>
  <c r="CG546" i="1" s="1"/>
  <c r="CP169" i="7"/>
  <c r="CP176" i="7" s="1"/>
  <c r="CM120" i="7"/>
  <c r="CM142" i="7" s="1"/>
  <c r="CS42" i="8"/>
  <c r="BS119" i="8"/>
  <c r="AC119" i="8"/>
  <c r="J120" i="8"/>
  <c r="CT47" i="8"/>
  <c r="AI102" i="8"/>
  <c r="CO42" i="8"/>
  <c r="AK110" i="7"/>
  <c r="AL110" i="7" s="1"/>
  <c r="AK109" i="7"/>
  <c r="AL109" i="7" s="1"/>
  <c r="AM109" i="7" s="1"/>
  <c r="AN109" i="7" s="1"/>
  <c r="CO32" i="8"/>
  <c r="BK20" i="8"/>
  <c r="BL38" i="8"/>
  <c r="AD38" i="8"/>
  <c r="CE65" i="8"/>
  <c r="CE18" i="8"/>
  <c r="I76" i="8"/>
  <c r="AA29" i="8"/>
  <c r="AG29" i="8"/>
  <c r="CN19" i="8"/>
  <c r="CM24" i="8"/>
  <c r="AM20" i="8"/>
  <c r="CM20" i="8" s="1"/>
  <c r="AY25" i="8"/>
  <c r="CP25" i="8" s="1"/>
  <c r="BF49" i="8"/>
  <c r="BF51" i="8" s="1"/>
  <c r="J76" i="8"/>
  <c r="J98" i="8" s="1"/>
  <c r="BF120" i="8"/>
  <c r="CF85" i="8"/>
  <c r="CF98" i="8" s="1"/>
  <c r="AT29" i="8"/>
  <c r="AA49" i="8"/>
  <c r="AL120" i="8"/>
  <c r="CM23" i="8"/>
  <c r="X28" i="8"/>
  <c r="CI28" i="8" s="1"/>
  <c r="BB582" i="1"/>
  <c r="AW582" i="1"/>
  <c r="BM165" i="1"/>
  <c r="BI165" i="1"/>
  <c r="BI164" i="1"/>
  <c r="AW164" i="1"/>
  <c r="BM150" i="1"/>
  <c r="BI150" i="1"/>
  <c r="BM149" i="1"/>
  <c r="BH102" i="1"/>
  <c r="AC102" i="1"/>
  <c r="Q102" i="1"/>
  <c r="CG102" i="1" s="1"/>
  <c r="CM69" i="1"/>
  <c r="CN150" i="1" s="1"/>
  <c r="BM183" i="7"/>
  <c r="BI183" i="7"/>
  <c r="BP182" i="7"/>
  <c r="AE182" i="7"/>
  <c r="AH168" i="7"/>
  <c r="BP125" i="7"/>
  <c r="BA81" i="7"/>
  <c r="CP81" i="7" s="1"/>
  <c r="AO81" i="7"/>
  <c r="CM81" i="7" s="1"/>
  <c r="AO80" i="7"/>
  <c r="AO98" i="7" s="1"/>
  <c r="AG80" i="7"/>
  <c r="N80" i="7"/>
  <c r="BF70" i="7"/>
  <c r="BF69" i="7" s="1"/>
  <c r="BB70" i="7"/>
  <c r="BB69" i="7" s="1"/>
  <c r="AS70" i="7"/>
  <c r="AS69" i="7" s="1"/>
  <c r="AJ70" i="7"/>
  <c r="AJ69" i="7" s="1"/>
  <c r="AA70" i="7"/>
  <c r="W70" i="7"/>
  <c r="BP135" i="8"/>
  <c r="BF135" i="8"/>
  <c r="AX135" i="8"/>
  <c r="AS135" i="8"/>
  <c r="AN135" i="8"/>
  <c r="BC121" i="8"/>
  <c r="AD121" i="8"/>
  <c r="N121" i="8"/>
  <c r="AP120" i="8"/>
  <c r="AL119" i="8"/>
  <c r="BR115" i="8"/>
  <c r="BM115" i="8"/>
  <c r="BI115" i="8"/>
  <c r="BD115" i="8"/>
  <c r="AV115" i="8"/>
  <c r="AP115" i="8"/>
  <c r="U115" i="8"/>
  <c r="AZ96" i="8"/>
  <c r="AZ98" i="8" s="1"/>
  <c r="BG96" i="8"/>
  <c r="BS36" i="8"/>
  <c r="BO76" i="8"/>
  <c r="BO98" i="8" s="1"/>
  <c r="U76" i="8"/>
  <c r="U98" i="8" s="1"/>
  <c r="BH28" i="8"/>
  <c r="M28" i="8"/>
  <c r="M119" i="8" s="1"/>
  <c r="BJ21" i="8"/>
  <c r="G18" i="8"/>
  <c r="G29" i="8"/>
  <c r="BG46" i="8"/>
  <c r="BG49" i="8" s="1"/>
  <c r="BS45" i="8"/>
  <c r="BC45" i="8"/>
  <c r="AI44" i="8"/>
  <c r="BS33" i="8"/>
  <c r="BS127" i="8" s="1"/>
  <c r="CL33" i="8"/>
  <c r="BO24" i="8"/>
  <c r="BK24" i="8"/>
  <c r="BK119" i="8" s="1"/>
  <c r="AY24" i="8"/>
  <c r="BG20" i="8"/>
  <c r="BT37" i="8"/>
  <c r="BT38" i="8"/>
  <c r="BT21" i="8"/>
  <c r="BT76" i="8"/>
  <c r="BT98" i="8" s="1"/>
  <c r="BU21" i="8"/>
  <c r="BH26" i="8"/>
  <c r="BM26" i="8"/>
  <c r="BR582" i="1"/>
  <c r="BM80" i="7"/>
  <c r="AS121" i="8"/>
  <c r="AO121" i="8"/>
  <c r="AJ121" i="8"/>
  <c r="AB121" i="8"/>
  <c r="L121" i="8"/>
  <c r="BD119" i="8"/>
  <c r="AX119" i="8"/>
  <c r="BS37" i="8"/>
  <c r="CP33" i="8"/>
  <c r="CQ19" i="8"/>
  <c r="BV80" i="7"/>
  <c r="BV38" i="8"/>
  <c r="CK32" i="8"/>
  <c r="CS33" i="8"/>
  <c r="CS38" i="8" s="1"/>
  <c r="F76" i="8"/>
  <c r="F98" i="8"/>
  <c r="F102" i="8" s="1"/>
  <c r="F103" i="8" s="1"/>
  <c r="BP29" i="8"/>
  <c r="CG20" i="8"/>
  <c r="CG120" i="8" s="1"/>
  <c r="AZ149" i="1"/>
  <c r="AS201" i="7"/>
  <c r="AP199" i="7"/>
  <c r="AN199" i="7"/>
  <c r="BI125" i="7"/>
  <c r="AV80" i="7"/>
  <c r="BE76" i="8"/>
  <c r="BE98" i="8" s="1"/>
  <c r="BU49" i="8"/>
  <c r="BU37" i="8"/>
  <c r="BU24" i="8"/>
  <c r="BU28" i="8"/>
  <c r="CU28" i="8" s="1"/>
  <c r="BU76" i="8"/>
  <c r="BU98" i="8" s="1"/>
  <c r="BV75" i="8"/>
  <c r="AN170" i="7"/>
  <c r="BT654" i="1"/>
  <c r="N170" i="7"/>
  <c r="N164" i="7" s="1"/>
  <c r="Q598" i="1"/>
  <c r="Q570" i="1"/>
  <c r="AW178" i="7"/>
  <c r="J128" i="1"/>
  <c r="J54" i="1"/>
  <c r="CO102" i="1"/>
  <c r="CH540" i="1"/>
  <c r="R29" i="8"/>
  <c r="N200" i="7"/>
  <c r="CQ199" i="7"/>
  <c r="CQ175" i="7" s="1"/>
  <c r="BG130" i="1"/>
  <c r="BT107" i="7"/>
  <c r="R163" i="7"/>
  <c r="R178" i="7"/>
  <c r="AU209" i="1"/>
  <c r="AU443" i="1"/>
  <c r="AU445" i="1" s="1"/>
  <c r="CI149" i="1"/>
  <c r="CH67" i="1"/>
  <c r="CH134" i="7" s="1"/>
  <c r="CF76" i="8"/>
  <c r="AN211" i="7"/>
  <c r="CV93" i="1"/>
  <c r="V178" i="7"/>
  <c r="V174" i="7"/>
  <c r="AT103" i="7"/>
  <c r="BS178" i="7"/>
  <c r="AT98" i="7"/>
  <c r="AT170" i="7"/>
  <c r="AT164" i="7" s="1"/>
  <c r="AT178" i="7"/>
  <c r="BD120" i="8"/>
  <c r="CL89" i="7"/>
  <c r="CL90" i="7" s="1"/>
  <c r="CL92" i="7" s="1"/>
  <c r="AP79" i="7"/>
  <c r="AP85" i="7" s="1"/>
  <c r="K120" i="8"/>
  <c r="AZ163" i="7"/>
  <c r="P98" i="7"/>
  <c r="Q104" i="7"/>
  <c r="BD103" i="7"/>
  <c r="AL119" i="7"/>
  <c r="DP34" i="1"/>
  <c r="CO453" i="1"/>
  <c r="CO210" i="1"/>
  <c r="Z129" i="8"/>
  <c r="BP119" i="8"/>
  <c r="AG401" i="1"/>
  <c r="AH403" i="1" s="1"/>
  <c r="BU107" i="7"/>
  <c r="BV107" i="7" s="1"/>
  <c r="BU83" i="7"/>
  <c r="BU109" i="7"/>
  <c r="BV109" i="7" s="1"/>
  <c r="BU110" i="7"/>
  <c r="BV110" i="7" s="1"/>
  <c r="BV28" i="7" s="1"/>
  <c r="AS129" i="8"/>
  <c r="AS130" i="8" s="1"/>
  <c r="AV197" i="1"/>
  <c r="AZ398" i="1"/>
  <c r="AF131" i="8"/>
  <c r="AF130" i="8"/>
  <c r="BG287" i="1"/>
  <c r="BG288" i="1" s="1"/>
  <c r="BF288" i="1"/>
  <c r="BF281" i="1"/>
  <c r="BU121" i="8"/>
  <c r="BU80" i="7"/>
  <c r="W129" i="8"/>
  <c r="K129" i="8"/>
  <c r="BP200" i="1"/>
  <c r="BP198" i="1"/>
  <c r="CS150" i="1"/>
  <c r="CT506" i="1"/>
  <c r="CT507" i="1" s="1"/>
  <c r="BQ507" i="1"/>
  <c r="BT80" i="7"/>
  <c r="BT127" i="8"/>
  <c r="BT121" i="8"/>
  <c r="AX129" i="8"/>
  <c r="AX130" i="8" s="1"/>
  <c r="AL129" i="8"/>
  <c r="AL130" i="8" s="1"/>
  <c r="CJ28" i="8"/>
  <c r="AB119" i="8"/>
  <c r="AB29" i="8"/>
  <c r="CS237" i="1"/>
  <c r="BD353" i="1"/>
  <c r="BD355" i="1" s="1"/>
  <c r="BE359" i="1"/>
  <c r="BF359" i="1" s="1"/>
  <c r="BG82" i="7"/>
  <c r="BG104" i="7"/>
  <c r="AO101" i="7"/>
  <c r="AC109" i="7"/>
  <c r="AD109" i="7" s="1"/>
  <c r="AE109" i="7" s="1"/>
  <c r="AF109" i="7" s="1"/>
  <c r="BU550" i="1"/>
  <c r="BH152" i="7"/>
  <c r="AN539" i="1"/>
  <c r="DT89" i="1"/>
  <c r="BS121" i="8"/>
  <c r="BS80" i="7"/>
  <c r="CU32" i="8"/>
  <c r="DS89" i="1"/>
  <c r="V131" i="8"/>
  <c r="V130" i="8"/>
  <c r="CP494" i="1"/>
  <c r="CP495" i="1" s="1"/>
  <c r="N85" i="7"/>
  <c r="AN175" i="7"/>
  <c r="AN200" i="7"/>
  <c r="BM103" i="7"/>
  <c r="CL44" i="8"/>
  <c r="AH161" i="7"/>
  <c r="AH174" i="7"/>
  <c r="AH170" i="7"/>
  <c r="AH162" i="7" s="1"/>
  <c r="AH163" i="7"/>
  <c r="AH178" i="7"/>
  <c r="BB587" i="1"/>
  <c r="AG129" i="8"/>
  <c r="P84" i="7"/>
  <c r="P97" i="7" s="1"/>
  <c r="P85" i="7"/>
  <c r="P82" i="7"/>
  <c r="BD623" i="1"/>
  <c r="CR46" i="8"/>
  <c r="CR49" i="8" s="1"/>
  <c r="BQ178" i="7"/>
  <c r="CU150" i="1"/>
  <c r="BB208" i="1"/>
  <c r="BB329" i="1"/>
  <c r="BB333" i="1"/>
  <c r="BB339" i="1" s="1"/>
  <c r="CR26" i="8"/>
  <c r="CH177" i="7"/>
  <c r="AN634" i="1"/>
  <c r="AY539" i="1"/>
  <c r="CP540" i="1"/>
  <c r="BX56" i="7"/>
  <c r="BY56" i="7" s="1"/>
  <c r="DA93" i="8"/>
  <c r="BU119" i="8"/>
  <c r="CU24" i="8"/>
  <c r="AZ103" i="7"/>
  <c r="BC582" i="1"/>
  <c r="BC49" i="8"/>
  <c r="BJ29" i="8"/>
  <c r="BK21" i="8"/>
  <c r="BJ120" i="8"/>
  <c r="N98" i="7"/>
  <c r="X119" i="8"/>
  <c r="X29" i="8"/>
  <c r="AA129" i="8"/>
  <c r="CO121" i="8"/>
  <c r="BO175" i="7"/>
  <c r="BK23" i="1"/>
  <c r="BK129" i="1" s="1"/>
  <c r="CR150" i="1"/>
  <c r="AF174" i="7"/>
  <c r="AF163" i="7"/>
  <c r="BO27" i="7"/>
  <c r="BP109" i="7"/>
  <c r="BP27" i="7" s="1"/>
  <c r="BQ135" i="1"/>
  <c r="BU151" i="1"/>
  <c r="CH74" i="1"/>
  <c r="CT173" i="1"/>
  <c r="BB366" i="1"/>
  <c r="BB216" i="1" s="1"/>
  <c r="BO107" i="7"/>
  <c r="BP107" i="7" s="1"/>
  <c r="BP25" i="7" s="1"/>
  <c r="CR177" i="7"/>
  <c r="Y174" i="7"/>
  <c r="BF179" i="7"/>
  <c r="AN633" i="1"/>
  <c r="AY151" i="1"/>
  <c r="BH151" i="1"/>
  <c r="CR540" i="1"/>
  <c r="BC355" i="1"/>
  <c r="BC333" i="1"/>
  <c r="BV28" i="8"/>
  <c r="CT24" i="8"/>
  <c r="BS582" i="1"/>
  <c r="M29" i="8"/>
  <c r="AG101" i="7"/>
  <c r="AG104" i="7"/>
  <c r="AG98" i="7"/>
  <c r="AH104" i="7"/>
  <c r="CK80" i="7"/>
  <c r="CK98" i="7" s="1"/>
  <c r="AG103" i="7"/>
  <c r="BS110" i="7"/>
  <c r="BS109" i="7"/>
  <c r="BS107" i="7"/>
  <c r="BJ170" i="7"/>
  <c r="BJ164" i="7" s="1"/>
  <c r="BO174" i="7"/>
  <c r="BD196" i="1"/>
  <c r="BD195" i="1"/>
  <c r="BE197" i="1"/>
  <c r="BH196" i="1"/>
  <c r="BH620" i="1"/>
  <c r="AZ166" i="1"/>
  <c r="AT44" i="1"/>
  <c r="AT58" i="1" s="1"/>
  <c r="AD131" i="8"/>
  <c r="AD130" i="8"/>
  <c r="CP135" i="8"/>
  <c r="CP115" i="8"/>
  <c r="T51" i="8"/>
  <c r="T129" i="8"/>
  <c r="T130" i="8" s="1"/>
  <c r="BD163" i="7"/>
  <c r="BD174" i="7"/>
  <c r="P128" i="1"/>
  <c r="BF554" i="1"/>
  <c r="BF118" i="7"/>
  <c r="BF140" i="7" s="1"/>
  <c r="AQ64" i="1"/>
  <c r="DQ149" i="1"/>
  <c r="DR149" i="1"/>
  <c r="R129" i="8"/>
  <c r="AL131" i="8"/>
  <c r="CJ119" i="8"/>
  <c r="W130" i="8"/>
  <c r="W131" i="8"/>
  <c r="BU103" i="7"/>
  <c r="BU104" i="7"/>
  <c r="BU98" i="7"/>
  <c r="BV79" i="7"/>
  <c r="BV85" i="7" s="1"/>
  <c r="BT103" i="7"/>
  <c r="BT98" i="7"/>
  <c r="BG281" i="1"/>
  <c r="BG213" i="1" s="1"/>
  <c r="BH287" i="1"/>
  <c r="AZ399" i="1"/>
  <c r="AB51" i="8"/>
  <c r="BP131" i="1"/>
  <c r="BJ129" i="8"/>
  <c r="AG130" i="8"/>
  <c r="AG131" i="8"/>
  <c r="T131" i="8"/>
  <c r="BC206" i="1"/>
  <c r="BC335" i="1"/>
  <c r="AA131" i="8"/>
  <c r="AA130" i="8"/>
  <c r="M51" i="8"/>
  <c r="BV119" i="8"/>
  <c r="BV29" i="8"/>
  <c r="BO25" i="7"/>
  <c r="DB93" i="8"/>
  <c r="R131" i="8"/>
  <c r="R130" i="8"/>
  <c r="BJ130" i="8"/>
  <c r="AK632" i="1"/>
  <c r="AN140" i="7"/>
  <c r="V633" i="1"/>
  <c r="BH554" i="1"/>
  <c r="BH622" i="1"/>
  <c r="BF25" i="1"/>
  <c r="BF131" i="1" s="1"/>
  <c r="BA50" i="1"/>
  <c r="CZ45" i="8"/>
  <c r="DA582" i="1"/>
  <c r="DB582" i="1" s="1"/>
  <c r="BT118" i="7"/>
  <c r="BT140" i="7" s="1"/>
  <c r="CQ67" i="1"/>
  <c r="CQ149" i="1"/>
  <c r="AD632" i="1"/>
  <c r="CF133" i="1"/>
  <c r="BH166" i="1"/>
  <c r="BK151" i="1"/>
  <c r="BE88" i="1"/>
  <c r="DS88" i="1" s="1"/>
  <c r="AH402" i="1"/>
  <c r="BI88" i="1"/>
  <c r="CR88" i="1" s="1"/>
  <c r="CR117" i="8" s="1"/>
  <c r="BJ199" i="1"/>
  <c r="BC21" i="1"/>
  <c r="BC131" i="1"/>
  <c r="AV399" i="1"/>
  <c r="BN199" i="1"/>
  <c r="BC199" i="1"/>
  <c r="AY198" i="1"/>
  <c r="W603" i="1"/>
  <c r="W594" i="1"/>
  <c r="X590" i="1" s="1"/>
  <c r="CQ501" i="1"/>
  <c r="CU145" i="1"/>
  <c r="BV231" i="1"/>
  <c r="BV230" i="1"/>
  <c r="BJ198" i="1"/>
  <c r="R151" i="1"/>
  <c r="R134" i="7"/>
  <c r="R135" i="1"/>
  <c r="R130" i="7"/>
  <c r="S166" i="1"/>
  <c r="AV206" i="1"/>
  <c r="AV412" i="1"/>
  <c r="AV407" i="1"/>
  <c r="AV408" i="1"/>
  <c r="CO550" i="1"/>
  <c r="CQ472" i="1"/>
  <c r="CN43" i="1"/>
  <c r="AU48" i="1"/>
  <c r="AU62" i="1" s="1"/>
  <c r="AU530" i="1" s="1"/>
  <c r="AT474" i="1"/>
  <c r="AT475" i="1" s="1"/>
  <c r="AT470" i="1"/>
  <c r="CO545" i="1"/>
  <c r="AE602" i="1"/>
  <c r="AE594" i="1"/>
  <c r="AF590" i="1" s="1"/>
  <c r="AF603" i="1" s="1"/>
  <c r="BC198" i="1"/>
  <c r="DQ472" i="1"/>
  <c r="BR536" i="1"/>
  <c r="BR540" i="1" s="1"/>
  <c r="BR158" i="1"/>
  <c r="BR188" i="7" s="1"/>
  <c r="BU146" i="1"/>
  <c r="BU161" i="1"/>
  <c r="AX484" i="1"/>
  <c r="AX485" i="1" s="1"/>
  <c r="AW485" i="1"/>
  <c r="AW478" i="1"/>
  <c r="CO478" i="1" s="1"/>
  <c r="AC379" i="1"/>
  <c r="BH150" i="1"/>
  <c r="BT202" i="1"/>
  <c r="AM100" i="8"/>
  <c r="AN100" i="8" s="1"/>
  <c r="Q117" i="8"/>
  <c r="AY29" i="8"/>
  <c r="AY129" i="8" s="1"/>
  <c r="AY130" i="8"/>
  <c r="CP24" i="8"/>
  <c r="CP119" i="8" s="1"/>
  <c r="AY119" i="8"/>
  <c r="CU36" i="8"/>
  <c r="BS38" i="8"/>
  <c r="CE76" i="8"/>
  <c r="CE98" i="8" s="1"/>
  <c r="I98" i="8"/>
  <c r="I102" i="8" s="1"/>
  <c r="L129" i="8"/>
  <c r="L130" i="8" s="1"/>
  <c r="L131" i="8"/>
  <c r="L51" i="8"/>
  <c r="BR107" i="7"/>
  <c r="BR110" i="7"/>
  <c r="BR109" i="7"/>
  <c r="BR108" i="7"/>
  <c r="BS49" i="8"/>
  <c r="CU43" i="8"/>
  <c r="BT622" i="1"/>
  <c r="BT101" i="7"/>
  <c r="BT621" i="1"/>
  <c r="BT619" i="1" s="1"/>
  <c r="BT639" i="1"/>
  <c r="BT133" i="1"/>
  <c r="BT620" i="1"/>
  <c r="BT134" i="1"/>
  <c r="BT638" i="1"/>
  <c r="BT640" i="1"/>
  <c r="BP129" i="8"/>
  <c r="BP130" i="8" s="1"/>
  <c r="BT120" i="8"/>
  <c r="BT29" i="8"/>
  <c r="BS70" i="7"/>
  <c r="BS69" i="7"/>
  <c r="CU45" i="8"/>
  <c r="CM29" i="8"/>
  <c r="BO178" i="7"/>
  <c r="BO163" i="7"/>
  <c r="AD140" i="7"/>
  <c r="AJ634" i="1"/>
  <c r="BN79" i="7"/>
  <c r="BN85" i="7" s="1"/>
  <c r="BM29" i="8"/>
  <c r="CS26" i="8"/>
  <c r="BM119" i="8"/>
  <c r="AO151" i="7"/>
  <c r="AZ151" i="1"/>
  <c r="DO74" i="1"/>
  <c r="BO88" i="1"/>
  <c r="BD178" i="7"/>
  <c r="CR67" i="1"/>
  <c r="CY70" i="7"/>
  <c r="AT129" i="8"/>
  <c r="AT130" i="8" s="1"/>
  <c r="AU408" i="1"/>
  <c r="AT29" i="1"/>
  <c r="BB24" i="1"/>
  <c r="BB16" i="1"/>
  <c r="BF622" i="1"/>
  <c r="BF131" i="7"/>
  <c r="BF129" i="7"/>
  <c r="BF621" i="1"/>
  <c r="BF133" i="1"/>
  <c r="BF101" i="7"/>
  <c r="BF131" i="8"/>
  <c r="BF134" i="1"/>
  <c r="BF620" i="1"/>
  <c r="BF422" i="1"/>
  <c r="BG422" i="1" s="1"/>
  <c r="BE423" i="1"/>
  <c r="BS175" i="7"/>
  <c r="N29" i="8"/>
  <c r="BI199" i="1"/>
  <c r="BB198" i="1"/>
  <c r="DW89" i="1"/>
  <c r="Q539" i="1"/>
  <c r="BD423" i="1"/>
  <c r="BE267" i="1"/>
  <c r="BV176" i="7"/>
  <c r="BB200" i="1"/>
  <c r="BE200" i="7"/>
  <c r="BC259" i="1"/>
  <c r="CH150" i="1"/>
  <c r="BJ195" i="1"/>
  <c r="BL198" i="1"/>
  <c r="BB488" i="1"/>
  <c r="BB489" i="1" s="1"/>
  <c r="BQ129" i="1"/>
  <c r="W184" i="7"/>
  <c r="AS601" i="1"/>
  <c r="CN591" i="1"/>
  <c r="AX426" i="1"/>
  <c r="BT239" i="1"/>
  <c r="BK48" i="8"/>
  <c r="AT173" i="1"/>
  <c r="DP173" i="1" s="1"/>
  <c r="BO541" i="1"/>
  <c r="BO539" i="1" s="1"/>
  <c r="BP165" i="1"/>
  <c r="BL150" i="1"/>
  <c r="BH165" i="1"/>
  <c r="BH541" i="1"/>
  <c r="BH539" i="1" s="1"/>
  <c r="BE150" i="1"/>
  <c r="BA67" i="1"/>
  <c r="BA541" i="1"/>
  <c r="BA539" i="1" s="1"/>
  <c r="AB536" i="1"/>
  <c r="AB143" i="1"/>
  <c r="AB187" i="7" s="1"/>
  <c r="AB537" i="1"/>
  <c r="AQ480" i="1"/>
  <c r="AQ36" i="1"/>
  <c r="AQ49" i="1" s="1"/>
  <c r="CS322" i="1"/>
  <c r="BP301" i="1"/>
  <c r="BF165" i="1"/>
  <c r="AE103" i="1"/>
  <c r="AE554" i="1"/>
  <c r="Z165" i="1"/>
  <c r="Y537" i="1"/>
  <c r="J143" i="1"/>
  <c r="J158" i="1"/>
  <c r="J536" i="1"/>
  <c r="J537" i="1"/>
  <c r="M177" i="7"/>
  <c r="AT201" i="7"/>
  <c r="AT200" i="7" s="1"/>
  <c r="AC124" i="7"/>
  <c r="CI37" i="8"/>
  <c r="BO32" i="8"/>
  <c r="AR120" i="8"/>
  <c r="N120" i="8"/>
  <c r="BB96" i="8"/>
  <c r="BB98" i="8" s="1"/>
  <c r="AC76" i="8"/>
  <c r="AC98" i="8" s="1"/>
  <c r="CS48" i="8"/>
  <c r="BT51" i="8"/>
  <c r="BT129" i="8"/>
  <c r="CO173" i="1"/>
  <c r="CE29" i="8"/>
  <c r="CE129" i="8" s="1"/>
  <c r="CE51" i="8"/>
  <c r="CR32" i="7"/>
  <c r="BA83" i="7"/>
  <c r="BA107" i="7"/>
  <c r="BB107" i="7" s="1"/>
  <c r="BA109" i="7"/>
  <c r="BB109" i="7" s="1"/>
  <c r="CP24" i="7"/>
  <c r="BA108" i="7"/>
  <c r="BB108" i="7" s="1"/>
  <c r="BC108" i="7" s="1"/>
  <c r="BA110" i="7"/>
  <c r="BB110" i="7" s="1"/>
  <c r="BC110" i="7" s="1"/>
  <c r="BC28" i="7" s="1"/>
  <c r="AR121" i="8"/>
  <c r="CN32" i="8"/>
  <c r="AR38" i="8"/>
  <c r="AR80" i="7"/>
  <c r="AU36" i="8"/>
  <c r="CO36" i="8" s="1"/>
  <c r="AK121" i="8"/>
  <c r="AK80" i="7"/>
  <c r="CL32" i="8"/>
  <c r="AK129" i="8"/>
  <c r="AK38" i="8"/>
  <c r="AK51" i="8"/>
  <c r="AQ29" i="8"/>
  <c r="CN21" i="8"/>
  <c r="AQ120" i="8"/>
  <c r="AV33" i="7"/>
  <c r="AV199" i="7"/>
  <c r="N94" i="7"/>
  <c r="N102" i="7" s="1"/>
  <c r="CQ25" i="8"/>
  <c r="BC119" i="8"/>
  <c r="CQ24" i="8"/>
  <c r="BE29" i="8"/>
  <c r="BE119" i="8"/>
  <c r="N129" i="8"/>
  <c r="AU476" i="1"/>
  <c r="AP211" i="7"/>
  <c r="AP162" i="7"/>
  <c r="BT554" i="1"/>
  <c r="BT135" i="1"/>
  <c r="BT129" i="7"/>
  <c r="BT537" i="1"/>
  <c r="BT541" i="1" s="1"/>
  <c r="BT131" i="7"/>
  <c r="BT536" i="1"/>
  <c r="BT535" i="1" s="1"/>
  <c r="DQ184" i="1"/>
  <c r="AW200" i="1"/>
  <c r="AV200" i="1"/>
  <c r="CO184" i="1"/>
  <c r="AV198" i="1"/>
  <c r="AV216" i="1"/>
  <c r="BD366" i="1"/>
  <c r="BD217" i="1"/>
  <c r="AM151" i="7"/>
  <c r="BV51" i="8"/>
  <c r="BV129" i="8"/>
  <c r="CU121" i="8"/>
  <c r="BH281" i="1"/>
  <c r="BH288" i="1"/>
  <c r="BI287" i="1"/>
  <c r="BK152" i="7"/>
  <c r="CG204" i="7"/>
  <c r="Y634" i="1"/>
  <c r="BG282" i="1"/>
  <c r="CM540" i="1"/>
  <c r="CU550" i="1"/>
  <c r="AF161" i="7"/>
  <c r="AF179" i="7"/>
  <c r="AT438" i="1"/>
  <c r="AP443" i="1"/>
  <c r="AT444" i="1" s="1"/>
  <c r="AP32" i="1"/>
  <c r="BS23" i="1"/>
  <c r="AV98" i="7"/>
  <c r="AV104" i="7"/>
  <c r="AK634" i="1"/>
  <c r="AB85" i="7"/>
  <c r="AB84" i="7"/>
  <c r="AB97" i="7" s="1"/>
  <c r="AU98" i="7"/>
  <c r="AU104" i="7"/>
  <c r="BT108" i="7"/>
  <c r="BT109" i="7"/>
  <c r="BT110" i="7"/>
  <c r="AT200" i="1"/>
  <c r="AU200" i="1"/>
  <c r="AX199" i="1"/>
  <c r="BU162" i="7"/>
  <c r="AP400" i="1"/>
  <c r="AP399" i="1"/>
  <c r="CG628" i="1"/>
  <c r="CG627" i="1"/>
  <c r="CG626" i="1"/>
  <c r="CG629" i="1"/>
  <c r="DM89" i="1"/>
  <c r="AF88" i="1"/>
  <c r="DM88" i="1" s="1"/>
  <c r="CS60" i="7"/>
  <c r="CK60" i="7"/>
  <c r="CK168" i="7" s="1"/>
  <c r="CK174" i="7" s="1"/>
  <c r="CK167" i="7"/>
  <c r="CL49" i="7"/>
  <c r="CL134" i="7"/>
  <c r="CM167" i="7"/>
  <c r="BO183" i="7"/>
  <c r="BO43" i="7"/>
  <c r="BO51" i="7" s="1"/>
  <c r="BO62" i="7" s="1"/>
  <c r="BO184" i="7"/>
  <c r="BO182" i="7"/>
  <c r="BO205" i="7"/>
  <c r="BH43" i="7"/>
  <c r="BH51" i="7" s="1"/>
  <c r="BH184" i="7"/>
  <c r="BH205" i="7"/>
  <c r="BH206" i="7" s="1"/>
  <c r="BH182" i="7"/>
  <c r="BH183" i="7"/>
  <c r="CP205" i="7"/>
  <c r="CQ183" i="7"/>
  <c r="CI120" i="7"/>
  <c r="CI142" i="7" s="1"/>
  <c r="CI184" i="7"/>
  <c r="BQ184" i="7"/>
  <c r="BQ43" i="7"/>
  <c r="BQ51" i="7" s="1"/>
  <c r="BQ62" i="7" s="1"/>
  <c r="BQ183" i="7"/>
  <c r="CT37" i="7"/>
  <c r="CT43" i="7" s="1"/>
  <c r="CT51" i="7" s="1"/>
  <c r="BQ205" i="7"/>
  <c r="CQ27" i="7"/>
  <c r="BE24" i="7"/>
  <c r="CK26" i="7"/>
  <c r="AG24" i="7"/>
  <c r="AH38" i="8"/>
  <c r="AI37" i="8"/>
  <c r="CJ37" i="8"/>
  <c r="Z38" i="8"/>
  <c r="Z51" i="8" s="1"/>
  <c r="CH37" i="8"/>
  <c r="R38" i="8"/>
  <c r="R51" i="8" s="1"/>
  <c r="BP38" i="8"/>
  <c r="BP51" i="8" s="1"/>
  <c r="CT36" i="8"/>
  <c r="CL472" i="1"/>
  <c r="CM472" i="1"/>
  <c r="AR29" i="1"/>
  <c r="AR412" i="1"/>
  <c r="AV413" i="1" s="1"/>
  <c r="AR206" i="1"/>
  <c r="CM48" i="8"/>
  <c r="AO49" i="8"/>
  <c r="AO51" i="8"/>
  <c r="AH147" i="7"/>
  <c r="CP430" i="1"/>
  <c r="CP219" i="1"/>
  <c r="AL178" i="7"/>
  <c r="AL170" i="7"/>
  <c r="AL174" i="7"/>
  <c r="AL161" i="7"/>
  <c r="AS103" i="7"/>
  <c r="Q161" i="7"/>
  <c r="Q170" i="7"/>
  <c r="Q162" i="7" s="1"/>
  <c r="T103" i="7"/>
  <c r="P104" i="7"/>
  <c r="P101" i="7"/>
  <c r="R98" i="7"/>
  <c r="AU439" i="1"/>
  <c r="AU32" i="1"/>
  <c r="AU395" i="1"/>
  <c r="N178" i="7"/>
  <c r="N174" i="7"/>
  <c r="AV48" i="1"/>
  <c r="AC129" i="8"/>
  <c r="AC131" i="8" s="1"/>
  <c r="N515" i="1"/>
  <c r="R148" i="1"/>
  <c r="CR121" i="8"/>
  <c r="R174" i="7"/>
  <c r="BE104" i="7"/>
  <c r="R147" i="7"/>
  <c r="CF145" i="7"/>
  <c r="AP104" i="7"/>
  <c r="CH108" i="7"/>
  <c r="CH109" i="7"/>
  <c r="AV129" i="8"/>
  <c r="AZ49" i="8"/>
  <c r="CP46" i="8"/>
  <c r="AY121" i="8"/>
  <c r="AY80" i="7"/>
  <c r="CP32" i="8"/>
  <c r="AY38" i="8"/>
  <c r="BU166" i="1"/>
  <c r="AO104" i="7"/>
  <c r="AN178" i="7"/>
  <c r="BO26" i="8"/>
  <c r="BO119" i="8" s="1"/>
  <c r="BN119" i="8"/>
  <c r="BQ200" i="7"/>
  <c r="BQ175" i="7"/>
  <c r="BS196" i="1"/>
  <c r="BS195" i="1"/>
  <c r="AR47" i="1"/>
  <c r="DP47" i="1" s="1"/>
  <c r="CN34" i="1"/>
  <c r="AW206" i="1"/>
  <c r="AW412" i="1"/>
  <c r="AW408" i="1"/>
  <c r="BX321" i="1"/>
  <c r="BV237" i="1"/>
  <c r="CO116" i="8"/>
  <c r="CO74" i="1"/>
  <c r="BT601" i="1"/>
  <c r="AT469" i="1"/>
  <c r="AT212" i="1"/>
  <c r="AT35" i="1"/>
  <c r="T140" i="7"/>
  <c r="AQ31" i="1"/>
  <c r="CN426" i="1"/>
  <c r="CO427" i="1" s="1"/>
  <c r="AU427" i="1"/>
  <c r="AQ406" i="1"/>
  <c r="BB429" i="1"/>
  <c r="BB420" i="1"/>
  <c r="BC419" i="1"/>
  <c r="BC420" i="1" s="1"/>
  <c r="BB416" i="1"/>
  <c r="BS220" i="1"/>
  <c r="DV188" i="1"/>
  <c r="CU188" i="1"/>
  <c r="CU220" i="1" s="1"/>
  <c r="AX202" i="1"/>
  <c r="AT219" i="1"/>
  <c r="CO187" i="1"/>
  <c r="CO219" i="1" s="1"/>
  <c r="DP187" i="1"/>
  <c r="DP219" i="1" s="1"/>
  <c r="AU203" i="1"/>
  <c r="CU186" i="1"/>
  <c r="DV186" i="1"/>
  <c r="CS186" i="1"/>
  <c r="DT186" i="1"/>
  <c r="CQ186" i="1"/>
  <c r="BB218" i="1"/>
  <c r="CU174" i="1"/>
  <c r="BU173" i="1"/>
  <c r="BU196" i="1" s="1"/>
  <c r="DW174" i="1"/>
  <c r="DW206" i="1" s="1"/>
  <c r="CT174" i="1"/>
  <c r="DU174" i="1"/>
  <c r="BF173" i="1"/>
  <c r="DS174" i="1"/>
  <c r="CR174" i="1"/>
  <c r="CP174" i="1"/>
  <c r="DQ174" i="1"/>
  <c r="AX173" i="1"/>
  <c r="AY197" i="1" s="1"/>
  <c r="AI210" i="7"/>
  <c r="DM121" i="1"/>
  <c r="I89" i="1"/>
  <c r="I88" i="1" s="1"/>
  <c r="CE95" i="1"/>
  <c r="AQ88" i="1"/>
  <c r="DO88" i="1" s="1"/>
  <c r="DO89" i="1"/>
  <c r="AJ117" i="8"/>
  <c r="T130" i="7"/>
  <c r="T135" i="1"/>
  <c r="T134" i="7"/>
  <c r="U166" i="1"/>
  <c r="T166" i="1"/>
  <c r="T71" i="1"/>
  <c r="X151" i="1"/>
  <c r="AC623" i="1"/>
  <c r="AC537" i="1"/>
  <c r="AC535" i="1" s="1"/>
  <c r="AC131" i="7"/>
  <c r="AG143" i="1"/>
  <c r="AG187" i="7" s="1"/>
  <c r="AC129" i="7"/>
  <c r="AC118" i="7"/>
  <c r="AF145" i="7"/>
  <c r="AD158" i="1"/>
  <c r="AD188" i="7" s="1"/>
  <c r="AC53" i="1"/>
  <c r="AC101" i="7"/>
  <c r="AC622" i="1"/>
  <c r="AC634" i="1" s="1"/>
  <c r="AC143" i="1"/>
  <c r="AC187" i="7" s="1"/>
  <c r="AC134" i="1"/>
  <c r="AC621" i="1"/>
  <c r="AG633" i="1" s="1"/>
  <c r="AD145" i="7"/>
  <c r="AE147" i="7"/>
  <c r="AC620" i="1"/>
  <c r="CJ11" i="1"/>
  <c r="CJ143" i="1" s="1"/>
  <c r="CJ187" i="7" s="1"/>
  <c r="Q62" i="7"/>
  <c r="CJ549" i="1"/>
  <c r="CJ551" i="1" s="1"/>
  <c r="CJ49" i="7"/>
  <c r="CK49" i="7"/>
  <c r="CR85" i="8"/>
  <c r="CR98" i="8" s="1"/>
  <c r="O76" i="8"/>
  <c r="O98" i="8" s="1"/>
  <c r="O28" i="8"/>
  <c r="P28" i="8"/>
  <c r="P29" i="8" s="1"/>
  <c r="CT68" i="8"/>
  <c r="BQ21" i="8"/>
  <c r="BQ120" i="8" s="1"/>
  <c r="BQ76" i="8"/>
  <c r="BQ98" i="8"/>
  <c r="BI21" i="8"/>
  <c r="BI29" i="8" s="1"/>
  <c r="BH76" i="8"/>
  <c r="BH98" i="8" s="1"/>
  <c r="BH21" i="8"/>
  <c r="CF115" i="8"/>
  <c r="CF135" i="8"/>
  <c r="CN76" i="8"/>
  <c r="BM118" i="1"/>
  <c r="DV118" i="1" s="1"/>
  <c r="CS47" i="8"/>
  <c r="BM49" i="8"/>
  <c r="BM51" i="8" s="1"/>
  <c r="BK41" i="8"/>
  <c r="BK49" i="8" s="1"/>
  <c r="BJ49" i="8"/>
  <c r="BJ51" i="8" s="1"/>
  <c r="AQ49" i="8"/>
  <c r="CN41" i="8"/>
  <c r="AQ35" i="8"/>
  <c r="CN35" i="8" s="1"/>
  <c r="AP38" i="8"/>
  <c r="AP51" i="8" s="1"/>
  <c r="AG38" i="8"/>
  <c r="AG51" i="8" s="1"/>
  <c r="CK35" i="8"/>
  <c r="Y38" i="8"/>
  <c r="Y51" i="8" s="1"/>
  <c r="CI35" i="8"/>
  <c r="CI38" i="8" s="1"/>
  <c r="BO34" i="8"/>
  <c r="BN38" i="8"/>
  <c r="BD38" i="8"/>
  <c r="CQ34" i="8"/>
  <c r="AT38" i="8"/>
  <c r="AT51" i="8" s="1"/>
  <c r="AU34" i="8"/>
  <c r="CO34" i="8"/>
  <c r="CO38" i="8" s="1"/>
  <c r="AJ38" i="8"/>
  <c r="CL34" i="8"/>
  <c r="AA38" i="8"/>
  <c r="AA51" i="8" s="1"/>
  <c r="CJ34" i="8"/>
  <c r="S38" i="8"/>
  <c r="S51" i="8" s="1"/>
  <c r="CH34" i="8"/>
  <c r="CH38" i="8" s="1"/>
  <c r="BO81" i="7"/>
  <c r="CT81" i="7" s="1"/>
  <c r="CT33" i="8"/>
  <c r="BC81" i="7"/>
  <c r="CQ33" i="8"/>
  <c r="BC38" i="8"/>
  <c r="AX38" i="8"/>
  <c r="AX51" i="8"/>
  <c r="AX80" i="7"/>
  <c r="AX98" i="7" s="1"/>
  <c r="AX121" i="8"/>
  <c r="BK115" i="8"/>
  <c r="BK89" i="7"/>
  <c r="CS15" i="8"/>
  <c r="BK135" i="8"/>
  <c r="AN161" i="7"/>
  <c r="AN179" i="7"/>
  <c r="AQ151" i="1"/>
  <c r="AM151" i="1"/>
  <c r="AM134" i="7"/>
  <c r="AM130" i="7"/>
  <c r="BU591" i="1"/>
  <c r="AT439" i="1"/>
  <c r="AS209" i="1"/>
  <c r="AB71" i="1"/>
  <c r="AB134" i="8" s="1"/>
  <c r="AB136" i="8" s="1"/>
  <c r="AB137" i="8" s="1"/>
  <c r="BE179" i="7"/>
  <c r="AD29" i="7"/>
  <c r="AD24" i="7" s="1"/>
  <c r="CU33" i="8"/>
  <c r="AN619" i="1"/>
  <c r="AW199" i="1"/>
  <c r="BS199" i="1"/>
  <c r="BS200" i="1"/>
  <c r="BW12" i="1"/>
  <c r="BX245" i="1"/>
  <c r="BY245" i="1" s="1"/>
  <c r="CV245" i="1" s="1"/>
  <c r="CV246" i="1" s="1"/>
  <c r="BW233" i="1"/>
  <c r="BW235" i="1" s="1"/>
  <c r="AT216" i="1"/>
  <c r="AT399" i="1"/>
  <c r="AC133" i="1"/>
  <c r="BU108" i="7"/>
  <c r="BV108" i="7" s="1"/>
  <c r="CU24" i="7"/>
  <c r="CU107" i="7" s="1"/>
  <c r="CG98" i="8"/>
  <c r="DV184" i="1"/>
  <c r="BT199" i="1"/>
  <c r="AS170" i="7"/>
  <c r="AS164" i="7" s="1"/>
  <c r="AL54" i="1"/>
  <c r="CH169" i="7"/>
  <c r="CI544" i="1"/>
  <c r="CI546" i="1" s="1"/>
  <c r="CN30" i="7"/>
  <c r="CN204" i="7" s="1"/>
  <c r="AT79" i="7"/>
  <c r="AW34" i="1"/>
  <c r="AW47" i="1" s="1"/>
  <c r="AW61" i="1" s="1"/>
  <c r="R107" i="7"/>
  <c r="S107" i="7" s="1"/>
  <c r="T107" i="7" s="1"/>
  <c r="BV171" i="7"/>
  <c r="BV179" i="7" s="1"/>
  <c r="BV177" i="7"/>
  <c r="BV170" i="7"/>
  <c r="BV164" i="7" s="1"/>
  <c r="BQ110" i="7"/>
  <c r="J515" i="1"/>
  <c r="CN472" i="1"/>
  <c r="CR472" i="1"/>
  <c r="CS472" i="1"/>
  <c r="DQ74" i="1"/>
  <c r="BL129" i="1"/>
  <c r="AW449" i="1"/>
  <c r="AW33" i="1"/>
  <c r="AW46" i="1" s="1"/>
  <c r="AW60" i="1" s="1"/>
  <c r="AW437" i="1"/>
  <c r="AW32" i="1" s="1"/>
  <c r="AW210" i="1"/>
  <c r="CN474" i="1"/>
  <c r="CK598" i="1"/>
  <c r="CK608" i="1"/>
  <c r="CK609" i="1" s="1"/>
  <c r="BN23" i="1"/>
  <c r="BN129" i="1" s="1"/>
  <c r="BN16" i="1"/>
  <c r="CH121" i="8"/>
  <c r="CM34" i="8"/>
  <c r="AD51" i="8"/>
  <c r="AD55" i="8" s="1"/>
  <c r="AD103" i="8" s="1"/>
  <c r="CR43" i="7"/>
  <c r="CR51" i="7" s="1"/>
  <c r="AR200" i="7"/>
  <c r="BS120" i="8"/>
  <c r="BS29" i="8"/>
  <c r="CP472" i="1"/>
  <c r="BO200" i="1"/>
  <c r="AB175" i="7"/>
  <c r="V515" i="1"/>
  <c r="AZ195" i="1"/>
  <c r="AZ196" i="1"/>
  <c r="BA197" i="1"/>
  <c r="BI129" i="1"/>
  <c r="DK67" i="1"/>
  <c r="Y130" i="7"/>
  <c r="Y135" i="1"/>
  <c r="AC151" i="1"/>
  <c r="Z166" i="1"/>
  <c r="AW570" i="1"/>
  <c r="CO570" i="1" s="1"/>
  <c r="CO592" i="1"/>
  <c r="AU576" i="1"/>
  <c r="AU578" i="1"/>
  <c r="P578" i="1"/>
  <c r="P576" i="1"/>
  <c r="BE576" i="1"/>
  <c r="BE578" i="1"/>
  <c r="BG202" i="1"/>
  <c r="BK202" i="1"/>
  <c r="DS187" i="1"/>
  <c r="DR186" i="1"/>
  <c r="CT185" i="1"/>
  <c r="DV185" i="1"/>
  <c r="BH184" i="1"/>
  <c r="BI200" i="1" s="1"/>
  <c r="CR185" i="1"/>
  <c r="CP185" i="1"/>
  <c r="AZ184" i="1"/>
  <c r="DP185" i="1"/>
  <c r="DP217" i="1" s="1"/>
  <c r="AR184" i="1"/>
  <c r="DP184" i="1" s="1"/>
  <c r="AR217" i="1"/>
  <c r="AZ214" i="1"/>
  <c r="DR182" i="1"/>
  <c r="CU180" i="1"/>
  <c r="DV180" i="1"/>
  <c r="DP180" i="1"/>
  <c r="CO180" i="1"/>
  <c r="AU212" i="1"/>
  <c r="BC211" i="1"/>
  <c r="DR179" i="1"/>
  <c r="DP179" i="1"/>
  <c r="DP211" i="1" s="1"/>
  <c r="AU211" i="1"/>
  <c r="CO179" i="1"/>
  <c r="BC210" i="1"/>
  <c r="DR178" i="1"/>
  <c r="CU177" i="1"/>
  <c r="DV177" i="1"/>
  <c r="BK173" i="1"/>
  <c r="CS177" i="1"/>
  <c r="BC173" i="1"/>
  <c r="DR173" i="1" s="1"/>
  <c r="BC209" i="1"/>
  <c r="DT175" i="1"/>
  <c r="CS175" i="1"/>
  <c r="CN89" i="1"/>
  <c r="CN88" i="1" s="1"/>
  <c r="CN117" i="8" s="1"/>
  <c r="DU69" i="1"/>
  <c r="BM67" i="1"/>
  <c r="AZ150" i="1"/>
  <c r="AZ165" i="1"/>
  <c r="DR69" i="1"/>
  <c r="DO69" i="1"/>
  <c r="AN67" i="1"/>
  <c r="AN135" i="1" s="1"/>
  <c r="AR150" i="1"/>
  <c r="AN150" i="1"/>
  <c r="AN134" i="1"/>
  <c r="AR166" i="1"/>
  <c r="BT18" i="1"/>
  <c r="CU18" i="1" s="1"/>
  <c r="BT160" i="1"/>
  <c r="BT145" i="1"/>
  <c r="DU13" i="1"/>
  <c r="BQ145" i="1"/>
  <c r="BM18" i="1"/>
  <c r="BM24" i="1" s="1"/>
  <c r="BM130" i="1" s="1"/>
  <c r="BN160" i="1"/>
  <c r="BM145" i="1"/>
  <c r="AO623" i="1"/>
  <c r="AO129" i="7"/>
  <c r="AO620" i="1"/>
  <c r="AO554" i="1"/>
  <c r="AO537" i="1"/>
  <c r="AO135" i="1"/>
  <c r="CM11" i="1"/>
  <c r="AO118" i="7"/>
  <c r="AO140" i="7" s="1"/>
  <c r="AO131" i="7"/>
  <c r="AO143" i="1"/>
  <c r="AO187" i="7" s="1"/>
  <c r="AO621" i="1"/>
  <c r="AO633" i="1" s="1"/>
  <c r="AO133" i="1"/>
  <c r="AO622" i="1"/>
  <c r="AO634" i="1" s="1"/>
  <c r="AO145" i="7"/>
  <c r="AO134" i="1"/>
  <c r="AO53" i="1"/>
  <c r="AO515" i="1" s="1"/>
  <c r="AK177" i="7"/>
  <c r="AK171" i="7"/>
  <c r="AK179" i="7" s="1"/>
  <c r="AB178" i="7"/>
  <c r="AB174" i="7"/>
  <c r="AB170" i="7"/>
  <c r="AB164" i="7" s="1"/>
  <c r="AB163" i="7"/>
  <c r="CP60" i="7"/>
  <c r="CO49" i="7"/>
  <c r="CT549" i="1"/>
  <c r="U22" i="7"/>
  <c r="U33" i="7" s="1"/>
  <c r="U182" i="7"/>
  <c r="U183" i="7"/>
  <c r="V544" i="1"/>
  <c r="V546" i="1" s="1"/>
  <c r="U169" i="7"/>
  <c r="U171" i="7" s="1"/>
  <c r="BI70" i="7"/>
  <c r="BI69" i="7" s="1"/>
  <c r="BI582" i="1"/>
  <c r="BI49" i="8"/>
  <c r="AZ70" i="7"/>
  <c r="AZ69" i="7" s="1"/>
  <c r="AZ582" i="1"/>
  <c r="CP45" i="8"/>
  <c r="AL49" i="8"/>
  <c r="AL51" i="8" s="1"/>
  <c r="AM42" i="8"/>
  <c r="CJ42" i="8"/>
  <c r="CJ49" i="8" s="1"/>
  <c r="AC49" i="8"/>
  <c r="AC51" i="8"/>
  <c r="CP41" i="8"/>
  <c r="AE49" i="8"/>
  <c r="CK41" i="8"/>
  <c r="CK49" i="8"/>
  <c r="CI41" i="8"/>
  <c r="CI49" i="8" s="1"/>
  <c r="W49" i="8"/>
  <c r="W51" i="8" s="1"/>
  <c r="O49" i="8"/>
  <c r="CG41" i="8"/>
  <c r="CG49" i="8" s="1"/>
  <c r="CG51" i="8" s="1"/>
  <c r="AY432" i="1"/>
  <c r="AX433" i="1"/>
  <c r="CF130" i="7"/>
  <c r="BQ197" i="1"/>
  <c r="W71" i="1"/>
  <c r="W114" i="8" s="1"/>
  <c r="BM239" i="1"/>
  <c r="BE163" i="7"/>
  <c r="BE178" i="7"/>
  <c r="BE174" i="7"/>
  <c r="CO115" i="8"/>
  <c r="CO135" i="8"/>
  <c r="AP49" i="1"/>
  <c r="AP48" i="1" s="1"/>
  <c r="AP62" i="1" s="1"/>
  <c r="AJ129" i="8"/>
  <c r="AJ130" i="8" s="1"/>
  <c r="BV25" i="1"/>
  <c r="BV131" i="1" s="1"/>
  <c r="CU299" i="1"/>
  <c r="CU300" i="1" s="1"/>
  <c r="CU296" i="1"/>
  <c r="S129" i="8"/>
  <c r="S130" i="8"/>
  <c r="AU120" i="8"/>
  <c r="AU117" i="8"/>
  <c r="AU29" i="8"/>
  <c r="BV160" i="1"/>
  <c r="BV24" i="1"/>
  <c r="BV130" i="1" s="1"/>
  <c r="BK222" i="1"/>
  <c r="CS190" i="1"/>
  <c r="CS222" i="1" s="1"/>
  <c r="DT190" i="1"/>
  <c r="DT222" i="1" s="1"/>
  <c r="AU118" i="8"/>
  <c r="CO81" i="1"/>
  <c r="CO118" i="8" s="1"/>
  <c r="AI118" i="8"/>
  <c r="DM81" i="1"/>
  <c r="X515" i="1"/>
  <c r="F56" i="8"/>
  <c r="G53" i="8"/>
  <c r="CR37" i="8"/>
  <c r="CR38" i="8" s="1"/>
  <c r="BG38" i="8"/>
  <c r="CQ18" i="8"/>
  <c r="BC120" i="8"/>
  <c r="BJ166" i="1"/>
  <c r="BS67" i="1"/>
  <c r="BN239" i="1"/>
  <c r="BR129" i="8"/>
  <c r="BR130" i="8" s="1"/>
  <c r="BM179" i="7"/>
  <c r="AS470" i="1"/>
  <c r="AR212" i="1"/>
  <c r="AR35" i="1"/>
  <c r="AR474" i="1"/>
  <c r="AR476" i="1" s="1"/>
  <c r="AR470" i="1"/>
  <c r="DP468" i="1"/>
  <c r="DP474" i="1" s="1"/>
  <c r="AV479" i="1"/>
  <c r="AV480" i="1"/>
  <c r="BQ25" i="1"/>
  <c r="BQ16" i="1"/>
  <c r="BR327" i="1"/>
  <c r="BU326" i="1"/>
  <c r="BQ326" i="1"/>
  <c r="BN326" i="1"/>
  <c r="BJ327" i="1"/>
  <c r="BK327" i="1"/>
  <c r="CS292" i="1"/>
  <c r="CR299" i="1"/>
  <c r="CR300" i="1" s="1"/>
  <c r="CR13" i="1"/>
  <c r="BM221" i="1"/>
  <c r="CS189" i="1"/>
  <c r="CS221" i="1" s="1"/>
  <c r="CO188" i="1"/>
  <c r="DQ188" i="1"/>
  <c r="DQ220" i="1" s="1"/>
  <c r="BU203" i="1"/>
  <c r="CU187" i="1"/>
  <c r="CU12" i="1"/>
  <c r="CU144" i="1" s="1"/>
  <c r="CU242" i="1"/>
  <c r="AO129" i="8"/>
  <c r="AO131" i="8" s="1"/>
  <c r="AS67" i="1"/>
  <c r="AT165" i="1"/>
  <c r="DP69" i="1"/>
  <c r="CJ67" i="1"/>
  <c r="AB130" i="7"/>
  <c r="AF151" i="1"/>
  <c r="AB166" i="1"/>
  <c r="AB135" i="1"/>
  <c r="AI621" i="1"/>
  <c r="AI622" i="1"/>
  <c r="AI131" i="7"/>
  <c r="AI623" i="1"/>
  <c r="AI118" i="7"/>
  <c r="AI620" i="1"/>
  <c r="AI143" i="1"/>
  <c r="AI187" i="7" s="1"/>
  <c r="AI133" i="1"/>
  <c r="AI536" i="1"/>
  <c r="AJ145" i="7"/>
  <c r="AI53" i="1"/>
  <c r="AI148" i="1" s="1"/>
  <c r="AB620" i="1"/>
  <c r="AB632" i="1" s="1"/>
  <c r="AB129" i="7"/>
  <c r="AB621" i="1"/>
  <c r="AB622" i="1"/>
  <c r="AF634" i="1" s="1"/>
  <c r="AE145" i="7"/>
  <c r="AB131" i="7"/>
  <c r="AB554" i="1"/>
  <c r="AB101" i="7"/>
  <c r="N176" i="7"/>
  <c r="N171" i="7"/>
  <c r="N179" i="7" s="1"/>
  <c r="BI90" i="7"/>
  <c r="BI91" i="7" s="1"/>
  <c r="BJ88" i="7" s="1"/>
  <c r="BJ90" i="7" s="1"/>
  <c r="CO23" i="8"/>
  <c r="AU119" i="8"/>
  <c r="K62" i="7"/>
  <c r="AX217" i="1"/>
  <c r="DQ409" i="1"/>
  <c r="DQ217" i="1" s="1"/>
  <c r="AN380" i="1"/>
  <c r="CM378" i="1"/>
  <c r="BK300" i="1"/>
  <c r="BG300" i="1"/>
  <c r="BG301" i="1"/>
  <c r="BO118" i="8"/>
  <c r="W380" i="1"/>
  <c r="W379" i="1"/>
  <c r="X380" i="1"/>
  <c r="AY176" i="7"/>
  <c r="AY171" i="7"/>
  <c r="AY179" i="7" s="1"/>
  <c r="CG115" i="8"/>
  <c r="CG135" i="8"/>
  <c r="BR24" i="1"/>
  <c r="BP570" i="1"/>
  <c r="BQ592" i="1"/>
  <c r="BP598" i="1"/>
  <c r="BM587" i="1"/>
  <c r="H576" i="1"/>
  <c r="H578" i="1"/>
  <c r="BN578" i="1"/>
  <c r="BN576" i="1"/>
  <c r="BF578" i="1"/>
  <c r="BF576" i="1"/>
  <c r="AP576" i="1"/>
  <c r="AP578" i="1"/>
  <c r="U539" i="1"/>
  <c r="CH539" i="1" s="1"/>
  <c r="CH541" i="1"/>
  <c r="CN74" i="1"/>
  <c r="CL409" i="1"/>
  <c r="BN202" i="1"/>
  <c r="BN203" i="1"/>
  <c r="CR182" i="1"/>
  <c r="BF541" i="1"/>
  <c r="BF539" i="1" s="1"/>
  <c r="BF67" i="1"/>
  <c r="AM165" i="1"/>
  <c r="AQ150" i="1"/>
  <c r="AM541" i="1"/>
  <c r="CM541" i="1" s="1"/>
  <c r="AM537" i="1"/>
  <c r="AQ70" i="7"/>
  <c r="AQ69" i="7"/>
  <c r="CN45" i="8"/>
  <c r="CN70" i="7" s="1"/>
  <c r="CN69" i="7" s="1"/>
  <c r="CT95" i="1"/>
  <c r="BP89" i="1"/>
  <c r="DV89" i="1" s="1"/>
  <c r="BP168" i="7"/>
  <c r="BP178" i="7" s="1"/>
  <c r="BH168" i="7"/>
  <c r="BH178" i="7" s="1"/>
  <c r="BH201" i="7"/>
  <c r="BH200" i="7" s="1"/>
  <c r="AH199" i="7"/>
  <c r="AH175" i="7" s="1"/>
  <c r="AH201" i="7"/>
  <c r="BN124" i="7"/>
  <c r="BN123" i="7"/>
  <c r="BN204" i="7"/>
  <c r="BN206" i="7" s="1"/>
  <c r="BH70" i="7"/>
  <c r="BH69" i="7" s="1"/>
  <c r="BH582" i="1"/>
  <c r="P121" i="8"/>
  <c r="CG32" i="8"/>
  <c r="CG38" i="8" s="1"/>
  <c r="BO13" i="8"/>
  <c r="BN29" i="8"/>
  <c r="BN129" i="8" s="1"/>
  <c r="BB472" i="1"/>
  <c r="BC473" i="1"/>
  <c r="BK251" i="1"/>
  <c r="BJ250" i="1"/>
  <c r="CS12" i="1"/>
  <c r="CT144" i="1" s="1"/>
  <c r="CS249" i="1"/>
  <c r="CT250" i="1" s="1"/>
  <c r="BI251" i="1"/>
  <c r="BM250" i="1"/>
  <c r="BJ171" i="7"/>
  <c r="BJ162" i="7" s="1"/>
  <c r="BN171" i="7"/>
  <c r="BG177" i="7"/>
  <c r="BG163" i="7"/>
  <c r="CK591" i="1"/>
  <c r="CK601" i="1" s="1"/>
  <c r="AG601" i="1"/>
  <c r="AT539" i="1"/>
  <c r="BL173" i="1"/>
  <c r="DU173" i="1" s="1"/>
  <c r="AK536" i="1"/>
  <c r="AK535" i="1" s="1"/>
  <c r="AK118" i="7"/>
  <c r="AK140" i="7" s="1"/>
  <c r="AK53" i="1"/>
  <c r="AK131" i="7"/>
  <c r="AK151" i="7"/>
  <c r="AK158" i="1"/>
  <c r="AK188" i="7" s="1"/>
  <c r="AD536" i="1"/>
  <c r="AD554" i="1"/>
  <c r="AD134" i="1"/>
  <c r="V537" i="1"/>
  <c r="V622" i="1"/>
  <c r="V634" i="1" s="1"/>
  <c r="V620" i="1"/>
  <c r="Z632" i="1" s="1"/>
  <c r="V118" i="7"/>
  <c r="V536" i="1"/>
  <c r="X145" i="7"/>
  <c r="O118" i="7"/>
  <c r="O140" i="7" s="1"/>
  <c r="AI201" i="7"/>
  <c r="AI200" i="7" s="1"/>
  <c r="CH75" i="8"/>
  <c r="CH76" i="8" s="1"/>
  <c r="CH98" i="8" s="1"/>
  <c r="U28" i="8"/>
  <c r="CH28" i="8" s="1"/>
  <c r="U29" i="8"/>
  <c r="BA70" i="7"/>
  <c r="BA69" i="7" s="1"/>
  <c r="BA582" i="1"/>
  <c r="AQ37" i="8"/>
  <c r="CN37" i="8" s="1"/>
  <c r="BM601" i="1"/>
  <c r="CT471" i="1"/>
  <c r="BO473" i="1"/>
  <c r="DU471" i="1"/>
  <c r="DU472" i="1" s="1"/>
  <c r="BT250" i="1"/>
  <c r="BT251" i="1"/>
  <c r="BP250" i="1"/>
  <c r="BM251" i="1"/>
  <c r="BQ550" i="1"/>
  <c r="BQ551" i="1" s="1"/>
  <c r="CT76" i="1"/>
  <c r="H163" i="1"/>
  <c r="M133" i="1"/>
  <c r="N145" i="7"/>
  <c r="CK81" i="7"/>
  <c r="BS123" i="7"/>
  <c r="BS191" i="7"/>
  <c r="BS204" i="7"/>
  <c r="BS206" i="7" s="1"/>
  <c r="BS192" i="7"/>
  <c r="CL396" i="1"/>
  <c r="U379" i="1"/>
  <c r="Q379" i="1"/>
  <c r="V554" i="1"/>
  <c r="CI102" i="1"/>
  <c r="AJ134" i="7"/>
  <c r="AJ130" i="7"/>
  <c r="AJ135" i="1"/>
  <c r="AJ151" i="1"/>
  <c r="CH146" i="7"/>
  <c r="CH119" i="7" s="1"/>
  <c r="CH141" i="7" s="1"/>
  <c r="BT25" i="1"/>
  <c r="BT131" i="1" s="1"/>
  <c r="BK160" i="1"/>
  <c r="BJ18" i="1"/>
  <c r="BJ24" i="1" s="1"/>
  <c r="BM11" i="1"/>
  <c r="BM129" i="7" s="1"/>
  <c r="BO177" i="7"/>
  <c r="BB177" i="7"/>
  <c r="AU171" i="7"/>
  <c r="AU211" i="7" s="1"/>
  <c r="CM31" i="7"/>
  <c r="BR124" i="7"/>
  <c r="BR204" i="7"/>
  <c r="BR22" i="7"/>
  <c r="BR33" i="7" s="1"/>
  <c r="BR125" i="7"/>
  <c r="BR191" i="7"/>
  <c r="BR123" i="7"/>
  <c r="AM36" i="8"/>
  <c r="CM36" i="8" s="1"/>
  <c r="AR102" i="1"/>
  <c r="AR29" i="8"/>
  <c r="AI19" i="8"/>
  <c r="AH102" i="1"/>
  <c r="AH29" i="8"/>
  <c r="BI120" i="8"/>
  <c r="AZ117" i="8"/>
  <c r="AZ29" i="8"/>
  <c r="AE29" i="8"/>
  <c r="CK18" i="8"/>
  <c r="CK120" i="8" s="1"/>
  <c r="AN398" i="1"/>
  <c r="AR399" i="1" s="1"/>
  <c r="BK541" i="1"/>
  <c r="CS541" i="1" s="1"/>
  <c r="BC149" i="1"/>
  <c r="S53" i="1"/>
  <c r="S54" i="1" s="1"/>
  <c r="S621" i="1"/>
  <c r="S620" i="1"/>
  <c r="W632" i="1" s="1"/>
  <c r="BO19" i="8"/>
  <c r="BO29" i="8"/>
  <c r="BO129" i="8" s="1"/>
  <c r="BN102" i="1"/>
  <c r="BH441" i="1"/>
  <c r="I123" i="1"/>
  <c r="I577" i="1"/>
  <c r="BP541" i="1"/>
  <c r="BP539" i="1" s="1"/>
  <c r="BJ150" i="1"/>
  <c r="AM182" i="7"/>
  <c r="CH116" i="8"/>
  <c r="CH545" i="1"/>
  <c r="BO165" i="1"/>
  <c r="BO150" i="1"/>
  <c r="X537" i="1"/>
  <c r="X536" i="1"/>
  <c r="CG167" i="7"/>
  <c r="BK124" i="7"/>
  <c r="BK123" i="7"/>
  <c r="BK125" i="7"/>
  <c r="BK191" i="7"/>
  <c r="AS124" i="7"/>
  <c r="AS182" i="7"/>
  <c r="AS125" i="7"/>
  <c r="AS204" i="7"/>
  <c r="AS206" i="7" s="1"/>
  <c r="BD135" i="8"/>
  <c r="BD89" i="7"/>
  <c r="AR135" i="8"/>
  <c r="AR89" i="7"/>
  <c r="AR98" i="7"/>
  <c r="K135" i="8"/>
  <c r="K115" i="8"/>
  <c r="K89" i="7"/>
  <c r="Y539" i="1"/>
  <c r="AO379" i="1"/>
  <c r="BT150" i="1"/>
  <c r="AE536" i="1"/>
  <c r="AE621" i="1"/>
  <c r="AE620" i="1"/>
  <c r="AE133" i="1"/>
  <c r="P536" i="1"/>
  <c r="P537" i="1"/>
  <c r="AX201" i="7"/>
  <c r="AX199" i="7"/>
  <c r="AX175" i="7" s="1"/>
  <c r="CO31" i="7"/>
  <c r="AW33" i="7"/>
  <c r="BO125" i="7"/>
  <c r="BP192" i="7"/>
  <c r="BA192" i="7"/>
  <c r="AZ124" i="7"/>
  <c r="T120" i="8"/>
  <c r="BQ135" i="8"/>
  <c r="BQ115" i="8"/>
  <c r="BQ89" i="7"/>
  <c r="BQ98" i="7"/>
  <c r="BJ135" i="8"/>
  <c r="BJ89" i="7"/>
  <c r="BJ98" i="7"/>
  <c r="BJ115" i="8"/>
  <c r="AW135" i="8"/>
  <c r="AW115" i="8"/>
  <c r="AW89" i="7"/>
  <c r="CO89" i="7" s="1"/>
  <c r="AB115" i="8"/>
  <c r="AB89" i="7"/>
  <c r="AB90" i="7"/>
  <c r="AB92" i="7" s="1"/>
  <c r="J135" i="8"/>
  <c r="J115" i="8"/>
  <c r="J89" i="7"/>
  <c r="BI89" i="7"/>
  <c r="AP135" i="8"/>
  <c r="AP89" i="7"/>
  <c r="V135" i="8"/>
  <c r="I134" i="1"/>
  <c r="X199" i="7"/>
  <c r="X175" i="7" s="1"/>
  <c r="R199" i="7"/>
  <c r="R175" i="7" s="1"/>
  <c r="N152" i="7"/>
  <c r="AA22" i="7"/>
  <c r="AA33" i="7" s="1"/>
  <c r="AB151" i="7" s="1"/>
  <c r="AA125" i="7"/>
  <c r="BA21" i="8"/>
  <c r="BK80" i="7"/>
  <c r="BL104" i="7"/>
  <c r="U135" i="8"/>
  <c r="U89" i="7"/>
  <c r="U90" i="7"/>
  <c r="U92" i="7" s="1"/>
  <c r="Y110" i="7"/>
  <c r="Z110" i="7" s="1"/>
  <c r="AA110" i="7" s="1"/>
  <c r="AB110" i="7" s="1"/>
  <c r="AG125" i="7"/>
  <c r="AO120" i="8"/>
  <c r="R120" i="8"/>
  <c r="Y120" i="8"/>
  <c r="M135" i="8"/>
  <c r="M121" i="8"/>
  <c r="BO102" i="1"/>
  <c r="CT19" i="8"/>
  <c r="CK29" i="8"/>
  <c r="CK129" i="8" s="1"/>
  <c r="BM166" i="1"/>
  <c r="BN166" i="1"/>
  <c r="BH198" i="1"/>
  <c r="BH199" i="1"/>
  <c r="BL199" i="1"/>
  <c r="CR184" i="1"/>
  <c r="BH200" i="1"/>
  <c r="CU108" i="7"/>
  <c r="CQ81" i="7"/>
  <c r="CF129" i="8"/>
  <c r="BQ29" i="8"/>
  <c r="AX195" i="1"/>
  <c r="AL162" i="7"/>
  <c r="AL164" i="7"/>
  <c r="CT184" i="7"/>
  <c r="CT205" i="7"/>
  <c r="BJ287" i="1"/>
  <c r="BJ288" i="1" s="1"/>
  <c r="AS104" i="7"/>
  <c r="AR103" i="7"/>
  <c r="BC107" i="7"/>
  <c r="BD107" i="7" s="1"/>
  <c r="BD25" i="7" s="1"/>
  <c r="U119" i="8"/>
  <c r="BT16" i="1"/>
  <c r="BU197" i="1"/>
  <c r="BU195" i="1"/>
  <c r="BB30" i="1"/>
  <c r="BB418" i="1"/>
  <c r="AW414" i="1"/>
  <c r="BE107" i="7"/>
  <c r="BF107" i="7" s="1"/>
  <c r="BE108" i="7"/>
  <c r="BF108" i="7" s="1"/>
  <c r="BF26" i="7" s="1"/>
  <c r="BE109" i="7"/>
  <c r="BF109" i="7" s="1"/>
  <c r="BF27" i="7" s="1"/>
  <c r="BZ56" i="7"/>
  <c r="CA56" i="7" s="1"/>
  <c r="CB56" i="7" s="1"/>
  <c r="CC56" i="7" s="1"/>
  <c r="CW56" i="7" s="1"/>
  <c r="N112" i="7"/>
  <c r="AQ44" i="1"/>
  <c r="AQ58" i="1" s="1"/>
  <c r="CT89" i="7"/>
  <c r="BJ179" i="7"/>
  <c r="BS129" i="8"/>
  <c r="BS51" i="8"/>
  <c r="CS135" i="8"/>
  <c r="CS115" i="8"/>
  <c r="CP80" i="7"/>
  <c r="CE89" i="1"/>
  <c r="CE88" i="1" s="1"/>
  <c r="CP121" i="8"/>
  <c r="CP38" i="8"/>
  <c r="AF117" i="8"/>
  <c r="AV103" i="7"/>
  <c r="BE51" i="8"/>
  <c r="BE129" i="8"/>
  <c r="BE130" i="8" s="1"/>
  <c r="AV175" i="7"/>
  <c r="CN29" i="8"/>
  <c r="CN120" i="8"/>
  <c r="AL104" i="7"/>
  <c r="AK101" i="7"/>
  <c r="AK98" i="7"/>
  <c r="CL80" i="7"/>
  <c r="AK104" i="7"/>
  <c r="AO103" i="7"/>
  <c r="AK103" i="7"/>
  <c r="CN121" i="8"/>
  <c r="BR131" i="8"/>
  <c r="P119" i="8"/>
  <c r="BC416" i="1"/>
  <c r="BC30" i="1" s="1"/>
  <c r="BC43" i="1" s="1"/>
  <c r="BC57" i="1" s="1"/>
  <c r="CS168" i="7"/>
  <c r="CS174" i="7" s="1"/>
  <c r="CS199" i="7"/>
  <c r="CS175" i="7" s="1"/>
  <c r="CS201" i="7"/>
  <c r="AU179" i="7"/>
  <c r="AO632" i="1"/>
  <c r="BD199" i="1"/>
  <c r="AZ216" i="1"/>
  <c r="AT85" i="7"/>
  <c r="BG197" i="1"/>
  <c r="BF195" i="1"/>
  <c r="BF196" i="1"/>
  <c r="CR173" i="1"/>
  <c r="BF197" i="1"/>
  <c r="BJ196" i="1"/>
  <c r="DS173" i="1"/>
  <c r="BB430" i="1"/>
  <c r="BB431" i="1"/>
  <c r="BW14" i="1"/>
  <c r="BW146" i="1" s="1"/>
  <c r="AZ104" i="7"/>
  <c r="AY98" i="7"/>
  <c r="AY103" i="7"/>
  <c r="AZ51" i="8"/>
  <c r="AC130" i="8"/>
  <c r="N130" i="8"/>
  <c r="N131" i="8"/>
  <c r="CQ119" i="8"/>
  <c r="AW152" i="7"/>
  <c r="AQ129" i="8"/>
  <c r="AQ130" i="8" s="1"/>
  <c r="AJ131" i="8"/>
  <c r="AZ586" i="1"/>
  <c r="AB112" i="7"/>
  <c r="DR150" i="1"/>
  <c r="CL121" i="8"/>
  <c r="BL195" i="1"/>
  <c r="DQ410" i="1"/>
  <c r="BN51" i="8"/>
  <c r="BI129" i="8"/>
  <c r="CJ133" i="1"/>
  <c r="CJ536" i="1"/>
  <c r="CJ537" i="1"/>
  <c r="CJ145" i="7"/>
  <c r="BB409" i="1"/>
  <c r="BB410" i="1" s="1"/>
  <c r="CT21" i="8"/>
  <c r="CT26" i="8"/>
  <c r="CT119" i="8" s="1"/>
  <c r="BV130" i="8"/>
  <c r="CP107" i="7"/>
  <c r="CP108" i="7"/>
  <c r="CP109" i="7"/>
  <c r="BD98" i="7"/>
  <c r="T138" i="1"/>
  <c r="BH282" i="1"/>
  <c r="BH283" i="1"/>
  <c r="BH213" i="1"/>
  <c r="AS151" i="1"/>
  <c r="O29" i="8"/>
  <c r="CG28" i="8"/>
  <c r="CG119" i="8" s="1"/>
  <c r="O119" i="8"/>
  <c r="R200" i="7"/>
  <c r="BA29" i="8"/>
  <c r="CP21" i="8"/>
  <c r="BA120" i="8"/>
  <c r="AI102" i="1"/>
  <c r="AI554" i="1" s="1"/>
  <c r="CL19" i="8"/>
  <c r="CL29" i="8"/>
  <c r="CL129" i="8" s="1"/>
  <c r="AI29" i="8"/>
  <c r="CT13" i="8"/>
  <c r="AM535" i="1"/>
  <c r="S131" i="8"/>
  <c r="CM42" i="8"/>
  <c r="AM49" i="8"/>
  <c r="BG196" i="1"/>
  <c r="CT34" i="8"/>
  <c r="BO38" i="8"/>
  <c r="CS118" i="1"/>
  <c r="AQ408" i="1"/>
  <c r="AQ29" i="1"/>
  <c r="AU407" i="1"/>
  <c r="AQ412" i="1"/>
  <c r="AR408" i="1"/>
  <c r="AV130" i="8"/>
  <c r="Q164" i="7"/>
  <c r="AK131" i="8"/>
  <c r="AK130" i="8"/>
  <c r="BC109" i="7"/>
  <c r="BC27" i="7" s="1"/>
  <c r="CG29" i="8"/>
  <c r="CN129" i="8"/>
  <c r="CN130" i="8" s="1"/>
  <c r="P129" i="8"/>
  <c r="P130" i="8" s="1"/>
  <c r="CK178" i="7"/>
  <c r="BO103" i="1"/>
  <c r="BS130" i="8"/>
  <c r="BW19" i="1"/>
  <c r="BW25" i="1" s="1"/>
  <c r="BW131" i="1" s="1"/>
  <c r="CS178" i="7"/>
  <c r="BD110" i="7"/>
  <c r="BD28" i="7" s="1"/>
  <c r="AI129" i="8"/>
  <c r="AI130" i="8" s="1"/>
  <c r="CF130" i="8"/>
  <c r="CF131" i="8"/>
  <c r="P131" i="8"/>
  <c r="CN432" i="1"/>
  <c r="BN103" i="1"/>
  <c r="CT472" i="1"/>
  <c r="BT540" i="1"/>
  <c r="BC196" i="1"/>
  <c r="DT88" i="1"/>
  <c r="O603" i="1"/>
  <c r="O594" i="1"/>
  <c r="P590" i="1" s="1"/>
  <c r="P603" i="1" s="1"/>
  <c r="O602" i="1"/>
  <c r="BP88" i="1"/>
  <c r="CT89" i="1"/>
  <c r="AW209" i="1"/>
  <c r="AW443" i="1"/>
  <c r="AW438" i="1"/>
  <c r="BB490" i="1"/>
  <c r="BB37" i="1"/>
  <c r="BB50" i="1" s="1"/>
  <c r="BI281" i="1"/>
  <c r="BI283" i="1" s="1"/>
  <c r="BI288" i="1"/>
  <c r="BU21" i="1"/>
  <c r="BU129" i="1"/>
  <c r="BE21" i="1"/>
  <c r="BE130" i="1"/>
  <c r="BV161" i="1"/>
  <c r="BV166" i="1"/>
  <c r="CL546" i="1"/>
  <c r="BM199" i="1"/>
  <c r="BB374" i="1"/>
  <c r="BC16" i="1"/>
  <c r="CN598" i="1"/>
  <c r="P598" i="1"/>
  <c r="U593" i="1"/>
  <c r="BB576" i="1"/>
  <c r="BN551" i="1"/>
  <c r="Y551" i="1"/>
  <c r="AV546" i="1"/>
  <c r="CL541" i="1"/>
  <c r="CQ507" i="1"/>
  <c r="CM507" i="1"/>
  <c r="BF502" i="1"/>
  <c r="BP472" i="1"/>
  <c r="BC237" i="1"/>
  <c r="CL601" i="1"/>
  <c r="DT181" i="1"/>
  <c r="CS598" i="1"/>
  <c r="CS596" i="1" s="1"/>
  <c r="CS608" i="1" s="1"/>
  <c r="AM586" i="1"/>
  <c r="CK582" i="1"/>
  <c r="CK587" i="1" s="1"/>
  <c r="BB551" i="1"/>
  <c r="O546" i="1"/>
  <c r="BN472" i="1"/>
  <c r="CL440" i="1"/>
  <c r="AG379" i="1"/>
  <c r="Z380" i="1"/>
  <c r="BS301" i="1"/>
  <c r="DU14" i="1"/>
  <c r="X619" i="1"/>
  <c r="O578" i="1"/>
  <c r="BJ551" i="1"/>
  <c r="BF551" i="1"/>
  <c r="U546" i="1"/>
  <c r="BN539" i="1"/>
  <c r="L539" i="1"/>
  <c r="DT492" i="1"/>
  <c r="DP494" i="1"/>
  <c r="DQ495" i="1" s="1"/>
  <c r="CR482" i="1"/>
  <c r="DT180" i="1"/>
  <c r="DS176" i="1"/>
  <c r="CE102" i="1"/>
  <c r="CE554" i="1" s="1"/>
  <c r="BC67" i="1"/>
  <c r="BB11" i="1"/>
  <c r="BB131" i="7" s="1"/>
  <c r="BW116" i="8"/>
  <c r="BK199" i="1"/>
  <c r="BG199" i="1"/>
  <c r="BW200" i="1"/>
  <c r="BB197" i="1"/>
  <c r="CT102" i="1"/>
  <c r="Q546" i="1"/>
  <c r="DV187" i="1"/>
  <c r="DP186" i="1"/>
  <c r="CU178" i="1"/>
  <c r="CQ176" i="1"/>
  <c r="DP175" i="1"/>
  <c r="CT118" i="1"/>
  <c r="CN173" i="1"/>
  <c r="CO196" i="1" s="1"/>
  <c r="CN190" i="1"/>
  <c r="DR181" i="1"/>
  <c r="CQ175" i="1"/>
  <c r="BV173" i="1"/>
  <c r="BV197" i="1" s="1"/>
  <c r="BR173" i="1"/>
  <c r="BS197" i="1" s="1"/>
  <c r="CP192" i="1"/>
  <c r="CP224" i="1" s="1"/>
  <c r="DV181" i="1"/>
  <c r="DS178" i="1"/>
  <c r="DT176" i="1"/>
  <c r="DQ175" i="1"/>
  <c r="CS102" i="1"/>
  <c r="BX300" i="1"/>
  <c r="BW242" i="1"/>
  <c r="AI131" i="8"/>
  <c r="BG109" i="7"/>
  <c r="BB398" i="1"/>
  <c r="BB399" i="1" s="1"/>
  <c r="AZ572" i="1"/>
  <c r="U51" i="8"/>
  <c r="CN49" i="8"/>
  <c r="CS145" i="1"/>
  <c r="DU102" i="1"/>
  <c r="AK128" i="1"/>
  <c r="AB98" i="7"/>
  <c r="AH129" i="8"/>
  <c r="BK539" i="1"/>
  <c r="U98" i="7"/>
  <c r="DO67" i="1"/>
  <c r="CN102" i="1"/>
  <c r="AX197" i="1"/>
  <c r="DQ173" i="1"/>
  <c r="AN71" i="1"/>
  <c r="AN137" i="1" s="1"/>
  <c r="CE102" i="8"/>
  <c r="CE55" i="8" s="1"/>
  <c r="J53" i="8"/>
  <c r="J55" i="8" s="1"/>
  <c r="K53" i="8" s="1"/>
  <c r="J100" i="8"/>
  <c r="AK71" i="1"/>
  <c r="AK137" i="1" s="1"/>
  <c r="CP201" i="7"/>
  <c r="AN134" i="7"/>
  <c r="CU70" i="7"/>
  <c r="CU69" i="7"/>
  <c r="AW36" i="1"/>
  <c r="AW213" i="1"/>
  <c r="AW468" i="1"/>
  <c r="CJ129" i="8"/>
  <c r="CT32" i="8"/>
  <c r="AW479" i="1"/>
  <c r="AW480" i="1"/>
  <c r="BV27" i="7"/>
  <c r="BW109" i="7"/>
  <c r="BV18" i="7"/>
  <c r="BW124" i="7"/>
  <c r="BO110" i="7"/>
  <c r="BO28" i="7" s="1"/>
  <c r="BN28" i="7"/>
  <c r="U570" i="1"/>
  <c r="U598" i="1"/>
  <c r="V151" i="1"/>
  <c r="R166" i="1"/>
  <c r="R71" i="1"/>
  <c r="R134" i="8" s="1"/>
  <c r="R136" i="8" s="1"/>
  <c r="R137" i="8" s="1"/>
  <c r="CO501" i="1"/>
  <c r="CP501" i="1"/>
  <c r="X54" i="1"/>
  <c r="X148" i="1"/>
  <c r="X71" i="1"/>
  <c r="CR591" i="1"/>
  <c r="BJ200" i="1"/>
  <c r="AX200" i="1"/>
  <c r="AX216" i="1"/>
  <c r="AX198" i="1"/>
  <c r="CQ184" i="1"/>
  <c r="CU575" i="1"/>
  <c r="CV567" i="1"/>
  <c r="CH603" i="1"/>
  <c r="CH594" i="1"/>
  <c r="CI590" i="1" s="1"/>
  <c r="CI602" i="1" s="1"/>
  <c r="BI24" i="1"/>
  <c r="BI130" i="1" s="1"/>
  <c r="BD239" i="1"/>
  <c r="Q134" i="7"/>
  <c r="DI67" i="1"/>
  <c r="U141" i="7"/>
  <c r="AY199" i="1"/>
  <c r="CS601" i="1"/>
  <c r="BO23" i="1"/>
  <c r="AF71" i="1"/>
  <c r="AF54" i="1"/>
  <c r="AF128" i="1"/>
  <c r="AF163" i="1"/>
  <c r="CF110" i="7"/>
  <c r="CF107" i="7"/>
  <c r="CU67" i="1"/>
  <c r="AX447" i="1"/>
  <c r="AX454" i="1"/>
  <c r="AY453" i="1"/>
  <c r="AZ453" i="1" s="1"/>
  <c r="AZ447" i="1" s="1"/>
  <c r="AZ210" i="1" s="1"/>
  <c r="AY49" i="8"/>
  <c r="AY51" i="8" s="1"/>
  <c r="CU169" i="7"/>
  <c r="CU176" i="7" s="1"/>
  <c r="CU183" i="7"/>
  <c r="AW196" i="1"/>
  <c r="CS43" i="8"/>
  <c r="AS61" i="1"/>
  <c r="AS496" i="1"/>
  <c r="AS36" i="1"/>
  <c r="DP36" i="1" s="1"/>
  <c r="S98" i="8"/>
  <c r="K98" i="8"/>
  <c r="CO30" i="1"/>
  <c r="AC171" i="7"/>
  <c r="AC179" i="7" s="1"/>
  <c r="AD168" i="7"/>
  <c r="AD170" i="7" s="1"/>
  <c r="AD164" i="7" s="1"/>
  <c r="T168" i="7"/>
  <c r="T174" i="7" s="1"/>
  <c r="AA76" i="8"/>
  <c r="AA98" i="8" s="1"/>
  <c r="CI76" i="8"/>
  <c r="CI98" i="8" s="1"/>
  <c r="BI38" i="8"/>
  <c r="BI51" i="8" s="1"/>
  <c r="BP76" i="8"/>
  <c r="BP98" i="8" s="1"/>
  <c r="G49" i="8"/>
  <c r="G51" i="8" s="1"/>
  <c r="G55" i="8" s="1"/>
  <c r="G103" i="8" s="1"/>
  <c r="AK135" i="8"/>
  <c r="BS85" i="8"/>
  <c r="BS98" i="8" s="1"/>
  <c r="P602" i="1"/>
  <c r="CU173" i="1"/>
  <c r="CU196" i="1" s="1"/>
  <c r="DW173" i="1"/>
  <c r="DW205" i="1" s="1"/>
  <c r="AH131" i="8"/>
  <c r="AH130" i="8"/>
  <c r="J102" i="8"/>
  <c r="K100" i="8"/>
  <c r="CT121" i="8"/>
  <c r="CP120" i="8"/>
  <c r="CR89" i="7"/>
  <c r="BI98" i="7"/>
  <c r="AI163" i="1"/>
  <c r="AI54" i="1"/>
  <c r="AI71" i="1"/>
  <c r="AY433" i="1"/>
  <c r="BH29" i="8"/>
  <c r="CR21" i="8"/>
  <c r="BC429" i="1"/>
  <c r="BC431" i="1" s="1"/>
  <c r="BD419" i="1"/>
  <c r="BD429" i="1" s="1"/>
  <c r="BD430" i="1" s="1"/>
  <c r="DR419" i="1"/>
  <c r="BV195" i="1"/>
  <c r="BI130" i="8"/>
  <c r="BI131" i="8"/>
  <c r="CG121" i="8"/>
  <c r="CG129" i="8"/>
  <c r="CH171" i="7"/>
  <c r="CH176" i="7"/>
  <c r="O129" i="8"/>
  <c r="CT120" i="8"/>
  <c r="CT29" i="8"/>
  <c r="AH51" i="8"/>
  <c r="AR103" i="1"/>
  <c r="DP103" i="1" s="1"/>
  <c r="CP70" i="7"/>
  <c r="CP69" i="7" s="1"/>
  <c r="CP49" i="8"/>
  <c r="BI587" i="1"/>
  <c r="AE53" i="8"/>
  <c r="AD56" i="8"/>
  <c r="O51" i="8"/>
  <c r="AB634" i="1"/>
  <c r="BH120" i="8"/>
  <c r="BQ129" i="8"/>
  <c r="BQ51" i="8"/>
  <c r="DS67" i="1"/>
  <c r="BQ598" i="1"/>
  <c r="BQ570" i="1"/>
  <c r="CT570" i="1" s="1"/>
  <c r="CT592" i="1"/>
  <c r="CM49" i="8"/>
  <c r="AR129" i="8"/>
  <c r="AR51" i="8"/>
  <c r="AU38" i="8"/>
  <c r="AU51" i="8" s="1"/>
  <c r="AM102" i="8"/>
  <c r="BO80" i="7"/>
  <c r="BO121" i="8"/>
  <c r="BB21" i="1"/>
  <c r="BB130" i="1"/>
  <c r="BA64" i="1"/>
  <c r="CG151" i="1"/>
  <c r="CR151" i="1"/>
  <c r="BW110" i="7"/>
  <c r="AM110" i="7"/>
  <c r="AN110" i="7" s="1"/>
  <c r="CS24" i="8"/>
  <c r="CO432" i="1"/>
  <c r="CO208" i="1"/>
  <c r="CU49" i="8"/>
  <c r="AY464" i="1"/>
  <c r="AZ463" i="1"/>
  <c r="AZ464" i="1" s="1"/>
  <c r="AY457" i="1"/>
  <c r="AY34" i="1" s="1"/>
  <c r="AY47" i="1" s="1"/>
  <c r="I29" i="8"/>
  <c r="BE16" i="1"/>
  <c r="AM178" i="7"/>
  <c r="BV98" i="8"/>
  <c r="CH49" i="8"/>
  <c r="AW31" i="1"/>
  <c r="CP416" i="1"/>
  <c r="CP422" i="1" s="1"/>
  <c r="BA207" i="1"/>
  <c r="CJ120" i="8"/>
  <c r="CN119" i="8"/>
  <c r="CJ150" i="1"/>
  <c r="BC255" i="1"/>
  <c r="BU211" i="7"/>
  <c r="CR550" i="1"/>
  <c r="CR551" i="1" s="1"/>
  <c r="AL399" i="1"/>
  <c r="CU49" i="7"/>
  <c r="AU29" i="1"/>
  <c r="AU412" i="1"/>
  <c r="AV414" i="1" s="1"/>
  <c r="CE584" i="1"/>
  <c r="CF581" i="1" s="1"/>
  <c r="CF584" i="1" s="1"/>
  <c r="CG581" i="1" s="1"/>
  <c r="CG584" i="1" s="1"/>
  <c r="CH581" i="1" s="1"/>
  <c r="CH584" i="1" s="1"/>
  <c r="CI581" i="1" s="1"/>
  <c r="S546" i="1"/>
  <c r="BG150" i="1"/>
  <c r="W206" i="7"/>
  <c r="W147" i="7" s="1"/>
  <c r="CJ85" i="8"/>
  <c r="CJ98" i="8" s="1"/>
  <c r="AW121" i="8"/>
  <c r="AW80" i="7"/>
  <c r="AK119" i="8"/>
  <c r="AD584" i="1"/>
  <c r="AE581" i="1" s="1"/>
  <c r="AE584" i="1" s="1"/>
  <c r="AF581" i="1" s="1"/>
  <c r="AF584" i="1" s="1"/>
  <c r="AG581" i="1" s="1"/>
  <c r="AG584" i="1" s="1"/>
  <c r="AH581" i="1" s="1"/>
  <c r="AH584" i="1" s="1"/>
  <c r="AI581" i="1" s="1"/>
  <c r="AI584" i="1" s="1"/>
  <c r="AJ581" i="1" s="1"/>
  <c r="AJ584" i="1" s="1"/>
  <c r="AK581" i="1" s="1"/>
  <c r="AK584" i="1" s="1"/>
  <c r="AL581" i="1" s="1"/>
  <c r="AL584" i="1" s="1"/>
  <c r="AM581" i="1" s="1"/>
  <c r="AM584" i="1" s="1"/>
  <c r="AN581" i="1" s="1"/>
  <c r="AN584" i="1" s="1"/>
  <c r="AO581" i="1" s="1"/>
  <c r="AO584" i="1" s="1"/>
  <c r="AP581" i="1" s="1"/>
  <c r="AP584" i="1" s="1"/>
  <c r="AQ581" i="1" s="1"/>
  <c r="AQ584" i="1" s="1"/>
  <c r="AR581" i="1" s="1"/>
  <c r="AR584" i="1" s="1"/>
  <c r="AS581" i="1" s="1"/>
  <c r="AS584" i="1" s="1"/>
  <c r="AT581" i="1" s="1"/>
  <c r="AT584" i="1" s="1"/>
  <c r="AU581" i="1" s="1"/>
  <c r="AI576" i="1"/>
  <c r="S576" i="1"/>
  <c r="CP482" i="1"/>
  <c r="CR461" i="1"/>
  <c r="DM409" i="1"/>
  <c r="AF166" i="1"/>
  <c r="BR211" i="7"/>
  <c r="V200" i="7"/>
  <c r="CO24" i="8"/>
  <c r="CO29" i="8" s="1"/>
  <c r="AN120" i="8"/>
  <c r="AN117" i="8"/>
  <c r="AW120" i="8"/>
  <c r="BE135" i="8"/>
  <c r="BE115" i="8"/>
  <c r="AO115" i="8"/>
  <c r="AO135" i="8"/>
  <c r="Q115" i="8"/>
  <c r="Q135" i="8"/>
  <c r="BA171" i="7"/>
  <c r="BA51" i="7"/>
  <c r="BA62" i="7" s="1"/>
  <c r="AK51" i="7"/>
  <c r="W80" i="7"/>
  <c r="W121" i="8"/>
  <c r="Z119" i="8"/>
  <c r="Z122" i="8"/>
  <c r="Z123" i="8" s="1"/>
  <c r="AE578" i="1"/>
  <c r="AK107" i="7"/>
  <c r="AL107" i="7" s="1"/>
  <c r="BK578" i="1"/>
  <c r="AZ576" i="1"/>
  <c r="CP576" i="1" s="1"/>
  <c r="AV576" i="1"/>
  <c r="AG576" i="1"/>
  <c r="AT578" i="1"/>
  <c r="AM551" i="1"/>
  <c r="BO551" i="1"/>
  <c r="AY551" i="1"/>
  <c r="AV551" i="1"/>
  <c r="CJ540" i="1"/>
  <c r="AU213" i="1"/>
  <c r="AZ219" i="1"/>
  <c r="CL378" i="1"/>
  <c r="CL379" i="1" s="1"/>
  <c r="BT234" i="1"/>
  <c r="DP177" i="1"/>
  <c r="AN206" i="7"/>
  <c r="AN147" i="7" s="1"/>
  <c r="X206" i="7"/>
  <c r="X147" i="7" s="1"/>
  <c r="AR171" i="7"/>
  <c r="X98" i="7"/>
  <c r="AJ62" i="7"/>
  <c r="AJ63" i="7" s="1"/>
  <c r="AB51" i="7"/>
  <c r="AB62" i="7" s="1"/>
  <c r="AB63" i="7" s="1"/>
  <c r="AY98" i="8"/>
  <c r="X98" i="8"/>
  <c r="K38" i="8"/>
  <c r="K51" i="8" s="1"/>
  <c r="BM135" i="8"/>
  <c r="U51" i="7"/>
  <c r="U62" i="7" s="1"/>
  <c r="M51" i="7"/>
  <c r="BS183" i="7"/>
  <c r="CJ128" i="7"/>
  <c r="CO125" i="7"/>
  <c r="CN169" i="7"/>
  <c r="CN176" i="7" s="1"/>
  <c r="BK76" i="8"/>
  <c r="BK98" i="8" s="1"/>
  <c r="BG76" i="8"/>
  <c r="BG98" i="8" s="1"/>
  <c r="CO76" i="8"/>
  <c r="CO98" i="8" s="1"/>
  <c r="I38" i="8"/>
  <c r="CR24" i="8"/>
  <c r="AF98" i="7"/>
  <c r="AH98" i="7"/>
  <c r="CM68" i="7"/>
  <c r="CN167" i="7"/>
  <c r="BH33" i="7"/>
  <c r="P94" i="7"/>
  <c r="P102" i="7" s="1"/>
  <c r="CR128" i="7"/>
  <c r="H28" i="8"/>
  <c r="H29" i="8" s="1"/>
  <c r="H51" i="8" s="1"/>
  <c r="CT37" i="8"/>
  <c r="CT38" i="8"/>
  <c r="J103" i="8"/>
  <c r="BJ21" i="1"/>
  <c r="CE130" i="8"/>
  <c r="CE131" i="8"/>
  <c r="BA51" i="8"/>
  <c r="AQ38" i="8"/>
  <c r="AQ51" i="8" s="1"/>
  <c r="BJ16" i="1"/>
  <c r="DT184" i="1"/>
  <c r="BP163" i="7"/>
  <c r="BA151" i="1"/>
  <c r="CP541" i="1"/>
  <c r="AT197" i="1"/>
  <c r="BF267" i="1"/>
  <c r="BE261" i="1"/>
  <c r="CQ261" i="1" s="1"/>
  <c r="BB363" i="1"/>
  <c r="BB206" i="1"/>
  <c r="CH130" i="7"/>
  <c r="CO151" i="1"/>
  <c r="BD263" i="1"/>
  <c r="BD210" i="1"/>
  <c r="AC151" i="7"/>
  <c r="AU135" i="8"/>
  <c r="CT45" i="8"/>
  <c r="BO582" i="1"/>
  <c r="BO70" i="7"/>
  <c r="BO69" i="7" s="1"/>
  <c r="AR44" i="1"/>
  <c r="BX90" i="1"/>
  <c r="BX89" i="1" s="1"/>
  <c r="BX88" i="1" s="1"/>
  <c r="CA90" i="1"/>
  <c r="CA89" i="1" s="1"/>
  <c r="CA88" i="1" s="1"/>
  <c r="DW90" i="1"/>
  <c r="X598" i="1"/>
  <c r="Y592" i="1"/>
  <c r="Y570" i="1" s="1"/>
  <c r="X570" i="1"/>
  <c r="BJ576" i="1"/>
  <c r="BJ578" i="1"/>
  <c r="AH576" i="1"/>
  <c r="AH578" i="1"/>
  <c r="V576" i="1"/>
  <c r="V578" i="1"/>
  <c r="BW198" i="1"/>
  <c r="BH238" i="1"/>
  <c r="AV468" i="1"/>
  <c r="AV213" i="1"/>
  <c r="AW198" i="1"/>
  <c r="CL592" i="1"/>
  <c r="CL608" i="1" s="1"/>
  <c r="AK570" i="1"/>
  <c r="CL570" i="1" s="1"/>
  <c r="AK598" i="1"/>
  <c r="CL598" i="1" s="1"/>
  <c r="L576" i="1"/>
  <c r="L578" i="1"/>
  <c r="Z200" i="7"/>
  <c r="Z175" i="7"/>
  <c r="AL619" i="1"/>
  <c r="AL633" i="1"/>
  <c r="CR592" i="1"/>
  <c r="BI598" i="1"/>
  <c r="CR598" i="1" s="1"/>
  <c r="BI570" i="1"/>
  <c r="CR570" i="1" s="1"/>
  <c r="AM576" i="1"/>
  <c r="AM578" i="1"/>
  <c r="CR567" i="1"/>
  <c r="CR575" i="1" s="1"/>
  <c r="CQ575" i="1"/>
  <c r="BO199" i="1"/>
  <c r="BT238" i="1"/>
  <c r="AY582" i="1"/>
  <c r="AY70" i="7"/>
  <c r="AY69" i="7" s="1"/>
  <c r="BV200" i="1"/>
  <c r="BU198" i="1"/>
  <c r="BR118" i="7"/>
  <c r="BR140" i="7" s="1"/>
  <c r="BR620" i="1"/>
  <c r="BR133" i="1"/>
  <c r="BR622" i="1"/>
  <c r="BR101" i="7"/>
  <c r="BR134" i="1"/>
  <c r="BR554" i="1"/>
  <c r="AQ89" i="7"/>
  <c r="AQ135" i="8"/>
  <c r="I135" i="1"/>
  <c r="M151" i="1"/>
  <c r="CI626" i="1"/>
  <c r="CI628" i="1"/>
  <c r="CI627" i="1"/>
  <c r="BT592" i="1"/>
  <c r="BT570" i="1" s="1"/>
  <c r="BS598" i="1"/>
  <c r="BS570" i="1"/>
  <c r="AN586" i="1"/>
  <c r="CM582" i="1"/>
  <c r="AR578" i="1"/>
  <c r="AR576" i="1"/>
  <c r="BA30" i="1"/>
  <c r="BP601" i="1"/>
  <c r="BM578" i="1"/>
  <c r="AD578" i="1"/>
  <c r="K576" i="1"/>
  <c r="CO541" i="1"/>
  <c r="AV457" i="1"/>
  <c r="AV437" i="1" s="1"/>
  <c r="AV464" i="1"/>
  <c r="BS601" i="1"/>
  <c r="CJ541" i="1"/>
  <c r="AK496" i="1"/>
  <c r="AM495" i="1"/>
  <c r="AQ437" i="1"/>
  <c r="BA441" i="1"/>
  <c r="AH496" i="1"/>
  <c r="AH495" i="1"/>
  <c r="BP211" i="7"/>
  <c r="AY43" i="1"/>
  <c r="CL41" i="8"/>
  <c r="CQ36" i="8"/>
  <c r="CQ38" i="8" s="1"/>
  <c r="V120" i="8"/>
  <c r="AJ168" i="7"/>
  <c r="BW13" i="1"/>
  <c r="BW18" i="1" s="1"/>
  <c r="BW24" i="1" s="1"/>
  <c r="BW130" i="1" s="1"/>
  <c r="AW103" i="7"/>
  <c r="BA103" i="7"/>
  <c r="AW104" i="7"/>
  <c r="CO80" i="7"/>
  <c r="AX104" i="7"/>
  <c r="BO103" i="7"/>
  <c r="BP104" i="7"/>
  <c r="BO98" i="7"/>
  <c r="BS103" i="7"/>
  <c r="AW98" i="7"/>
  <c r="CO119" i="8"/>
  <c r="AA103" i="7"/>
  <c r="CT129" i="8"/>
  <c r="AU56" i="1"/>
  <c r="AU524" i="1" s="1"/>
  <c r="I51" i="8"/>
  <c r="BQ130" i="8"/>
  <c r="BQ131" i="8"/>
  <c r="CG130" i="8"/>
  <c r="BH129" i="8"/>
  <c r="BH51" i="8"/>
  <c r="AY458" i="1"/>
  <c r="O131" i="8"/>
  <c r="O130" i="8"/>
  <c r="BD420" i="1"/>
  <c r="BD416" i="1"/>
  <c r="BD417" i="1" s="1"/>
  <c r="BE419" i="1"/>
  <c r="BE416" i="1" s="1"/>
  <c r="CQ416" i="1" s="1"/>
  <c r="AV34" i="1"/>
  <c r="CN89" i="7"/>
  <c r="CT70" i="7"/>
  <c r="CT69" i="7"/>
  <c r="CT49" i="8"/>
  <c r="CT51" i="8" s="1"/>
  <c r="AY586" i="1"/>
  <c r="AY572" i="1" s="1"/>
  <c r="CP582" i="1"/>
  <c r="AV35" i="1"/>
  <c r="AV474" i="1"/>
  <c r="AV475" i="1" s="1"/>
  <c r="BA43" i="1"/>
  <c r="CP30" i="1"/>
  <c r="AN572" i="1"/>
  <c r="BD30" i="1"/>
  <c r="BD43" i="1" s="1"/>
  <c r="BH130" i="8"/>
  <c r="BH131" i="8"/>
  <c r="CT130" i="8"/>
  <c r="AM107" i="7"/>
  <c r="AN107" i="7" s="1"/>
  <c r="AZ33" i="1"/>
  <c r="AZ448" i="1"/>
  <c r="BA129" i="8"/>
  <c r="BA453" i="1"/>
  <c r="BA454" i="1" s="1"/>
  <c r="R137" i="1"/>
  <c r="CI594" i="1"/>
  <c r="CJ590" i="1" s="1"/>
  <c r="T178" i="7"/>
  <c r="AW395" i="1"/>
  <c r="AW382" i="1" s="1"/>
  <c r="AW378" i="1" s="1"/>
  <c r="AW537" i="1" s="1"/>
  <c r="AW469" i="1"/>
  <c r="AX448" i="1"/>
  <c r="BB134" i="1"/>
  <c r="AI103" i="1"/>
  <c r="AP91" i="7"/>
  <c r="AP29" i="7" s="1"/>
  <c r="AP24" i="7" s="1"/>
  <c r="AP98" i="7"/>
  <c r="R72" i="1"/>
  <c r="AW212" i="1"/>
  <c r="R78" i="1"/>
  <c r="T163" i="7"/>
  <c r="AX210" i="1"/>
  <c r="BB118" i="7"/>
  <c r="BB140" i="7" s="1"/>
  <c r="DM102" i="1"/>
  <c r="BR507" i="1"/>
  <c r="CT541" i="1"/>
  <c r="BT120" i="7"/>
  <c r="BT142" i="7" s="1"/>
  <c r="BT146" i="7"/>
  <c r="BP196" i="1"/>
  <c r="AH554" i="1"/>
  <c r="BM620" i="1"/>
  <c r="BM118" i="7"/>
  <c r="BM140" i="7" s="1"/>
  <c r="AZ129" i="8"/>
  <c r="BK98" i="7"/>
  <c r="BK103" i="7"/>
  <c r="BK104" i="7"/>
  <c r="BQ91" i="7"/>
  <c r="BR88" i="7" s="1"/>
  <c r="BR90" i="7" s="1"/>
  <c r="DQ150" i="1"/>
  <c r="CT550" i="1"/>
  <c r="BJ211" i="7"/>
  <c r="AS166" i="1"/>
  <c r="BM101" i="7"/>
  <c r="BM143" i="1"/>
  <c r="BM187" i="7" s="1"/>
  <c r="BM623" i="1"/>
  <c r="BM554" i="1"/>
  <c r="CS11" i="1"/>
  <c r="CS80" i="7"/>
  <c r="AT60" i="1"/>
  <c r="CU119" i="8"/>
  <c r="BG29" i="8"/>
  <c r="BG51" i="8" s="1"/>
  <c r="CF120" i="8"/>
  <c r="CR20" i="8"/>
  <c r="BC515" i="1"/>
  <c r="BC522" i="1" s="1"/>
  <c r="BM198" i="1"/>
  <c r="CR451" i="1"/>
  <c r="CQ451" i="1"/>
  <c r="V379" i="1"/>
  <c r="Z379" i="1"/>
  <c r="P380" i="1"/>
  <c r="O379" i="1"/>
  <c r="S379" i="1"/>
  <c r="BD313" i="1"/>
  <c r="BE313" i="1" s="1"/>
  <c r="BC307" i="1"/>
  <c r="BC309" i="1" s="1"/>
  <c r="CS296" i="1"/>
  <c r="CT296" i="1"/>
  <c r="BJ501" i="1"/>
  <c r="AV501" i="1"/>
  <c r="DV471" i="1"/>
  <c r="DV223" i="1" s="1"/>
  <c r="BR473" i="1"/>
  <c r="CP592" i="1"/>
  <c r="BA598" i="1"/>
  <c r="CP598" i="1" s="1"/>
  <c r="BA570" i="1"/>
  <c r="CP570" i="1" s="1"/>
  <c r="CS573" i="1"/>
  <c r="CT567" i="1" s="1"/>
  <c r="CT575" i="1" s="1"/>
  <c r="BN567" i="1"/>
  <c r="BN601" i="1" s="1"/>
  <c r="AQ496" i="1"/>
  <c r="AP496" i="1"/>
  <c r="AT495" i="1"/>
  <c r="AP410" i="1"/>
  <c r="AV496" i="1"/>
  <c r="AW496" i="1"/>
  <c r="AV495" i="1"/>
  <c r="AZ495" i="1"/>
  <c r="AM410" i="1"/>
  <c r="BS230" i="1"/>
  <c r="N131" i="7"/>
  <c r="CL184" i="7"/>
  <c r="BJ121" i="8"/>
  <c r="BA130" i="8"/>
  <c r="BD307" i="1"/>
  <c r="BD212" i="1" s="1"/>
  <c r="BG129" i="8"/>
  <c r="AZ130" i="8"/>
  <c r="AW205" i="1"/>
  <c r="BG130" i="8"/>
  <c r="CU110" i="7" l="1"/>
  <c r="CS183" i="7"/>
  <c r="CF109" i="7"/>
  <c r="CP124" i="7"/>
  <c r="CP123" i="7"/>
  <c r="AC152" i="7"/>
  <c r="CN22" i="7"/>
  <c r="BM211" i="7"/>
  <c r="BA211" i="7"/>
  <c r="AO211" i="7"/>
  <c r="AC206" i="7"/>
  <c r="AC147" i="7" s="1"/>
  <c r="AD178" i="7"/>
  <c r="BC25" i="7"/>
  <c r="CU109" i="7"/>
  <c r="Z206" i="7"/>
  <c r="Z147" i="7" s="1"/>
  <c r="Z546" i="1"/>
  <c r="AX206" i="7"/>
  <c r="AB82" i="7"/>
  <c r="AB176" i="7"/>
  <c r="AB171" i="7"/>
  <c r="AB179" i="7" s="1"/>
  <c r="AQ88" i="7"/>
  <c r="AQ90" i="7" s="1"/>
  <c r="AQ91" i="7" s="1"/>
  <c r="AQ29" i="7" s="1"/>
  <c r="AQ24" i="7" s="1"/>
  <c r="BP110" i="7"/>
  <c r="BP28" i="7" s="1"/>
  <c r="X171" i="7"/>
  <c r="CT24" i="7"/>
  <c r="BQ83" i="7"/>
  <c r="BR79" i="7" s="1"/>
  <c r="BR83" i="7" s="1"/>
  <c r="BR84" i="7" s="1"/>
  <c r="BR97" i="7" s="1"/>
  <c r="BQ107" i="7"/>
  <c r="BQ108" i="7"/>
  <c r="BQ109" i="7"/>
  <c r="BQ177" i="7"/>
  <c r="BQ163" i="7"/>
  <c r="BK179" i="7"/>
  <c r="BK211" i="7"/>
  <c r="CU167" i="7"/>
  <c r="CU171" i="7" s="1"/>
  <c r="CU179" i="7" s="1"/>
  <c r="CU549" i="1"/>
  <c r="CU551" i="1" s="1"/>
  <c r="BL79" i="7"/>
  <c r="BK94" i="7"/>
  <c r="BL102" i="7" s="1"/>
  <c r="W168" i="7"/>
  <c r="W163" i="7" s="1"/>
  <c r="W201" i="7"/>
  <c r="O168" i="7"/>
  <c r="O174" i="7" s="1"/>
  <c r="O199" i="7"/>
  <c r="O175" i="7" s="1"/>
  <c r="CH68" i="7"/>
  <c r="CG60" i="7"/>
  <c r="BN62" i="7"/>
  <c r="BN63" i="7" s="1"/>
  <c r="CQ549" i="1"/>
  <c r="CQ551" i="1" s="1"/>
  <c r="CM549" i="1"/>
  <c r="CM551" i="1" s="1"/>
  <c r="CV41" i="7"/>
  <c r="BZ41" i="7"/>
  <c r="CA41" i="7" s="1"/>
  <c r="CB41" i="7" s="1"/>
  <c r="CC41" i="7" s="1"/>
  <c r="CW41" i="7" s="1"/>
  <c r="CX41" i="7" s="1"/>
  <c r="CY41" i="7" s="1"/>
  <c r="CZ41" i="7" s="1"/>
  <c r="DA41" i="7" s="1"/>
  <c r="DB41" i="7" s="1"/>
  <c r="DC41" i="7" s="1"/>
  <c r="CQ205" i="7"/>
  <c r="CI43" i="7"/>
  <c r="CE43" i="7"/>
  <c r="CG184" i="7"/>
  <c r="CG182" i="7"/>
  <c r="CH205" i="7"/>
  <c r="CH43" i="7"/>
  <c r="CH51" i="7" s="1"/>
  <c r="CS109" i="7"/>
  <c r="CS108" i="7"/>
  <c r="W79" i="7"/>
  <c r="W84" i="7" s="1"/>
  <c r="W97" i="7" s="1"/>
  <c r="V94" i="7"/>
  <c r="V102" i="7" s="1"/>
  <c r="R94" i="7"/>
  <c r="S79" i="7"/>
  <c r="O79" i="7"/>
  <c r="N84" i="7"/>
  <c r="N97" i="7" s="1"/>
  <c r="CH183" i="7"/>
  <c r="CP22" i="7"/>
  <c r="CP33" i="7" s="1"/>
  <c r="CQ152" i="7" s="1"/>
  <c r="CP128" i="7"/>
  <c r="CO192" i="7"/>
  <c r="CP192" i="7"/>
  <c r="BP22" i="7"/>
  <c r="BP204" i="7"/>
  <c r="BP206" i="7" s="1"/>
  <c r="BP123" i="7"/>
  <c r="BP124" i="7"/>
  <c r="BT191" i="7"/>
  <c r="BL204" i="7"/>
  <c r="BL206" i="7" s="1"/>
  <c r="BL182" i="7"/>
  <c r="BE123" i="7"/>
  <c r="BF192" i="7"/>
  <c r="BE124" i="7"/>
  <c r="BE125" i="7"/>
  <c r="BE204" i="7"/>
  <c r="BE206" i="7" s="1"/>
  <c r="BE182" i="7"/>
  <c r="CQ16" i="7"/>
  <c r="CQ204" i="7" s="1"/>
  <c r="AZ182" i="7"/>
  <c r="AZ125" i="7"/>
  <c r="AZ22" i="7"/>
  <c r="AZ33" i="7" s="1"/>
  <c r="BA152" i="7" s="1"/>
  <c r="AZ191" i="7"/>
  <c r="BD191" i="7"/>
  <c r="AU182" i="7"/>
  <c r="AU125" i="7"/>
  <c r="AU204" i="7"/>
  <c r="AU206" i="7" s="1"/>
  <c r="AU22" i="7"/>
  <c r="AU33" i="7" s="1"/>
  <c r="AV152" i="7" s="1"/>
  <c r="AY191" i="7"/>
  <c r="AU192" i="7"/>
  <c r="AU123" i="7"/>
  <c r="AV192" i="7"/>
  <c r="Y146" i="7"/>
  <c r="Y182" i="7"/>
  <c r="CR196" i="7"/>
  <c r="CQ128" i="7"/>
  <c r="CQ195" i="7"/>
  <c r="CJ195" i="7"/>
  <c r="CI196" i="7"/>
  <c r="CJ22" i="7"/>
  <c r="CJ33" i="7" s="1"/>
  <c r="CJ184" i="7"/>
  <c r="BU201" i="7"/>
  <c r="BU199" i="7"/>
  <c r="BU175" i="7" s="1"/>
  <c r="AB162" i="7"/>
  <c r="AZ178" i="7"/>
  <c r="AZ174" i="7"/>
  <c r="BD109" i="7"/>
  <c r="BD27" i="7" s="1"/>
  <c r="P112" i="7"/>
  <c r="X200" i="7"/>
  <c r="AF200" i="7"/>
  <c r="AN164" i="7"/>
  <c r="AN162" i="7"/>
  <c r="AP200" i="7"/>
  <c r="AP175" i="7"/>
  <c r="AY88" i="7"/>
  <c r="AY90" i="7" s="1"/>
  <c r="AY91" i="7" s="1"/>
  <c r="AX29" i="7"/>
  <c r="AX24" i="7" s="1"/>
  <c r="AZ175" i="7"/>
  <c r="AZ200" i="7"/>
  <c r="CS110" i="7"/>
  <c r="CS107" i="7"/>
  <c r="BI109" i="7"/>
  <c r="BJ109" i="7" s="1"/>
  <c r="CR24" i="7"/>
  <c r="CR110" i="7" s="1"/>
  <c r="AN174" i="7"/>
  <c r="AN163" i="7"/>
  <c r="CU195" i="7"/>
  <c r="CU196" i="7"/>
  <c r="CU128" i="7"/>
  <c r="CU43" i="7"/>
  <c r="CU51" i="7" s="1"/>
  <c r="CU205" i="7"/>
  <c r="U206" i="7"/>
  <c r="U147" i="7" s="1"/>
  <c r="Q206" i="7"/>
  <c r="Q147" i="7" s="1"/>
  <c r="M206" i="7"/>
  <c r="M147" i="7" s="1"/>
  <c r="BS176" i="7"/>
  <c r="BS171" i="7"/>
  <c r="AC83" i="7"/>
  <c r="AD79" i="7" s="1"/>
  <c r="AD85" i="7" s="1"/>
  <c r="CJ24" i="7"/>
  <c r="CJ109" i="7" s="1"/>
  <c r="AC110" i="7"/>
  <c r="AD110" i="7" s="1"/>
  <c r="AE110" i="7" s="1"/>
  <c r="AF110" i="7" s="1"/>
  <c r="AC107" i="7"/>
  <c r="AD107" i="7" s="1"/>
  <c r="AE107" i="7" s="1"/>
  <c r="AF107" i="7" s="1"/>
  <c r="AC108" i="7"/>
  <c r="AD108" i="7" s="1"/>
  <c r="AE108" i="7" s="1"/>
  <c r="AF108" i="7" s="1"/>
  <c r="BF152" i="7"/>
  <c r="BF151" i="7"/>
  <c r="AO112" i="7"/>
  <c r="AP102" i="7"/>
  <c r="BU163" i="7"/>
  <c r="BU174" i="7"/>
  <c r="BU178" i="7"/>
  <c r="AV174" i="7"/>
  <c r="AV178" i="7"/>
  <c r="BT177" i="7"/>
  <c r="BT171" i="7"/>
  <c r="BG170" i="7"/>
  <c r="BG164" i="7" s="1"/>
  <c r="BG171" i="7"/>
  <c r="BG179" i="7" s="1"/>
  <c r="BC177" i="7"/>
  <c r="BC171" i="7"/>
  <c r="BC179" i="7" s="1"/>
  <c r="AI177" i="7"/>
  <c r="AI171" i="7"/>
  <c r="AI179" i="7" s="1"/>
  <c r="AE177" i="7"/>
  <c r="AE171" i="7"/>
  <c r="AE179" i="7" s="1"/>
  <c r="AA177" i="7"/>
  <c r="AA171" i="7"/>
  <c r="AA179" i="7" s="1"/>
  <c r="S177" i="7"/>
  <c r="S163" i="7"/>
  <c r="S171" i="7"/>
  <c r="S179" i="7" s="1"/>
  <c r="O177" i="7"/>
  <c r="O171" i="7"/>
  <c r="O179" i="7" s="1"/>
  <c r="CP110" i="7"/>
  <c r="AL117" i="7"/>
  <c r="AL139" i="7" s="1"/>
  <c r="N108" i="7"/>
  <c r="O108" i="7" s="1"/>
  <c r="P108" i="7" s="1"/>
  <c r="Z117" i="7"/>
  <c r="Z139" i="7" s="1"/>
  <c r="S62" i="7"/>
  <c r="CO124" i="7"/>
  <c r="AI211" i="7"/>
  <c r="BH62" i="7"/>
  <c r="AK206" i="7"/>
  <c r="BP33" i="7"/>
  <c r="BQ151" i="7" s="1"/>
  <c r="CN33" i="7"/>
  <c r="BQ206" i="7"/>
  <c r="BP63" i="7"/>
  <c r="AI62" i="7"/>
  <c r="CM128" i="7"/>
  <c r="CI128" i="7"/>
  <c r="AF632" i="1"/>
  <c r="AN192" i="7"/>
  <c r="AY206" i="7"/>
  <c r="CG125" i="7"/>
  <c r="CG124" i="7"/>
  <c r="CO123" i="7"/>
  <c r="CT169" i="7"/>
  <c r="CT176" i="7" s="1"/>
  <c r="BS90" i="7"/>
  <c r="Z90" i="7"/>
  <c r="Z92" i="7" s="1"/>
  <c r="V90" i="7"/>
  <c r="V92" i="7" s="1"/>
  <c r="N90" i="7"/>
  <c r="N92" i="7" s="1"/>
  <c r="BD84" i="7"/>
  <c r="BD97" i="7" s="1"/>
  <c r="BM68" i="7"/>
  <c r="CF123" i="7"/>
  <c r="BN192" i="7"/>
  <c r="BB453" i="1"/>
  <c r="BB623" i="1"/>
  <c r="CP572" i="1"/>
  <c r="AV211" i="1"/>
  <c r="BA463" i="1"/>
  <c r="BA464" i="1" s="1"/>
  <c r="DR416" i="1"/>
  <c r="AM572" i="1"/>
  <c r="BM16" i="1"/>
  <c r="AO148" i="1"/>
  <c r="BX246" i="1"/>
  <c r="CQ173" i="1"/>
  <c r="CR196" i="1" s="1"/>
  <c r="AO54" i="1"/>
  <c r="DU223" i="1"/>
  <c r="BH621" i="1"/>
  <c r="BH151" i="7"/>
  <c r="BQ116" i="8"/>
  <c r="AG400" i="1"/>
  <c r="BE166" i="1"/>
  <c r="BG539" i="1"/>
  <c r="CR539" i="1" s="1"/>
  <c r="AV42" i="1"/>
  <c r="CH627" i="1"/>
  <c r="BB129" i="7"/>
  <c r="BB64" i="1"/>
  <c r="BC418" i="1"/>
  <c r="BD197" i="1"/>
  <c r="BC195" i="1"/>
  <c r="AO71" i="1"/>
  <c r="CO88" i="1"/>
  <c r="CO117" i="8" s="1"/>
  <c r="CK88" i="1"/>
  <c r="CK117" i="8" s="1"/>
  <c r="R151" i="7"/>
  <c r="DR422" i="1"/>
  <c r="BA447" i="1"/>
  <c r="BA449" i="1" s="1"/>
  <c r="BB554" i="1"/>
  <c r="BB620" i="1"/>
  <c r="BF632" i="1" s="1"/>
  <c r="BD418" i="1"/>
  <c r="Y598" i="1"/>
  <c r="AY211" i="1"/>
  <c r="AC619" i="1"/>
  <c r="AU197" i="1"/>
  <c r="BC197" i="1"/>
  <c r="AO128" i="1"/>
  <c r="AG634" i="1"/>
  <c r="AU131" i="1"/>
  <c r="BH129" i="7"/>
  <c r="BH131" i="7"/>
  <c r="BD208" i="1"/>
  <c r="DQ441" i="1"/>
  <c r="DS184" i="1"/>
  <c r="BA198" i="1"/>
  <c r="CU250" i="1"/>
  <c r="BM570" i="1"/>
  <c r="CS570" i="1" s="1"/>
  <c r="AF594" i="1"/>
  <c r="AG590" i="1" s="1"/>
  <c r="AF602" i="1"/>
  <c r="AG152" i="7"/>
  <c r="AF63" i="7"/>
  <c r="AG151" i="7"/>
  <c r="CK163" i="7"/>
  <c r="AV200" i="7"/>
  <c r="AT206" i="7"/>
  <c r="BL200" i="7"/>
  <c r="CJ204" i="7"/>
  <c r="CJ206" i="7" s="1"/>
  <c r="CJ147" i="7" s="1"/>
  <c r="CH22" i="7"/>
  <c r="BD206" i="7"/>
  <c r="AU191" i="7"/>
  <c r="AI206" i="7"/>
  <c r="AJ156" i="7" s="1"/>
  <c r="CE204" i="7"/>
  <c r="CQ184" i="7"/>
  <c r="CM183" i="7"/>
  <c r="CI183" i="7"/>
  <c r="CR182" i="7"/>
  <c r="CJ169" i="7"/>
  <c r="BX110" i="7"/>
  <c r="BY110" i="7" s="1"/>
  <c r="BZ110" i="7" s="1"/>
  <c r="CA110" i="7" s="1"/>
  <c r="CB110" i="7" s="1"/>
  <c r="CC110" i="7" s="1"/>
  <c r="BW28" i="7"/>
  <c r="BX109" i="7"/>
  <c r="BY109" i="7" s="1"/>
  <c r="BZ109" i="7" s="1"/>
  <c r="CA109" i="7" s="1"/>
  <c r="CB109" i="7" s="1"/>
  <c r="CC109" i="7" s="1"/>
  <c r="BW27" i="7"/>
  <c r="Q63" i="7"/>
  <c r="AL551" i="1"/>
  <c r="BL546" i="1"/>
  <c r="AR546" i="1"/>
  <c r="BS551" i="1"/>
  <c r="AB152" i="7"/>
  <c r="CG68" i="7"/>
  <c r="CF60" i="7"/>
  <c r="CF168" i="7" s="1"/>
  <c r="CF174" i="7" s="1"/>
  <c r="AL51" i="7"/>
  <c r="AL62" i="7" s="1"/>
  <c r="AL63" i="7" s="1"/>
  <c r="R51" i="7"/>
  <c r="R62" i="7" s="1"/>
  <c r="N51" i="7"/>
  <c r="N62" i="7" s="1"/>
  <c r="N63" i="7" s="1"/>
  <c r="F51" i="7"/>
  <c r="F62" i="7" s="1"/>
  <c r="F63" i="7" s="1"/>
  <c r="CQ167" i="7"/>
  <c r="CQ177" i="7" s="1"/>
  <c r="CS43" i="7"/>
  <c r="CK43" i="7"/>
  <c r="CK51" i="7" s="1"/>
  <c r="CK62" i="7" s="1"/>
  <c r="CP43" i="7"/>
  <c r="CP51" i="7" s="1"/>
  <c r="CP62" i="7" s="1"/>
  <c r="CP63" i="7" s="1"/>
  <c r="CL205" i="7"/>
  <c r="CH184" i="7"/>
  <c r="BB33" i="7"/>
  <c r="BC152" i="7" s="1"/>
  <c r="BU192" i="7"/>
  <c r="BE162" i="7"/>
  <c r="BW54" i="7"/>
  <c r="BX54" i="7" s="1"/>
  <c r="BY54" i="7" s="1"/>
  <c r="CU60" i="7"/>
  <c r="CU199" i="7" s="1"/>
  <c r="CU175" i="7" s="1"/>
  <c r="CR191" i="7"/>
  <c r="AZ546" i="1"/>
  <c r="AW206" i="7"/>
  <c r="CQ125" i="7"/>
  <c r="CQ123" i="7"/>
  <c r="CP182" i="7"/>
  <c r="CL169" i="7"/>
  <c r="CL176" i="7" s="1"/>
  <c r="BX124" i="7"/>
  <c r="BY124" i="7" s="1"/>
  <c r="BZ124" i="7" s="1"/>
  <c r="CA124" i="7" s="1"/>
  <c r="CB124" i="7" s="1"/>
  <c r="CC124" i="7" s="1"/>
  <c r="BW18" i="7"/>
  <c r="BU51" i="7"/>
  <c r="BU62" i="7" s="1"/>
  <c r="AX551" i="1"/>
  <c r="BD546" i="1"/>
  <c r="X170" i="7"/>
  <c r="BP90" i="7"/>
  <c r="T90" i="7"/>
  <c r="T92" i="7" s="1"/>
  <c r="BF94" i="7"/>
  <c r="BG102" i="7" s="1"/>
  <c r="BG152" i="7"/>
  <c r="M161" i="7"/>
  <c r="CM60" i="7"/>
  <c r="CM168" i="7" s="1"/>
  <c r="CI60" i="7"/>
  <c r="CI201" i="7" s="1"/>
  <c r="CE60" i="7"/>
  <c r="CQ68" i="7"/>
  <c r="CI68" i="7"/>
  <c r="CH60" i="7"/>
  <c r="CH168" i="7" s="1"/>
  <c r="CH161" i="7" s="1"/>
  <c r="CS49" i="7"/>
  <c r="BD51" i="7"/>
  <c r="BD62" i="7" s="1"/>
  <c r="AZ51" i="7"/>
  <c r="AZ62" i="7" s="1"/>
  <c r="AN51" i="7"/>
  <c r="AN62" i="7" s="1"/>
  <c r="AN63" i="7" s="1"/>
  <c r="H51" i="7"/>
  <c r="H62" i="7" s="1"/>
  <c r="H63" i="7" s="1"/>
  <c r="CS167" i="7"/>
  <c r="CS170" i="7" s="1"/>
  <c r="CO167" i="7"/>
  <c r="CK549" i="1"/>
  <c r="CG549" i="1"/>
  <c r="CT167" i="7"/>
  <c r="BL51" i="7"/>
  <c r="BL62" i="7" s="1"/>
  <c r="CQ43" i="7"/>
  <c r="CM43" i="7"/>
  <c r="CI205" i="7"/>
  <c r="CR205" i="7"/>
  <c r="CR206" i="7" s="1"/>
  <c r="CF183" i="7"/>
  <c r="T82" i="7"/>
  <c r="CP586" i="1"/>
  <c r="BA457" i="1"/>
  <c r="BA34" i="1" s="1"/>
  <c r="BA47" i="1" s="1"/>
  <c r="BA61" i="1" s="1"/>
  <c r="BI213" i="1"/>
  <c r="BK287" i="1"/>
  <c r="BK281" i="1" s="1"/>
  <c r="CT75" i="1"/>
  <c r="CT545" i="1" s="1"/>
  <c r="CM150" i="1"/>
  <c r="CO150" i="1"/>
  <c r="BC159" i="1"/>
  <c r="AZ457" i="1"/>
  <c r="BI282" i="1"/>
  <c r="CT74" i="1"/>
  <c r="CS74" i="1"/>
  <c r="U591" i="1"/>
  <c r="U601" i="1" s="1"/>
  <c r="CH578" i="1"/>
  <c r="AQ576" i="1"/>
  <c r="CN576" i="1" s="1"/>
  <c r="CQ572" i="1"/>
  <c r="CL572" i="1"/>
  <c r="V601" i="1"/>
  <c r="DS451" i="1"/>
  <c r="CT451" i="1"/>
  <c r="CL451" i="1"/>
  <c r="V380" i="1"/>
  <c r="R380" i="1"/>
  <c r="N380" i="1"/>
  <c r="CS285" i="1"/>
  <c r="CU265" i="1"/>
  <c r="BC263" i="1"/>
  <c r="CR246" i="1"/>
  <c r="CQ417" i="1"/>
  <c r="AN401" i="1"/>
  <c r="CR541" i="1"/>
  <c r="CQ545" i="1"/>
  <c r="AQ502" i="1"/>
  <c r="AI496" i="1"/>
  <c r="DN482" i="1"/>
  <c r="CO482" i="1"/>
  <c r="BM473" i="1"/>
  <c r="AW473" i="1"/>
  <c r="AG473" i="1"/>
  <c r="CT387" i="1"/>
  <c r="CL609" i="1"/>
  <c r="CM609" i="1"/>
  <c r="BG359" i="1"/>
  <c r="BF360" i="1"/>
  <c r="CU151" i="1"/>
  <c r="BJ239" i="1"/>
  <c r="CN36" i="1"/>
  <c r="BS160" i="1"/>
  <c r="AH210" i="7"/>
  <c r="AH211" i="7" s="1"/>
  <c r="BV235" i="1"/>
  <c r="BU578" i="1"/>
  <c r="BV576" i="1"/>
  <c r="BW197" i="1"/>
  <c r="CT598" i="1"/>
  <c r="CT596" i="1" s="1"/>
  <c r="CT608" i="1" s="1"/>
  <c r="CT609" i="1" s="1"/>
  <c r="CM379" i="1"/>
  <c r="DA45" i="8"/>
  <c r="DA70" i="7" s="1"/>
  <c r="CT116" i="8"/>
  <c r="AL402" i="1"/>
  <c r="CN570" i="1"/>
  <c r="R601" i="1"/>
  <c r="AI398" i="1"/>
  <c r="CO433" i="1"/>
  <c r="BG283" i="1"/>
  <c r="DR472" i="1"/>
  <c r="CM504" i="1"/>
  <c r="AN496" i="1"/>
  <c r="DS482" i="1"/>
  <c r="CT482" i="1"/>
  <c r="DS471" i="1"/>
  <c r="DT472" i="1" s="1"/>
  <c r="CO461" i="1"/>
  <c r="AR459" i="1"/>
  <c r="DV472" i="1"/>
  <c r="AS49" i="1"/>
  <c r="AS48" i="1" s="1"/>
  <c r="BD409" i="1"/>
  <c r="BU592" i="1"/>
  <c r="BU570" i="1" s="1"/>
  <c r="CU570" i="1" s="1"/>
  <c r="CI570" i="1"/>
  <c r="BR196" i="1"/>
  <c r="BL196" i="1"/>
  <c r="BJ281" i="1"/>
  <c r="BJ283" i="1" s="1"/>
  <c r="BM134" i="1"/>
  <c r="CR149" i="1"/>
  <c r="DU74" i="1"/>
  <c r="AF473" i="1"/>
  <c r="BC251" i="1"/>
  <c r="CQ88" i="1"/>
  <c r="CQ117" i="8" s="1"/>
  <c r="BA551" i="1"/>
  <c r="AG551" i="1"/>
  <c r="AC551" i="1"/>
  <c r="CO149" i="1"/>
  <c r="V632" i="1"/>
  <c r="CF578" i="1"/>
  <c r="BQ578" i="1"/>
  <c r="BI578" i="1"/>
  <c r="AO576" i="1"/>
  <c r="CM576" i="1" s="1"/>
  <c r="AE551" i="1"/>
  <c r="AA551" i="1"/>
  <c r="S551" i="1"/>
  <c r="CQ267" i="1"/>
  <c r="CQ210" i="1"/>
  <c r="CJ603" i="1"/>
  <c r="CJ594" i="1"/>
  <c r="CK590" i="1" s="1"/>
  <c r="CK594" i="1" s="1"/>
  <c r="CL590" i="1" s="1"/>
  <c r="AI134" i="8"/>
  <c r="AI136" i="8" s="1"/>
  <c r="AI137" i="8" s="1"/>
  <c r="AI114" i="8"/>
  <c r="AI122" i="8" s="1"/>
  <c r="AI123" i="8" s="1"/>
  <c r="BF282" i="1"/>
  <c r="BF213" i="1"/>
  <c r="CR281" i="1"/>
  <c r="CR213" i="1" s="1"/>
  <c r="CT149" i="1"/>
  <c r="CS67" i="1"/>
  <c r="CS135" i="1" s="1"/>
  <c r="CS149" i="1"/>
  <c r="BF239" i="1"/>
  <c r="BE239" i="1"/>
  <c r="BX70" i="7"/>
  <c r="CV45" i="8"/>
  <c r="CV70" i="7" s="1"/>
  <c r="BZ92" i="8"/>
  <c r="CA92" i="8" s="1"/>
  <c r="CB92" i="8" s="1"/>
  <c r="CC92" i="8" s="1"/>
  <c r="CW92" i="8" s="1"/>
  <c r="BZ70" i="7"/>
  <c r="CS619" i="1"/>
  <c r="AP63" i="1"/>
  <c r="BE145" i="7"/>
  <c r="AV212" i="1"/>
  <c r="AV469" i="1"/>
  <c r="DP212" i="1"/>
  <c r="AY426" i="1"/>
  <c r="AZ432" i="1"/>
  <c r="BL197" i="1"/>
  <c r="BO196" i="1"/>
  <c r="AZ200" i="1"/>
  <c r="BA200" i="1"/>
  <c r="DR184" i="1"/>
  <c r="CP184" i="1"/>
  <c r="CP199" i="1" s="1"/>
  <c r="AZ198" i="1"/>
  <c r="AZ199" i="1"/>
  <c r="DC582" i="1"/>
  <c r="DC45" i="8" s="1"/>
  <c r="DB45" i="8"/>
  <c r="DB92" i="8" s="1"/>
  <c r="CG130" i="7"/>
  <c r="CH151" i="1"/>
  <c r="BD271" i="1"/>
  <c r="BE277" i="1"/>
  <c r="AU205" i="1"/>
  <c r="BP23" i="1"/>
  <c r="BP129" i="1" s="1"/>
  <c r="CT17" i="1"/>
  <c r="BE135" i="1"/>
  <c r="BE118" i="7"/>
  <c r="BE140" i="7" s="1"/>
  <c r="BE620" i="1"/>
  <c r="BE623" i="1"/>
  <c r="BE129" i="7"/>
  <c r="BE101" i="7"/>
  <c r="BE554" i="1"/>
  <c r="BE134" i="1"/>
  <c r="BE133" i="1"/>
  <c r="BE131" i="7"/>
  <c r="BE622" i="1"/>
  <c r="BI634" i="1" s="1"/>
  <c r="BU234" i="1"/>
  <c r="BU235" i="1"/>
  <c r="BU652" i="1"/>
  <c r="BU237" i="1"/>
  <c r="CU233" i="1"/>
  <c r="BW301" i="1"/>
  <c r="BV300" i="1"/>
  <c r="BJ213" i="1"/>
  <c r="BI143" i="1"/>
  <c r="BI187" i="7" s="1"/>
  <c r="BN238" i="1"/>
  <c r="AO403" i="1"/>
  <c r="BU601" i="1"/>
  <c r="CU591" i="1"/>
  <c r="CU601" i="1" s="1"/>
  <c r="AC128" i="1"/>
  <c r="AC515" i="1"/>
  <c r="BD216" i="1"/>
  <c r="X594" i="1"/>
  <c r="Y590" i="1" s="1"/>
  <c r="X603" i="1"/>
  <c r="X602" i="1"/>
  <c r="BC128" i="1"/>
  <c r="CZ70" i="7"/>
  <c r="CZ92" i="8"/>
  <c r="BN130" i="1"/>
  <c r="BN21" i="1"/>
  <c r="BN71" i="1" s="1"/>
  <c r="AF119" i="7"/>
  <c r="AF117" i="7" s="1"/>
  <c r="AF139" i="7" s="1"/>
  <c r="BD134" i="1"/>
  <c r="BD151" i="7"/>
  <c r="CM545" i="1"/>
  <c r="CM116" i="8"/>
  <c r="CM74" i="1"/>
  <c r="AT206" i="1"/>
  <c r="CO406" i="1"/>
  <c r="AT407" i="1"/>
  <c r="AT412" i="1"/>
  <c r="AT395" i="1"/>
  <c r="CT619" i="1"/>
  <c r="CT118" i="7"/>
  <c r="CT140" i="7" s="1"/>
  <c r="CT621" i="1"/>
  <c r="CT129" i="7"/>
  <c r="CT536" i="1"/>
  <c r="CT620" i="1"/>
  <c r="CT131" i="7"/>
  <c r="CT131" i="8"/>
  <c r="CT623" i="1"/>
  <c r="CT622" i="1"/>
  <c r="CT145" i="7"/>
  <c r="CT133" i="1"/>
  <c r="CT537" i="1"/>
  <c r="CT535" i="1" s="1"/>
  <c r="BE263" i="1"/>
  <c r="BE210" i="1"/>
  <c r="AP530" i="1"/>
  <c r="AP131" i="1"/>
  <c r="BW234" i="1"/>
  <c r="DA92" i="8"/>
  <c r="BX119" i="1"/>
  <c r="BY119" i="1" s="1"/>
  <c r="BZ119" i="1" s="1"/>
  <c r="CA119" i="1" s="1"/>
  <c r="CV119" i="1"/>
  <c r="BM196" i="1"/>
  <c r="BM195" i="1"/>
  <c r="BN197" i="1"/>
  <c r="BQ196" i="1"/>
  <c r="BC621" i="1"/>
  <c r="BC619" i="1" s="1"/>
  <c r="BC622" i="1"/>
  <c r="BC118" i="7"/>
  <c r="BC140" i="7" s="1"/>
  <c r="BC129" i="7"/>
  <c r="BC554" i="1"/>
  <c r="BC620" i="1"/>
  <c r="BC133" i="1"/>
  <c r="BC131" i="7"/>
  <c r="BC134" i="1"/>
  <c r="BF145" i="7"/>
  <c r="BQ239" i="1"/>
  <c r="BP238" i="1"/>
  <c r="BU300" i="1"/>
  <c r="BU301" i="1"/>
  <c r="CU75" i="1"/>
  <c r="BU545" i="1"/>
  <c r="DW75" i="1"/>
  <c r="BU116" i="8"/>
  <c r="BT363" i="1"/>
  <c r="BA210" i="1"/>
  <c r="BE128" i="1"/>
  <c r="AV476" i="1"/>
  <c r="CU592" i="1"/>
  <c r="AV470" i="1"/>
  <c r="BE621" i="1"/>
  <c r="BE131" i="8"/>
  <c r="BI16" i="1"/>
  <c r="AU382" i="1"/>
  <c r="AN399" i="1"/>
  <c r="AO400" i="1"/>
  <c r="BG166" i="1"/>
  <c r="BJ151" i="1"/>
  <c r="BF151" i="1"/>
  <c r="BX317" i="1"/>
  <c r="BX319" i="1" s="1"/>
  <c r="BX322" i="1"/>
  <c r="BY321" i="1"/>
  <c r="BX233" i="1"/>
  <c r="BC22" i="1"/>
  <c r="AX428" i="1"/>
  <c r="AX427" i="1"/>
  <c r="BH422" i="1"/>
  <c r="BI422" i="1" s="1"/>
  <c r="BG423" i="1"/>
  <c r="AX478" i="1"/>
  <c r="AY484" i="1"/>
  <c r="BT598" i="1"/>
  <c r="DR67" i="1"/>
  <c r="AV62" i="1"/>
  <c r="AV131" i="1" s="1"/>
  <c r="BF423" i="1"/>
  <c r="CO103" i="1"/>
  <c r="CU184" i="1"/>
  <c r="BT200" i="1"/>
  <c r="BM197" i="1"/>
  <c r="CI150" i="1"/>
  <c r="CI67" i="1"/>
  <c r="BT197" i="1"/>
  <c r="BW196" i="1"/>
  <c r="CR596" i="1"/>
  <c r="CR608" i="1" s="1"/>
  <c r="BB515" i="1"/>
  <c r="BB522" i="1" s="1"/>
  <c r="CT554" i="1"/>
  <c r="DV75" i="1"/>
  <c r="BQ545" i="1"/>
  <c r="BQ546" i="1" s="1"/>
  <c r="CT150" i="1"/>
  <c r="CT134" i="1"/>
  <c r="BN195" i="1"/>
  <c r="BO197" i="1"/>
  <c r="BF158" i="1"/>
  <c r="BF188" i="7" s="1"/>
  <c r="CP489" i="1"/>
  <c r="CP214" i="1"/>
  <c r="BC329" i="1"/>
  <c r="BC208" i="1"/>
  <c r="BP199" i="1"/>
  <c r="CT184" i="1"/>
  <c r="BQ200" i="1"/>
  <c r="AQ46" i="1"/>
  <c r="AQ60" i="1" s="1"/>
  <c r="AM88" i="1"/>
  <c r="DN88" i="1" s="1"/>
  <c r="DN89" i="1"/>
  <c r="BC358" i="1"/>
  <c r="BC336" i="1"/>
  <c r="BC219" i="1"/>
  <c r="BD358" i="1"/>
  <c r="AJ400" i="1"/>
  <c r="AJ401" i="1"/>
  <c r="AN402" i="1" s="1"/>
  <c r="CP223" i="1"/>
  <c r="AV56" i="1"/>
  <c r="CQ591" i="1"/>
  <c r="CQ601" i="1" s="1"/>
  <c r="BE601" i="1"/>
  <c r="Z603" i="1"/>
  <c r="Z594" i="1"/>
  <c r="AA590" i="1" s="1"/>
  <c r="CM601" i="1"/>
  <c r="CL83" i="1"/>
  <c r="CM557" i="1"/>
  <c r="AH557" i="1"/>
  <c r="AH83" i="1" s="1"/>
  <c r="AI557" i="1"/>
  <c r="AI83" i="1" s="1"/>
  <c r="AJ557" i="1"/>
  <c r="AJ83" i="1" s="1"/>
  <c r="AR33" i="1"/>
  <c r="AS449" i="1"/>
  <c r="AR437" i="1"/>
  <c r="AR449" i="1"/>
  <c r="CN447" i="1"/>
  <c r="AR210" i="1"/>
  <c r="DP447" i="1"/>
  <c r="DP453" i="1" s="1"/>
  <c r="AV448" i="1"/>
  <c r="BQ442" i="1"/>
  <c r="DV440" i="1"/>
  <c r="BM441" i="1"/>
  <c r="BM442" i="1"/>
  <c r="DU440" i="1"/>
  <c r="BN442" i="1"/>
  <c r="DT440" i="1"/>
  <c r="BI442" i="1"/>
  <c r="BJ442" i="1"/>
  <c r="BI441" i="1"/>
  <c r="CR440" i="1"/>
  <c r="DS440" i="1"/>
  <c r="BE442" i="1"/>
  <c r="BF442" i="1"/>
  <c r="CQ440" i="1"/>
  <c r="BA220" i="1"/>
  <c r="BA442" i="1"/>
  <c r="BB442" i="1"/>
  <c r="DR440" i="1"/>
  <c r="AW220" i="1"/>
  <c r="AW441" i="1"/>
  <c r="AX442" i="1"/>
  <c r="AW398" i="1"/>
  <c r="CO440" i="1"/>
  <c r="AS398" i="1"/>
  <c r="AS441" i="1"/>
  <c r="AO441" i="1"/>
  <c r="AP442" i="1"/>
  <c r="CM440" i="1"/>
  <c r="CM441" i="1" s="1"/>
  <c r="DO440" i="1"/>
  <c r="AO442" i="1"/>
  <c r="AK441" i="1"/>
  <c r="AK398" i="1"/>
  <c r="DN398" i="1" s="1"/>
  <c r="AL442" i="1"/>
  <c r="CK440" i="1"/>
  <c r="CL441" i="1" s="1"/>
  <c r="AH442" i="1"/>
  <c r="AG442" i="1"/>
  <c r="DN430" i="1"/>
  <c r="DO430" i="1"/>
  <c r="CN430" i="1"/>
  <c r="CO430" i="1"/>
  <c r="BA409" i="1"/>
  <c r="BA219" i="1"/>
  <c r="AS31" i="1"/>
  <c r="AS406" i="1"/>
  <c r="AT408" i="1" s="1"/>
  <c r="AT428" i="1"/>
  <c r="AS428" i="1"/>
  <c r="AS208" i="1"/>
  <c r="AY410" i="1"/>
  <c r="AY398" i="1"/>
  <c r="AY217" i="1"/>
  <c r="AU410" i="1"/>
  <c r="CO409" i="1"/>
  <c r="CO217" i="1" s="1"/>
  <c r="AV411" i="1"/>
  <c r="AQ410" i="1"/>
  <c r="DO409" i="1"/>
  <c r="AQ411" i="1"/>
  <c r="AQ398" i="1"/>
  <c r="DN409" i="1"/>
  <c r="DN410" i="1" s="1"/>
  <c r="AN411" i="1"/>
  <c r="AE411" i="1"/>
  <c r="AF411" i="1"/>
  <c r="AE398" i="1"/>
  <c r="AF400" i="1" s="1"/>
  <c r="CK409" i="1"/>
  <c r="CL410" i="1" s="1"/>
  <c r="CR387" i="1"/>
  <c r="CQ387" i="1"/>
  <c r="DN378" i="1"/>
  <c r="AL380" i="1"/>
  <c r="AH380" i="1"/>
  <c r="DM378" i="1"/>
  <c r="CJ378" i="1"/>
  <c r="CK379" i="1" s="1"/>
  <c r="AD380" i="1"/>
  <c r="BU327" i="1"/>
  <c r="BT326" i="1"/>
  <c r="BQ327" i="1"/>
  <c r="BP327" i="1"/>
  <c r="BP326" i="1"/>
  <c r="BL326" i="1"/>
  <c r="BM327" i="1"/>
  <c r="BL327" i="1"/>
  <c r="BI327" i="1"/>
  <c r="BH326" i="1"/>
  <c r="CT325" i="1"/>
  <c r="CT326" i="1" s="1"/>
  <c r="CU322" i="1"/>
  <c r="CT322" i="1"/>
  <c r="CQ14" i="1"/>
  <c r="CQ325" i="1"/>
  <c r="CR326" i="1" s="1"/>
  <c r="CR318" i="1"/>
  <c r="CR311" i="1"/>
  <c r="CS311" i="1"/>
  <c r="BS300" i="1"/>
  <c r="BW300" i="1"/>
  <c r="BT301" i="1"/>
  <c r="CR12" i="1"/>
  <c r="CS144" i="1" s="1"/>
  <c r="CS242" i="1"/>
  <c r="CR249" i="1"/>
  <c r="CS250" i="1" s="1"/>
  <c r="BS235" i="1"/>
  <c r="BR235" i="1"/>
  <c r="BR234" i="1"/>
  <c r="BO237" i="1"/>
  <c r="BP239" i="1" s="1"/>
  <c r="BO234" i="1"/>
  <c r="BO235" i="1"/>
  <c r="BS234" i="1"/>
  <c r="CT233" i="1"/>
  <c r="CT234" i="1" s="1"/>
  <c r="BK237" i="1"/>
  <c r="BK235" i="1"/>
  <c r="BK234" i="1"/>
  <c r="BG235" i="1"/>
  <c r="BG237" i="1"/>
  <c r="BG234" i="1"/>
  <c r="CR233" i="1"/>
  <c r="BS231" i="1"/>
  <c r="CU229" i="1"/>
  <c r="BR230" i="1"/>
  <c r="BR231" i="1"/>
  <c r="BR237" i="1"/>
  <c r="BO231" i="1"/>
  <c r="BN230" i="1"/>
  <c r="CT229" i="1"/>
  <c r="BJ230" i="1"/>
  <c r="BJ231" i="1"/>
  <c r="BK231" i="1"/>
  <c r="BG231" i="1"/>
  <c r="BF230" i="1"/>
  <c r="BF231" i="1"/>
  <c r="CR229" i="1"/>
  <c r="BC231" i="1"/>
  <c r="BB237" i="1"/>
  <c r="BF238" i="1" s="1"/>
  <c r="CQ229" i="1"/>
  <c r="CQ237" i="1" s="1"/>
  <c r="BS88" i="1"/>
  <c r="DV88" i="1" s="1"/>
  <c r="CU89" i="1"/>
  <c r="AT88" i="1"/>
  <c r="DP89" i="1"/>
  <c r="AC88" i="1"/>
  <c r="AC117" i="8" s="1"/>
  <c r="DL89" i="1"/>
  <c r="CI550" i="1"/>
  <c r="CI74" i="1"/>
  <c r="CL116" i="8"/>
  <c r="CL74" i="1"/>
  <c r="BA545" i="1"/>
  <c r="BA546" i="1" s="1"/>
  <c r="DR75" i="1"/>
  <c r="CP75" i="1"/>
  <c r="AZ217" i="1"/>
  <c r="AS443" i="1"/>
  <c r="BV11" i="1"/>
  <c r="BV131" i="8" s="1"/>
  <c r="X601" i="1"/>
  <c r="DR441" i="1"/>
  <c r="BJ238" i="1"/>
  <c r="CO221" i="1"/>
  <c r="BE441" i="1"/>
  <c r="CS440" i="1"/>
  <c r="CS441" i="1" s="1"/>
  <c r="DN440" i="1"/>
  <c r="BD343" i="1"/>
  <c r="BE346" i="1"/>
  <c r="BE343" i="1" s="1"/>
  <c r="AT442" i="1"/>
  <c r="AM398" i="1"/>
  <c r="AN400" i="1" s="1"/>
  <c r="AI411" i="1"/>
  <c r="BQ133" i="1"/>
  <c r="BQ622" i="1"/>
  <c r="BQ620" i="1"/>
  <c r="BQ623" i="1"/>
  <c r="BQ129" i="7"/>
  <c r="BQ621" i="1"/>
  <c r="AZ411" i="1"/>
  <c r="AZ410" i="1"/>
  <c r="AM166" i="1"/>
  <c r="DR220" i="1"/>
  <c r="DW88" i="1"/>
  <c r="BQ441" i="1"/>
  <c r="CM409" i="1"/>
  <c r="AJ399" i="1"/>
  <c r="AF401" i="1"/>
  <c r="AU398" i="1"/>
  <c r="M380" i="1"/>
  <c r="CN440" i="1"/>
  <c r="AQ586" i="1"/>
  <c r="BI238" i="1"/>
  <c r="BH502" i="1"/>
  <c r="CR500" i="1"/>
  <c r="BC502" i="1"/>
  <c r="AU502" i="1"/>
  <c r="AI501" i="1"/>
  <c r="AJ502" i="1"/>
  <c r="AI502" i="1"/>
  <c r="AY496" i="1"/>
  <c r="AZ496" i="1"/>
  <c r="AU496" i="1"/>
  <c r="AU495" i="1"/>
  <c r="AE496" i="1"/>
  <c r="AF496" i="1"/>
  <c r="CR223" i="1"/>
  <c r="CQ570" i="1"/>
  <c r="AR42" i="1"/>
  <c r="CN50" i="1"/>
  <c r="CM570" i="1"/>
  <c r="DP149" i="1"/>
  <c r="CQ592" i="1"/>
  <c r="BE598" i="1"/>
  <c r="CQ598" i="1" s="1"/>
  <c r="BY300" i="1"/>
  <c r="DP210" i="1"/>
  <c r="CN551" i="1"/>
  <c r="BI551" i="1"/>
  <c r="BS546" i="1"/>
  <c r="AM546" i="1"/>
  <c r="BR19" i="1"/>
  <c r="BR25" i="1" s="1"/>
  <c r="BR131" i="1" s="1"/>
  <c r="BR146" i="1"/>
  <c r="BG160" i="1"/>
  <c r="BG145" i="1"/>
  <c r="BR17" i="1"/>
  <c r="BR159" i="1"/>
  <c r="BR144" i="1"/>
  <c r="BN159" i="1"/>
  <c r="BN11" i="1"/>
  <c r="BN144" i="1"/>
  <c r="BJ159" i="1"/>
  <c r="BJ11" i="1"/>
  <c r="BJ22" i="1" s="1"/>
  <c r="BJ144" i="1"/>
  <c r="BF17" i="1"/>
  <c r="BF144" i="1"/>
  <c r="AM623" i="1"/>
  <c r="AM621" i="1"/>
  <c r="AM633" i="1" s="1"/>
  <c r="AM622" i="1"/>
  <c r="AM129" i="7"/>
  <c r="AN158" i="1"/>
  <c r="AN188" i="7" s="1"/>
  <c r="AM158" i="1"/>
  <c r="AM188" i="7" s="1"/>
  <c r="AM133" i="1"/>
  <c r="AM620" i="1"/>
  <c r="AM632" i="1" s="1"/>
  <c r="AM118" i="7"/>
  <c r="AM140" i="7" s="1"/>
  <c r="AM131" i="7"/>
  <c r="AM134" i="1"/>
  <c r="AM53" i="1"/>
  <c r="AN163" i="1" s="1"/>
  <c r="AI158" i="1"/>
  <c r="AI188" i="7" s="1"/>
  <c r="AI537" i="1"/>
  <c r="AI129" i="7"/>
  <c r="AI134" i="1"/>
  <c r="AL145" i="7"/>
  <c r="AE537" i="1"/>
  <c r="AE622" i="1"/>
  <c r="AE634" i="1" s="1"/>
  <c r="AE158" i="1"/>
  <c r="AE188" i="7" s="1"/>
  <c r="AE129" i="7"/>
  <c r="AA536" i="1"/>
  <c r="AA535" i="1" s="1"/>
  <c r="AA620" i="1"/>
  <c r="AA632" i="1" s="1"/>
  <c r="AA118" i="7"/>
  <c r="AA131" i="7"/>
  <c r="AA143" i="1"/>
  <c r="AA187" i="7" s="1"/>
  <c r="AA621" i="1"/>
  <c r="AE633" i="1" s="1"/>
  <c r="W622" i="1"/>
  <c r="W129" i="7"/>
  <c r="W133" i="1"/>
  <c r="W131" i="7"/>
  <c r="X158" i="1"/>
  <c r="X188" i="7" s="1"/>
  <c r="W143" i="1"/>
  <c r="W187" i="7" s="1"/>
  <c r="W536" i="1"/>
  <c r="W535" i="1" s="1"/>
  <c r="W158" i="1"/>
  <c r="W188" i="7" s="1"/>
  <c r="S536" i="1"/>
  <c r="S622" i="1"/>
  <c r="S619" i="1" s="1"/>
  <c r="S118" i="7"/>
  <c r="S140" i="7" s="1"/>
  <c r="S129" i="7"/>
  <c r="S134" i="1"/>
  <c r="S537" i="1"/>
  <c r="S131" i="7"/>
  <c r="S133" i="1"/>
  <c r="S158" i="1"/>
  <c r="S188" i="7" s="1"/>
  <c r="O133" i="1"/>
  <c r="O134" i="1"/>
  <c r="O135" i="1"/>
  <c r="O143" i="1"/>
  <c r="O187" i="7" s="1"/>
  <c r="O129" i="7"/>
  <c r="O158" i="1"/>
  <c r="O188" i="7" s="1"/>
  <c r="O537" i="1"/>
  <c r="O535" i="1" s="1"/>
  <c r="DG11" i="1"/>
  <c r="K53" i="1"/>
  <c r="K54" i="1" s="1"/>
  <c r="K133" i="1"/>
  <c r="K135" i="1"/>
  <c r="K134" i="1"/>
  <c r="CU222" i="1"/>
  <c r="DQ89" i="1"/>
  <c r="BJ539" i="1"/>
  <c r="F535" i="1"/>
  <c r="AL496" i="1"/>
  <c r="S554" i="1"/>
  <c r="CJ130" i="7"/>
  <c r="CF134" i="7"/>
  <c r="CR224" i="1"/>
  <c r="CO224" i="1"/>
  <c r="AO601" i="1"/>
  <c r="BK551" i="1"/>
  <c r="BG551" i="1"/>
  <c r="AU551" i="1"/>
  <c r="AQ551" i="1"/>
  <c r="AK546" i="1"/>
  <c r="BP251" i="1"/>
  <c r="AM554" i="1"/>
  <c r="DT81" i="1"/>
  <c r="CE81" i="1"/>
  <c r="AQ166" i="1"/>
  <c r="BK576" i="1"/>
  <c r="CS576" i="1" s="1"/>
  <c r="BG576" i="1"/>
  <c r="AY578" i="1"/>
  <c r="AA578" i="1"/>
  <c r="O576" i="1"/>
  <c r="K578" i="1"/>
  <c r="F578" i="1"/>
  <c r="CI578" i="1"/>
  <c r="BP576" i="1"/>
  <c r="BL578" i="1"/>
  <c r="AZ578" i="1"/>
  <c r="AF578" i="1"/>
  <c r="T578" i="1"/>
  <c r="AB539" i="1"/>
  <c r="O539" i="1"/>
  <c r="K539" i="1"/>
  <c r="CF540" i="1"/>
  <c r="G535" i="1"/>
  <c r="BD301" i="1"/>
  <c r="CK551" i="1"/>
  <c r="CG551" i="1"/>
  <c r="AF78" i="1"/>
  <c r="AF82" i="1" s="1"/>
  <c r="AK134" i="8"/>
  <c r="AK136" i="8" s="1"/>
  <c r="AK137" i="8" s="1"/>
  <c r="W134" i="8"/>
  <c r="W136" i="8" s="1"/>
  <c r="W137" i="8" s="1"/>
  <c r="AL163" i="1"/>
  <c r="AN515" i="1"/>
  <c r="AU57" i="1"/>
  <c r="AL515" i="1"/>
  <c r="CG134" i="7"/>
  <c r="AJ148" i="1"/>
  <c r="AJ128" i="1"/>
  <c r="AR57" i="1"/>
  <c r="DP57" i="1" s="1"/>
  <c r="N163" i="1"/>
  <c r="AP42" i="1"/>
  <c r="AP56" i="1" s="1"/>
  <c r="AP524" i="1" s="1"/>
  <c r="AF156" i="7"/>
  <c r="W138" i="1"/>
  <c r="AO163" i="1"/>
  <c r="G163" i="1"/>
  <c r="CO43" i="1"/>
  <c r="AL148" i="1"/>
  <c r="AL71" i="1"/>
  <c r="Z72" i="1"/>
  <c r="AG142" i="7"/>
  <c r="AN78" i="1"/>
  <c r="AN85" i="1" s="1"/>
  <c r="AN109" i="1" s="1"/>
  <c r="AF137" i="1"/>
  <c r="AJ163" i="1"/>
  <c r="AK163" i="1"/>
  <c r="X163" i="1"/>
  <c r="W128" i="1"/>
  <c r="CG120" i="7"/>
  <c r="CG142" i="7" s="1"/>
  <c r="J148" i="1"/>
  <c r="O515" i="1"/>
  <c r="AJ141" i="7"/>
  <c r="AJ117" i="7"/>
  <c r="AJ139" i="7" s="1"/>
  <c r="AP129" i="1"/>
  <c r="AV524" i="1"/>
  <c r="AV129" i="1"/>
  <c r="AN72" i="1"/>
  <c r="AI167" i="1"/>
  <c r="W78" i="1"/>
  <c r="AC163" i="1"/>
  <c r="CJ53" i="1"/>
  <c r="CJ128" i="1" s="1"/>
  <c r="W137" i="1"/>
  <c r="AF148" i="1"/>
  <c r="N54" i="1"/>
  <c r="N71" i="1"/>
  <c r="N72" i="1" s="1"/>
  <c r="AV58" i="1"/>
  <c r="V128" i="1"/>
  <c r="AA128" i="1"/>
  <c r="AD54" i="1"/>
  <c r="O54" i="1"/>
  <c r="DP50" i="1"/>
  <c r="CJ146" i="7"/>
  <c r="V119" i="7"/>
  <c r="V141" i="7" s="1"/>
  <c r="CJ120" i="7"/>
  <c r="CJ142" i="7" s="1"/>
  <c r="AB78" i="1"/>
  <c r="AB82" i="1" s="1"/>
  <c r="AN134" i="8"/>
  <c r="AN136" i="8" s="1"/>
  <c r="AN137" i="8" s="1"/>
  <c r="W72" i="1"/>
  <c r="T72" i="1"/>
  <c r="W163" i="1"/>
  <c r="V148" i="1"/>
  <c r="AA167" i="1"/>
  <c r="AB148" i="1"/>
  <c r="AB54" i="1"/>
  <c r="T117" i="7"/>
  <c r="T139" i="7" s="1"/>
  <c r="N148" i="1"/>
  <c r="N128" i="1"/>
  <c r="AT48" i="1"/>
  <c r="AT62" i="1" s="1"/>
  <c r="AT42" i="1"/>
  <c r="AT56" i="1" s="1"/>
  <c r="U71" i="1"/>
  <c r="U167" i="1" s="1"/>
  <c r="J163" i="1"/>
  <c r="AA515" i="1"/>
  <c r="AA163" i="1"/>
  <c r="AH148" i="1"/>
  <c r="O163" i="1"/>
  <c r="O71" i="1"/>
  <c r="AN114" i="8"/>
  <c r="AN122" i="8" s="1"/>
  <c r="AN123" i="8" s="1"/>
  <c r="I71" i="1"/>
  <c r="AM71" i="1"/>
  <c r="AM78" i="1" s="1"/>
  <c r="AM82" i="1" s="1"/>
  <c r="AA152" i="1"/>
  <c r="W156" i="7"/>
  <c r="AR61" i="1"/>
  <c r="AD163" i="1"/>
  <c r="T156" i="7"/>
  <c r="W515" i="1"/>
  <c r="AA156" i="7"/>
  <c r="AB128" i="1"/>
  <c r="AL141" i="7"/>
  <c r="AA54" i="1"/>
  <c r="AB163" i="1"/>
  <c r="CV120" i="8"/>
  <c r="BV161" i="7"/>
  <c r="BV63" i="7"/>
  <c r="BV162" i="7"/>
  <c r="BW144" i="1"/>
  <c r="CL120" i="7"/>
  <c r="CL142" i="7" s="1"/>
  <c r="CH120" i="7"/>
  <c r="CH142" i="7" s="1"/>
  <c r="CF120" i="7"/>
  <c r="CF142" i="7" s="1"/>
  <c r="BA179" i="7"/>
  <c r="AC140" i="7"/>
  <c r="AC117" i="7"/>
  <c r="AC139" i="7" s="1"/>
  <c r="CQ24" i="7"/>
  <c r="BE110" i="7"/>
  <c r="BF110" i="7" s="1"/>
  <c r="BE83" i="7"/>
  <c r="CM177" i="7"/>
  <c r="BC174" i="7"/>
  <c r="BC170" i="7"/>
  <c r="BC162" i="7" s="1"/>
  <c r="BC161" i="7"/>
  <c r="BC163" i="7"/>
  <c r="BC178" i="7"/>
  <c r="AM163" i="7"/>
  <c r="AM174" i="7"/>
  <c r="AM170" i="7"/>
  <c r="AM164" i="7" s="1"/>
  <c r="AE163" i="7"/>
  <c r="AE174" i="7"/>
  <c r="AE178" i="7"/>
  <c r="AE170" i="7"/>
  <c r="AE164" i="7" s="1"/>
  <c r="S178" i="7"/>
  <c r="S170" i="7"/>
  <c r="S161" i="7"/>
  <c r="S174" i="7"/>
  <c r="CR68" i="7"/>
  <c r="CF201" i="7"/>
  <c r="CO177" i="7"/>
  <c r="BP174" i="7"/>
  <c r="BP170" i="7"/>
  <c r="BP164" i="7" s="1"/>
  <c r="BP161" i="7"/>
  <c r="N161" i="7"/>
  <c r="N162" i="7"/>
  <c r="CP168" i="7"/>
  <c r="CP199" i="7"/>
  <c r="CP175" i="7" s="1"/>
  <c r="X161" i="7"/>
  <c r="X179" i="7"/>
  <c r="CU177" i="7"/>
  <c r="CV56" i="7"/>
  <c r="CH30" i="7"/>
  <c r="CH107" i="7"/>
  <c r="CH110" i="7"/>
  <c r="CL171" i="7"/>
  <c r="CL179" i="7" s="1"/>
  <c r="CJ171" i="7"/>
  <c r="CJ176" i="7"/>
  <c r="BJ178" i="7"/>
  <c r="BJ163" i="7"/>
  <c r="BF211" i="7"/>
  <c r="BG211" i="7"/>
  <c r="BG161" i="7"/>
  <c r="BG162" i="7"/>
  <c r="BS170" i="7"/>
  <c r="BS164" i="7" s="1"/>
  <c r="BS163" i="7"/>
  <c r="CN107" i="7"/>
  <c r="CN109" i="7"/>
  <c r="AW163" i="7"/>
  <c r="AW174" i="7"/>
  <c r="AW170" i="7"/>
  <c r="CQ201" i="7"/>
  <c r="CQ168" i="7"/>
  <c r="CL109" i="7"/>
  <c r="CL30" i="7"/>
  <c r="CL108" i="7"/>
  <c r="BV175" i="7"/>
  <c r="BV200" i="7"/>
  <c r="AO179" i="7"/>
  <c r="BX57" i="7"/>
  <c r="BW68" i="7"/>
  <c r="X140" i="7"/>
  <c r="X117" i="7"/>
  <c r="X139" i="7" s="1"/>
  <c r="BQ176" i="7"/>
  <c r="BQ171" i="7"/>
  <c r="BL176" i="7"/>
  <c r="BL171" i="7"/>
  <c r="BD176" i="7"/>
  <c r="BD171" i="7"/>
  <c r="AZ176" i="7"/>
  <c r="AZ171" i="7"/>
  <c r="AZ170" i="7"/>
  <c r="AX176" i="7"/>
  <c r="AX171" i="7"/>
  <c r="AM176" i="7"/>
  <c r="AM171" i="7"/>
  <c r="AM211" i="7" s="1"/>
  <c r="AG176" i="7"/>
  <c r="AG171" i="7"/>
  <c r="AG179" i="7" s="1"/>
  <c r="Z176" i="7"/>
  <c r="Z170" i="7"/>
  <c r="Z164" i="7" s="1"/>
  <c r="V177" i="7"/>
  <c r="V163" i="7"/>
  <c r="T171" i="7"/>
  <c r="T179" i="7" s="1"/>
  <c r="T177" i="7"/>
  <c r="R171" i="7"/>
  <c r="R177" i="7"/>
  <c r="R170" i="7"/>
  <c r="R164" i="7" s="1"/>
  <c r="P170" i="7"/>
  <c r="P164" i="7" s="1"/>
  <c r="P171" i="7"/>
  <c r="N177" i="7"/>
  <c r="N163" i="7"/>
  <c r="AO119" i="7"/>
  <c r="AO141" i="7" s="1"/>
  <c r="AF142" i="7"/>
  <c r="AD142" i="7"/>
  <c r="BM88" i="7"/>
  <c r="BL90" i="7"/>
  <c r="BH88" i="7"/>
  <c r="BG94" i="7"/>
  <c r="AD161" i="7"/>
  <c r="AD162" i="7"/>
  <c r="M62" i="7"/>
  <c r="AK62" i="7"/>
  <c r="AK63" i="7" s="1"/>
  <c r="AK156" i="7"/>
  <c r="BM123" i="7"/>
  <c r="BH176" i="7"/>
  <c r="Z141" i="7"/>
  <c r="CT183" i="7"/>
  <c r="AG123" i="7"/>
  <c r="BO191" i="7"/>
  <c r="BO192" i="7"/>
  <c r="AM146" i="7"/>
  <c r="BR192" i="7"/>
  <c r="BR206" i="7"/>
  <c r="BB171" i="7"/>
  <c r="BB179" i="7" s="1"/>
  <c r="BO171" i="7"/>
  <c r="BT192" i="7"/>
  <c r="BS124" i="7"/>
  <c r="BS125" i="7"/>
  <c r="BS22" i="7"/>
  <c r="BS33" i="7" s="1"/>
  <c r="BS63" i="7" s="1"/>
  <c r="AI168" i="7"/>
  <c r="BP199" i="7"/>
  <c r="BP175" i="7" s="1"/>
  <c r="CI69" i="7"/>
  <c r="AB161" i="7"/>
  <c r="CN110" i="7"/>
  <c r="BE161" i="7"/>
  <c r="Q199" i="7"/>
  <c r="Q175" i="7" s="1"/>
  <c r="R152" i="7"/>
  <c r="AV170" i="7"/>
  <c r="AV164" i="7" s="1"/>
  <c r="BD82" i="7"/>
  <c r="Q178" i="7"/>
  <c r="Q174" i="7"/>
  <c r="BQ182" i="7"/>
  <c r="CQ182" i="7"/>
  <c r="CH182" i="7"/>
  <c r="CP183" i="7"/>
  <c r="BD152" i="7"/>
  <c r="AE161" i="7"/>
  <c r="BD170" i="7"/>
  <c r="BD164" i="7" s="1"/>
  <c r="BO170" i="7"/>
  <c r="BO164" i="7" s="1"/>
  <c r="BS161" i="7"/>
  <c r="CP171" i="7"/>
  <c r="AN119" i="7"/>
  <c r="AN117" i="7" s="1"/>
  <c r="AN139" i="7" s="1"/>
  <c r="AC94" i="7"/>
  <c r="AC102" i="7" s="1"/>
  <c r="AH164" i="7"/>
  <c r="BJ174" i="7"/>
  <c r="Y161" i="7"/>
  <c r="AA112" i="7"/>
  <c r="BQ170" i="7"/>
  <c r="BQ164" i="7" s="1"/>
  <c r="O102" i="7"/>
  <c r="AC84" i="7"/>
  <c r="AC82" i="7"/>
  <c r="V112" i="7"/>
  <c r="CS184" i="7"/>
  <c r="CF204" i="7"/>
  <c r="BS174" i="7"/>
  <c r="CG79" i="7"/>
  <c r="CG85" i="7" s="1"/>
  <c r="CL110" i="7"/>
  <c r="AW161" i="7"/>
  <c r="AI125" i="7"/>
  <c r="AI146" i="7"/>
  <c r="AS108" i="7"/>
  <c r="AT108" i="7" s="1"/>
  <c r="AU108" i="7" s="1"/>
  <c r="AV108" i="7" s="1"/>
  <c r="AI182" i="7"/>
  <c r="CU544" i="1"/>
  <c r="BF51" i="7"/>
  <c r="BF62" i="7" s="1"/>
  <c r="BF63" i="7" s="1"/>
  <c r="BH84" i="7"/>
  <c r="BH97" i="7" s="1"/>
  <c r="AV171" i="7"/>
  <c r="CL107" i="7"/>
  <c r="CN108" i="7"/>
  <c r="CR69" i="7"/>
  <c r="BQ125" i="7"/>
  <c r="O201" i="7"/>
  <c r="O200" i="7" s="1"/>
  <c r="AF178" i="7"/>
  <c r="AF170" i="7"/>
  <c r="Y124" i="7"/>
  <c r="CI16" i="7"/>
  <c r="CI125" i="7" s="1"/>
  <c r="CK184" i="7"/>
  <c r="Y199" i="7"/>
  <c r="AX170" i="7"/>
  <c r="AX164" i="7" s="1"/>
  <c r="CI90" i="7"/>
  <c r="CI92" i="7" s="1"/>
  <c r="AS62" i="7"/>
  <c r="CN60" i="7"/>
  <c r="BL152" i="7"/>
  <c r="AE62" i="7"/>
  <c r="AE63" i="7" s="1"/>
  <c r="BI83" i="7"/>
  <c r="BI110" i="7"/>
  <c r="BJ110" i="7" s="1"/>
  <c r="BI108" i="7"/>
  <c r="BJ108" i="7" s="1"/>
  <c r="BJ26" i="7" s="1"/>
  <c r="AM62" i="7"/>
  <c r="AT163" i="7"/>
  <c r="AT174" i="7"/>
  <c r="W199" i="7"/>
  <c r="W175" i="7" s="1"/>
  <c r="AS199" i="7"/>
  <c r="AS175" i="7" s="1"/>
  <c r="AQ192" i="7"/>
  <c r="BD123" i="7"/>
  <c r="BU546" i="1"/>
  <c r="AW551" i="1"/>
  <c r="BM551" i="1"/>
  <c r="AS171" i="7"/>
  <c r="AL91" i="7"/>
  <c r="CR123" i="7"/>
  <c r="AQ171" i="7"/>
  <c r="AQ179" i="7" s="1"/>
  <c r="CO191" i="7"/>
  <c r="CN123" i="7"/>
  <c r="CN125" i="7"/>
  <c r="CN124" i="7"/>
  <c r="BO152" i="7"/>
  <c r="BH94" i="7"/>
  <c r="AH142" i="7"/>
  <c r="Z171" i="7"/>
  <c r="Z179" i="7" s="1"/>
  <c r="AT161" i="7"/>
  <c r="AT162" i="7"/>
  <c r="CG69" i="7"/>
  <c r="S94" i="7"/>
  <c r="S102" i="7" s="1"/>
  <c r="X88" i="7"/>
  <c r="X90" i="7" s="1"/>
  <c r="X92" i="7" s="1"/>
  <c r="W94" i="7"/>
  <c r="W112" i="7" s="1"/>
  <c r="W90" i="7"/>
  <c r="W92" i="7" s="1"/>
  <c r="R88" i="7"/>
  <c r="R90" i="7" s="1"/>
  <c r="R92" i="7" s="1"/>
  <c r="Q90" i="7"/>
  <c r="Q92" i="7" s="1"/>
  <c r="BM79" i="7"/>
  <c r="BL94" i="7"/>
  <c r="BL112" i="7" s="1"/>
  <c r="BL82" i="7"/>
  <c r="BR199" i="7"/>
  <c r="BR175" i="7" s="1"/>
  <c r="BR168" i="7"/>
  <c r="BN168" i="7"/>
  <c r="BN161" i="7" s="1"/>
  <c r="BN199" i="7"/>
  <c r="BN175" i="7" s="1"/>
  <c r="BK168" i="7"/>
  <c r="BK199" i="7"/>
  <c r="BF199" i="7"/>
  <c r="BF175" i="7" s="1"/>
  <c r="BF168" i="7"/>
  <c r="BF161" i="7" s="1"/>
  <c r="BC199" i="7"/>
  <c r="BC175" i="7" s="1"/>
  <c r="BC201" i="7"/>
  <c r="BA168" i="7"/>
  <c r="BA201" i="7"/>
  <c r="BA200" i="7" s="1"/>
  <c r="AY199" i="7"/>
  <c r="AY175" i="7" s="1"/>
  <c r="AY201" i="7"/>
  <c r="AY168" i="7"/>
  <c r="AY161" i="7" s="1"/>
  <c r="AW201" i="7"/>
  <c r="CO60" i="7"/>
  <c r="AW199" i="7"/>
  <c r="AW175" i="7" s="1"/>
  <c r="AU168" i="7"/>
  <c r="AU199" i="7"/>
  <c r="AU175" i="7" s="1"/>
  <c r="AS178" i="7"/>
  <c r="AS163" i="7"/>
  <c r="AQ168" i="7"/>
  <c r="AQ199" i="7"/>
  <c r="AQ175" i="7" s="1"/>
  <c r="AQ201" i="7"/>
  <c r="AO201" i="7"/>
  <c r="AO200" i="7" s="1"/>
  <c r="AO168" i="7"/>
  <c r="AO161" i="7" s="1"/>
  <c r="AM201" i="7"/>
  <c r="AM199" i="7"/>
  <c r="AM175" i="7" s="1"/>
  <c r="AK168" i="7"/>
  <c r="AK201" i="7"/>
  <c r="AK200" i="7" s="1"/>
  <c r="AG168" i="7"/>
  <c r="AG170" i="7" s="1"/>
  <c r="AG199" i="7"/>
  <c r="AG175" i="7" s="1"/>
  <c r="AG201" i="7"/>
  <c r="AE199" i="7"/>
  <c r="AE175" i="7" s="1"/>
  <c r="AE201" i="7"/>
  <c r="AD152" i="7"/>
  <c r="AC199" i="7"/>
  <c r="AC175" i="7" s="1"/>
  <c r="AC168" i="7"/>
  <c r="AA168" i="7"/>
  <c r="AA199" i="7"/>
  <c r="AA175" i="7" s="1"/>
  <c r="AA201" i="7"/>
  <c r="Y163" i="7"/>
  <c r="Y170" i="7"/>
  <c r="W178" i="7"/>
  <c r="U168" i="7"/>
  <c r="U199" i="7"/>
  <c r="U175" i="7" s="1"/>
  <c r="S201" i="7"/>
  <c r="S199" i="7"/>
  <c r="S175" i="7" s="1"/>
  <c r="O163" i="7"/>
  <c r="O178" i="7"/>
  <c r="M72" i="7"/>
  <c r="M73" i="7" s="1"/>
  <c r="M201" i="7"/>
  <c r="M199" i="7"/>
  <c r="M175" i="7" s="1"/>
  <c r="BI68" i="7"/>
  <c r="BJ68" i="7"/>
  <c r="BI60" i="7"/>
  <c r="CT68" i="7"/>
  <c r="CS68" i="7"/>
  <c r="CN68" i="7"/>
  <c r="CL68" i="7"/>
  <c r="CK68" i="7"/>
  <c r="CT60" i="7"/>
  <c r="CT168" i="7" s="1"/>
  <c r="CL60" i="7"/>
  <c r="CM69" i="7"/>
  <c r="CJ69" i="7"/>
  <c r="CK69" i="7"/>
  <c r="CJ60" i="7"/>
  <c r="CQ49" i="7"/>
  <c r="CM49" i="7"/>
  <c r="CE49" i="7"/>
  <c r="CE51" i="7" s="1"/>
  <c r="BB51" i="7"/>
  <c r="BB62" i="7" s="1"/>
  <c r="AX51" i="7"/>
  <c r="AX62" i="7" s="1"/>
  <c r="AV51" i="7"/>
  <c r="AV62" i="7" s="1"/>
  <c r="AV63" i="7" s="1"/>
  <c r="AT51" i="7"/>
  <c r="AT62" i="7" s="1"/>
  <c r="AT63" i="7" s="1"/>
  <c r="AP51" i="7"/>
  <c r="AP62" i="7" s="1"/>
  <c r="AP63" i="7" s="1"/>
  <c r="AH51" i="7"/>
  <c r="AH62" i="7" s="1"/>
  <c r="AH63" i="7" s="1"/>
  <c r="AD51" i="7"/>
  <c r="AD62" i="7" s="1"/>
  <c r="Z51" i="7"/>
  <c r="Z62" i="7" s="1"/>
  <c r="Z63" i="7" s="1"/>
  <c r="X51" i="7"/>
  <c r="X62" i="7" s="1"/>
  <c r="X63" i="7" s="1"/>
  <c r="P51" i="7"/>
  <c r="P62" i="7" s="1"/>
  <c r="J51" i="7"/>
  <c r="J62" i="7" s="1"/>
  <c r="J63" i="7" s="1"/>
  <c r="CS549" i="1"/>
  <c r="CS551" i="1" s="1"/>
  <c r="CO549" i="1"/>
  <c r="CO551" i="1" s="1"/>
  <c r="CI549" i="1"/>
  <c r="CI167" i="7"/>
  <c r="CE549" i="1"/>
  <c r="CE551" i="1" s="1"/>
  <c r="CS205" i="7"/>
  <c r="CO43" i="7"/>
  <c r="CO51" i="7" s="1"/>
  <c r="CM205" i="7"/>
  <c r="CK205" i="7"/>
  <c r="CG43" i="7"/>
  <c r="CG205" i="7"/>
  <c r="CG206" i="7" s="1"/>
  <c r="BK182" i="7"/>
  <c r="BK43" i="7"/>
  <c r="BK51" i="7" s="1"/>
  <c r="BK62" i="7" s="1"/>
  <c r="BK63" i="7" s="1"/>
  <c r="BK205" i="7"/>
  <c r="BK206" i="7" s="1"/>
  <c r="CN43" i="7"/>
  <c r="CN51" i="7" s="1"/>
  <c r="CN205" i="7"/>
  <c r="CN206" i="7" s="1"/>
  <c r="CL43" i="7"/>
  <c r="CL51" i="7" s="1"/>
  <c r="CJ43" i="7"/>
  <c r="CJ51" i="7" s="1"/>
  <c r="CJ62" i="7" s="1"/>
  <c r="CJ63" i="7" s="1"/>
  <c r="CF43" i="7"/>
  <c r="CF205" i="7"/>
  <c r="CF184" i="7"/>
  <c r="BQ152" i="7"/>
  <c r="AS107" i="7"/>
  <c r="AT107" i="7" s="1"/>
  <c r="AU107" i="7" s="1"/>
  <c r="AV107" i="7" s="1"/>
  <c r="AS109" i="7"/>
  <c r="AT109" i="7" s="1"/>
  <c r="AU109" i="7" s="1"/>
  <c r="AV109" i="7" s="1"/>
  <c r="CI24" i="7"/>
  <c r="Y108" i="7"/>
  <c r="Z108" i="7" s="1"/>
  <c r="AA108" i="7" s="1"/>
  <c r="AB108" i="7" s="1"/>
  <c r="Y83" i="7"/>
  <c r="U109" i="7"/>
  <c r="V109" i="7" s="1"/>
  <c r="W109" i="7" s="1"/>
  <c r="X109" i="7" s="1"/>
  <c r="U83" i="7"/>
  <c r="U108" i="7"/>
  <c r="V108" i="7" s="1"/>
  <c r="W108" i="7" s="1"/>
  <c r="X108" i="7" s="1"/>
  <c r="P151" i="7"/>
  <c r="P152" i="7"/>
  <c r="CH192" i="7"/>
  <c r="CH191" i="7"/>
  <c r="CF146" i="7"/>
  <c r="CF119" i="7" s="1"/>
  <c r="CF141" i="7" s="1"/>
  <c r="CF22" i="7"/>
  <c r="CF33" i="7" s="1"/>
  <c r="CG152" i="7" s="1"/>
  <c r="CF182" i="7"/>
  <c r="CG191" i="7"/>
  <c r="BQ22" i="7"/>
  <c r="BQ33" i="7" s="1"/>
  <c r="BQ123" i="7"/>
  <c r="BQ192" i="7"/>
  <c r="CT16" i="7"/>
  <c r="CT22" i="7" s="1"/>
  <c r="CT33" i="7" s="1"/>
  <c r="BQ124" i="7"/>
  <c r="BO22" i="7"/>
  <c r="BO33" i="7" s="1"/>
  <c r="BP152" i="7" s="1"/>
  <c r="BO124" i="7"/>
  <c r="BO204" i="7"/>
  <c r="BO206" i="7" s="1"/>
  <c r="BM182" i="7"/>
  <c r="BM204" i="7"/>
  <c r="BM206" i="7" s="1"/>
  <c r="BM192" i="7"/>
  <c r="BM22" i="7"/>
  <c r="BM33" i="7" s="1"/>
  <c r="BM125" i="7"/>
  <c r="BI123" i="7"/>
  <c r="BI124" i="7"/>
  <c r="BI191" i="7"/>
  <c r="BI204" i="7"/>
  <c r="BI206" i="7" s="1"/>
  <c r="BI22" i="7"/>
  <c r="BI33" i="7" s="1"/>
  <c r="BI182" i="7"/>
  <c r="BD125" i="7"/>
  <c r="BD124" i="7"/>
  <c r="BD22" i="7"/>
  <c r="BD33" i="7" s="1"/>
  <c r="BD182" i="7"/>
  <c r="BE192" i="7"/>
  <c r="BH191" i="7"/>
  <c r="AQ123" i="7"/>
  <c r="AQ204" i="7"/>
  <c r="AQ206" i="7" s="1"/>
  <c r="AQ124" i="7"/>
  <c r="AQ191" i="7"/>
  <c r="AQ22" i="7"/>
  <c r="AQ33" i="7" s="1"/>
  <c r="AR152" i="7" s="1"/>
  <c r="AQ182" i="7"/>
  <c r="AQ125" i="7"/>
  <c r="AO182" i="7"/>
  <c r="CM16" i="7"/>
  <c r="CM123" i="7" s="1"/>
  <c r="AS191" i="7"/>
  <c r="AO123" i="7"/>
  <c r="AO125" i="7"/>
  <c r="AP192" i="7"/>
  <c r="AO22" i="7"/>
  <c r="AO33" i="7" s="1"/>
  <c r="AP152" i="7" s="1"/>
  <c r="AO124" i="7"/>
  <c r="AO204" i="7"/>
  <c r="AO206" i="7" s="1"/>
  <c r="AO147" i="7" s="1"/>
  <c r="AM22" i="7"/>
  <c r="AM33" i="7" s="1"/>
  <c r="AN152" i="7" s="1"/>
  <c r="AM124" i="7"/>
  <c r="AM191" i="7"/>
  <c r="AM204" i="7"/>
  <c r="AM206" i="7" s="1"/>
  <c r="AM147" i="7" s="1"/>
  <c r="AM125" i="7"/>
  <c r="AK124" i="7"/>
  <c r="AK146" i="7"/>
  <c r="AK119" i="7" s="1"/>
  <c r="AK125" i="7"/>
  <c r="CL16" i="7"/>
  <c r="CL182" i="7" s="1"/>
  <c r="AL192" i="7"/>
  <c r="AK182" i="7"/>
  <c r="AK191" i="7"/>
  <c r="AK192" i="7"/>
  <c r="AI123" i="7"/>
  <c r="AI22" i="7"/>
  <c r="AI33" i="7" s="1"/>
  <c r="AI63" i="7" s="1"/>
  <c r="AJ192" i="7"/>
  <c r="AI191" i="7"/>
  <c r="AI192" i="7"/>
  <c r="AG182" i="7"/>
  <c r="AG192" i="7"/>
  <c r="AG146" i="7"/>
  <c r="AG204" i="7"/>
  <c r="AG206" i="7" s="1"/>
  <c r="AG22" i="7"/>
  <c r="AG33" i="7" s="1"/>
  <c r="AG63" i="7" s="1"/>
  <c r="AG191" i="7"/>
  <c r="CK16" i="7"/>
  <c r="CK182" i="7" s="1"/>
  <c r="AE119" i="7"/>
  <c r="AD146" i="7"/>
  <c r="AD124" i="7"/>
  <c r="AD22" i="7"/>
  <c r="AD33" i="7" s="1"/>
  <c r="AE152" i="7" s="1"/>
  <c r="AD125" i="7"/>
  <c r="AD192" i="7"/>
  <c r="AE192" i="7"/>
  <c r="AD204" i="7"/>
  <c r="AD206" i="7" s="1"/>
  <c r="AD147" i="7" s="1"/>
  <c r="AH191" i="7"/>
  <c r="AB124" i="7"/>
  <c r="AB125" i="7"/>
  <c r="AB146" i="7"/>
  <c r="AB182" i="7"/>
  <c r="AF191" i="7"/>
  <c r="AB192" i="7"/>
  <c r="AB204" i="7"/>
  <c r="AB206" i="7" s="1"/>
  <c r="AB147" i="7" s="1"/>
  <c r="AB123" i="7"/>
  <c r="Y123" i="7"/>
  <c r="Y191" i="7"/>
  <c r="Z192" i="7"/>
  <c r="Y125" i="7"/>
  <c r="Y204" i="7"/>
  <c r="Y206" i="7" s="1"/>
  <c r="Y192" i="7"/>
  <c r="CT196" i="7"/>
  <c r="CS195" i="7"/>
  <c r="CS196" i="7"/>
  <c r="CR195" i="7"/>
  <c r="CQ196" i="7"/>
  <c r="CO195" i="7"/>
  <c r="CP195" i="7"/>
  <c r="CO196" i="7"/>
  <c r="CP196" i="7"/>
  <c r="CN196" i="7"/>
  <c r="CM196" i="7"/>
  <c r="CN195" i="7"/>
  <c r="CK196" i="7"/>
  <c r="CL196" i="7"/>
  <c r="CL195" i="7"/>
  <c r="CI195" i="7"/>
  <c r="CJ196" i="7"/>
  <c r="CH195" i="7"/>
  <c r="CH196" i="7"/>
  <c r="CG195" i="7"/>
  <c r="CG196" i="7"/>
  <c r="CQ169" i="7"/>
  <c r="CQ176" i="7" s="1"/>
  <c r="CR544" i="1"/>
  <c r="CR546" i="1" s="1"/>
  <c r="CQ22" i="7"/>
  <c r="CQ33" i="7" s="1"/>
  <c r="CR152" i="7" s="1"/>
  <c r="CO22" i="7"/>
  <c r="CO33" i="7" s="1"/>
  <c r="CO183" i="7"/>
  <c r="CO169" i="7"/>
  <c r="CO176" i="7" s="1"/>
  <c r="CO182" i="7"/>
  <c r="CO184" i="7"/>
  <c r="CM169" i="7"/>
  <c r="CM184" i="7"/>
  <c r="CJ544" i="1"/>
  <c r="CJ546" i="1" s="1"/>
  <c r="CR169" i="7"/>
  <c r="CR184" i="7"/>
  <c r="CO544" i="1"/>
  <c r="CO546" i="1" s="1"/>
  <c r="CN184" i="7"/>
  <c r="CN182" i="7"/>
  <c r="CL183" i="7"/>
  <c r="CM544" i="1"/>
  <c r="CK544" i="1"/>
  <c r="CK546" i="1" s="1"/>
  <c r="CJ182" i="7"/>
  <c r="CJ183" i="7"/>
  <c r="CG22" i="7"/>
  <c r="CG33" i="7" s="1"/>
  <c r="CG169" i="7"/>
  <c r="CG176" i="7" s="1"/>
  <c r="CH544" i="1"/>
  <c r="CH546" i="1" s="1"/>
  <c r="CG183" i="7"/>
  <c r="CF544" i="1"/>
  <c r="CE22" i="7"/>
  <c r="CE33" i="7" s="1"/>
  <c r="BT201" i="7"/>
  <c r="BT200" i="7" s="1"/>
  <c r="BT168" i="7"/>
  <c r="BU88" i="7"/>
  <c r="BT90" i="7"/>
  <c r="CH551" i="1"/>
  <c r="CF51" i="7"/>
  <c r="BJ51" i="7"/>
  <c r="BJ62" i="7" s="1"/>
  <c r="BJ63" i="7" s="1"/>
  <c r="AW211" i="7"/>
  <c r="I62" i="7"/>
  <c r="I63" i="7" s="1"/>
  <c r="AA62" i="7"/>
  <c r="AA63" i="7" s="1"/>
  <c r="AQ62" i="7"/>
  <c r="AQ63" i="7" s="1"/>
  <c r="BR51" i="7"/>
  <c r="BR62" i="7" s="1"/>
  <c r="BR63" i="7" s="1"/>
  <c r="BE63" i="7"/>
  <c r="CL69" i="7"/>
  <c r="AU62" i="7"/>
  <c r="BC62" i="7"/>
  <c r="BC63" i="7" s="1"/>
  <c r="AA90" i="7"/>
  <c r="AA92" i="7" s="1"/>
  <c r="BU22" i="7"/>
  <c r="BU33" i="7" s="1"/>
  <c r="BU182" i="7"/>
  <c r="AH140" i="7"/>
  <c r="BU152" i="7"/>
  <c r="BX549" i="1"/>
  <c r="BX550" i="1" s="1"/>
  <c r="BX76" i="1" s="1"/>
  <c r="BW167" i="7"/>
  <c r="AH179" i="7"/>
  <c r="AD175" i="7"/>
  <c r="AD200" i="7"/>
  <c r="BU123" i="7"/>
  <c r="BV123" i="7" s="1"/>
  <c r="CU16" i="7"/>
  <c r="BU204" i="7"/>
  <c r="BU206" i="7" s="1"/>
  <c r="BV192" i="7"/>
  <c r="P117" i="7"/>
  <c r="P139" i="7" s="1"/>
  <c r="BU91" i="7"/>
  <c r="BV88" i="7" s="1"/>
  <c r="BV90" i="7" s="1"/>
  <c r="AC62" i="7"/>
  <c r="AC63" i="7" s="1"/>
  <c r="AW62" i="7"/>
  <c r="AT152" i="7"/>
  <c r="BI546" i="1"/>
  <c r="G62" i="7"/>
  <c r="G63" i="7" s="1"/>
  <c r="O62" i="7"/>
  <c r="O63" i="7" s="1"/>
  <c r="W62" i="7"/>
  <c r="AY62" i="7"/>
  <c r="AY63" i="7" s="1"/>
  <c r="CJ119" i="7"/>
  <c r="AI551" i="1"/>
  <c r="BL22" i="7"/>
  <c r="BL33" i="7" s="1"/>
  <c r="BL123" i="7"/>
  <c r="BL124" i="7"/>
  <c r="BL125" i="7"/>
  <c r="BL191" i="7"/>
  <c r="BP191" i="7"/>
  <c r="BL192" i="7"/>
  <c r="BC124" i="7"/>
  <c r="BC123" i="7"/>
  <c r="BC125" i="7"/>
  <c r="BC182" i="7"/>
  <c r="BG191" i="7"/>
  <c r="BC192" i="7"/>
  <c r="AZ123" i="7"/>
  <c r="AZ204" i="7"/>
  <c r="AZ206" i="7" s="1"/>
  <c r="O551" i="1"/>
  <c r="N546" i="1"/>
  <c r="Y90" i="7"/>
  <c r="Y92" i="7" s="1"/>
  <c r="X84" i="7"/>
  <c r="X97" i="7" s="1"/>
  <c r="CO204" i="7"/>
  <c r="CO206" i="7" s="1"/>
  <c r="T84" i="7"/>
  <c r="T97" i="7" s="1"/>
  <c r="CH125" i="7"/>
  <c r="CQ544" i="1"/>
  <c r="CQ546" i="1" s="1"/>
  <c r="AP161" i="7"/>
  <c r="BC211" i="7"/>
  <c r="BU161" i="7"/>
  <c r="AJ211" i="7"/>
  <c r="BD303" i="1"/>
  <c r="BD214" i="1"/>
  <c r="CS133" i="1"/>
  <c r="BA458" i="1"/>
  <c r="AO167" i="1"/>
  <c r="AX31" i="1"/>
  <c r="AX44" i="1" s="1"/>
  <c r="AX42" i="1" s="1"/>
  <c r="AX406" i="1"/>
  <c r="AK633" i="1"/>
  <c r="BI196" i="1"/>
  <c r="BK200" i="1"/>
  <c r="CS184" i="1"/>
  <c r="CS199" i="1" s="1"/>
  <c r="BE196" i="1"/>
  <c r="BL200" i="1"/>
  <c r="BC345" i="1"/>
  <c r="BB199" i="1"/>
  <c r="AW211" i="1"/>
  <c r="BY317" i="1"/>
  <c r="BY318" i="1" s="1"/>
  <c r="BY295" i="1"/>
  <c r="BK239" i="1"/>
  <c r="AH535" i="1"/>
  <c r="AL632" i="1"/>
  <c r="R570" i="1"/>
  <c r="CH570" i="1" s="1"/>
  <c r="AD602" i="1"/>
  <c r="CH626" i="1"/>
  <c r="CN592" i="1"/>
  <c r="CN596" i="1" s="1"/>
  <c r="CN608" i="1" s="1"/>
  <c r="CU471" i="1"/>
  <c r="CU472" i="1" s="1"/>
  <c r="AH501" i="1"/>
  <c r="DL83" i="1"/>
  <c r="CF551" i="1"/>
  <c r="AS551" i="1"/>
  <c r="AK551" i="1"/>
  <c r="U551" i="1"/>
  <c r="AY546" i="1"/>
  <c r="AO539" i="1"/>
  <c r="J539" i="1"/>
  <c r="AJ537" i="1"/>
  <c r="AJ535" i="1" s="1"/>
  <c r="AJ496" i="1"/>
  <c r="AS480" i="1"/>
  <c r="CS451" i="1"/>
  <c r="BF300" i="1"/>
  <c r="CT242" i="1"/>
  <c r="BU576" i="1"/>
  <c r="BV578" i="1"/>
  <c r="CO596" i="1"/>
  <c r="CO608" i="1" s="1"/>
  <c r="CE541" i="1"/>
  <c r="CT540" i="1"/>
  <c r="AL539" i="1"/>
  <c r="CL540" i="1"/>
  <c r="Z539" i="1"/>
  <c r="CJ539" i="1" s="1"/>
  <c r="N151" i="7"/>
  <c r="BB152" i="7"/>
  <c r="BB151" i="7"/>
  <c r="CM107" i="7"/>
  <c r="CM109" i="7"/>
  <c r="CM30" i="7"/>
  <c r="CM108" i="7"/>
  <c r="CM110" i="7"/>
  <c r="CN177" i="7"/>
  <c r="CQ109" i="7"/>
  <c r="O117" i="7"/>
  <c r="O139" i="7" s="1"/>
  <c r="BJ161" i="7"/>
  <c r="BI211" i="7"/>
  <c r="CS200" i="7"/>
  <c r="BA63" i="7"/>
  <c r="CQ200" i="7"/>
  <c r="AD163" i="7"/>
  <c r="AD174" i="7"/>
  <c r="AW63" i="7"/>
  <c r="AX200" i="7"/>
  <c r="BT63" i="7"/>
  <c r="W200" i="7"/>
  <c r="Y152" i="7"/>
  <c r="BD166" i="1"/>
  <c r="BC135" i="1"/>
  <c r="AI137" i="1"/>
  <c r="AI138" i="1"/>
  <c r="CP150" i="1"/>
  <c r="CQ150" i="1"/>
  <c r="AF140" i="7"/>
  <c r="AF535" i="1"/>
  <c r="CE128" i="1"/>
  <c r="CE54" i="1"/>
  <c r="CE515" i="1"/>
  <c r="AF152" i="1"/>
  <c r="AO152" i="1"/>
  <c r="U151" i="1"/>
  <c r="Q135" i="1"/>
  <c r="Q130" i="7"/>
  <c r="Q151" i="1"/>
  <c r="AJ71" i="1"/>
  <c r="AN152" i="1" s="1"/>
  <c r="H72" i="1"/>
  <c r="H78" i="1"/>
  <c r="H139" i="1" s="1"/>
  <c r="AI156" i="7"/>
  <c r="CI118" i="7"/>
  <c r="CI140" i="7" s="1"/>
  <c r="CI131" i="7"/>
  <c r="CP149" i="1"/>
  <c r="CP67" i="1"/>
  <c r="CQ151" i="1" s="1"/>
  <c r="BO166" i="1"/>
  <c r="BS576" i="1"/>
  <c r="BS578" i="1"/>
  <c r="BO578" i="1"/>
  <c r="BO576" i="1"/>
  <c r="BC578" i="1"/>
  <c r="BC576" i="1"/>
  <c r="W576" i="1"/>
  <c r="W578" i="1"/>
  <c r="BH578" i="1"/>
  <c r="BH576" i="1"/>
  <c r="CR576" i="1" s="1"/>
  <c r="CR577" i="1" s="1"/>
  <c r="CR578" i="1" s="1"/>
  <c r="BD576" i="1"/>
  <c r="BD578" i="1"/>
  <c r="AJ578" i="1"/>
  <c r="AJ576" i="1"/>
  <c r="AB576" i="1"/>
  <c r="AB578" i="1"/>
  <c r="X576" i="1"/>
  <c r="X578" i="1"/>
  <c r="CQ541" i="1"/>
  <c r="BE539" i="1"/>
  <c r="CN541" i="1"/>
  <c r="AP539" i="1"/>
  <c r="CN539" i="1" s="1"/>
  <c r="AF539" i="1"/>
  <c r="CK541" i="1"/>
  <c r="BD539" i="1"/>
  <c r="CQ540" i="1"/>
  <c r="AU539" i="1"/>
  <c r="CO539" i="1" s="1"/>
  <c r="CO540" i="1"/>
  <c r="CN540" i="1"/>
  <c r="AQ539" i="1"/>
  <c r="CK540" i="1"/>
  <c r="AD539" i="1"/>
  <c r="V539" i="1"/>
  <c r="CI540" i="1"/>
  <c r="G539" i="1"/>
  <c r="BR118" i="8"/>
  <c r="CU81" i="1"/>
  <c r="BG118" i="8"/>
  <c r="DS81" i="1"/>
  <c r="CR81" i="1"/>
  <c r="BB118" i="8"/>
  <c r="DR81" i="1"/>
  <c r="AP118" i="8"/>
  <c r="CN81" i="1"/>
  <c r="DO81" i="1"/>
  <c r="AL118" i="8"/>
  <c r="CM81" i="1"/>
  <c r="M118" i="8"/>
  <c r="CF81" i="1"/>
  <c r="CF118" i="8" s="1"/>
  <c r="CK150" i="1"/>
  <c r="BL151" i="1"/>
  <c r="BL166" i="1"/>
  <c r="CK149" i="1"/>
  <c r="CK67" i="1"/>
  <c r="CL151" i="1" s="1"/>
  <c r="CL149" i="1"/>
  <c r="I164" i="1"/>
  <c r="I540" i="1"/>
  <c r="I539" i="1" s="1"/>
  <c r="I133" i="1"/>
  <c r="I536" i="1"/>
  <c r="I535" i="1" s="1"/>
  <c r="J164" i="1"/>
  <c r="CE68" i="1"/>
  <c r="AL166" i="1"/>
  <c r="AK166" i="1"/>
  <c r="AK130" i="7"/>
  <c r="AK151" i="1"/>
  <c r="AH166" i="1"/>
  <c r="AG166" i="1"/>
  <c r="AG134" i="7"/>
  <c r="AG135" i="1"/>
  <c r="AG151" i="1"/>
  <c r="AC134" i="7"/>
  <c r="DL67" i="1"/>
  <c r="AC166" i="1"/>
  <c r="AC135" i="1"/>
  <c r="X166" i="1"/>
  <c r="X130" i="7"/>
  <c r="Y166" i="1"/>
  <c r="X134" i="7"/>
  <c r="X135" i="1"/>
  <c r="N135" i="1"/>
  <c r="N166" i="1"/>
  <c r="N130" i="7"/>
  <c r="O166" i="1"/>
  <c r="J71" i="1"/>
  <c r="J167" i="1" s="1"/>
  <c r="J135" i="1"/>
  <c r="J151" i="1"/>
  <c r="H515" i="1"/>
  <c r="H54" i="1"/>
  <c r="I163" i="1"/>
  <c r="H128" i="1"/>
  <c r="BT578" i="1"/>
  <c r="BT576" i="1"/>
  <c r="CN149" i="1"/>
  <c r="CM67" i="1"/>
  <c r="DJ53" i="1"/>
  <c r="U128" i="1"/>
  <c r="U54" i="1"/>
  <c r="U163" i="1"/>
  <c r="V163" i="1"/>
  <c r="BH623" i="1"/>
  <c r="BH619" i="1" s="1"/>
  <c r="BH118" i="7"/>
  <c r="BH140" i="7" s="1"/>
  <c r="BI158" i="1"/>
  <c r="BI188" i="7" s="1"/>
  <c r="BH134" i="1"/>
  <c r="BH135" i="1"/>
  <c r="BT151" i="1"/>
  <c r="BP166" i="1"/>
  <c r="BP151" i="1"/>
  <c r="BQ166" i="1"/>
  <c r="M148" i="1"/>
  <c r="M54" i="1"/>
  <c r="M515" i="1"/>
  <c r="M71" i="1"/>
  <c r="M114" i="8" s="1"/>
  <c r="M122" i="8" s="1"/>
  <c r="M123" i="8" s="1"/>
  <c r="M128" i="1"/>
  <c r="CQ103" i="1"/>
  <c r="AZ539" i="1"/>
  <c r="CP539" i="1" s="1"/>
  <c r="CG540" i="1"/>
  <c r="DW118" i="1"/>
  <c r="DL81" i="1"/>
  <c r="DR88" i="1"/>
  <c r="AN578" i="1"/>
  <c r="T576" i="1"/>
  <c r="L148" i="1"/>
  <c r="CT601" i="1"/>
  <c r="BU74" i="1"/>
  <c r="CQ18" i="1"/>
  <c r="Z619" i="1"/>
  <c r="CG578" i="1"/>
  <c r="BL551" i="1"/>
  <c r="BH551" i="1"/>
  <c r="CS539" i="1"/>
  <c r="CS621" i="1"/>
  <c r="CN103" i="1"/>
  <c r="BE147" i="7"/>
  <c r="BD108" i="7"/>
  <c r="BD26" i="7" s="1"/>
  <c r="BC26" i="7"/>
  <c r="BH109" i="7"/>
  <c r="BH27" i="7" s="1"/>
  <c r="BG27" i="7"/>
  <c r="BN211" i="7"/>
  <c r="AY152" i="7"/>
  <c r="AX63" i="7"/>
  <c r="AJ174" i="7"/>
  <c r="AJ170" i="7"/>
  <c r="U179" i="7"/>
  <c r="U176" i="7"/>
  <c r="AG108" i="7"/>
  <c r="AH108" i="7" s="1"/>
  <c r="AI108" i="7" s="1"/>
  <c r="AJ108" i="7" s="1"/>
  <c r="AG107" i="7"/>
  <c r="AH107" i="7" s="1"/>
  <c r="AI107" i="7" s="1"/>
  <c r="AG110" i="7"/>
  <c r="AH110" i="7" s="1"/>
  <c r="CK24" i="7"/>
  <c r="AG109" i="7"/>
  <c r="AH109" i="7" s="1"/>
  <c r="AI109" i="7" s="1"/>
  <c r="AJ109" i="7" s="1"/>
  <c r="AG83" i="7"/>
  <c r="CK177" i="7"/>
  <c r="CK171" i="7"/>
  <c r="CK161" i="7" s="1"/>
  <c r="CK170" i="7"/>
  <c r="CK164" i="7" s="1"/>
  <c r="CK201" i="7"/>
  <c r="CK199" i="7"/>
  <c r="CK175" i="7" s="1"/>
  <c r="BC164" i="7"/>
  <c r="AN151" i="7"/>
  <c r="W182" i="7"/>
  <c r="W183" i="7"/>
  <c r="W22" i="7"/>
  <c r="W33" i="7" s="1"/>
  <c r="W169" i="7"/>
  <c r="AR162" i="7"/>
  <c r="AR179" i="7"/>
  <c r="AR211" i="7"/>
  <c r="BH161" i="7"/>
  <c r="BH174" i="7"/>
  <c r="BH170" i="7"/>
  <c r="BH163" i="7"/>
  <c r="BB79" i="7"/>
  <c r="BB85" i="7" s="1"/>
  <c r="BA94" i="7"/>
  <c r="CX56" i="7"/>
  <c r="CY56" i="7" s="1"/>
  <c r="CZ56" i="7" s="1"/>
  <c r="DA56" i="7" s="1"/>
  <c r="DB56" i="7" s="1"/>
  <c r="DC56" i="7" s="1"/>
  <c r="BR85" i="7"/>
  <c r="Z152" i="7"/>
  <c r="Z151" i="7"/>
  <c r="BL163" i="7"/>
  <c r="BL170" i="7"/>
  <c r="BL174" i="7"/>
  <c r="BL178" i="7"/>
  <c r="BH63" i="7"/>
  <c r="BI152" i="7"/>
  <c r="BI151" i="7"/>
  <c r="BS152" i="7"/>
  <c r="BW125" i="7"/>
  <c r="BV19" i="7"/>
  <c r="AR161" i="7"/>
  <c r="BN179" i="7"/>
  <c r="CP98" i="7"/>
  <c r="CP103" i="7"/>
  <c r="AZ152" i="7"/>
  <c r="AH90" i="7"/>
  <c r="AH91" i="7" s="1"/>
  <c r="N66" i="7"/>
  <c r="T151" i="7"/>
  <c r="T152" i="7"/>
  <c r="V22" i="7"/>
  <c r="V33" i="7" s="1"/>
  <c r="W544" i="1"/>
  <c r="W546" i="1" s="1"/>
  <c r="V184" i="7"/>
  <c r="V169" i="7"/>
  <c r="V182" i="7"/>
  <c r="V183" i="7"/>
  <c r="CO98" i="7"/>
  <c r="BJ200" i="7"/>
  <c r="BG63" i="7"/>
  <c r="BS200" i="7"/>
  <c r="S63" i="7"/>
  <c r="AY211" i="7"/>
  <c r="AA152" i="7"/>
  <c r="AT211" i="7"/>
  <c r="CI49" i="7"/>
  <c r="BQ191" i="7"/>
  <c r="K63" i="7"/>
  <c r="Y63" i="7"/>
  <c r="AS63" i="7"/>
  <c r="BE211" i="7"/>
  <c r="M63" i="7"/>
  <c r="AJ200" i="7"/>
  <c r="T200" i="7"/>
  <c r="AR51" i="7"/>
  <c r="AR62" i="7" s="1"/>
  <c r="AR63" i="7" s="1"/>
  <c r="CH123" i="7"/>
  <c r="BY326" i="1"/>
  <c r="BX326" i="1"/>
  <c r="BZ325" i="1"/>
  <c r="BG360" i="1"/>
  <c r="BH359" i="1"/>
  <c r="CR225" i="1"/>
  <c r="BK288" i="1"/>
  <c r="BX234" i="1"/>
  <c r="BW243" i="1"/>
  <c r="DW12" i="1"/>
  <c r="BW17" i="1"/>
  <c r="BW23" i="1" s="1"/>
  <c r="BW129" i="1" s="1"/>
  <c r="BW229" i="1"/>
  <c r="BW159" i="1"/>
  <c r="BZ299" i="1"/>
  <c r="BX291" i="1"/>
  <c r="BX13" i="1" s="1"/>
  <c r="CO213" i="1"/>
  <c r="CO484" i="1"/>
  <c r="CO485" i="1" s="1"/>
  <c r="CO479" i="1"/>
  <c r="BA33" i="1"/>
  <c r="BA46" i="1" s="1"/>
  <c r="BA60" i="1" s="1"/>
  <c r="BA448" i="1"/>
  <c r="BA211" i="1"/>
  <c r="BB463" i="1"/>
  <c r="BB457" i="1" s="1"/>
  <c r="BA437" i="1"/>
  <c r="BA209" i="1" s="1"/>
  <c r="AW28" i="1"/>
  <c r="AW41" i="1" s="1"/>
  <c r="BA459" i="1"/>
  <c r="AX208" i="1"/>
  <c r="AZ454" i="1"/>
  <c r="DN471" i="1"/>
  <c r="DN472" i="1" s="1"/>
  <c r="AW536" i="1"/>
  <c r="AW535" i="1" s="1"/>
  <c r="BE307" i="1"/>
  <c r="BF313" i="1"/>
  <c r="BD309" i="1"/>
  <c r="BB447" i="1"/>
  <c r="CJ602" i="1"/>
  <c r="CS575" i="1"/>
  <c r="BC303" i="1"/>
  <c r="AZ458" i="1"/>
  <c r="AY447" i="1"/>
  <c r="AF134" i="8"/>
  <c r="AF136" i="8" s="1"/>
  <c r="AF137" i="8" s="1"/>
  <c r="DV173" i="1"/>
  <c r="AN138" i="1"/>
  <c r="S515" i="1"/>
  <c r="S128" i="1"/>
  <c r="S163" i="1"/>
  <c r="BC212" i="1"/>
  <c r="BE417" i="1"/>
  <c r="BD410" i="1"/>
  <c r="BU598" i="1"/>
  <c r="AV458" i="1"/>
  <c r="CO457" i="1"/>
  <c r="BY90" i="1"/>
  <c r="DX90" i="1" s="1"/>
  <c r="AF72" i="1"/>
  <c r="AB633" i="1"/>
  <c r="AB619" i="1"/>
  <c r="AM634" i="1"/>
  <c r="DP67" i="1"/>
  <c r="DP151" i="1" s="1"/>
  <c r="AW151" i="1"/>
  <c r="AT166" i="1"/>
  <c r="BK197" i="1"/>
  <c r="BK195" i="1"/>
  <c r="DT173" i="1"/>
  <c r="BK196" i="1"/>
  <c r="CS173" i="1"/>
  <c r="CT88" i="1"/>
  <c r="CT117" i="8" s="1"/>
  <c r="BR195" i="1"/>
  <c r="BR197" i="1"/>
  <c r="BV196" i="1"/>
  <c r="AE117" i="8"/>
  <c r="BC214" i="1"/>
  <c r="AW459" i="1"/>
  <c r="AV459" i="1"/>
  <c r="AY454" i="1"/>
  <c r="BF349" i="1"/>
  <c r="BG349" i="1" s="1"/>
  <c r="BL88" i="1"/>
  <c r="CS88" i="1" s="1"/>
  <c r="CS117" i="8" s="1"/>
  <c r="DU89" i="1"/>
  <c r="CS89" i="1"/>
  <c r="BP118" i="8"/>
  <c r="CT81" i="1"/>
  <c r="DW76" i="1"/>
  <c r="BD551" i="1"/>
  <c r="AZ551" i="1"/>
  <c r="AR551" i="1"/>
  <c r="AN551" i="1"/>
  <c r="AJ551" i="1"/>
  <c r="AB551" i="1"/>
  <c r="X551" i="1"/>
  <c r="T551" i="1"/>
  <c r="BR546" i="1"/>
  <c r="BF546" i="1"/>
  <c r="BB546" i="1"/>
  <c r="AT546" i="1"/>
  <c r="AL546" i="1"/>
  <c r="AH546" i="1"/>
  <c r="AD546" i="1"/>
  <c r="P546" i="1"/>
  <c r="BD473" i="1"/>
  <c r="AK210" i="7"/>
  <c r="AK211" i="7" s="1"/>
  <c r="CI603" i="1"/>
  <c r="T78" i="1"/>
  <c r="T82" i="1" s="1"/>
  <c r="CJ129" i="7"/>
  <c r="CJ134" i="1"/>
  <c r="CN184" i="1"/>
  <c r="CO199" i="1" s="1"/>
  <c r="AM539" i="1"/>
  <c r="CM539" i="1" s="1"/>
  <c r="AB167" i="1"/>
  <c r="DX93" i="1"/>
  <c r="AL634" i="1"/>
  <c r="CU451" i="1"/>
  <c r="AR216" i="1"/>
  <c r="CJ135" i="1"/>
  <c r="AV199" i="1"/>
  <c r="T134" i="8"/>
  <c r="T136" i="8" s="1"/>
  <c r="T137" i="8" s="1"/>
  <c r="CJ131" i="7"/>
  <c r="CJ118" i="7"/>
  <c r="CT551" i="1"/>
  <c r="CU582" i="1"/>
  <c r="AG619" i="1"/>
  <c r="AK619" i="1"/>
  <c r="AN535" i="1"/>
  <c r="AU45" i="1"/>
  <c r="AU59" i="1" s="1"/>
  <c r="AU527" i="1" s="1"/>
  <c r="DX119" i="1"/>
  <c r="BN151" i="1"/>
  <c r="AJ619" i="1"/>
  <c r="DM440" i="1"/>
  <c r="CS81" i="1"/>
  <c r="AO551" i="1"/>
  <c r="Q551" i="1"/>
  <c r="BG546" i="1"/>
  <c r="BC327" i="1"/>
  <c r="AS63" i="1"/>
  <c r="DP63" i="1" s="1"/>
  <c r="BJ71" i="1"/>
  <c r="AD535" i="1"/>
  <c r="Z634" i="1"/>
  <c r="P535" i="1"/>
  <c r="BD24" i="1"/>
  <c r="BD130" i="1" s="1"/>
  <c r="CN49" i="1"/>
  <c r="BJ515" i="1"/>
  <c r="BJ522" i="1" s="1"/>
  <c r="V619" i="1"/>
  <c r="DV74" i="1"/>
  <c r="AA85" i="1"/>
  <c r="AA100" i="1" s="1"/>
  <c r="AA82" i="1"/>
  <c r="CJ81" i="1"/>
  <c r="AC118" i="8"/>
  <c r="BH24" i="1"/>
  <c r="BH130" i="1" s="1"/>
  <c r="BH16" i="1"/>
  <c r="CK142" i="7"/>
  <c r="AD633" i="1"/>
  <c r="AH633" i="1"/>
  <c r="Y119" i="7"/>
  <c r="Y141" i="7" s="1"/>
  <c r="CF537" i="1"/>
  <c r="CF53" i="1"/>
  <c r="CF536" i="1"/>
  <c r="CF143" i="1"/>
  <c r="CF187" i="7" s="1"/>
  <c r="CF129" i="7"/>
  <c r="CF131" i="7"/>
  <c r="CF134" i="1"/>
  <c r="CF135" i="1"/>
  <c r="CF118" i="7"/>
  <c r="CF140" i="7" s="1"/>
  <c r="AA72" i="1"/>
  <c r="AA134" i="8"/>
  <c r="AA136" i="8" s="1"/>
  <c r="AA137" i="8" s="1"/>
  <c r="AA137" i="1"/>
  <c r="AA138" i="1"/>
  <c r="AA114" i="8"/>
  <c r="DP49" i="1"/>
  <c r="BU16" i="1"/>
  <c r="BV17" i="1"/>
  <c r="N117" i="7"/>
  <c r="N139" i="7" s="1"/>
  <c r="BI129" i="7"/>
  <c r="Z138" i="1"/>
  <c r="V54" i="1"/>
  <c r="AU60" i="1"/>
  <c r="AR48" i="1"/>
  <c r="Z148" i="1"/>
  <c r="BU11" i="1"/>
  <c r="BV158" i="1" s="1"/>
  <c r="BV188" i="7" s="1"/>
  <c r="BI621" i="1"/>
  <c r="BI633" i="1" s="1"/>
  <c r="CF102" i="1"/>
  <c r="CF554" i="1" s="1"/>
  <c r="AT151" i="1"/>
  <c r="CR18" i="1"/>
  <c r="K535" i="1"/>
  <c r="DP43" i="1"/>
  <c r="Z134" i="8"/>
  <c r="Z136" i="8" s="1"/>
  <c r="Z137" i="8" s="1"/>
  <c r="AJ515" i="1"/>
  <c r="BI131" i="7"/>
  <c r="BI620" i="1"/>
  <c r="BI632" i="1" s="1"/>
  <c r="Z78" i="1"/>
  <c r="AA168" i="1" s="1"/>
  <c r="V71" i="1"/>
  <c r="Z152" i="1" s="1"/>
  <c r="AN148" i="1"/>
  <c r="AD515" i="1"/>
  <c r="AD148" i="1"/>
  <c r="AD71" i="1"/>
  <c r="AR64" i="1"/>
  <c r="DP64" i="1" s="1"/>
  <c r="BI134" i="1"/>
  <c r="BI118" i="7"/>
  <c r="BI140" i="7" s="1"/>
  <c r="BI101" i="7"/>
  <c r="N535" i="1"/>
  <c r="DT118" i="1"/>
  <c r="R619" i="1"/>
  <c r="BV144" i="1"/>
  <c r="DN67" i="1"/>
  <c r="BI623" i="1"/>
  <c r="Z137" i="1"/>
  <c r="AS45" i="1"/>
  <c r="AS59" i="1" s="1"/>
  <c r="AE163" i="1"/>
  <c r="BI554" i="1"/>
  <c r="BI133" i="1"/>
  <c r="AJ554" i="1"/>
  <c r="AN82" i="1"/>
  <c r="CP43" i="1"/>
  <c r="BA57" i="1"/>
  <c r="BT166" i="1"/>
  <c r="BS166" i="1"/>
  <c r="BS151" i="1"/>
  <c r="BC166" i="1"/>
  <c r="BC151" i="1"/>
  <c r="BU71" i="1"/>
  <c r="L54" i="1"/>
  <c r="M163" i="1"/>
  <c r="L128" i="1"/>
  <c r="DH53" i="1"/>
  <c r="L515" i="1"/>
  <c r="L71" i="1"/>
  <c r="P148" i="1"/>
  <c r="CS101" i="7"/>
  <c r="CS131" i="7"/>
  <c r="CT143" i="1"/>
  <c r="CT187" i="7" s="1"/>
  <c r="T103" i="1"/>
  <c r="AK114" i="8"/>
  <c r="AK122" i="8" s="1"/>
  <c r="AK123" i="8" s="1"/>
  <c r="AL167" i="1"/>
  <c r="AK72" i="1"/>
  <c r="AK138" i="1"/>
  <c r="AK78" i="1"/>
  <c r="AQ48" i="1"/>
  <c r="AQ63" i="1"/>
  <c r="CN63" i="1" s="1"/>
  <c r="CN531" i="1" s="1"/>
  <c r="R85" i="1"/>
  <c r="R100" i="1" s="1"/>
  <c r="AZ46" i="1"/>
  <c r="AV47" i="1"/>
  <c r="CO34" i="1"/>
  <c r="BW160" i="1"/>
  <c r="DW13" i="1"/>
  <c r="BW145" i="1"/>
  <c r="AW45" i="1"/>
  <c r="AW59" i="1" s="1"/>
  <c r="BB166" i="1"/>
  <c r="BE151" i="1"/>
  <c r="I138" i="1"/>
  <c r="I78" i="1"/>
  <c r="I85" i="1" s="1"/>
  <c r="I109" i="1" s="1"/>
  <c r="BT134" i="7"/>
  <c r="BT130" i="7"/>
  <c r="BF135" i="1"/>
  <c r="BF166" i="1"/>
  <c r="AI140" i="7"/>
  <c r="AI633" i="1"/>
  <c r="AI619" i="1"/>
  <c r="CR145" i="1"/>
  <c r="AG632" i="1"/>
  <c r="DL53" i="1"/>
  <c r="DL54" i="1" s="1"/>
  <c r="AC54" i="1"/>
  <c r="AC71" i="1"/>
  <c r="BS129" i="1"/>
  <c r="BF619" i="1"/>
  <c r="DU103" i="1"/>
  <c r="AI78" i="1"/>
  <c r="AI82" i="1" s="1"/>
  <c r="AI72" i="1"/>
  <c r="AF114" i="8"/>
  <c r="AF122" i="8" s="1"/>
  <c r="AF123" i="8" s="1"/>
  <c r="AF138" i="1"/>
  <c r="W148" i="1"/>
  <c r="S71" i="1"/>
  <c r="T163" i="1"/>
  <c r="S148" i="1"/>
  <c r="CI554" i="1"/>
  <c r="V140" i="7"/>
  <c r="BH587" i="1"/>
  <c r="CR582" i="1"/>
  <c r="BR130" i="1"/>
  <c r="CJ151" i="1"/>
  <c r="CJ134" i="7"/>
  <c r="AR151" i="1"/>
  <c r="AN151" i="1"/>
  <c r="AN166" i="1"/>
  <c r="AO166" i="1"/>
  <c r="AN130" i="7"/>
  <c r="CO57" i="1"/>
  <c r="AL152" i="1"/>
  <c r="AL137" i="1"/>
  <c r="AL134" i="8"/>
  <c r="AL136" i="8" s="1"/>
  <c r="AL137" i="8" s="1"/>
  <c r="AL114" i="8"/>
  <c r="AB72" i="1"/>
  <c r="AB114" i="8"/>
  <c r="AB122" i="8" s="1"/>
  <c r="AB123" i="8" s="1"/>
  <c r="AB156" i="7"/>
  <c r="AB137" i="1"/>
  <c r="AB138" i="1"/>
  <c r="AV46" i="1"/>
  <c r="AV60" i="1" s="1"/>
  <c r="CO33" i="1"/>
  <c r="CT103" i="1"/>
  <c r="BM133" i="1"/>
  <c r="BM151" i="1"/>
  <c r="BQ151" i="1"/>
  <c r="BV134" i="1"/>
  <c r="BV129" i="7"/>
  <c r="BV537" i="1"/>
  <c r="BV541" i="1" s="1"/>
  <c r="BV118" i="7"/>
  <c r="BV536" i="1"/>
  <c r="BV135" i="1"/>
  <c r="BH129" i="1"/>
  <c r="CL130" i="7"/>
  <c r="CM151" i="1"/>
  <c r="BB151" i="1"/>
  <c r="AX151" i="1"/>
  <c r="AX166" i="1"/>
  <c r="BR166" i="1"/>
  <c r="BV151" i="1"/>
  <c r="BR151" i="1"/>
  <c r="BR135" i="1"/>
  <c r="AB587" i="1"/>
  <c r="CJ582" i="1"/>
  <c r="CJ587" i="1" s="1"/>
  <c r="CU509" i="1"/>
  <c r="BR510" i="1"/>
  <c r="CT146" i="1"/>
  <c r="CS146" i="1"/>
  <c r="BR103" i="1"/>
  <c r="DV103" i="1" s="1"/>
  <c r="DV102" i="1"/>
  <c r="BG103" i="1"/>
  <c r="CR102" i="1"/>
  <c r="DS102" i="1"/>
  <c r="AZ103" i="1"/>
  <c r="DR103" i="1" s="1"/>
  <c r="DR102" i="1"/>
  <c r="CC70" i="7"/>
  <c r="CW45" i="8"/>
  <c r="CW70" i="7" s="1"/>
  <c r="BV103" i="1"/>
  <c r="BV554" i="1"/>
  <c r="BM131" i="7"/>
  <c r="BM135" i="1"/>
  <c r="BQ143" i="1"/>
  <c r="BQ187" i="7" s="1"/>
  <c r="CJ515" i="1"/>
  <c r="DR30" i="1"/>
  <c r="DP102" i="1"/>
  <c r="AI128" i="1"/>
  <c r="AI515" i="1"/>
  <c r="AO619" i="1"/>
  <c r="DV67" i="1"/>
  <c r="BM621" i="1"/>
  <c r="BM622" i="1"/>
  <c r="DU67" i="1"/>
  <c r="AK54" i="1"/>
  <c r="AK515" i="1"/>
  <c r="CJ101" i="7"/>
  <c r="T137" i="1"/>
  <c r="T114" i="8"/>
  <c r="T122" i="8" s="1"/>
  <c r="T123" i="8" s="1"/>
  <c r="CF535" i="1"/>
  <c r="AB535" i="1"/>
  <c r="AY166" i="1"/>
  <c r="DQ67" i="1"/>
  <c r="DR151" i="1" s="1"/>
  <c r="CJ102" i="1"/>
  <c r="DL102" i="1"/>
  <c r="AC103" i="1"/>
  <c r="DL103" i="1" s="1"/>
  <c r="AC554" i="1"/>
  <c r="BD133" i="1"/>
  <c r="BE158" i="1"/>
  <c r="BE188" i="7" s="1"/>
  <c r="BD135" i="1"/>
  <c r="BD554" i="1"/>
  <c r="BD129" i="7"/>
  <c r="BD101" i="7"/>
  <c r="BD621" i="1"/>
  <c r="BH633" i="1" s="1"/>
  <c r="BH143" i="1"/>
  <c r="BH187" i="7" s="1"/>
  <c r="BD620" i="1"/>
  <c r="BD118" i="7"/>
  <c r="BD140" i="7" s="1"/>
  <c r="BD622" i="1"/>
  <c r="BH634" i="1" s="1"/>
  <c r="BD131" i="7"/>
  <c r="BD158" i="1"/>
  <c r="BD188" i="7" s="1"/>
  <c r="AH119" i="7"/>
  <c r="CL582" i="1"/>
  <c r="CL587" i="1" s="1"/>
  <c r="AJ114" i="8"/>
  <c r="AJ122" i="8" s="1"/>
  <c r="AJ123" i="8" s="1"/>
  <c r="AH114" i="8"/>
  <c r="AH122" i="8" s="1"/>
  <c r="AH123" i="8" s="1"/>
  <c r="AH78" i="1"/>
  <c r="AH72" i="1"/>
  <c r="AH134" i="8"/>
  <c r="AH136" i="8" s="1"/>
  <c r="AH137" i="8" s="1"/>
  <c r="AH138" i="1"/>
  <c r="CT546" i="1"/>
  <c r="P515" i="1"/>
  <c r="P71" i="1"/>
  <c r="P54" i="1"/>
  <c r="T148" i="1"/>
  <c r="P163" i="1"/>
  <c r="CI129" i="7"/>
  <c r="CI537" i="1"/>
  <c r="CI133" i="1"/>
  <c r="CI135" i="1"/>
  <c r="CI134" i="1"/>
  <c r="CI53" i="1"/>
  <c r="CI536" i="1"/>
  <c r="CI145" i="7"/>
  <c r="AY64" i="1"/>
  <c r="DQ50" i="1"/>
  <c r="CS17" i="1"/>
  <c r="BM23" i="1"/>
  <c r="BM21" i="1" s="1"/>
  <c r="BM515" i="1" s="1"/>
  <c r="BM522" i="1" s="1"/>
  <c r="H85" i="1"/>
  <c r="AN128" i="1"/>
  <c r="AN54" i="1"/>
  <c r="AX118" i="8"/>
  <c r="CP81" i="1"/>
  <c r="AI134" i="7"/>
  <c r="AI130" i="7"/>
  <c r="AJ166" i="1"/>
  <c r="AE151" i="1"/>
  <c r="AE135" i="1"/>
  <c r="AE71" i="1"/>
  <c r="AA166" i="1"/>
  <c r="AA130" i="7"/>
  <c r="V130" i="7"/>
  <c r="W166" i="1"/>
  <c r="V134" i="7"/>
  <c r="V135" i="1"/>
  <c r="Z151" i="1"/>
  <c r="P130" i="7"/>
  <c r="P166" i="1"/>
  <c r="M166" i="1"/>
  <c r="L135" i="1"/>
  <c r="L151" i="1"/>
  <c r="DH67" i="1"/>
  <c r="H166" i="1"/>
  <c r="K151" i="1"/>
  <c r="AZ50" i="1"/>
  <c r="CP50" i="1" s="1"/>
  <c r="DV14" i="1"/>
  <c r="BT161" i="1"/>
  <c r="BS161" i="1"/>
  <c r="BO19" i="1"/>
  <c r="BO25" i="1" s="1"/>
  <c r="BO131" i="1" s="1"/>
  <c r="BO146" i="1"/>
  <c r="BK19" i="1"/>
  <c r="BL161" i="1"/>
  <c r="BG161" i="1"/>
  <c r="BD19" i="1"/>
  <c r="BD161" i="1"/>
  <c r="BE161" i="1"/>
  <c r="BH146" i="1"/>
  <c r="BP145" i="1"/>
  <c r="BQ160" i="1"/>
  <c r="BP11" i="1"/>
  <c r="BP129" i="7" s="1"/>
  <c r="DV13" i="1"/>
  <c r="BL11" i="1"/>
  <c r="BL101" i="7" s="1"/>
  <c r="BM160" i="1"/>
  <c r="BI160" i="1"/>
  <c r="BD160" i="1"/>
  <c r="BE160" i="1"/>
  <c r="DV12" i="1"/>
  <c r="BS159" i="1"/>
  <c r="BT159" i="1"/>
  <c r="BP159" i="1"/>
  <c r="BO159" i="1"/>
  <c r="BL159" i="1"/>
  <c r="BK159" i="1"/>
  <c r="BG17" i="1"/>
  <c r="BG144" i="1"/>
  <c r="BG159" i="1"/>
  <c r="BU551" i="1"/>
  <c r="AF554" i="1"/>
  <c r="AF103" i="1"/>
  <c r="AA103" i="1"/>
  <c r="AA554" i="1"/>
  <c r="CR118" i="1"/>
  <c r="AO586" i="1"/>
  <c r="AO572" i="1" s="1"/>
  <c r="CM572" i="1" s="1"/>
  <c r="BD17" i="1"/>
  <c r="BH144" i="1"/>
  <c r="AO536" i="1"/>
  <c r="AO535" i="1" s="1"/>
  <c r="AO158" i="1"/>
  <c r="AO188" i="7" s="1"/>
  <c r="AK134" i="1"/>
  <c r="AK145" i="7"/>
  <c r="AK143" i="1"/>
  <c r="AK187" i="7" s="1"/>
  <c r="AK147" i="7"/>
  <c r="AK554" i="1"/>
  <c r="AK135" i="1"/>
  <c r="AG133" i="1"/>
  <c r="AG53" i="1"/>
  <c r="AG158" i="1"/>
  <c r="AG188" i="7" s="1"/>
  <c r="AG554" i="1"/>
  <c r="Y536" i="1"/>
  <c r="Y535" i="1" s="1"/>
  <c r="Y620" i="1"/>
  <c r="AC632" i="1" s="1"/>
  <c r="Y134" i="1"/>
  <c r="Y53" i="1"/>
  <c r="Y158" i="1"/>
  <c r="Y188" i="7" s="1"/>
  <c r="Y133" i="1"/>
  <c r="Y101" i="7"/>
  <c r="U536" i="1"/>
  <c r="U101" i="7"/>
  <c r="U134" i="1"/>
  <c r="U135" i="1"/>
  <c r="Q620" i="1"/>
  <c r="R158" i="1"/>
  <c r="R188" i="7" s="1"/>
  <c r="Q118" i="7"/>
  <c r="S147" i="7"/>
  <c r="T145" i="7"/>
  <c r="Q158" i="1"/>
  <c r="Q188" i="7" s="1"/>
  <c r="M537" i="1"/>
  <c r="M535" i="1" s="1"/>
  <c r="M129" i="7"/>
  <c r="M118" i="7"/>
  <c r="S119" i="7"/>
  <c r="R142" i="7"/>
  <c r="R117" i="7"/>
  <c r="R139" i="7" s="1"/>
  <c r="BW70" i="7"/>
  <c r="BX92" i="8"/>
  <c r="BY92" i="8" s="1"/>
  <c r="CV92" i="8" s="1"/>
  <c r="V584" i="1"/>
  <c r="W581" i="1" s="1"/>
  <c r="W584" i="1" s="1"/>
  <c r="X581" i="1" s="1"/>
  <c r="X584" i="1" s="1"/>
  <c r="Y581" i="1" s="1"/>
  <c r="Y584" i="1" s="1"/>
  <c r="Z581" i="1" s="1"/>
  <c r="Z584" i="1" s="1"/>
  <c r="AA581" i="1" s="1"/>
  <c r="AA584" i="1" s="1"/>
  <c r="AB581" i="1" s="1"/>
  <c r="AB584" i="1" s="1"/>
  <c r="AC581" i="1" s="1"/>
  <c r="AF551" i="1"/>
  <c r="BN546" i="1"/>
  <c r="Y131" i="8"/>
  <c r="BX59" i="7"/>
  <c r="BY59" i="7" s="1"/>
  <c r="CV59" i="7" s="1"/>
  <c r="DU118" i="1"/>
  <c r="CI582" i="1"/>
  <c r="CI584" i="1" s="1"/>
  <c r="CJ581" i="1" s="1"/>
  <c r="CH102" i="1"/>
  <c r="CO50" i="1"/>
  <c r="P551" i="1"/>
  <c r="BJ546" i="1"/>
  <c r="AP546" i="1"/>
  <c r="AX58" i="1"/>
  <c r="CQ81" i="1"/>
  <c r="CL81" i="1"/>
  <c r="CS103" i="1"/>
  <c r="BA45" i="1"/>
  <c r="CS134" i="1"/>
  <c r="CS145" i="7"/>
  <c r="CS129" i="7"/>
  <c r="CS554" i="1"/>
  <c r="AW49" i="1"/>
  <c r="AW48" i="1" s="1"/>
  <c r="CO48" i="1" s="1"/>
  <c r="CO36" i="1"/>
  <c r="BC71" i="1"/>
  <c r="BC134" i="8" s="1"/>
  <c r="BG151" i="1"/>
  <c r="AO137" i="1"/>
  <c r="BN148" i="1"/>
  <c r="BI21" i="1"/>
  <c r="BI71" i="1" s="1"/>
  <c r="CR24" i="1"/>
  <c r="W82" i="1"/>
  <c r="AA153" i="1"/>
  <c r="R139" i="1"/>
  <c r="DW14" i="1"/>
  <c r="BW161" i="1"/>
  <c r="BW11" i="1"/>
  <c r="AQ42" i="1"/>
  <c r="AQ56" i="1" s="1"/>
  <c r="CS620" i="1"/>
  <c r="CS118" i="7"/>
  <c r="CS140" i="7" s="1"/>
  <c r="CS623" i="1"/>
  <c r="CS622" i="1"/>
  <c r="CT634" i="1" s="1"/>
  <c r="CT582" i="1"/>
  <c r="AO138" i="1"/>
  <c r="CJ535" i="1"/>
  <c r="BW16" i="1"/>
  <c r="V535" i="1"/>
  <c r="BF147" i="7"/>
  <c r="BR537" i="1"/>
  <c r="BR621" i="1"/>
  <c r="BR129" i="7"/>
  <c r="BR131" i="7"/>
  <c r="BP621" i="1"/>
  <c r="BT633" i="1" s="1"/>
  <c r="BP623" i="1"/>
  <c r="BP622" i="1"/>
  <c r="DG67" i="1"/>
  <c r="J166" i="1"/>
  <c r="BI166" i="1"/>
  <c r="BI135" i="1"/>
  <c r="AP586" i="1"/>
  <c r="BQ131" i="7"/>
  <c r="BQ158" i="1"/>
  <c r="BQ188" i="7" s="1"/>
  <c r="BQ537" i="1"/>
  <c r="BQ101" i="7"/>
  <c r="BQ118" i="7"/>
  <c r="BQ140" i="7" s="1"/>
  <c r="BQ536" i="1"/>
  <c r="BQ535" i="1" s="1"/>
  <c r="BQ134" i="1"/>
  <c r="CM102" i="1"/>
  <c r="DV81" i="1"/>
  <c r="DJ67" i="1"/>
  <c r="CK81" i="1"/>
  <c r="DN81" i="1"/>
  <c r="BG11" i="1"/>
  <c r="BH147" i="7" s="1"/>
  <c r="BO11" i="1"/>
  <c r="BS19" i="1"/>
  <c r="V158" i="1"/>
  <c r="V188" i="7" s="1"/>
  <c r="M143" i="1"/>
  <c r="M187" i="7" s="1"/>
  <c r="AI145" i="7"/>
  <c r="AH158" i="1"/>
  <c r="AH188" i="7" s="1"/>
  <c r="DN11" i="1"/>
  <c r="CT509" i="1"/>
  <c r="BD159" i="1"/>
  <c r="BK144" i="1"/>
  <c r="Y143" i="1"/>
  <c r="Y187" i="7" s="1"/>
  <c r="BG19" i="1"/>
  <c r="AI135" i="1"/>
  <c r="BH145" i="1"/>
  <c r="AG134" i="1"/>
  <c r="AG537" i="1"/>
  <c r="AK133" i="1"/>
  <c r="U158" i="1"/>
  <c r="U188" i="7" s="1"/>
  <c r="U118" i="7"/>
  <c r="CI81" i="1"/>
  <c r="O147" i="7"/>
  <c r="P147" i="7"/>
  <c r="CK11" i="1"/>
  <c r="CK131" i="8" s="1"/>
  <c r="DH11" i="1"/>
  <c r="Q131" i="7"/>
  <c r="Y131" i="7"/>
  <c r="BL18" i="1"/>
  <c r="DS14" i="1"/>
  <c r="P134" i="7"/>
  <c r="BU554" i="1"/>
  <c r="BR511" i="1"/>
  <c r="BQ511" i="1"/>
  <c r="F71" i="1"/>
  <c r="CG81" i="1"/>
  <c r="CG118" i="8" s="1"/>
  <c r="F128" i="1"/>
  <c r="AA151" i="1"/>
  <c r="DM67" i="1"/>
  <c r="BS11" i="1"/>
  <c r="CH11" i="1"/>
  <c r="Q53" i="1"/>
  <c r="Z158" i="1"/>
  <c r="Z188" i="7" s="1"/>
  <c r="M135" i="1"/>
  <c r="AH145" i="7"/>
  <c r="AH619" i="1"/>
  <c r="BE159" i="1"/>
  <c r="W119" i="7"/>
  <c r="BH159" i="1"/>
  <c r="G71" i="1"/>
  <c r="G137" i="1" s="1"/>
  <c r="Y118" i="7"/>
  <c r="BG146" i="1"/>
  <c r="DU81" i="1"/>
  <c r="L535" i="1"/>
  <c r="BH160" i="1"/>
  <c r="V166" i="1"/>
  <c r="AG536" i="1"/>
  <c r="AG118" i="7"/>
  <c r="P145" i="7"/>
  <c r="DK11" i="1"/>
  <c r="CL11" i="1"/>
  <c r="AA147" i="7"/>
  <c r="AC145" i="7"/>
  <c r="Z145" i="7"/>
  <c r="AO134" i="7"/>
  <c r="M131" i="7"/>
  <c r="DT13" i="1"/>
  <c r="BP18" i="1"/>
  <c r="P151" i="1"/>
  <c r="CG11" i="1"/>
  <c r="Y151" i="7"/>
  <c r="Q622" i="1"/>
  <c r="Y621" i="1"/>
  <c r="Y619" i="1" s="1"/>
  <c r="U537" i="1"/>
  <c r="BQ554" i="1"/>
  <c r="AA134" i="7"/>
  <c r="F54" i="1"/>
  <c r="AA135" i="1"/>
  <c r="AO151" i="1"/>
  <c r="DQ81" i="1"/>
  <c r="BK11" i="1"/>
  <c r="N158" i="1"/>
  <c r="N188" i="7" s="1"/>
  <c r="DM11" i="1"/>
  <c r="AM145" i="7"/>
  <c r="AN145" i="7"/>
  <c r="AL158" i="1"/>
  <c r="AL188" i="7" s="1"/>
  <c r="DS12" i="1"/>
  <c r="DT12" i="1"/>
  <c r="CK102" i="1"/>
  <c r="M158" i="1"/>
  <c r="M188" i="7" s="1"/>
  <c r="Z535" i="1"/>
  <c r="DM74" i="1"/>
  <c r="Q129" i="7"/>
  <c r="Y129" i="7"/>
  <c r="T151" i="1"/>
  <c r="U620" i="1"/>
  <c r="BM146" i="1"/>
  <c r="BY249" i="1"/>
  <c r="BX250" i="1"/>
  <c r="BX241" i="1"/>
  <c r="CL130" i="8"/>
  <c r="Z131" i="8"/>
  <c r="Z130" i="8"/>
  <c r="BQ103" i="7"/>
  <c r="BM82" i="7"/>
  <c r="BM98" i="7"/>
  <c r="BM104" i="7"/>
  <c r="BU120" i="8"/>
  <c r="BU29" i="8"/>
  <c r="CU21" i="8"/>
  <c r="CU120" i="8" s="1"/>
  <c r="CU38" i="8"/>
  <c r="Q29" i="8"/>
  <c r="Q119" i="8"/>
  <c r="AM80" i="7"/>
  <c r="AM121" i="8"/>
  <c r="CL49" i="8"/>
  <c r="AE51" i="8"/>
  <c r="AI38" i="8"/>
  <c r="CL37" i="8"/>
  <c r="CL38" i="8" s="1"/>
  <c r="BM129" i="8"/>
  <c r="BT104" i="7"/>
  <c r="BS98" i="7"/>
  <c r="BS104" i="7"/>
  <c r="CU80" i="7"/>
  <c r="BV103" i="7"/>
  <c r="BV101" i="7"/>
  <c r="BV98" i="7"/>
  <c r="BV104" i="7"/>
  <c r="CI119" i="8"/>
  <c r="CI29" i="8"/>
  <c r="CI51" i="8" s="1"/>
  <c r="CS20" i="8"/>
  <c r="BK29" i="8"/>
  <c r="BK120" i="8"/>
  <c r="AV51" i="8"/>
  <c r="BG98" i="7"/>
  <c r="BG90" i="7"/>
  <c r="BG97" i="7"/>
  <c r="CQ21" i="8"/>
  <c r="CQ120" i="8" s="1"/>
  <c r="BD29" i="8"/>
  <c r="BL120" i="8"/>
  <c r="BL29" i="8"/>
  <c r="CS21" i="8"/>
  <c r="CS29" i="8" s="1"/>
  <c r="CL46" i="8"/>
  <c r="AI49" i="8"/>
  <c r="AI51" i="8" s="1"/>
  <c r="AM120" i="8"/>
  <c r="AM29" i="8"/>
  <c r="CO120" i="8"/>
  <c r="CS28" i="8"/>
  <c r="CS119" i="8" s="1"/>
  <c r="CU29" i="8"/>
  <c r="AE55" i="8"/>
  <c r="AF53" i="8" s="1"/>
  <c r="AF55" i="8" s="1"/>
  <c r="AF103" i="8" s="1"/>
  <c r="BK51" i="8"/>
  <c r="M129" i="8"/>
  <c r="X51" i="8"/>
  <c r="X129" i="8"/>
  <c r="CQ582" i="1"/>
  <c r="BC587" i="1"/>
  <c r="K130" i="8"/>
  <c r="K131" i="8"/>
  <c r="CK121" i="8"/>
  <c r="CK38" i="8"/>
  <c r="CK51" i="8" s="1"/>
  <c r="CK55" i="8" s="1"/>
  <c r="CK103" i="8" s="1"/>
  <c r="BH119" i="8"/>
  <c r="CR28" i="8"/>
  <c r="CM119" i="8"/>
  <c r="BH82" i="7"/>
  <c r="BL103" i="7"/>
  <c r="BH98" i="7"/>
  <c r="BH104" i="7"/>
  <c r="BH103" i="7"/>
  <c r="BI104" i="7"/>
  <c r="BH101" i="7"/>
  <c r="CR80" i="7"/>
  <c r="CR98" i="7" s="1"/>
  <c r="BR98" i="7"/>
  <c r="CU89" i="7"/>
  <c r="AQ572" i="1"/>
  <c r="BY549" i="1"/>
  <c r="BY550" i="1" s="1"/>
  <c r="BY76" i="1" s="1"/>
  <c r="BY47" i="7"/>
  <c r="BX167" i="7"/>
  <c r="CJ98" i="7"/>
  <c r="CK103" i="7"/>
  <c r="CU51" i="8"/>
  <c r="J56" i="8"/>
  <c r="BT130" i="8"/>
  <c r="BT131" i="8"/>
  <c r="AB129" i="8"/>
  <c r="CQ45" i="8"/>
  <c r="BC70" i="7"/>
  <c r="BC69" i="7" s="1"/>
  <c r="CG80" i="7"/>
  <c r="CH103" i="7" s="1"/>
  <c r="R103" i="7"/>
  <c r="O104" i="7"/>
  <c r="N101" i="7"/>
  <c r="N82" i="7"/>
  <c r="BH103" i="1"/>
  <c r="DT103" i="1" s="1"/>
  <c r="DT102" i="1"/>
  <c r="AW586" i="1"/>
  <c r="BZ42" i="7"/>
  <c r="CV42" i="7"/>
  <c r="CJ38" i="8"/>
  <c r="CJ51" i="8" s="1"/>
  <c r="CJ121" i="8"/>
  <c r="CN98" i="8"/>
  <c r="BV83" i="7"/>
  <c r="BW79" i="7" s="1"/>
  <c r="CU37" i="8"/>
  <c r="CR18" i="8"/>
  <c r="CR120" i="8" s="1"/>
  <c r="CN582" i="1"/>
  <c r="CU102" i="1"/>
  <c r="CM103" i="1"/>
  <c r="BK70" i="7"/>
  <c r="BK69" i="7" s="1"/>
  <c r="CS45" i="8"/>
  <c r="CS70" i="7" s="1"/>
  <c r="CS69" i="7" s="1"/>
  <c r="BK582" i="1"/>
  <c r="AU70" i="7"/>
  <c r="AU69" i="7" s="1"/>
  <c r="AU582" i="1"/>
  <c r="AU584" i="1" s="1"/>
  <c r="AV581" i="1" s="1"/>
  <c r="AV584" i="1" s="1"/>
  <c r="AW581" i="1" s="1"/>
  <c r="AW584" i="1" s="1"/>
  <c r="AX581" i="1" s="1"/>
  <c r="AX584" i="1" s="1"/>
  <c r="AY581" i="1" s="1"/>
  <c r="AY584" i="1" s="1"/>
  <c r="AZ581" i="1" s="1"/>
  <c r="AZ584" i="1" s="1"/>
  <c r="BA581" i="1" s="1"/>
  <c r="BA584" i="1" s="1"/>
  <c r="BB581" i="1" s="1"/>
  <c r="BB584" i="1" s="1"/>
  <c r="BC581" i="1" s="1"/>
  <c r="BC584" i="1" s="1"/>
  <c r="BD581" i="1" s="1"/>
  <c r="BD584" i="1" s="1"/>
  <c r="BE581" i="1" s="1"/>
  <c r="BE584" i="1" s="1"/>
  <c r="BF581" i="1" s="1"/>
  <c r="BF584" i="1" s="1"/>
  <c r="BG581" i="1" s="1"/>
  <c r="BG584" i="1" s="1"/>
  <c r="BH581" i="1" s="1"/>
  <c r="BH584" i="1" s="1"/>
  <c r="BI581" i="1" s="1"/>
  <c r="BI584" i="1" s="1"/>
  <c r="BJ581" i="1" s="1"/>
  <c r="BJ584" i="1" s="1"/>
  <c r="BK581" i="1" s="1"/>
  <c r="CO45" i="8"/>
  <c r="CO70" i="7" s="1"/>
  <c r="CO69" i="7" s="1"/>
  <c r="AY102" i="1"/>
  <c r="CP19" i="8"/>
  <c r="CP29" i="8" s="1"/>
  <c r="AA122" i="8"/>
  <c r="AA123" i="8" s="1"/>
  <c r="BU38" i="8"/>
  <c r="BU51" i="8" s="1"/>
  <c r="CQ98" i="8"/>
  <c r="AJ51" i="8"/>
  <c r="DS103" i="1"/>
  <c r="AS586" i="1"/>
  <c r="CL96" i="8"/>
  <c r="CL98" i="8" s="1"/>
  <c r="CL102" i="8" s="1"/>
  <c r="CM100" i="8" s="1"/>
  <c r="W85" i="7"/>
  <c r="AC89" i="7"/>
  <c r="S89" i="7"/>
  <c r="BN80" i="7"/>
  <c r="AZ135" i="8"/>
  <c r="S135" i="8"/>
  <c r="AZ115" i="8"/>
  <c r="AE115" i="8"/>
  <c r="CF46" i="8"/>
  <c r="CF49" i="8" s="1"/>
  <c r="CF51" i="8" s="1"/>
  <c r="CM76" i="8"/>
  <c r="CM98" i="8" s="1"/>
  <c r="BO90" i="7"/>
  <c r="AC90" i="7"/>
  <c r="AC92" i="7" s="1"/>
  <c r="CS96" i="8"/>
  <c r="CS98" i="8" s="1"/>
  <c r="AS120" i="8"/>
  <c r="CH120" i="8"/>
  <c r="CU76" i="8"/>
  <c r="CU98" i="8" s="1"/>
  <c r="S90" i="7"/>
  <c r="S92" i="7" s="1"/>
  <c r="CP96" i="8"/>
  <c r="CP98" i="8" s="1"/>
  <c r="AV586" i="1"/>
  <c r="BH90" i="7"/>
  <c r="AE89" i="7"/>
  <c r="AL103" i="7"/>
  <c r="CH89" i="7"/>
  <c r="DO103" i="1"/>
  <c r="T554" i="1"/>
  <c r="AI110" i="7"/>
  <c r="AJ110" i="7" s="1"/>
  <c r="AD27" i="7"/>
  <c r="AD83" i="7"/>
  <c r="AD26" i="7"/>
  <c r="BF25" i="7"/>
  <c r="BG107" i="7"/>
  <c r="BT151" i="7"/>
  <c r="BT152" i="7"/>
  <c r="V151" i="7"/>
  <c r="V152" i="7"/>
  <c r="AX83" i="7"/>
  <c r="AX25" i="7"/>
  <c r="AG174" i="7"/>
  <c r="AA79" i="7"/>
  <c r="Z94" i="7"/>
  <c r="S152" i="7"/>
  <c r="S151" i="7"/>
  <c r="BZ38" i="7"/>
  <c r="CA38" i="7" s="1"/>
  <c r="CB38" i="7" s="1"/>
  <c r="CC38" i="7" s="1"/>
  <c r="CW38" i="7" s="1"/>
  <c r="CX38" i="7" s="1"/>
  <c r="CY38" i="7" s="1"/>
  <c r="CZ38" i="7" s="1"/>
  <c r="DA38" i="7" s="1"/>
  <c r="DB38" i="7" s="1"/>
  <c r="DC38" i="7" s="1"/>
  <c r="CV38" i="7"/>
  <c r="AI151" i="7"/>
  <c r="AI152" i="7"/>
  <c r="U152" i="7"/>
  <c r="U151" i="7"/>
  <c r="U63" i="7"/>
  <c r="AH200" i="7"/>
  <c r="AT102" i="7"/>
  <c r="AS112" i="7"/>
  <c r="AF152" i="7"/>
  <c r="AF151" i="7"/>
  <c r="CV32" i="7"/>
  <c r="BZ32" i="7"/>
  <c r="CA32" i="7" s="1"/>
  <c r="CB32" i="7" s="1"/>
  <c r="CC32" i="7" s="1"/>
  <c r="CW32" i="7" s="1"/>
  <c r="CX32" i="7" s="1"/>
  <c r="CY32" i="7" s="1"/>
  <c r="CZ32" i="7" s="1"/>
  <c r="DA32" i="7" s="1"/>
  <c r="DB32" i="7" s="1"/>
  <c r="DC32" i="7" s="1"/>
  <c r="AL151" i="7"/>
  <c r="AL152" i="7"/>
  <c r="AK94" i="7"/>
  <c r="AL79" i="7"/>
  <c r="BZ31" i="7"/>
  <c r="CA31" i="7" s="1"/>
  <c r="CB31" i="7" s="1"/>
  <c r="CC31" i="7" s="1"/>
  <c r="CW31" i="7" s="1"/>
  <c r="CX31" i="7" s="1"/>
  <c r="CY31" i="7" s="1"/>
  <c r="CZ31" i="7" s="1"/>
  <c r="DA31" i="7" s="1"/>
  <c r="DB31" i="7" s="1"/>
  <c r="DC31" i="7" s="1"/>
  <c r="CV31" i="7"/>
  <c r="O151" i="7"/>
  <c r="O152" i="7"/>
  <c r="BJ25" i="7"/>
  <c r="BK107" i="7"/>
  <c r="CV14" i="7"/>
  <c r="BZ14" i="7"/>
  <c r="CA14" i="7" s="1"/>
  <c r="CB14" i="7" s="1"/>
  <c r="CC14" i="7" s="1"/>
  <c r="CW14" i="7" s="1"/>
  <c r="CX14" i="7" s="1"/>
  <c r="CY14" i="7" s="1"/>
  <c r="CZ14" i="7" s="1"/>
  <c r="DA14" i="7" s="1"/>
  <c r="DB14" i="7" s="1"/>
  <c r="DC14" i="7" s="1"/>
  <c r="Q151" i="7"/>
  <c r="Q152" i="7"/>
  <c r="BJ206" i="7"/>
  <c r="CS16" i="7"/>
  <c r="CS191" i="7" s="1"/>
  <c r="T51" i="7"/>
  <c r="T62" i="7" s="1"/>
  <c r="T63" i="7" s="1"/>
  <c r="AT91" i="7"/>
  <c r="CI551" i="1"/>
  <c r="T206" i="7"/>
  <c r="CF167" i="7"/>
  <c r="R63" i="7"/>
  <c r="P63" i="7"/>
  <c r="BM60" i="7"/>
  <c r="L62" i="7"/>
  <c r="L63" i="7" s="1"/>
  <c r="V51" i="7"/>
  <c r="V62" i="7" s="1"/>
  <c r="CH124" i="7"/>
  <c r="CF124" i="7"/>
  <c r="CN128" i="7"/>
  <c r="AV443" i="1"/>
  <c r="AV395" i="1"/>
  <c r="AV438" i="1"/>
  <c r="CO437" i="1"/>
  <c r="AV209" i="1"/>
  <c r="AV439" i="1"/>
  <c r="AW439" i="1"/>
  <c r="AV32" i="1"/>
  <c r="CS609" i="1"/>
  <c r="S594" i="1"/>
  <c r="T590" i="1" s="1"/>
  <c r="S602" i="1"/>
  <c r="S603" i="1"/>
  <c r="CR601" i="1"/>
  <c r="BC488" i="1"/>
  <c r="BC495" i="1"/>
  <c r="BD494" i="1"/>
  <c r="CX92" i="8"/>
  <c r="CX70" i="7"/>
  <c r="AP61" i="1"/>
  <c r="CN61" i="1" s="1"/>
  <c r="CN529" i="1" s="1"/>
  <c r="AP45" i="1"/>
  <c r="CN47" i="1"/>
  <c r="CP596" i="1"/>
  <c r="CP608" i="1" s="1"/>
  <c r="AX213" i="1"/>
  <c r="AX36" i="1"/>
  <c r="AX479" i="1"/>
  <c r="AX468" i="1"/>
  <c r="AX480" i="1"/>
  <c r="BF283" i="1"/>
  <c r="BE283" i="1"/>
  <c r="CQ281" i="1"/>
  <c r="BE213" i="1"/>
  <c r="AA603" i="1"/>
  <c r="AA602" i="1"/>
  <c r="AA594" i="1"/>
  <c r="AB590" i="1" s="1"/>
  <c r="BC363" i="1"/>
  <c r="AP396" i="1"/>
  <c r="AP397" i="1"/>
  <c r="AP401" i="1"/>
  <c r="AP382" i="1"/>
  <c r="BL287" i="1"/>
  <c r="BB495" i="1"/>
  <c r="DR223" i="1"/>
  <c r="CM118" i="8"/>
  <c r="BF250" i="1"/>
  <c r="BF251" i="1"/>
  <c r="AD622" i="1"/>
  <c r="AD634" i="1" s="1"/>
  <c r="T622" i="1"/>
  <c r="T619" i="1" s="1"/>
  <c r="W621" i="1"/>
  <c r="BG578" i="1"/>
  <c r="AQ578" i="1"/>
  <c r="AI578" i="1"/>
  <c r="AE576" i="1"/>
  <c r="AA576" i="1"/>
  <c r="S578" i="1"/>
  <c r="AW545" i="1"/>
  <c r="AW546" i="1" s="1"/>
  <c r="T536" i="1"/>
  <c r="T535" i="1" s="1"/>
  <c r="CM482" i="1"/>
  <c r="AV473" i="1"/>
  <c r="CT440" i="1"/>
  <c r="AT576" i="1"/>
  <c r="BQ601" i="1"/>
  <c r="CO507" i="1"/>
  <c r="CN461" i="1"/>
  <c r="CK396" i="1"/>
  <c r="BH210" i="7"/>
  <c r="BH211" i="7" s="1"/>
  <c r="AH134" i="1"/>
  <c r="AA151" i="7"/>
  <c r="BV301" i="1"/>
  <c r="O145" i="7"/>
  <c r="Q621" i="1"/>
  <c r="CT572" i="1"/>
  <c r="AC380" i="1"/>
  <c r="Q536" i="1"/>
  <c r="Q535" i="1" s="1"/>
  <c r="AN126" i="8"/>
  <c r="CB119" i="1"/>
  <c r="CC119" i="1" s="1"/>
  <c r="BT119" i="7"/>
  <c r="BJ78" i="1"/>
  <c r="CT539" i="1"/>
  <c r="AI632" i="1"/>
  <c r="DP150" i="1"/>
  <c r="R535" i="1"/>
  <c r="W122" i="8"/>
  <c r="W123" i="8" s="1"/>
  <c r="DQ88" i="1"/>
  <c r="BJ114" i="8"/>
  <c r="BJ122" i="8" s="1"/>
  <c r="BJ123" i="8" s="1"/>
  <c r="CO576" i="1"/>
  <c r="J535" i="1"/>
  <c r="X539" i="1"/>
  <c r="DP88" i="1"/>
  <c r="AN158" i="7"/>
  <c r="R82" i="1"/>
  <c r="R103" i="1" s="1"/>
  <c r="AR56" i="1"/>
  <c r="AN100" i="1"/>
  <c r="AB85" i="1"/>
  <c r="BJ72" i="1"/>
  <c r="CB90" i="1"/>
  <c r="CB89" i="1" s="1"/>
  <c r="CB88" i="1" s="1"/>
  <c r="AR58" i="1"/>
  <c r="I137" i="1"/>
  <c r="I72" i="1"/>
  <c r="I167" i="1"/>
  <c r="CV90" i="1"/>
  <c r="DQ43" i="1"/>
  <c r="AY57" i="1"/>
  <c r="BI22" i="1"/>
  <c r="BT539" i="1"/>
  <c r="BD57" i="1"/>
  <c r="S138" i="1"/>
  <c r="S72" i="1"/>
  <c r="BF143" i="1"/>
  <c r="BF187" i="7" s="1"/>
  <c r="BB133" i="1"/>
  <c r="BB621" i="1"/>
  <c r="BF633" i="1" s="1"/>
  <c r="BB101" i="7"/>
  <c r="BB622" i="1"/>
  <c r="BF634" i="1" s="1"/>
  <c r="BC158" i="1"/>
  <c r="BC188" i="7" s="1"/>
  <c r="BB131" i="8"/>
  <c r="BE22" i="1"/>
  <c r="BE515" i="1"/>
  <c r="BE522" i="1" s="1"/>
  <c r="BE71" i="1"/>
  <c r="CI117" i="8"/>
  <c r="BB135" i="1"/>
  <c r="AO78" i="1"/>
  <c r="AO153" i="1" s="1"/>
  <c r="AO114" i="8"/>
  <c r="AO122" i="8" s="1"/>
  <c r="AO123" i="8" s="1"/>
  <c r="BQ131" i="1"/>
  <c r="CE134" i="1"/>
  <c r="CF150" i="1"/>
  <c r="CE537" i="1"/>
  <c r="AO134" i="8"/>
  <c r="AO136" i="8" s="1"/>
  <c r="AO137" i="8" s="1"/>
  <c r="AO72" i="1"/>
  <c r="BQ21" i="1"/>
  <c r="BQ515" i="1" s="1"/>
  <c r="CM118" i="7"/>
  <c r="AF633" i="1"/>
  <c r="CM133" i="1"/>
  <c r="CM129" i="7"/>
  <c r="X535" i="1"/>
  <c r="BA166" i="1"/>
  <c r="CS540" i="1"/>
  <c r="AH539" i="1"/>
  <c r="CL539" i="1" s="1"/>
  <c r="AV64" i="1"/>
  <c r="DQ64" i="1" s="1"/>
  <c r="N539" i="1"/>
  <c r="CG539" i="1" s="1"/>
  <c r="AP28" i="7"/>
  <c r="AP27" i="7"/>
  <c r="AP25" i="7"/>
  <c r="AP26" i="7"/>
  <c r="AP83" i="7"/>
  <c r="CK602" i="1"/>
  <c r="BB459" i="1"/>
  <c r="BB34" i="1"/>
  <c r="BB464" i="1"/>
  <c r="AU129" i="1"/>
  <c r="AG53" i="8"/>
  <c r="AG55" i="8" s="1"/>
  <c r="CQ419" i="1"/>
  <c r="BF419" i="1"/>
  <c r="BE429" i="1"/>
  <c r="CQ429" i="1" s="1"/>
  <c r="BE420" i="1"/>
  <c r="AY61" i="1"/>
  <c r="AK82" i="1"/>
  <c r="AJ178" i="7"/>
  <c r="AJ161" i="7"/>
  <c r="AJ163" i="7"/>
  <c r="BB71" i="1"/>
  <c r="BB128" i="1"/>
  <c r="BB22" i="1"/>
  <c r="AR130" i="8"/>
  <c r="R114" i="8"/>
  <c r="R122" i="8" s="1"/>
  <c r="R123" i="8" s="1"/>
  <c r="R156" i="7"/>
  <c r="V152" i="1"/>
  <c r="AW474" i="1"/>
  <c r="CO468" i="1"/>
  <c r="AW35" i="1"/>
  <c r="AW470" i="1"/>
  <c r="BG110" i="7"/>
  <c r="BF28" i="7"/>
  <c r="CK130" i="8"/>
  <c r="I578" i="1"/>
  <c r="I576" i="1"/>
  <c r="BO130" i="8"/>
  <c r="CM199" i="7"/>
  <c r="BE30" i="1"/>
  <c r="BC463" i="1"/>
  <c r="AF56" i="8"/>
  <c r="AI85" i="1"/>
  <c r="CK56" i="8"/>
  <c r="CL53" i="8"/>
  <c r="CH179" i="7"/>
  <c r="DQ426" i="1"/>
  <c r="AY427" i="1"/>
  <c r="AY428" i="1"/>
  <c r="R138" i="1"/>
  <c r="AX449" i="1"/>
  <c r="AX33" i="1"/>
  <c r="DQ447" i="1"/>
  <c r="BO129" i="1"/>
  <c r="CT23" i="1"/>
  <c r="CJ131" i="8"/>
  <c r="CJ130" i="8"/>
  <c r="CP200" i="7"/>
  <c r="BL281" i="1"/>
  <c r="BL288" i="1"/>
  <c r="BM287" i="1"/>
  <c r="AQ414" i="1"/>
  <c r="AR414" i="1"/>
  <c r="AU413" i="1"/>
  <c r="BB205" i="1"/>
  <c r="BB370" i="1"/>
  <c r="BG267" i="1"/>
  <c r="BF268" i="1"/>
  <c r="BF261" i="1"/>
  <c r="W98" i="7"/>
  <c r="CI80" i="7"/>
  <c r="W104" i="7"/>
  <c r="W102" i="7"/>
  <c r="X104" i="7"/>
  <c r="W82" i="7"/>
  <c r="W101" i="7"/>
  <c r="CO129" i="8"/>
  <c r="CO29" i="1"/>
  <c r="AW44" i="1"/>
  <c r="AW58" i="1" s="1"/>
  <c r="CO31" i="1"/>
  <c r="AE56" i="8"/>
  <c r="AE103" i="8"/>
  <c r="DR429" i="1"/>
  <c r="BD431" i="1"/>
  <c r="BC409" i="1"/>
  <c r="BC430" i="1"/>
  <c r="BP162" i="7"/>
  <c r="AK85" i="1"/>
  <c r="AK139" i="1"/>
  <c r="L100" i="8"/>
  <c r="K102" i="8"/>
  <c r="T170" i="7"/>
  <c r="CQ199" i="1"/>
  <c r="CR199" i="1"/>
  <c r="DP61" i="1"/>
  <c r="BE418" i="1"/>
  <c r="W103" i="7"/>
  <c r="AQ443" i="1"/>
  <c r="AU438" i="1"/>
  <c r="AQ439" i="1"/>
  <c r="AQ32" i="1"/>
  <c r="CN437" i="1"/>
  <c r="AQ395" i="1"/>
  <c r="CN171" i="7"/>
  <c r="CS164" i="7"/>
  <c r="M170" i="7"/>
  <c r="M163" i="7"/>
  <c r="M174" i="7"/>
  <c r="M178" i="7"/>
  <c r="CO49" i="1"/>
  <c r="AW63" i="1"/>
  <c r="P594" i="1"/>
  <c r="Q590" i="1" s="1"/>
  <c r="G56" i="8"/>
  <c r="H53" i="8"/>
  <c r="H55" i="8" s="1"/>
  <c r="X134" i="8"/>
  <c r="X136" i="8" s="1"/>
  <c r="X137" i="8" s="1"/>
  <c r="X78" i="1"/>
  <c r="AB152" i="1"/>
  <c r="X152" i="1"/>
  <c r="X72" i="1"/>
  <c r="X156" i="7"/>
  <c r="X138" i="1"/>
  <c r="X137" i="1"/>
  <c r="X114" i="8"/>
  <c r="X122" i="8" s="1"/>
  <c r="X123" i="8" s="1"/>
  <c r="X167" i="1"/>
  <c r="K55" i="8"/>
  <c r="CV321" i="1"/>
  <c r="BK213" i="1"/>
  <c r="BK282" i="1"/>
  <c r="AC114" i="8"/>
  <c r="AC78" i="1"/>
  <c r="CL98" i="7"/>
  <c r="CL103" i="7"/>
  <c r="BG108" i="7"/>
  <c r="AE129" i="8"/>
  <c r="U129" i="8"/>
  <c r="P51" i="8"/>
  <c r="BZ245" i="1"/>
  <c r="BY246" i="1"/>
  <c r="BR508" i="1"/>
  <c r="CU506" i="1"/>
  <c r="CU507" i="1" s="1"/>
  <c r="AH103" i="1"/>
  <c r="CL102" i="1"/>
  <c r="BJ130" i="1"/>
  <c r="CH119" i="8"/>
  <c r="CH29" i="8"/>
  <c r="BO51" i="8"/>
  <c r="BB43" i="1"/>
  <c r="CG177" i="7"/>
  <c r="BV26" i="7"/>
  <c r="BW108" i="7"/>
  <c r="BN130" i="8"/>
  <c r="BN131" i="8"/>
  <c r="AY104" i="7"/>
  <c r="BK90" i="7"/>
  <c r="AX103" i="7"/>
  <c r="CM536" i="1"/>
  <c r="CM145" i="7"/>
  <c r="CM131" i="7"/>
  <c r="AM38" i="8"/>
  <c r="AM51" i="8" s="1"/>
  <c r="AN102" i="8"/>
  <c r="AO100" i="8"/>
  <c r="AO102" i="8" s="1"/>
  <c r="AU129" i="8"/>
  <c r="BK112" i="7"/>
  <c r="AK161" i="7"/>
  <c r="CP173" i="1"/>
  <c r="CM135" i="1"/>
  <c r="CM53" i="1"/>
  <c r="AX152" i="7"/>
  <c r="AO130" i="8"/>
  <c r="BB103" i="7"/>
  <c r="BT24" i="1"/>
  <c r="CS89" i="7"/>
  <c r="CS98" i="7" s="1"/>
  <c r="AX196" i="1"/>
  <c r="BB196" i="1"/>
  <c r="CM134" i="1"/>
  <c r="CM537" i="1"/>
  <c r="CM619" i="1"/>
  <c r="CS300" i="1"/>
  <c r="CS41" i="8"/>
  <c r="CS49" i="8" s="1"/>
  <c r="BW107" i="7"/>
  <c r="BV25" i="7"/>
  <c r="BO108" i="7"/>
  <c r="BN26" i="7"/>
  <c r="CK103" i="1"/>
  <c r="BV94" i="7"/>
  <c r="BW102" i="7" s="1"/>
  <c r="BS81" i="7"/>
  <c r="DP432" i="1"/>
  <c r="DP208" i="1"/>
  <c r="BF350" i="1"/>
  <c r="BE198" i="1"/>
  <c r="BE200" i="1"/>
  <c r="CP204" i="7"/>
  <c r="CP206" i="7" s="1"/>
  <c r="CP125" i="7"/>
  <c r="BV143" i="1"/>
  <c r="BV187" i="7" s="1"/>
  <c r="BV133" i="1"/>
  <c r="DT223" i="1"/>
  <c r="AM104" i="7"/>
  <c r="AX464" i="1"/>
  <c r="DP472" i="1"/>
  <c r="CG150" i="1"/>
  <c r="AM98" i="7"/>
  <c r="AX457" i="1"/>
  <c r="BB458" i="1" s="1"/>
  <c r="G138" i="1"/>
  <c r="AS35" i="1"/>
  <c r="AS474" i="1"/>
  <c r="AS476" i="1" s="1"/>
  <c r="AS212" i="1"/>
  <c r="CU14" i="1"/>
  <c r="CU318" i="1"/>
  <c r="CM32" i="8"/>
  <c r="CM129" i="8" s="1"/>
  <c r="BY597" i="1"/>
  <c r="BV596" i="1"/>
  <c r="BW596" i="1" s="1"/>
  <c r="CR124" i="7"/>
  <c r="CR125" i="7"/>
  <c r="CR22" i="7"/>
  <c r="CR33" i="7" s="1"/>
  <c r="CK115" i="8"/>
  <c r="CK135" i="8"/>
  <c r="CU135" i="8"/>
  <c r="N107" i="7"/>
  <c r="O107" i="7" s="1"/>
  <c r="P107" i="7" s="1"/>
  <c r="CS116" i="8"/>
  <c r="CS545" i="1"/>
  <c r="CS546" i="1" s="1"/>
  <c r="AU411" i="1"/>
  <c r="BL301" i="1"/>
  <c r="Q110" i="7"/>
  <c r="Q83" i="7"/>
  <c r="BC80" i="7"/>
  <c r="BB168" i="7"/>
  <c r="BB201" i="7"/>
  <c r="BB200" i="7" s="1"/>
  <c r="AU201" i="7"/>
  <c r="U201" i="7"/>
  <c r="AQ80" i="7"/>
  <c r="CG49" i="7"/>
  <c r="AW83" i="7"/>
  <c r="AW108" i="7"/>
  <c r="AX108" i="7" s="1"/>
  <c r="AW109" i="7"/>
  <c r="AX109" i="7" s="1"/>
  <c r="AW110" i="7"/>
  <c r="AX110" i="7" s="1"/>
  <c r="CO24" i="7"/>
  <c r="BG472" i="1"/>
  <c r="BD85" i="7"/>
  <c r="CO68" i="7"/>
  <c r="CF125" i="7"/>
  <c r="BA125" i="7"/>
  <c r="AI124" i="7"/>
  <c r="AB191" i="7"/>
  <c r="CN33" i="8"/>
  <c r="CN38" i="8" s="1"/>
  <c r="CN51" i="8" s="1"/>
  <c r="BB89" i="7"/>
  <c r="BC15" i="8"/>
  <c r="BA124" i="7"/>
  <c r="AU63" i="7" l="1"/>
  <c r="CU152" i="7"/>
  <c r="BB63" i="7"/>
  <c r="CU201" i="7"/>
  <c r="CU200" i="7" s="1"/>
  <c r="BC151" i="7"/>
  <c r="CS51" i="7"/>
  <c r="CS62" i="7" s="1"/>
  <c r="BS162" i="7"/>
  <c r="U200" i="7"/>
  <c r="CT201" i="7"/>
  <c r="V63" i="7"/>
  <c r="AE151" i="7"/>
  <c r="BQ162" i="7"/>
  <c r="CH152" i="7"/>
  <c r="CH33" i="7"/>
  <c r="CH199" i="7"/>
  <c r="CH175" i="7" s="1"/>
  <c r="CK179" i="7"/>
  <c r="AD28" i="7"/>
  <c r="V117" i="7"/>
  <c r="V139" i="7" s="1"/>
  <c r="CQ51" i="7"/>
  <c r="CQ62" i="7" s="1"/>
  <c r="CQ63" i="7" s="1"/>
  <c r="CP152" i="7"/>
  <c r="BF112" i="7"/>
  <c r="CU168" i="7"/>
  <c r="CU161" i="7" s="1"/>
  <c r="CF200" i="7"/>
  <c r="BB161" i="7"/>
  <c r="BB211" i="7"/>
  <c r="AR88" i="7"/>
  <c r="CV76" i="1"/>
  <c r="CV550" i="1" s="1"/>
  <c r="BC200" i="7"/>
  <c r="CI51" i="7"/>
  <c r="CI62" i="7" s="1"/>
  <c r="CO62" i="7"/>
  <c r="W174" i="7"/>
  <c r="CR107" i="7"/>
  <c r="CF199" i="7"/>
  <c r="CF175" i="7" s="1"/>
  <c r="CT171" i="7"/>
  <c r="CT179" i="7" s="1"/>
  <c r="CJ108" i="7"/>
  <c r="O170" i="7"/>
  <c r="O164" i="7" s="1"/>
  <c r="BT179" i="7"/>
  <c r="BT211" i="7"/>
  <c r="AY29" i="7"/>
  <c r="AY24" i="7" s="1"/>
  <c r="AZ88" i="7"/>
  <c r="AZ90" i="7" s="1"/>
  <c r="AZ91" i="7" s="1"/>
  <c r="BU200" i="7"/>
  <c r="CQ192" i="7"/>
  <c r="CQ124" i="7"/>
  <c r="CQ191" i="7"/>
  <c r="CR192" i="7"/>
  <c r="O85" i="7"/>
  <c r="O82" i="7"/>
  <c r="O84" i="7"/>
  <c r="O97" i="7" s="1"/>
  <c r="CG199" i="7"/>
  <c r="CG175" i="7" s="1"/>
  <c r="CG201" i="7"/>
  <c r="CG168" i="7"/>
  <c r="CG161" i="7" s="1"/>
  <c r="BS211" i="7"/>
  <c r="BS179" i="7"/>
  <c r="S84" i="7"/>
  <c r="S97" i="7" s="1"/>
  <c r="S82" i="7"/>
  <c r="S85" i="7"/>
  <c r="BV84" i="7"/>
  <c r="BV97" i="7" s="1"/>
  <c r="AD25" i="7"/>
  <c r="BO63" i="7"/>
  <c r="CM204" i="7"/>
  <c r="CF62" i="7"/>
  <c r="CE62" i="7"/>
  <c r="CE63" i="7" s="1"/>
  <c r="CM201" i="7"/>
  <c r="CR109" i="7"/>
  <c r="BK109" i="7"/>
  <c r="BJ27" i="7"/>
  <c r="R102" i="7"/>
  <c r="R112" i="7"/>
  <c r="CQ206" i="7"/>
  <c r="CT108" i="7"/>
  <c r="CT110" i="7"/>
  <c r="CT109" i="7"/>
  <c r="CT107" i="7"/>
  <c r="O161" i="7"/>
  <c r="CM22" i="7"/>
  <c r="CM33" i="7" s="1"/>
  <c r="CH204" i="7"/>
  <c r="CH206" i="7" s="1"/>
  <c r="CM51" i="7"/>
  <c r="CM62" i="7" s="1"/>
  <c r="CR108" i="7"/>
  <c r="CF178" i="7"/>
  <c r="AZ63" i="7"/>
  <c r="BQ94" i="7"/>
  <c r="CJ110" i="7"/>
  <c r="CJ107" i="7"/>
  <c r="BL85" i="7"/>
  <c r="BL84" i="7"/>
  <c r="BL97" i="7" s="1"/>
  <c r="CT163" i="7"/>
  <c r="CS192" i="7"/>
  <c r="CT170" i="7"/>
  <c r="CG171" i="7"/>
  <c r="CS163" i="7"/>
  <c r="AG161" i="7"/>
  <c r="CJ140" i="7"/>
  <c r="BO162" i="7"/>
  <c r="S200" i="7"/>
  <c r="CT177" i="7"/>
  <c r="CF72" i="7"/>
  <c r="CS177" i="7"/>
  <c r="AG178" i="7"/>
  <c r="AG163" i="7"/>
  <c r="AI147" i="7"/>
  <c r="BK108" i="7"/>
  <c r="BL108" i="7" s="1"/>
  <c r="BL26" i="7" s="1"/>
  <c r="Z162" i="7"/>
  <c r="AU200" i="7"/>
  <c r="CT199" i="7"/>
  <c r="CT175" i="7" s="1"/>
  <c r="CS171" i="7"/>
  <c r="AG211" i="7"/>
  <c r="CU90" i="7"/>
  <c r="CU92" i="7" s="1"/>
  <c r="CN62" i="7"/>
  <c r="CN63" i="7" s="1"/>
  <c r="AC122" i="8"/>
  <c r="AC123" i="8" s="1"/>
  <c r="AM152" i="1"/>
  <c r="BJ128" i="1"/>
  <c r="AF139" i="1"/>
  <c r="BM632" i="1"/>
  <c r="AF141" i="7"/>
  <c r="N138" i="1"/>
  <c r="K515" i="1"/>
  <c r="AI634" i="1"/>
  <c r="DN53" i="1"/>
  <c r="AM54" i="1"/>
  <c r="BX318" i="1"/>
  <c r="AM134" i="8"/>
  <c r="AM136" i="8" s="1"/>
  <c r="AM137" i="8" s="1"/>
  <c r="AW55" i="1"/>
  <c r="BJ138" i="1"/>
  <c r="CU88" i="1"/>
  <c r="CU117" i="8" s="1"/>
  <c r="BJ139" i="1"/>
  <c r="BC138" i="1"/>
  <c r="CT632" i="1"/>
  <c r="S152" i="1"/>
  <c r="O148" i="1"/>
  <c r="AE632" i="1"/>
  <c r="AE619" i="1"/>
  <c r="DL88" i="1"/>
  <c r="AM148" i="1"/>
  <c r="AM515" i="1"/>
  <c r="AN167" i="1"/>
  <c r="AF85" i="1"/>
  <c r="CN57" i="1"/>
  <c r="AA619" i="1"/>
  <c r="CM573" i="1"/>
  <c r="L163" i="1"/>
  <c r="BJ158" i="1"/>
  <c r="BJ188" i="7" s="1"/>
  <c r="CF539" i="1"/>
  <c r="AM128" i="1"/>
  <c r="BB454" i="1"/>
  <c r="BC453" i="1"/>
  <c r="AG603" i="1"/>
  <c r="AG594" i="1"/>
  <c r="AH590" i="1" s="1"/>
  <c r="AG602" i="1"/>
  <c r="CV54" i="7"/>
  <c r="BZ54" i="7"/>
  <c r="CA54" i="7" s="1"/>
  <c r="CB54" i="7" s="1"/>
  <c r="CC54" i="7" s="1"/>
  <c r="CW54" i="7" s="1"/>
  <c r="CX54" i="7" s="1"/>
  <c r="CY54" i="7" s="1"/>
  <c r="CZ54" i="7" s="1"/>
  <c r="DA54" i="7" s="1"/>
  <c r="DB54" i="7" s="1"/>
  <c r="DC54" i="7" s="1"/>
  <c r="BX107" i="7"/>
  <c r="BY107" i="7" s="1"/>
  <c r="BZ107" i="7" s="1"/>
  <c r="CA107" i="7" s="1"/>
  <c r="CB107" i="7" s="1"/>
  <c r="CC107" i="7" s="1"/>
  <c r="BW25" i="7"/>
  <c r="BX108" i="7"/>
  <c r="BY108" i="7" s="1"/>
  <c r="BZ108" i="7" s="1"/>
  <c r="CA108" i="7" s="1"/>
  <c r="CB108" i="7" s="1"/>
  <c r="CC108" i="7" s="1"/>
  <c r="BW26" i="7"/>
  <c r="BW85" i="7"/>
  <c r="BW83" i="7"/>
  <c r="BW94" i="7" s="1"/>
  <c r="BW112" i="7" s="1"/>
  <c r="CO63" i="7"/>
  <c r="CM546" i="1"/>
  <c r="AQ200" i="7"/>
  <c r="AM63" i="7"/>
  <c r="CQ171" i="7"/>
  <c r="BN200" i="7"/>
  <c r="X164" i="7"/>
  <c r="X162" i="7"/>
  <c r="CH201" i="7"/>
  <c r="CH62" i="7"/>
  <c r="CI199" i="7"/>
  <c r="CI168" i="7"/>
  <c r="CI170" i="7" s="1"/>
  <c r="CI164" i="7" s="1"/>
  <c r="BX125" i="7"/>
  <c r="BY125" i="7" s="1"/>
  <c r="BZ125" i="7" s="1"/>
  <c r="CA125" i="7" s="1"/>
  <c r="CB125" i="7" s="1"/>
  <c r="CC125" i="7" s="1"/>
  <c r="BW19" i="7"/>
  <c r="AC200" i="7"/>
  <c r="CT62" i="7"/>
  <c r="CM174" i="7"/>
  <c r="CM163" i="7"/>
  <c r="CM178" i="7"/>
  <c r="CU62" i="7"/>
  <c r="BI515" i="1"/>
  <c r="BI522" i="1" s="1"/>
  <c r="BJ163" i="1"/>
  <c r="BI148" i="1"/>
  <c r="BM619" i="1"/>
  <c r="CK151" i="1"/>
  <c r="BV131" i="7"/>
  <c r="CR250" i="1"/>
  <c r="BD398" i="1"/>
  <c r="BD399" i="1" s="1"/>
  <c r="BJ282" i="1"/>
  <c r="CQ596" i="1"/>
  <c r="CQ608" i="1" s="1"/>
  <c r="CR609" i="1" s="1"/>
  <c r="AZ34" i="1"/>
  <c r="AZ459" i="1"/>
  <c r="AZ437" i="1"/>
  <c r="AZ211" i="1"/>
  <c r="Q619" i="1"/>
  <c r="T85" i="1"/>
  <c r="BA438" i="1"/>
  <c r="BK283" i="1"/>
  <c r="CK539" i="1"/>
  <c r="CU326" i="1"/>
  <c r="CS151" i="1"/>
  <c r="AI400" i="1"/>
  <c r="DM398" i="1"/>
  <c r="DM401" i="1" s="1"/>
  <c r="AI401" i="1"/>
  <c r="AI403" i="1" s="1"/>
  <c r="DS472" i="1"/>
  <c r="DS223" i="1"/>
  <c r="CE539" i="1"/>
  <c r="BE619" i="1"/>
  <c r="CT633" i="1"/>
  <c r="AT524" i="1"/>
  <c r="AT129" i="1"/>
  <c r="DN401" i="1"/>
  <c r="BW120" i="7"/>
  <c r="BW142" i="7" s="1"/>
  <c r="W634" i="1"/>
  <c r="AA634" i="1"/>
  <c r="CN410" i="1"/>
  <c r="CM410" i="1"/>
  <c r="BQ619" i="1"/>
  <c r="DO410" i="1"/>
  <c r="DP410" i="1"/>
  <c r="CO441" i="1"/>
  <c r="DS441" i="1"/>
  <c r="DS220" i="1"/>
  <c r="AT401" i="1"/>
  <c r="AT396" i="1"/>
  <c r="AT382" i="1"/>
  <c r="BX14" i="1"/>
  <c r="BH423" i="1"/>
  <c r="AM167" i="1"/>
  <c r="DB70" i="7"/>
  <c r="CK603" i="1"/>
  <c r="T167" i="1"/>
  <c r="W152" i="1"/>
  <c r="AF153" i="1"/>
  <c r="AN106" i="1"/>
  <c r="BC114" i="8"/>
  <c r="AT205" i="1"/>
  <c r="BN128" i="1"/>
  <c r="AN168" i="1"/>
  <c r="AQ45" i="1"/>
  <c r="CR144" i="1"/>
  <c r="BA443" i="1"/>
  <c r="CE540" i="1"/>
  <c r="CQ539" i="1"/>
  <c r="CT576" i="1"/>
  <c r="CT577" i="1" s="1"/>
  <c r="CT578" i="1" s="1"/>
  <c r="BN151" i="7"/>
  <c r="K71" i="1"/>
  <c r="O152" i="1" s="1"/>
  <c r="K148" i="1"/>
  <c r="K128" i="1"/>
  <c r="DG53" i="1"/>
  <c r="K163" i="1"/>
  <c r="AM163" i="1"/>
  <c r="AM619" i="1"/>
  <c r="BJ621" i="1"/>
  <c r="BJ633" i="1" s="1"/>
  <c r="BJ129" i="7"/>
  <c r="BJ554" i="1"/>
  <c r="BJ133" i="1"/>
  <c r="BJ131" i="7"/>
  <c r="BJ134" i="1"/>
  <c r="BJ622" i="1"/>
  <c r="BJ634" i="1" s="1"/>
  <c r="BJ620" i="1"/>
  <c r="BJ118" i="7"/>
  <c r="BJ140" i="7" s="1"/>
  <c r="BJ143" i="1"/>
  <c r="BJ187" i="7" s="1"/>
  <c r="BJ135" i="1"/>
  <c r="BJ101" i="7"/>
  <c r="BR23" i="1"/>
  <c r="CU17" i="1"/>
  <c r="BR16" i="1"/>
  <c r="AV400" i="1"/>
  <c r="AU400" i="1"/>
  <c r="CO398" i="1"/>
  <c r="AU399" i="1"/>
  <c r="CU237" i="1"/>
  <c r="CU230" i="1"/>
  <c r="BA411" i="1"/>
  <c r="BA398" i="1"/>
  <c r="CP398" i="1" s="1"/>
  <c r="BA217" i="1"/>
  <c r="BB411" i="1"/>
  <c r="BA410" i="1"/>
  <c r="AW399" i="1"/>
  <c r="AX400" i="1"/>
  <c r="AW400" i="1"/>
  <c r="AW216" i="1"/>
  <c r="DQ398" i="1"/>
  <c r="AW401" i="1"/>
  <c r="CQ441" i="1"/>
  <c r="CR441" i="1"/>
  <c r="DT220" i="1"/>
  <c r="DT441" i="1"/>
  <c r="AR443" i="1"/>
  <c r="AR32" i="1"/>
  <c r="DP32" i="1" s="1"/>
  <c r="AS439" i="1"/>
  <c r="AR209" i="1"/>
  <c r="AR395" i="1"/>
  <c r="DP437" i="1"/>
  <c r="AR439" i="1"/>
  <c r="CL398" i="1"/>
  <c r="BC239" i="1"/>
  <c r="AZ484" i="1"/>
  <c r="AY478" i="1"/>
  <c r="AY485" i="1"/>
  <c r="BX235" i="1"/>
  <c r="CU545" i="1"/>
  <c r="CU546" i="1" s="1"/>
  <c r="CU116" i="8"/>
  <c r="CU74" i="1"/>
  <c r="AU414" i="1"/>
  <c r="AT413" i="1"/>
  <c r="Y602" i="1"/>
  <c r="Y603" i="1"/>
  <c r="BU653" i="1"/>
  <c r="BU654" i="1"/>
  <c r="DC70" i="7"/>
  <c r="DC92" i="8"/>
  <c r="CR118" i="8"/>
  <c r="CR234" i="1"/>
  <c r="CS234" i="1"/>
  <c r="BO239" i="1"/>
  <c r="BO238" i="1"/>
  <c r="CR146" i="1"/>
  <c r="CQ11" i="1"/>
  <c r="AZ400" i="1"/>
  <c r="AY399" i="1"/>
  <c r="AY400" i="1"/>
  <c r="AY216" i="1"/>
  <c r="BU238" i="1"/>
  <c r="BV239" i="1"/>
  <c r="BU239" i="1"/>
  <c r="BS238" i="1"/>
  <c r="CR287" i="1"/>
  <c r="AM114" i="8"/>
  <c r="AM122" i="8" s="1"/>
  <c r="AM123" i="8" s="1"/>
  <c r="AM137" i="1"/>
  <c r="AM72" i="1"/>
  <c r="AM139" i="1"/>
  <c r="S134" i="8"/>
  <c r="S136" i="8" s="1"/>
  <c r="S137" i="8" s="1"/>
  <c r="BN515" i="1"/>
  <c r="BN522" i="1" s="1"/>
  <c r="M152" i="1"/>
  <c r="AN150" i="7"/>
  <c r="AN153" i="7" s="1"/>
  <c r="CI539" i="1"/>
  <c r="BC72" i="1"/>
  <c r="AO117" i="7"/>
  <c r="AO139" i="7" s="1"/>
  <c r="CP441" i="1"/>
  <c r="BN22" i="1"/>
  <c r="CJ584" i="1"/>
  <c r="CK581" i="1" s="1"/>
  <c r="CK584" i="1" s="1"/>
  <c r="CL581" i="1" s="1"/>
  <c r="CL584" i="1" s="1"/>
  <c r="CM581" i="1" s="1"/>
  <c r="CM584" i="1" s="1"/>
  <c r="CN581" i="1" s="1"/>
  <c r="O167" i="1"/>
  <c r="CR11" i="1"/>
  <c r="AM85" i="1"/>
  <c r="AM109" i="1" s="1"/>
  <c r="CS118" i="8"/>
  <c r="CT118" i="8"/>
  <c r="CS577" i="1"/>
  <c r="CS578" i="1" s="1"/>
  <c r="S535" i="1"/>
  <c r="AE535" i="1"/>
  <c r="AU216" i="1"/>
  <c r="AG403" i="1"/>
  <c r="BF346" i="1"/>
  <c r="BF343" i="1" s="1"/>
  <c r="BE356" i="1"/>
  <c r="CQ346" i="1"/>
  <c r="CQ218" i="1" s="1"/>
  <c r="BE218" i="1"/>
  <c r="CT230" i="1"/>
  <c r="CT237" i="1"/>
  <c r="CT238" i="1" s="1"/>
  <c r="BR239" i="1"/>
  <c r="BR238" i="1"/>
  <c r="BS239" i="1"/>
  <c r="BV238" i="1"/>
  <c r="BG239" i="1"/>
  <c r="BH239" i="1"/>
  <c r="BG238" i="1"/>
  <c r="BK238" i="1"/>
  <c r="BL239" i="1"/>
  <c r="AQ399" i="1"/>
  <c r="AR400" i="1"/>
  <c r="CN398" i="1"/>
  <c r="AQ400" i="1"/>
  <c r="AS412" i="1"/>
  <c r="AT414" i="1" s="1"/>
  <c r="AS206" i="1"/>
  <c r="AS29" i="1"/>
  <c r="DP406" i="1"/>
  <c r="AS395" i="1"/>
  <c r="AT397" i="1" s="1"/>
  <c r="AS408" i="1"/>
  <c r="CN406" i="1"/>
  <c r="CN412" i="1" s="1"/>
  <c r="AW407" i="1"/>
  <c r="DP441" i="1"/>
  <c r="DO441" i="1"/>
  <c r="DV441" i="1"/>
  <c r="CP409" i="1"/>
  <c r="AI535" i="1"/>
  <c r="CI134" i="7"/>
  <c r="CI130" i="7"/>
  <c r="CI151" i="1"/>
  <c r="CU199" i="1"/>
  <c r="BJ131" i="8"/>
  <c r="BZ321" i="1"/>
  <c r="BY322" i="1"/>
  <c r="AU378" i="1"/>
  <c r="AU28" i="1"/>
  <c r="AU384" i="1"/>
  <c r="CT151" i="1"/>
  <c r="AU401" i="1"/>
  <c r="BE271" i="1"/>
  <c r="BF277" i="1"/>
  <c r="DV220" i="1"/>
  <c r="AZ433" i="1"/>
  <c r="AZ426" i="1"/>
  <c r="BA432" i="1"/>
  <c r="AA140" i="7"/>
  <c r="AA117" i="7"/>
  <c r="AA139" i="7" s="1"/>
  <c r="BN133" i="1"/>
  <c r="BN134" i="1"/>
  <c r="BN621" i="1"/>
  <c r="BN622" i="1"/>
  <c r="BN129" i="7"/>
  <c r="BN118" i="7"/>
  <c r="BN140" i="7" s="1"/>
  <c r="BR143" i="1"/>
  <c r="BR187" i="7" s="1"/>
  <c r="BN620" i="1"/>
  <c r="BN143" i="1"/>
  <c r="BN187" i="7" s="1"/>
  <c r="BN131" i="7"/>
  <c r="BN158" i="1"/>
  <c r="BN188" i="7" s="1"/>
  <c r="CS501" i="1"/>
  <c r="CR501" i="1"/>
  <c r="AM399" i="1"/>
  <c r="CM398" i="1"/>
  <c r="AM400" i="1"/>
  <c r="AM401" i="1"/>
  <c r="AS445" i="1"/>
  <c r="AT445" i="1"/>
  <c r="AW444" i="1"/>
  <c r="BN554" i="1"/>
  <c r="AU397" i="1"/>
  <c r="AM138" i="1"/>
  <c r="AM153" i="1"/>
  <c r="S156" i="7"/>
  <c r="AN86" i="1"/>
  <c r="AN140" i="1"/>
  <c r="BC78" i="1"/>
  <c r="BC85" i="1" s="1"/>
  <c r="BC158" i="7" s="1"/>
  <c r="AN114" i="1"/>
  <c r="CR230" i="1"/>
  <c r="CR282" i="1"/>
  <c r="BW129" i="7"/>
  <c r="BW536" i="1"/>
  <c r="BW118" i="7"/>
  <c r="BW537" i="1"/>
  <c r="BW541" i="1" s="1"/>
  <c r="BW131" i="7"/>
  <c r="BW101" i="7"/>
  <c r="AV530" i="1"/>
  <c r="AN139" i="1"/>
  <c r="DN441" i="1"/>
  <c r="CU598" i="1"/>
  <c r="CU596" i="1" s="1"/>
  <c r="CU608" i="1" s="1"/>
  <c r="CU609" i="1" s="1"/>
  <c r="DW74" i="1"/>
  <c r="CU576" i="1"/>
  <c r="CU577" i="1" s="1"/>
  <c r="CU578" i="1" s="1"/>
  <c r="CU118" i="8"/>
  <c r="CQ576" i="1"/>
  <c r="CQ577" i="1" s="1"/>
  <c r="CQ578" i="1" s="1"/>
  <c r="BN135" i="1"/>
  <c r="BF16" i="1"/>
  <c r="BF23" i="1"/>
  <c r="CN441" i="1"/>
  <c r="CO410" i="1"/>
  <c r="BD207" i="1"/>
  <c r="BD345" i="1"/>
  <c r="BD333" i="1"/>
  <c r="BD363" i="1" s="1"/>
  <c r="BD365" i="1" s="1"/>
  <c r="BD329" i="1"/>
  <c r="CP74" i="1"/>
  <c r="CP116" i="8"/>
  <c r="CP545" i="1"/>
  <c r="CP546" i="1" s="1"/>
  <c r="CR237" i="1"/>
  <c r="CS230" i="1"/>
  <c r="DN379" i="1"/>
  <c r="AE401" i="1"/>
  <c r="AE400" i="1"/>
  <c r="CK398" i="1"/>
  <c r="AI399" i="1"/>
  <c r="DP31" i="1"/>
  <c r="AS44" i="1"/>
  <c r="AS58" i="1" s="1"/>
  <c r="CN31" i="1"/>
  <c r="AK400" i="1"/>
  <c r="AO399" i="1"/>
  <c r="AK399" i="1"/>
  <c r="AK401" i="1"/>
  <c r="AL400" i="1"/>
  <c r="AS399" i="1"/>
  <c r="AS400" i="1"/>
  <c r="AT400" i="1"/>
  <c r="DP398" i="1"/>
  <c r="AS216" i="1"/>
  <c r="DU441" i="1"/>
  <c r="DU220" i="1"/>
  <c r="CN453" i="1"/>
  <c r="CO454" i="1" s="1"/>
  <c r="CO448" i="1"/>
  <c r="AR46" i="1"/>
  <c r="DP33" i="1"/>
  <c r="CN557" i="1"/>
  <c r="AM557" i="1"/>
  <c r="AM83" i="1" s="1"/>
  <c r="AM156" i="7" s="1"/>
  <c r="AO557" i="1"/>
  <c r="AO83" i="1" s="1"/>
  <c r="AO156" i="7" s="1"/>
  <c r="AN557" i="1"/>
  <c r="AN83" i="1" s="1"/>
  <c r="AN156" i="7" s="1"/>
  <c r="AL557" i="1"/>
  <c r="AL83" i="1" s="1"/>
  <c r="AL156" i="7" s="1"/>
  <c r="CM83" i="1"/>
  <c r="AJ402" i="1"/>
  <c r="BD338" i="1"/>
  <c r="BC366" i="1"/>
  <c r="BC370" i="1" s="1"/>
  <c r="BC338" i="1"/>
  <c r="BC217" i="1"/>
  <c r="CN33" i="1"/>
  <c r="DO398" i="1"/>
  <c r="DO399" i="1" s="1"/>
  <c r="CO206" i="1"/>
  <c r="CO412" i="1"/>
  <c r="BC339" i="1"/>
  <c r="BC341" i="1" s="1"/>
  <c r="CU234" i="1"/>
  <c r="BD273" i="1"/>
  <c r="BD257" i="1"/>
  <c r="BD209" i="1"/>
  <c r="CQ271" i="1"/>
  <c r="CQ257" i="1" s="1"/>
  <c r="BD211" i="1"/>
  <c r="AY208" i="1"/>
  <c r="AY31" i="1"/>
  <c r="AY406" i="1"/>
  <c r="CO220" i="1"/>
  <c r="BQ632" i="1"/>
  <c r="DN71" i="1"/>
  <c r="DN72" i="1" s="1"/>
  <c r="AU130" i="1"/>
  <c r="DG71" i="1"/>
  <c r="DG72" i="1" s="1"/>
  <c r="AJ138" i="1"/>
  <c r="AJ72" i="1"/>
  <c r="AJ152" i="1"/>
  <c r="K167" i="1"/>
  <c r="AL138" i="1"/>
  <c r="AL72" i="1"/>
  <c r="AL78" i="1"/>
  <c r="AL153" i="1" s="1"/>
  <c r="AB119" i="7"/>
  <c r="DN54" i="1"/>
  <c r="AJ134" i="8"/>
  <c r="AJ136" i="8" s="1"/>
  <c r="AJ137" i="8" s="1"/>
  <c r="AA140" i="1"/>
  <c r="AJ137" i="1"/>
  <c r="AA109" i="1"/>
  <c r="AK167" i="1"/>
  <c r="CV317" i="1"/>
  <c r="CV325" i="1" s="1"/>
  <c r="BY14" i="1"/>
  <c r="BX229" i="1"/>
  <c r="BX231" i="1" s="1"/>
  <c r="R126" i="8"/>
  <c r="R106" i="1"/>
  <c r="R111" i="1" s="1"/>
  <c r="O134" i="8"/>
  <c r="O136" i="8" s="1"/>
  <c r="O137" i="8" s="1"/>
  <c r="O156" i="7"/>
  <c r="O114" i="8"/>
  <c r="O122" i="8" s="1"/>
  <c r="O123" i="8" s="1"/>
  <c r="O137" i="1"/>
  <c r="O78" i="1"/>
  <c r="O138" i="1"/>
  <c r="O72" i="1"/>
  <c r="AB139" i="1"/>
  <c r="AB168" i="1"/>
  <c r="W85" i="1"/>
  <c r="W139" i="1"/>
  <c r="AI168" i="1"/>
  <c r="R109" i="1"/>
  <c r="R158" i="7"/>
  <c r="H82" i="1"/>
  <c r="H103" i="1" s="1"/>
  <c r="H106" i="1" s="1"/>
  <c r="AN141" i="7"/>
  <c r="AT530" i="1"/>
  <c r="AT131" i="1"/>
  <c r="CJ54" i="1"/>
  <c r="CJ71" i="1"/>
  <c r="U114" i="8"/>
  <c r="U122" i="8" s="1"/>
  <c r="U123" i="8" s="1"/>
  <c r="U134" i="8"/>
  <c r="U136" i="8" s="1"/>
  <c r="U137" i="8" s="1"/>
  <c r="U138" i="1"/>
  <c r="U78" i="1"/>
  <c r="U72" i="1"/>
  <c r="U137" i="1"/>
  <c r="N134" i="8"/>
  <c r="N136" i="8" s="1"/>
  <c r="N137" i="8" s="1"/>
  <c r="R152" i="1"/>
  <c r="N156" i="7"/>
  <c r="N114" i="8"/>
  <c r="N122" i="8" s="1"/>
  <c r="N123" i="8" s="1"/>
  <c r="N137" i="1"/>
  <c r="N78" i="1"/>
  <c r="R140" i="1"/>
  <c r="CO60" i="1"/>
  <c r="CO528" i="1" s="1"/>
  <c r="BW21" i="1"/>
  <c r="BW128" i="1" s="1"/>
  <c r="BY319" i="1"/>
  <c r="AK141" i="7"/>
  <c r="AK117" i="7"/>
  <c r="AK139" i="7" s="1"/>
  <c r="AG147" i="7"/>
  <c r="AH156" i="7"/>
  <c r="BM152" i="7"/>
  <c r="BM151" i="7"/>
  <c r="CJ141" i="7"/>
  <c r="BW123" i="7"/>
  <c r="BV17" i="7"/>
  <c r="BV152" i="7"/>
  <c r="BV151" i="7"/>
  <c r="BT161" i="7"/>
  <c r="BT178" i="7"/>
  <c r="BT170" i="7"/>
  <c r="BT174" i="7"/>
  <c r="BT163" i="7"/>
  <c r="CR176" i="7"/>
  <c r="CR171" i="7"/>
  <c r="CM176" i="7"/>
  <c r="CM170" i="7"/>
  <c r="CM164" i="7" s="1"/>
  <c r="Y147" i="7"/>
  <c r="Z156" i="7"/>
  <c r="AD119" i="7"/>
  <c r="AE141" i="7"/>
  <c r="AE117" i="7"/>
  <c r="AE139" i="7" s="1"/>
  <c r="BR152" i="7"/>
  <c r="BQ63" i="7"/>
  <c r="V79" i="7"/>
  <c r="U94" i="7"/>
  <c r="U84" i="7"/>
  <c r="U97" i="7" s="1"/>
  <c r="U82" i="7"/>
  <c r="Y84" i="7"/>
  <c r="Y97" i="7" s="1"/>
  <c r="Y82" i="7"/>
  <c r="Z79" i="7"/>
  <c r="Y94" i="7"/>
  <c r="CI108" i="7"/>
  <c r="CI110" i="7"/>
  <c r="CI107" i="7"/>
  <c r="CI109" i="7"/>
  <c r="CI30" i="7"/>
  <c r="CI171" i="7"/>
  <c r="CI177" i="7"/>
  <c r="CI163" i="7"/>
  <c r="AD63" i="7"/>
  <c r="CJ199" i="7"/>
  <c r="CJ175" i="7" s="1"/>
  <c r="CJ168" i="7"/>
  <c r="CJ161" i="7" s="1"/>
  <c r="CJ201" i="7"/>
  <c r="CL201" i="7"/>
  <c r="CL168" i="7"/>
  <c r="CL199" i="7"/>
  <c r="CL175" i="7" s="1"/>
  <c r="U163" i="7"/>
  <c r="U178" i="7"/>
  <c r="U174" i="7"/>
  <c r="AC174" i="7"/>
  <c r="AC178" i="7"/>
  <c r="AC170" i="7"/>
  <c r="AC163" i="7"/>
  <c r="AO174" i="7"/>
  <c r="AO178" i="7"/>
  <c r="AO163" i="7"/>
  <c r="AO170" i="7"/>
  <c r="AQ178" i="7"/>
  <c r="AQ174" i="7"/>
  <c r="AQ163" i="7"/>
  <c r="AU163" i="7"/>
  <c r="AU174" i="7"/>
  <c r="AU178" i="7"/>
  <c r="AU170" i="7"/>
  <c r="AU161" i="7"/>
  <c r="CO168" i="7"/>
  <c r="CO201" i="7"/>
  <c r="AY178" i="7"/>
  <c r="AY163" i="7"/>
  <c r="AY170" i="7"/>
  <c r="AY174" i="7"/>
  <c r="BA163" i="7"/>
  <c r="BA178" i="7"/>
  <c r="BA170" i="7"/>
  <c r="BA174" i="7"/>
  <c r="BK178" i="7"/>
  <c r="BK174" i="7"/>
  <c r="BK161" i="7"/>
  <c r="BK163" i="7"/>
  <c r="BK170" i="7"/>
  <c r="BN178" i="7"/>
  <c r="BN174" i="7"/>
  <c r="BN163" i="7"/>
  <c r="BN170" i="7"/>
  <c r="BH112" i="7"/>
  <c r="BI102" i="7"/>
  <c r="BJ28" i="7"/>
  <c r="BK110" i="7"/>
  <c r="CN199" i="7"/>
  <c r="CN175" i="7" s="1"/>
  <c r="CN201" i="7"/>
  <c r="CN168" i="7"/>
  <c r="Y175" i="7"/>
  <c r="Y200" i="7"/>
  <c r="CI191" i="7"/>
  <c r="CJ191" i="7"/>
  <c r="CI146" i="7"/>
  <c r="CI119" i="7" s="1"/>
  <c r="CI141" i="7" s="1"/>
  <c r="CI192" i="7"/>
  <c r="CI124" i="7"/>
  <c r="CJ192" i="7"/>
  <c r="AF164" i="7"/>
  <c r="AF162" i="7"/>
  <c r="AV211" i="7"/>
  <c r="AV161" i="7"/>
  <c r="AV179" i="7"/>
  <c r="AI119" i="7"/>
  <c r="CF206" i="7"/>
  <c r="CF147" i="7" s="1"/>
  <c r="U161" i="7"/>
  <c r="BG112" i="7"/>
  <c r="BH102" i="7"/>
  <c r="P161" i="7"/>
  <c r="P179" i="7"/>
  <c r="P162" i="7"/>
  <c r="R179" i="7"/>
  <c r="R162" i="7"/>
  <c r="R161" i="7"/>
  <c r="AZ161" i="7"/>
  <c r="AZ211" i="7"/>
  <c r="AZ179" i="7"/>
  <c r="BD162" i="7"/>
  <c r="BD161" i="7"/>
  <c r="BD211" i="7"/>
  <c r="BD179" i="7"/>
  <c r="BL179" i="7"/>
  <c r="BL211" i="7"/>
  <c r="BQ211" i="7"/>
  <c r="BQ161" i="7"/>
  <c r="BQ179" i="7"/>
  <c r="BR200" i="7"/>
  <c r="BY57" i="7"/>
  <c r="BX68" i="7"/>
  <c r="CQ174" i="7"/>
  <c r="CQ178" i="7"/>
  <c r="CQ170" i="7"/>
  <c r="CQ164" i="7" s="1"/>
  <c r="AW162" i="7"/>
  <c r="AW164" i="7"/>
  <c r="AS200" i="7"/>
  <c r="CI123" i="7"/>
  <c r="CU174" i="7"/>
  <c r="CU178" i="7"/>
  <c r="CU163" i="7"/>
  <c r="CK152" i="7"/>
  <c r="CL62" i="7"/>
  <c r="CT63" i="7"/>
  <c r="CP178" i="7"/>
  <c r="CP163" i="7"/>
  <c r="CP174" i="7"/>
  <c r="CP170" i="7"/>
  <c r="CP164" i="7" s="1"/>
  <c r="CT161" i="7"/>
  <c r="CQ161" i="7"/>
  <c r="CQ179" i="7"/>
  <c r="S162" i="7"/>
  <c r="S164" i="7"/>
  <c r="CM171" i="7"/>
  <c r="BE84" i="7"/>
  <c r="BE97" i="7" s="1"/>
  <c r="BE82" i="7"/>
  <c r="BF79" i="7"/>
  <c r="CQ108" i="7"/>
  <c r="CQ107" i="7"/>
  <c r="CG170" i="7"/>
  <c r="CG164" i="7" s="1"/>
  <c r="BA161" i="7"/>
  <c r="CG51" i="7"/>
  <c r="CG62" i="7" s="1"/>
  <c r="CG63" i="7" s="1"/>
  <c r="CT162" i="7"/>
  <c r="T161" i="7"/>
  <c r="BF200" i="7"/>
  <c r="BM102" i="7"/>
  <c r="CJ117" i="7"/>
  <c r="CJ139" i="7" s="1"/>
  <c r="AQ170" i="7"/>
  <c r="AQ162" i="7" s="1"/>
  <c r="AV162" i="7"/>
  <c r="BL161" i="7"/>
  <c r="U170" i="7"/>
  <c r="U164" i="7" s="1"/>
  <c r="BR151" i="7"/>
  <c r="CO199" i="7"/>
  <c r="CO175" i="7" s="1"/>
  <c r="CM206" i="7"/>
  <c r="CM147" i="7" s="1"/>
  <c r="Z161" i="7"/>
  <c r="AC161" i="7"/>
  <c r="BU63" i="7"/>
  <c r="CU22" i="7"/>
  <c r="CU33" i="7" s="1"/>
  <c r="CU204" i="7"/>
  <c r="CU206" i="7" s="1"/>
  <c r="CU192" i="7"/>
  <c r="CU123" i="7"/>
  <c r="CU182" i="7"/>
  <c r="CU125" i="7"/>
  <c r="CU191" i="7"/>
  <c r="CU124" i="7"/>
  <c r="CF63" i="7"/>
  <c r="CI22" i="7"/>
  <c r="CK124" i="7"/>
  <c r="CK192" i="7"/>
  <c r="CK191" i="7"/>
  <c r="CK146" i="7"/>
  <c r="CK119" i="7" s="1"/>
  <c r="AH151" i="7"/>
  <c r="AH152" i="7"/>
  <c r="AG119" i="7"/>
  <c r="AJ151" i="7"/>
  <c r="AJ152" i="7"/>
  <c r="CL204" i="7"/>
  <c r="CL206" i="7" s="1"/>
  <c r="CL147" i="7" s="1"/>
  <c r="CL125" i="7"/>
  <c r="CL123" i="7"/>
  <c r="CL146" i="7"/>
  <c r="CL124" i="7"/>
  <c r="CL191" i="7"/>
  <c r="CL22" i="7"/>
  <c r="CL33" i="7" s="1"/>
  <c r="CL192" i="7"/>
  <c r="CM192" i="7"/>
  <c r="CN192" i="7"/>
  <c r="CM182" i="7"/>
  <c r="CM146" i="7"/>
  <c r="CN191" i="7"/>
  <c r="CM191" i="7"/>
  <c r="CM124" i="7"/>
  <c r="CM125" i="7"/>
  <c r="BE151" i="7"/>
  <c r="BE152" i="7"/>
  <c r="BJ151" i="7"/>
  <c r="BJ152" i="7"/>
  <c r="CT204" i="7"/>
  <c r="CT206" i="7" s="1"/>
  <c r="CT147" i="7" s="1"/>
  <c r="CT125" i="7"/>
  <c r="CT124" i="7"/>
  <c r="CT123" i="7"/>
  <c r="CT182" i="7"/>
  <c r="CK125" i="7"/>
  <c r="CT178" i="7"/>
  <c r="CT174" i="7"/>
  <c r="BI62" i="7"/>
  <c r="BI63" i="7" s="1"/>
  <c r="BI168" i="7"/>
  <c r="BI201" i="7"/>
  <c r="BI199" i="7"/>
  <c r="BI175" i="7" s="1"/>
  <c r="CR60" i="7"/>
  <c r="M200" i="7"/>
  <c r="Y164" i="7"/>
  <c r="Y162" i="7"/>
  <c r="AA200" i="7"/>
  <c r="AA174" i="7"/>
  <c r="AA178" i="7"/>
  <c r="AA163" i="7"/>
  <c r="AA161" i="7"/>
  <c r="AA170" i="7"/>
  <c r="AE200" i="7"/>
  <c r="AG200" i="7"/>
  <c r="AK170" i="7"/>
  <c r="AK174" i="7"/>
  <c r="AK178" i="7"/>
  <c r="AK163" i="7"/>
  <c r="AM200" i="7"/>
  <c r="AW200" i="7"/>
  <c r="AY200" i="7"/>
  <c r="BF174" i="7"/>
  <c r="BF178" i="7"/>
  <c r="BF163" i="7"/>
  <c r="BF170" i="7"/>
  <c r="BK175" i="7"/>
  <c r="BK200" i="7"/>
  <c r="BR170" i="7"/>
  <c r="BR161" i="7"/>
  <c r="BR174" i="7"/>
  <c r="BR163" i="7"/>
  <c r="BR178" i="7"/>
  <c r="BM85" i="7"/>
  <c r="BM84" i="7"/>
  <c r="BM97" i="7" s="1"/>
  <c r="AQ211" i="7"/>
  <c r="AQ161" i="7"/>
  <c r="AL29" i="7"/>
  <c r="AL24" i="7" s="1"/>
  <c r="AM88" i="7"/>
  <c r="AM90" i="7" s="1"/>
  <c r="AS179" i="7"/>
  <c r="AS161" i="7"/>
  <c r="AS162" i="7"/>
  <c r="AS211" i="7"/>
  <c r="BI82" i="7"/>
  <c r="BJ79" i="7"/>
  <c r="BI94" i="7"/>
  <c r="BI84" i="7"/>
  <c r="BI97" i="7" s="1"/>
  <c r="CP179" i="7"/>
  <c r="CP161" i="7"/>
  <c r="CK22" i="7"/>
  <c r="CI182" i="7"/>
  <c r="AI174" i="7"/>
  <c r="AI170" i="7"/>
  <c r="AI163" i="7"/>
  <c r="AI161" i="7"/>
  <c r="AI178" i="7"/>
  <c r="BO161" i="7"/>
  <c r="BO179" i="7"/>
  <c r="BO211" i="7"/>
  <c r="AM119" i="7"/>
  <c r="AE162" i="7"/>
  <c r="BM90" i="7"/>
  <c r="CS90" i="7" s="1"/>
  <c r="CS92" i="7" s="1"/>
  <c r="AM179" i="7"/>
  <c r="AM161" i="7"/>
  <c r="AM162" i="7"/>
  <c r="AX211" i="7"/>
  <c r="AX161" i="7"/>
  <c r="AX162" i="7"/>
  <c r="AX179" i="7"/>
  <c r="AZ162" i="7"/>
  <c r="AZ164" i="7"/>
  <c r="BU94" i="7"/>
  <c r="CJ179" i="7"/>
  <c r="CK123" i="7"/>
  <c r="CI151" i="7"/>
  <c r="CI152" i="7"/>
  <c r="AO63" i="7"/>
  <c r="CQ110" i="7"/>
  <c r="CU170" i="7"/>
  <c r="CH63" i="7"/>
  <c r="BL63" i="7"/>
  <c r="CO171" i="7"/>
  <c r="CQ163" i="7"/>
  <c r="CH170" i="7"/>
  <c r="CH174" i="7"/>
  <c r="CH178" i="7"/>
  <c r="CH163" i="7"/>
  <c r="Q200" i="7"/>
  <c r="BP200" i="7"/>
  <c r="BD63" i="7"/>
  <c r="CO152" i="7"/>
  <c r="CO609" i="1"/>
  <c r="CN609" i="1"/>
  <c r="BZ295" i="1"/>
  <c r="CV295" i="1"/>
  <c r="CV296" i="1" s="1"/>
  <c r="BY296" i="1"/>
  <c r="BY291" i="1"/>
  <c r="BY233" i="1"/>
  <c r="CT199" i="1"/>
  <c r="AX206" i="1"/>
  <c r="AX407" i="1"/>
  <c r="AX408" i="1"/>
  <c r="AX412" i="1"/>
  <c r="AX29" i="1"/>
  <c r="AX56" i="1" s="1"/>
  <c r="DQ406" i="1"/>
  <c r="CK200" i="7"/>
  <c r="R115" i="1"/>
  <c r="R67" i="7"/>
  <c r="N167" i="1"/>
  <c r="M137" i="1"/>
  <c r="M72" i="1"/>
  <c r="M138" i="1"/>
  <c r="CK134" i="7"/>
  <c r="CK130" i="7"/>
  <c r="CM130" i="7"/>
  <c r="CM134" i="7"/>
  <c r="CE67" i="1"/>
  <c r="CE133" i="1"/>
  <c r="CE536" i="1"/>
  <c r="CE535" i="1" s="1"/>
  <c r="CF149" i="1"/>
  <c r="BW158" i="1"/>
  <c r="BW188" i="7" s="1"/>
  <c r="BP133" i="1"/>
  <c r="BP131" i="7"/>
  <c r="T106" i="1"/>
  <c r="T116" i="1" s="1"/>
  <c r="T109" i="1"/>
  <c r="R114" i="1"/>
  <c r="R86" i="1"/>
  <c r="AA126" i="8"/>
  <c r="AA150" i="7"/>
  <c r="AA153" i="7" s="1"/>
  <c r="AL122" i="8"/>
  <c r="AL123" i="8" s="1"/>
  <c r="T139" i="1"/>
  <c r="M134" i="8"/>
  <c r="M136" i="8" s="1"/>
  <c r="M137" i="8" s="1"/>
  <c r="J138" i="1"/>
  <c r="J78" i="1"/>
  <c r="J72" i="1"/>
  <c r="J137" i="1"/>
  <c r="J134" i="8"/>
  <c r="J136" i="8" s="1"/>
  <c r="J137" i="8" s="1"/>
  <c r="N152" i="1"/>
  <c r="J114" i="8"/>
  <c r="J122" i="8" s="1"/>
  <c r="J123" i="8" s="1"/>
  <c r="AJ78" i="1"/>
  <c r="AJ167" i="1"/>
  <c r="X634" i="1"/>
  <c r="BH21" i="1"/>
  <c r="BH71" i="1" s="1"/>
  <c r="CQ24" i="1"/>
  <c r="CP151" i="1"/>
  <c r="M78" i="1"/>
  <c r="M153" i="1" s="1"/>
  <c r="DU88" i="1"/>
  <c r="CN151" i="1"/>
  <c r="CN118" i="8"/>
  <c r="BW151" i="7"/>
  <c r="AI88" i="7"/>
  <c r="AI90" i="7" s="1"/>
  <c r="AI91" i="7" s="1"/>
  <c r="AH29" i="7"/>
  <c r="AH24" i="7" s="1"/>
  <c r="CF117" i="7"/>
  <c r="CF139" i="7" s="1"/>
  <c r="V176" i="7"/>
  <c r="V170" i="7"/>
  <c r="V164" i="7" s="1"/>
  <c r="V171" i="7"/>
  <c r="W171" i="7"/>
  <c r="W176" i="7"/>
  <c r="W170" i="7"/>
  <c r="W164" i="7" s="1"/>
  <c r="CK162" i="7"/>
  <c r="CK110" i="7"/>
  <c r="CK107" i="7"/>
  <c r="CK30" i="7"/>
  <c r="CK109" i="7"/>
  <c r="CK108" i="7"/>
  <c r="U162" i="7"/>
  <c r="BL162" i="7"/>
  <c r="BL164" i="7"/>
  <c r="X152" i="7"/>
  <c r="W63" i="7"/>
  <c r="X151" i="7"/>
  <c r="BH164" i="7"/>
  <c r="BH162" i="7"/>
  <c r="AH79" i="7"/>
  <c r="AH85" i="7" s="1"/>
  <c r="AG94" i="7"/>
  <c r="W151" i="7"/>
  <c r="W152" i="7"/>
  <c r="BS79" i="7"/>
  <c r="BS83" i="7" s="1"/>
  <c r="BR94" i="7"/>
  <c r="BB102" i="7"/>
  <c r="BA112" i="7"/>
  <c r="AJ164" i="7"/>
  <c r="AJ162" i="7"/>
  <c r="BZ326" i="1"/>
  <c r="BZ317" i="1"/>
  <c r="CA325" i="1"/>
  <c r="BH360" i="1"/>
  <c r="BI359" i="1"/>
  <c r="BW237" i="1"/>
  <c r="BW231" i="1"/>
  <c r="BW230" i="1"/>
  <c r="BX292" i="1"/>
  <c r="BX293" i="1"/>
  <c r="BZ300" i="1"/>
  <c r="CA299" i="1"/>
  <c r="DO472" i="1"/>
  <c r="BA439" i="1"/>
  <c r="BA32" i="1"/>
  <c r="BA59" i="1" s="1"/>
  <c r="CS196" i="1"/>
  <c r="CT196" i="1"/>
  <c r="BY89" i="1"/>
  <c r="CC90" i="1"/>
  <c r="AY449" i="1"/>
  <c r="AZ449" i="1"/>
  <c r="AY33" i="1"/>
  <c r="CP33" i="1" s="1"/>
  <c r="AY448" i="1"/>
  <c r="AY437" i="1"/>
  <c r="AY210" i="1"/>
  <c r="CP447" i="1"/>
  <c r="BB33" i="1"/>
  <c r="BB448" i="1"/>
  <c r="BB437" i="1"/>
  <c r="BB449" i="1"/>
  <c r="CQ307" i="1"/>
  <c r="BE309" i="1"/>
  <c r="BE212" i="1"/>
  <c r="BE214" i="1"/>
  <c r="BE303" i="1"/>
  <c r="CQ303" i="1" s="1"/>
  <c r="CO463" i="1"/>
  <c r="CO464" i="1" s="1"/>
  <c r="CO458" i="1"/>
  <c r="CO211" i="1"/>
  <c r="DQ151" i="1"/>
  <c r="BI619" i="1"/>
  <c r="CQ343" i="1"/>
  <c r="BE345" i="1"/>
  <c r="BE207" i="1"/>
  <c r="BC374" i="1"/>
  <c r="BA444" i="1"/>
  <c r="BF314" i="1"/>
  <c r="BF307" i="1"/>
  <c r="BG313" i="1"/>
  <c r="BQ128" i="1"/>
  <c r="BI152" i="1"/>
  <c r="AD152" i="1"/>
  <c r="AH152" i="1"/>
  <c r="AD134" i="8"/>
  <c r="AD136" i="8" s="1"/>
  <c r="AD137" i="8" s="1"/>
  <c r="AD137" i="1"/>
  <c r="AD156" i="7"/>
  <c r="AD72" i="1"/>
  <c r="AD78" i="1"/>
  <c r="AD114" i="8"/>
  <c r="AD122" i="8" s="1"/>
  <c r="AD123" i="8" s="1"/>
  <c r="AD138" i="1"/>
  <c r="CJ118" i="8"/>
  <c r="V72" i="1"/>
  <c r="V138" i="1"/>
  <c r="V167" i="1"/>
  <c r="V78" i="1"/>
  <c r="Z153" i="1" s="1"/>
  <c r="V114" i="8"/>
  <c r="V122" i="8" s="1"/>
  <c r="V123" i="8" s="1"/>
  <c r="V134" i="8"/>
  <c r="V136" i="8" s="1"/>
  <c r="V137" i="8" s="1"/>
  <c r="V156" i="7"/>
  <c r="DJ71" i="1"/>
  <c r="DJ72" i="1" s="1"/>
  <c r="V137" i="1"/>
  <c r="W167" i="1"/>
  <c r="BU143" i="1"/>
  <c r="BU187" i="7" s="1"/>
  <c r="BU620" i="1"/>
  <c r="BU536" i="1"/>
  <c r="BU623" i="1"/>
  <c r="BU134" i="1"/>
  <c r="BU158" i="1"/>
  <c r="BU188" i="7" s="1"/>
  <c r="BU131" i="7"/>
  <c r="BU622" i="1"/>
  <c r="BU634" i="1" s="1"/>
  <c r="BU638" i="1"/>
  <c r="BU540" i="1"/>
  <c r="BU129" i="7"/>
  <c r="BU537" i="1"/>
  <c r="BU541" i="1" s="1"/>
  <c r="BU151" i="7"/>
  <c r="BU118" i="7"/>
  <c r="BU621" i="1"/>
  <c r="BU633" i="1" s="1"/>
  <c r="BU639" i="1"/>
  <c r="BU101" i="7"/>
  <c r="BU133" i="1"/>
  <c r="BU515" i="1"/>
  <c r="BU128" i="1"/>
  <c r="BU135" i="1"/>
  <c r="BV16" i="1"/>
  <c r="BV23" i="1"/>
  <c r="CF71" i="1"/>
  <c r="CF54" i="1"/>
  <c r="CF128" i="1"/>
  <c r="CF148" i="1"/>
  <c r="CF515" i="1"/>
  <c r="BQ71" i="1"/>
  <c r="BU152" i="1" s="1"/>
  <c r="BI137" i="1"/>
  <c r="BU22" i="1"/>
  <c r="AZ60" i="1"/>
  <c r="Z82" i="1"/>
  <c r="Z139" i="1"/>
  <c r="Z85" i="1"/>
  <c r="CN64" i="1"/>
  <c r="CN532" i="1" s="1"/>
  <c r="BU130" i="7"/>
  <c r="BU146" i="7"/>
  <c r="BU134" i="7"/>
  <c r="BU120" i="7"/>
  <c r="BU142" i="7" s="1"/>
  <c r="BJ137" i="1"/>
  <c r="BJ134" i="8"/>
  <c r="BJ136" i="8" s="1"/>
  <c r="BJ137" i="8" s="1"/>
  <c r="AR62" i="1"/>
  <c r="DP48" i="1"/>
  <c r="AA86" i="1"/>
  <c r="AA114" i="1"/>
  <c r="AA158" i="7"/>
  <c r="BU640" i="1"/>
  <c r="AE78" i="1"/>
  <c r="AI153" i="1" s="1"/>
  <c r="AE114" i="8"/>
  <c r="AE122" i="8" s="1"/>
  <c r="AE123" i="8" s="1"/>
  <c r="AE167" i="1"/>
  <c r="AE72" i="1"/>
  <c r="AE138" i="1"/>
  <c r="AE137" i="1"/>
  <c r="AF167" i="1"/>
  <c r="AE156" i="7"/>
  <c r="AE134" i="8"/>
  <c r="AE136" i="8" s="1"/>
  <c r="AE137" i="8" s="1"/>
  <c r="AE152" i="1"/>
  <c r="AV61" i="1"/>
  <c r="CO61" i="1" s="1"/>
  <c r="CO529" i="1" s="1"/>
  <c r="CO47" i="1"/>
  <c r="AQ62" i="1"/>
  <c r="CN48" i="1"/>
  <c r="BJ85" i="1"/>
  <c r="BI78" i="1"/>
  <c r="BI82" i="1" s="1"/>
  <c r="BJ82" i="1"/>
  <c r="AN124" i="8"/>
  <c r="BW515" i="1"/>
  <c r="S141" i="7"/>
  <c r="S117" i="7"/>
  <c r="S139" i="7" s="1"/>
  <c r="M140" i="7"/>
  <c r="M117" i="7"/>
  <c r="M139" i="7" s="1"/>
  <c r="AG515" i="1"/>
  <c r="AG71" i="1"/>
  <c r="AH163" i="1"/>
  <c r="AG148" i="1"/>
  <c r="DM53" i="1"/>
  <c r="DM54" i="1" s="1"/>
  <c r="AG163" i="1"/>
  <c r="AG54" i="1"/>
  <c r="AG128" i="1"/>
  <c r="CN567" i="1"/>
  <c r="CN601" i="1" s="1"/>
  <c r="CM575" i="1"/>
  <c r="CM577" i="1" s="1"/>
  <c r="CM578" i="1" s="1"/>
  <c r="BL620" i="1"/>
  <c r="BL622" i="1"/>
  <c r="BL634" i="1" s="1"/>
  <c r="BL143" i="1"/>
  <c r="BL187" i="7" s="1"/>
  <c r="BL151" i="7"/>
  <c r="BL623" i="1"/>
  <c r="BL118" i="7"/>
  <c r="BL140" i="7" s="1"/>
  <c r="BL135" i="1"/>
  <c r="BL133" i="1"/>
  <c r="BL131" i="7"/>
  <c r="BL134" i="1"/>
  <c r="BM158" i="1"/>
  <c r="BM188" i="7" s="1"/>
  <c r="BL621" i="1"/>
  <c r="BL554" i="1"/>
  <c r="BL129" i="7"/>
  <c r="BD25" i="1"/>
  <c r="CQ19" i="1"/>
  <c r="AZ64" i="1"/>
  <c r="CP64" i="1" s="1"/>
  <c r="CP532" i="1" s="1"/>
  <c r="H109" i="1"/>
  <c r="H140" i="1"/>
  <c r="H114" i="1"/>
  <c r="H100" i="1"/>
  <c r="H86" i="1"/>
  <c r="CI71" i="1"/>
  <c r="CI54" i="1"/>
  <c r="CI128" i="1"/>
  <c r="CI515" i="1"/>
  <c r="AH82" i="1"/>
  <c r="AH85" i="1"/>
  <c r="AH139" i="1"/>
  <c r="AH141" i="7"/>
  <c r="AH117" i="7"/>
  <c r="AH139" i="7" s="1"/>
  <c r="BD619" i="1"/>
  <c r="BH632" i="1"/>
  <c r="BH128" i="1"/>
  <c r="S137" i="1"/>
  <c r="S167" i="1"/>
  <c r="S78" i="1"/>
  <c r="S114" i="8"/>
  <c r="S122" i="8" s="1"/>
  <c r="S123" i="8" s="1"/>
  <c r="AI152" i="1"/>
  <c r="AC167" i="1"/>
  <c r="AC138" i="1"/>
  <c r="AC156" i="7"/>
  <c r="AC72" i="1"/>
  <c r="AD167" i="1"/>
  <c r="AC137" i="1"/>
  <c r="AC134" i="8"/>
  <c r="AC136" i="8" s="1"/>
  <c r="AC137" i="8" s="1"/>
  <c r="I139" i="1"/>
  <c r="I168" i="1"/>
  <c r="I82" i="1"/>
  <c r="I103" i="1" s="1"/>
  <c r="I106" i="1" s="1"/>
  <c r="I111" i="1" s="1"/>
  <c r="T100" i="1"/>
  <c r="T126" i="8"/>
  <c r="T86" i="1"/>
  <c r="BK25" i="1"/>
  <c r="BK16" i="1"/>
  <c r="DT16" i="1" s="1"/>
  <c r="CS19" i="1"/>
  <c r="BQ634" i="1"/>
  <c r="BM634" i="1"/>
  <c r="BM22" i="1"/>
  <c r="BI114" i="8"/>
  <c r="BI122" i="8" s="1"/>
  <c r="BI123" i="8" s="1"/>
  <c r="BI72" i="1"/>
  <c r="BZ59" i="7"/>
  <c r="CA59" i="7" s="1"/>
  <c r="CB59" i="7" s="1"/>
  <c r="CC59" i="7" s="1"/>
  <c r="CW59" i="7" s="1"/>
  <c r="CX59" i="7" s="1"/>
  <c r="CY59" i="7" s="1"/>
  <c r="CZ59" i="7" s="1"/>
  <c r="DA59" i="7" s="1"/>
  <c r="DB59" i="7" s="1"/>
  <c r="DC59" i="7" s="1"/>
  <c r="CU103" i="1"/>
  <c r="CJ103" i="1"/>
  <c r="AA106" i="1"/>
  <c r="BP118" i="7"/>
  <c r="BP140" i="7" s="1"/>
  <c r="BP554" i="1"/>
  <c r="BP620" i="1"/>
  <c r="BP619" i="1" s="1"/>
  <c r="BP143" i="1"/>
  <c r="BP187" i="7" s="1"/>
  <c r="BP135" i="1"/>
  <c r="BT143" i="1"/>
  <c r="BT187" i="7" s="1"/>
  <c r="BP131" i="8"/>
  <c r="BP134" i="1"/>
  <c r="BP151" i="7"/>
  <c r="BP101" i="7"/>
  <c r="BM129" i="1"/>
  <c r="CS23" i="1"/>
  <c r="P138" i="1"/>
  <c r="P78" i="1"/>
  <c r="P72" i="1"/>
  <c r="P137" i="1"/>
  <c r="P167" i="1"/>
  <c r="P152" i="1"/>
  <c r="P156" i="7"/>
  <c r="P134" i="8"/>
  <c r="P136" i="8" s="1"/>
  <c r="P137" i="8" s="1"/>
  <c r="P114" i="8"/>
  <c r="P122" i="8" s="1"/>
  <c r="P123" i="8" s="1"/>
  <c r="CJ554" i="1"/>
  <c r="BQ633" i="1"/>
  <c r="BM633" i="1"/>
  <c r="CR554" i="1"/>
  <c r="BV140" i="7"/>
  <c r="CJ148" i="1"/>
  <c r="AI139" i="1"/>
  <c r="AJ168" i="1"/>
  <c r="CM586" i="1"/>
  <c r="CM587" i="1" s="1"/>
  <c r="AW527" i="1"/>
  <c r="AW130" i="1"/>
  <c r="L138" i="1"/>
  <c r="L167" i="1"/>
  <c r="L137" i="1"/>
  <c r="L152" i="1"/>
  <c r="L114" i="8"/>
  <c r="L122" i="8" s="1"/>
  <c r="L123" i="8" s="1"/>
  <c r="L72" i="1"/>
  <c r="L134" i="8"/>
  <c r="L136" i="8" s="1"/>
  <c r="L137" i="8" s="1"/>
  <c r="L78" i="1"/>
  <c r="DH71" i="1"/>
  <c r="DH72" i="1" s="1"/>
  <c r="M167" i="1"/>
  <c r="Y71" i="1"/>
  <c r="DK53" i="1"/>
  <c r="Y515" i="1"/>
  <c r="Z163" i="1"/>
  <c r="Y148" i="1"/>
  <c r="Y163" i="1"/>
  <c r="Y54" i="1"/>
  <c r="Y128" i="1"/>
  <c r="AC148" i="1"/>
  <c r="BI134" i="8"/>
  <c r="BI136" i="8" s="1"/>
  <c r="BI137" i="8" s="1"/>
  <c r="BI138" i="1"/>
  <c r="U535" i="1"/>
  <c r="BT634" i="1"/>
  <c r="Q140" i="7"/>
  <c r="Q117" i="7"/>
  <c r="Q139" i="7" s="1"/>
  <c r="BD23" i="1"/>
  <c r="BD16" i="1"/>
  <c r="CQ17" i="1"/>
  <c r="BG23" i="1"/>
  <c r="CR17" i="1"/>
  <c r="CT19" i="1"/>
  <c r="BO16" i="1"/>
  <c r="CP118" i="8"/>
  <c r="CI535" i="1"/>
  <c r="AA98" i="1"/>
  <c r="AA115" i="1"/>
  <c r="AA110" i="1"/>
  <c r="AA67" i="7"/>
  <c r="T152" i="1"/>
  <c r="AK148" i="1"/>
  <c r="BV540" i="1"/>
  <c r="BV539" i="1" s="1"/>
  <c r="BV535" i="1"/>
  <c r="AV45" i="1"/>
  <c r="CO45" i="1" s="1"/>
  <c r="DL71" i="1"/>
  <c r="DL72" i="1" s="1"/>
  <c r="CR145" i="7"/>
  <c r="CR129" i="7"/>
  <c r="CR619" i="1"/>
  <c r="CR131" i="7"/>
  <c r="CR621" i="1"/>
  <c r="CR133" i="1"/>
  <c r="CR135" i="1"/>
  <c r="CR134" i="1"/>
  <c r="CR622" i="1"/>
  <c r="CR634" i="1" s="1"/>
  <c r="CR151" i="7"/>
  <c r="CR118" i="7"/>
  <c r="CR140" i="7" s="1"/>
  <c r="CO46" i="1"/>
  <c r="R150" i="7"/>
  <c r="R153" i="7" s="1"/>
  <c r="BU138" i="1"/>
  <c r="BU134" i="8"/>
  <c r="BU136" i="8" s="1"/>
  <c r="BU137" i="8" s="1"/>
  <c r="BU137" i="1"/>
  <c r="BU72" i="1"/>
  <c r="BU78" i="1"/>
  <c r="BU114" i="8"/>
  <c r="BU122" i="8" s="1"/>
  <c r="BU123" i="8" s="1"/>
  <c r="CL118" i="8"/>
  <c r="CO64" i="1"/>
  <c r="CO532" i="1" s="1"/>
  <c r="DW11" i="1"/>
  <c r="DW54" i="1" s="1"/>
  <c r="CQ118" i="8"/>
  <c r="BO21" i="1"/>
  <c r="BO163" i="1" s="1"/>
  <c r="CK554" i="1"/>
  <c r="BP24" i="1"/>
  <c r="BP16" i="1"/>
  <c r="CT18" i="1"/>
  <c r="Y140" i="7"/>
  <c r="Y117" i="7"/>
  <c r="Y139" i="7" s="1"/>
  <c r="BS118" i="7"/>
  <c r="BS140" i="7" s="1"/>
  <c r="BS554" i="1"/>
  <c r="BS640" i="1"/>
  <c r="BS133" i="1"/>
  <c r="BS620" i="1"/>
  <c r="BS638" i="1"/>
  <c r="BS622" i="1"/>
  <c r="BS621" i="1"/>
  <c r="BT158" i="1"/>
  <c r="BT188" i="7" s="1"/>
  <c r="BV147" i="7"/>
  <c r="BT145" i="7"/>
  <c r="BS537" i="1"/>
  <c r="BS541" i="1" s="1"/>
  <c r="BS134" i="1"/>
  <c r="BS129" i="7"/>
  <c r="BS131" i="7"/>
  <c r="BS639" i="1"/>
  <c r="BV145" i="7"/>
  <c r="BT147" i="7"/>
  <c r="BU145" i="7"/>
  <c r="BS158" i="1"/>
  <c r="BS188" i="7" s="1"/>
  <c r="BS536" i="1"/>
  <c r="BS101" i="7"/>
  <c r="BU147" i="7"/>
  <c r="BS143" i="1"/>
  <c r="BS187" i="7" s="1"/>
  <c r="BS145" i="7"/>
  <c r="DV11" i="1"/>
  <c r="BS151" i="7"/>
  <c r="BS135" i="1"/>
  <c r="BL24" i="1"/>
  <c r="BL16" i="1"/>
  <c r="DU16" i="1" s="1"/>
  <c r="CS18" i="1"/>
  <c r="CK118" i="7"/>
  <c r="CK129" i="7"/>
  <c r="CK131" i="7"/>
  <c r="CK135" i="1"/>
  <c r="CK134" i="1"/>
  <c r="CK151" i="7"/>
  <c r="CK101" i="7"/>
  <c r="CK133" i="1"/>
  <c r="CK536" i="1"/>
  <c r="CK53" i="1"/>
  <c r="CK537" i="1"/>
  <c r="CK145" i="7"/>
  <c r="CK143" i="1"/>
  <c r="CK187" i="7" s="1"/>
  <c r="BS25" i="1"/>
  <c r="CU19" i="1"/>
  <c r="BS16" i="1"/>
  <c r="CK118" i="8"/>
  <c r="AP572" i="1"/>
  <c r="BS147" i="7"/>
  <c r="BR535" i="1"/>
  <c r="BR541" i="1"/>
  <c r="R110" i="1"/>
  <c r="R98" i="1"/>
  <c r="BO129" i="7"/>
  <c r="BO158" i="1"/>
  <c r="BO188" i="7" s="1"/>
  <c r="BO622" i="1"/>
  <c r="BQ145" i="7"/>
  <c r="BO131" i="7"/>
  <c r="BO135" i="1"/>
  <c r="BO620" i="1"/>
  <c r="BO118" i="7"/>
  <c r="BO140" i="7" s="1"/>
  <c r="BO623" i="1"/>
  <c r="BO621" i="1"/>
  <c r="BO134" i="1"/>
  <c r="BO151" i="7"/>
  <c r="BO133" i="1"/>
  <c r="BR145" i="7"/>
  <c r="BP147" i="7"/>
  <c r="BO145" i="7"/>
  <c r="BO101" i="7"/>
  <c r="DU11" i="1"/>
  <c r="BP145" i="7"/>
  <c r="BO554" i="1"/>
  <c r="BO143" i="1"/>
  <c r="CR130" i="1"/>
  <c r="CR517" i="1"/>
  <c r="BK129" i="7"/>
  <c r="BL147" i="7"/>
  <c r="BK620" i="1"/>
  <c r="BK133" i="1"/>
  <c r="BK622" i="1"/>
  <c r="BK134" i="1"/>
  <c r="BK623" i="1"/>
  <c r="BK158" i="1"/>
  <c r="BK188" i="7" s="1"/>
  <c r="DT11" i="1"/>
  <c r="BK151" i="7"/>
  <c r="BL158" i="1"/>
  <c r="BL188" i="7" s="1"/>
  <c r="BL145" i="7"/>
  <c r="BK145" i="7"/>
  <c r="BK143" i="1"/>
  <c r="BK187" i="7" s="1"/>
  <c r="BK118" i="7"/>
  <c r="BK140" i="7" s="1"/>
  <c r="BN145" i="7"/>
  <c r="BK621" i="1"/>
  <c r="BK554" i="1"/>
  <c r="BK131" i="7"/>
  <c r="BM145" i="7"/>
  <c r="BM147" i="7"/>
  <c r="BK101" i="7"/>
  <c r="BK135" i="1"/>
  <c r="CL118" i="7"/>
  <c r="CL133" i="1"/>
  <c r="CL619" i="1"/>
  <c r="CL129" i="7"/>
  <c r="CL143" i="1"/>
  <c r="CL134" i="1"/>
  <c r="CL536" i="1"/>
  <c r="CL135" i="1"/>
  <c r="CL53" i="1"/>
  <c r="CL131" i="7"/>
  <c r="CL145" i="7"/>
  <c r="CL101" i="7"/>
  <c r="CL537" i="1"/>
  <c r="Q128" i="1"/>
  <c r="Q54" i="1"/>
  <c r="R163" i="1"/>
  <c r="U148" i="1"/>
  <c r="Q148" i="1"/>
  <c r="Q163" i="1"/>
  <c r="Q515" i="1"/>
  <c r="Q71" i="1"/>
  <c r="DI53" i="1"/>
  <c r="BO131" i="8"/>
  <c r="BN147" i="7"/>
  <c r="CL131" i="8"/>
  <c r="CG133" i="1"/>
  <c r="CG145" i="7"/>
  <c r="CG131" i="7"/>
  <c r="CG129" i="7"/>
  <c r="CG53" i="1"/>
  <c r="CG143" i="1"/>
  <c r="CG187" i="7" s="1"/>
  <c r="CG537" i="1"/>
  <c r="CG135" i="1"/>
  <c r="CG118" i="7"/>
  <c r="CG536" i="1"/>
  <c r="CG151" i="7"/>
  <c r="CG147" i="7"/>
  <c r="CG131" i="8"/>
  <c r="AG535" i="1"/>
  <c r="U140" i="7"/>
  <c r="U117" i="7"/>
  <c r="U139" i="7" s="1"/>
  <c r="BG25" i="1"/>
  <c r="CR19" i="1"/>
  <c r="CR16" i="1" s="1"/>
  <c r="BG16" i="1"/>
  <c r="CT510" i="1"/>
  <c r="CU510" i="1"/>
  <c r="BG554" i="1"/>
  <c r="BG623" i="1"/>
  <c r="BG131" i="7"/>
  <c r="BG143" i="1"/>
  <c r="BG187" i="7" s="1"/>
  <c r="BG622" i="1"/>
  <c r="BG634" i="1" s="1"/>
  <c r="BG620" i="1"/>
  <c r="BJ145" i="7"/>
  <c r="BG135" i="1"/>
  <c r="DS11" i="1"/>
  <c r="BG118" i="7"/>
  <c r="BG140" i="7" s="1"/>
  <c r="BG145" i="7"/>
  <c r="BH145" i="7"/>
  <c r="BG134" i="1"/>
  <c r="BG133" i="1"/>
  <c r="BG147" i="7"/>
  <c r="BI145" i="7"/>
  <c r="BG158" i="1"/>
  <c r="BG188" i="7" s="1"/>
  <c r="BG621" i="1"/>
  <c r="BG633" i="1" s="1"/>
  <c r="BG129" i="7"/>
  <c r="BG151" i="7"/>
  <c r="BG101" i="7"/>
  <c r="BH158" i="1"/>
  <c r="BH188" i="7" s="1"/>
  <c r="BG131" i="8"/>
  <c r="CG134" i="1"/>
  <c r="CG554" i="1"/>
  <c r="AC633" i="1"/>
  <c r="BO147" i="7"/>
  <c r="BI147" i="7"/>
  <c r="BQ147" i="7"/>
  <c r="BR147" i="7"/>
  <c r="BW143" i="1"/>
  <c r="BW187" i="7" s="1"/>
  <c r="BI163" i="1"/>
  <c r="BI128" i="1"/>
  <c r="AG140" i="7"/>
  <c r="G72" i="1"/>
  <c r="G78" i="1"/>
  <c r="K152" i="1"/>
  <c r="H167" i="1"/>
  <c r="G167" i="1"/>
  <c r="F72" i="1"/>
  <c r="F78" i="1"/>
  <c r="J152" i="1"/>
  <c r="F138" i="1"/>
  <c r="F137" i="1"/>
  <c r="CM143" i="1"/>
  <c r="BO128" i="1"/>
  <c r="BK147" i="7"/>
  <c r="BK584" i="1"/>
  <c r="BL581" i="1" s="1"/>
  <c r="BL584" i="1" s="1"/>
  <c r="BM581" i="1" s="1"/>
  <c r="BM584" i="1" s="1"/>
  <c r="BN581" i="1" s="1"/>
  <c r="BN584" i="1" s="1"/>
  <c r="BO581" i="1" s="1"/>
  <c r="BO584" i="1" s="1"/>
  <c r="BP581" i="1" s="1"/>
  <c r="BP584" i="1" s="1"/>
  <c r="BQ581" i="1" s="1"/>
  <c r="BQ584" i="1" s="1"/>
  <c r="BR581" i="1" s="1"/>
  <c r="BR584" i="1" s="1"/>
  <c r="BS581" i="1" s="1"/>
  <c r="BS584" i="1" s="1"/>
  <c r="BT581" i="1" s="1"/>
  <c r="BT584" i="1" s="1"/>
  <c r="BU581" i="1" s="1"/>
  <c r="BU584" i="1" s="1"/>
  <c r="BV581" i="1" s="1"/>
  <c r="BV584" i="1" s="1"/>
  <c r="U619" i="1"/>
  <c r="Y632" i="1"/>
  <c r="W141" i="7"/>
  <c r="W117" i="7"/>
  <c r="W139" i="7" s="1"/>
  <c r="CH135" i="1"/>
  <c r="CH554" i="1"/>
  <c r="CH143" i="1"/>
  <c r="CH187" i="7" s="1"/>
  <c r="CH151" i="7"/>
  <c r="CH131" i="7"/>
  <c r="CH53" i="1"/>
  <c r="CH133" i="1"/>
  <c r="CH129" i="7"/>
  <c r="CH145" i="7"/>
  <c r="CH147" i="7"/>
  <c r="CH536" i="1"/>
  <c r="CI143" i="1"/>
  <c r="CI187" i="7" s="1"/>
  <c r="CH118" i="7"/>
  <c r="CH101" i="7"/>
  <c r="CH134" i="1"/>
  <c r="CH537" i="1"/>
  <c r="CI118" i="8"/>
  <c r="AB141" i="7"/>
  <c r="AB117" i="7"/>
  <c r="AB139" i="7" s="1"/>
  <c r="CM554" i="1"/>
  <c r="Y633" i="1"/>
  <c r="CT25" i="1"/>
  <c r="BP158" i="1"/>
  <c r="BP188" i="7" s="1"/>
  <c r="BR619" i="1"/>
  <c r="BS131" i="8"/>
  <c r="W103" i="1"/>
  <c r="BX145" i="1"/>
  <c r="BX160" i="1"/>
  <c r="BX18" i="1"/>
  <c r="BX24" i="1" s="1"/>
  <c r="BX130" i="1" s="1"/>
  <c r="BW165" i="1"/>
  <c r="BW150" i="1"/>
  <c r="BW134" i="1"/>
  <c r="DW69" i="1"/>
  <c r="BX12" i="1"/>
  <c r="BX243" i="1"/>
  <c r="BX242" i="1"/>
  <c r="BY241" i="1"/>
  <c r="BY250" i="1"/>
  <c r="BZ249" i="1"/>
  <c r="BZ241" i="1" s="1"/>
  <c r="CS129" i="8"/>
  <c r="CN584" i="1"/>
  <c r="CO581" i="1" s="1"/>
  <c r="BN98" i="7"/>
  <c r="BR103" i="7"/>
  <c r="BN103" i="7"/>
  <c r="BN83" i="7"/>
  <c r="BN101" i="7"/>
  <c r="BO104" i="7"/>
  <c r="CT80" i="7"/>
  <c r="CU103" i="7" s="1"/>
  <c r="BN104" i="7"/>
  <c r="CO49" i="8"/>
  <c r="CO51" i="8" s="1"/>
  <c r="CP129" i="8"/>
  <c r="CP130" i="8" s="1"/>
  <c r="CQ70" i="7"/>
  <c r="CQ69" i="7" s="1"/>
  <c r="CQ49" i="8"/>
  <c r="BL129" i="8"/>
  <c r="BL51" i="8"/>
  <c r="CS120" i="8"/>
  <c r="BM130" i="8"/>
  <c r="BM131" i="8"/>
  <c r="AN104" i="7"/>
  <c r="AM101" i="7"/>
  <c r="CM80" i="7"/>
  <c r="AM103" i="7"/>
  <c r="CS51" i="8"/>
  <c r="CH90" i="7"/>
  <c r="CH92" i="7" s="1"/>
  <c r="CH98" i="7"/>
  <c r="AV572" i="1"/>
  <c r="S98" i="7"/>
  <c r="S112" i="7"/>
  <c r="CM102" i="8"/>
  <c r="CN100" i="8" s="1"/>
  <c r="CN102" i="8" s="1"/>
  <c r="CO100" i="8" s="1"/>
  <c r="CO102" i="8" s="1"/>
  <c r="CP100" i="8" s="1"/>
  <c r="CP102" i="8" s="1"/>
  <c r="CQ100" i="8" s="1"/>
  <c r="CQ102" i="8" s="1"/>
  <c r="CR100" i="8" s="1"/>
  <c r="CR102" i="8" s="1"/>
  <c r="CS100" i="8" s="1"/>
  <c r="CS102" i="8" s="1"/>
  <c r="CT100" i="8" s="1"/>
  <c r="CT102" i="8" s="1"/>
  <c r="CU100" i="8" s="1"/>
  <c r="CU102" i="8" s="1"/>
  <c r="CV100" i="8" s="1"/>
  <c r="CP102" i="1"/>
  <c r="AY103" i="1"/>
  <c r="DQ102" i="1"/>
  <c r="CS582" i="1"/>
  <c r="CA42" i="7"/>
  <c r="CR101" i="7"/>
  <c r="CS103" i="7"/>
  <c r="X131" i="8"/>
  <c r="X130" i="8"/>
  <c r="M131" i="8"/>
  <c r="M130" i="8"/>
  <c r="CU129" i="8"/>
  <c r="CU130" i="8" s="1"/>
  <c r="AM129" i="8"/>
  <c r="CU98" i="7"/>
  <c r="AC98" i="7"/>
  <c r="AC97" i="7"/>
  <c r="AC112" i="7"/>
  <c r="AS572" i="1"/>
  <c r="AW572" i="1"/>
  <c r="CG101" i="7"/>
  <c r="CG98" i="7"/>
  <c r="AB130" i="8"/>
  <c r="AB131" i="8"/>
  <c r="CN586" i="1"/>
  <c r="BD51" i="8"/>
  <c r="BD129" i="8"/>
  <c r="CI129" i="8"/>
  <c r="Q129" i="8"/>
  <c r="Q51" i="8"/>
  <c r="BU129" i="8"/>
  <c r="AM126" i="8"/>
  <c r="AE98" i="7"/>
  <c r="AE91" i="7"/>
  <c r="AU586" i="1"/>
  <c r="CO582" i="1"/>
  <c r="CR29" i="8"/>
  <c r="BZ47" i="7"/>
  <c r="CA47" i="7" s="1"/>
  <c r="CB47" i="7" s="1"/>
  <c r="CC47" i="7" s="1"/>
  <c r="CW47" i="7" s="1"/>
  <c r="CV47" i="7"/>
  <c r="CV549" i="1" s="1"/>
  <c r="CV551" i="1" s="1"/>
  <c r="BZ549" i="1"/>
  <c r="BZ550" i="1" s="1"/>
  <c r="BZ76" i="1" s="1"/>
  <c r="BY167" i="7"/>
  <c r="CR119" i="8"/>
  <c r="CR103" i="1"/>
  <c r="BK129" i="8"/>
  <c r="CL51" i="8"/>
  <c r="CL55" i="8" s="1"/>
  <c r="CP51" i="8"/>
  <c r="U156" i="7"/>
  <c r="T147" i="7"/>
  <c r="CT200" i="7"/>
  <c r="CT164" i="7"/>
  <c r="BM201" i="7"/>
  <c r="BM168" i="7"/>
  <c r="BN152" i="7"/>
  <c r="BM199" i="7"/>
  <c r="BM175" i="7" s="1"/>
  <c r="CF177" i="7"/>
  <c r="CF171" i="7"/>
  <c r="CF170" i="7"/>
  <c r="CF164" i="7" s="1"/>
  <c r="CF163" i="7"/>
  <c r="BM62" i="7"/>
  <c r="BM63" i="7" s="1"/>
  <c r="AA84" i="7"/>
  <c r="AA97" i="7" s="1"/>
  <c r="AA82" i="7"/>
  <c r="AA85" i="7"/>
  <c r="BG25" i="7"/>
  <c r="BH107" i="7"/>
  <c r="BH25" i="7" s="1"/>
  <c r="AL85" i="7"/>
  <c r="BJ147" i="7"/>
  <c r="BK25" i="7"/>
  <c r="BL107" i="7"/>
  <c r="BL25" i="7" s="1"/>
  <c r="AK112" i="7"/>
  <c r="AL102" i="7"/>
  <c r="AG162" i="7"/>
  <c r="AG164" i="7"/>
  <c r="AX94" i="7"/>
  <c r="AY79" i="7"/>
  <c r="AT29" i="7"/>
  <c r="AT24" i="7" s="1"/>
  <c r="AU88" i="7"/>
  <c r="AU90" i="7" s="1"/>
  <c r="AU91" i="7" s="1"/>
  <c r="CS123" i="7"/>
  <c r="CT191" i="7"/>
  <c r="CS204" i="7"/>
  <c r="CS206" i="7" s="1"/>
  <c r="CS147" i="7" s="1"/>
  <c r="CS22" i="7"/>
  <c r="CS33" i="7" s="1"/>
  <c r="CT192" i="7"/>
  <c r="CS124" i="7"/>
  <c r="CS125" i="7"/>
  <c r="CS182" i="7"/>
  <c r="Z112" i="7"/>
  <c r="Z102" i="7"/>
  <c r="AD94" i="7"/>
  <c r="AD84" i="7"/>
  <c r="AD97" i="7" s="1"/>
  <c r="AE79" i="7"/>
  <c r="AD82" i="7"/>
  <c r="BX596" i="1"/>
  <c r="BY596" i="1" s="1"/>
  <c r="BZ596" i="1" s="1"/>
  <c r="CA596" i="1" s="1"/>
  <c r="CB596" i="1" s="1"/>
  <c r="CC596" i="1" s="1"/>
  <c r="AB603" i="1"/>
  <c r="AB594" i="1"/>
  <c r="AC590" i="1" s="1"/>
  <c r="AB602" i="1"/>
  <c r="CQ287" i="1"/>
  <c r="CR288" i="1" s="1"/>
  <c r="CQ213" i="1"/>
  <c r="AX212" i="1"/>
  <c r="AX35" i="1"/>
  <c r="AX474" i="1"/>
  <c r="AX469" i="1"/>
  <c r="AX470" i="1"/>
  <c r="AP59" i="1"/>
  <c r="AP130" i="1" s="1"/>
  <c r="BD495" i="1"/>
  <c r="BD488" i="1"/>
  <c r="BE494" i="1"/>
  <c r="AV382" i="1"/>
  <c r="AV397" i="1"/>
  <c r="AV401" i="1"/>
  <c r="AV205" i="1"/>
  <c r="CO395" i="1"/>
  <c r="AV396" i="1"/>
  <c r="AW397" i="1"/>
  <c r="W619" i="1"/>
  <c r="W633" i="1"/>
  <c r="AA633" i="1"/>
  <c r="AP28" i="1"/>
  <c r="AP378" i="1"/>
  <c r="AT383" i="1"/>
  <c r="CQ609" i="1"/>
  <c r="CP609" i="1"/>
  <c r="T594" i="1"/>
  <c r="U590" i="1" s="1"/>
  <c r="T603" i="1"/>
  <c r="T602" i="1"/>
  <c r="AW445" i="1"/>
  <c r="AV444" i="1"/>
  <c r="AV445" i="1"/>
  <c r="CU441" i="1"/>
  <c r="CT441" i="1"/>
  <c r="AS130" i="1"/>
  <c r="AP403" i="1"/>
  <c r="AP402" i="1"/>
  <c r="AT402" i="1"/>
  <c r="BC205" i="1"/>
  <c r="BC365" i="1"/>
  <c r="AX49" i="1"/>
  <c r="AX63" i="1" s="1"/>
  <c r="BC37" i="1"/>
  <c r="BC489" i="1"/>
  <c r="BC490" i="1"/>
  <c r="DR488" i="1"/>
  <c r="CO32" i="1"/>
  <c r="CO443" i="1"/>
  <c r="CO209" i="1"/>
  <c r="AT476" i="1"/>
  <c r="AH634" i="1"/>
  <c r="AD619" i="1"/>
  <c r="AQ524" i="1"/>
  <c r="AQ129" i="1"/>
  <c r="BW196" i="7"/>
  <c r="BT141" i="7"/>
  <c r="BT117" i="7"/>
  <c r="BT139" i="7" s="1"/>
  <c r="CW119" i="1"/>
  <c r="CX119" i="1" s="1"/>
  <c r="CY119" i="1" s="1"/>
  <c r="CZ119" i="1" s="1"/>
  <c r="DA119" i="1" s="1"/>
  <c r="DB119" i="1" s="1"/>
  <c r="DC119" i="1" s="1"/>
  <c r="CM535" i="1"/>
  <c r="CM140" i="7"/>
  <c r="BJ167" i="1"/>
  <c r="DQ57" i="1"/>
  <c r="CP57" i="1"/>
  <c r="CP525" i="1" s="1"/>
  <c r="AF106" i="1"/>
  <c r="AF109" i="1"/>
  <c r="AF158" i="7"/>
  <c r="AF86" i="1"/>
  <c r="AF140" i="1"/>
  <c r="AF126" i="8"/>
  <c r="AF100" i="1"/>
  <c r="AF154" i="1"/>
  <c r="AF150" i="7"/>
  <c r="AF153" i="7" s="1"/>
  <c r="AF114" i="1"/>
  <c r="BQ22" i="1"/>
  <c r="BQ148" i="1"/>
  <c r="BU148" i="1"/>
  <c r="AO82" i="1"/>
  <c r="AO85" i="1"/>
  <c r="AO154" i="1" s="1"/>
  <c r="AO139" i="1"/>
  <c r="AO168" i="1"/>
  <c r="BM148" i="1"/>
  <c r="BM128" i="1"/>
  <c r="BN163" i="1"/>
  <c r="BM71" i="1"/>
  <c r="BN167" i="1" s="1"/>
  <c r="BN137" i="1"/>
  <c r="BN114" i="8"/>
  <c r="BN122" i="8" s="1"/>
  <c r="BN123" i="8" s="1"/>
  <c r="BN134" i="8"/>
  <c r="BN136" i="8" s="1"/>
  <c r="BN137" i="8" s="1"/>
  <c r="BN78" i="1"/>
  <c r="BN72" i="1"/>
  <c r="BN152" i="1"/>
  <c r="BN138" i="1"/>
  <c r="I114" i="1"/>
  <c r="I140" i="1"/>
  <c r="I100" i="1"/>
  <c r="I169" i="1"/>
  <c r="I86" i="1"/>
  <c r="BE72" i="1"/>
  <c r="BE137" i="1"/>
  <c r="BE78" i="1"/>
  <c r="BI153" i="1" s="1"/>
  <c r="BE138" i="1"/>
  <c r="BE114" i="8"/>
  <c r="BE122" i="8" s="1"/>
  <c r="BE123" i="8" s="1"/>
  <c r="BE134" i="8"/>
  <c r="BE136" i="8" s="1"/>
  <c r="BE137" i="8" s="1"/>
  <c r="BB619" i="1"/>
  <c r="AB169" i="1"/>
  <c r="AB140" i="1"/>
  <c r="AB86" i="1"/>
  <c r="AB109" i="1"/>
  <c r="AB106" i="1"/>
  <c r="AB114" i="1"/>
  <c r="AB158" i="7"/>
  <c r="AB100" i="1"/>
  <c r="AB150" i="7"/>
  <c r="AB153" i="7" s="1"/>
  <c r="AB126" i="8"/>
  <c r="AN115" i="1"/>
  <c r="AN110" i="1"/>
  <c r="AN67" i="7"/>
  <c r="AN98" i="1"/>
  <c r="AR524" i="1"/>
  <c r="AR129" i="1"/>
  <c r="AN111" i="1"/>
  <c r="AN116" i="1"/>
  <c r="AN104" i="1" s="1"/>
  <c r="CS151" i="7"/>
  <c r="CM130" i="8"/>
  <c r="CM131" i="8"/>
  <c r="BG26" i="7"/>
  <c r="BH108" i="7"/>
  <c r="BH26" i="7" s="1"/>
  <c r="CN179" i="7"/>
  <c r="AQ59" i="1"/>
  <c r="BQ134" i="8"/>
  <c r="BQ136" i="8" s="1"/>
  <c r="BQ137" i="8" s="1"/>
  <c r="AK158" i="7"/>
  <c r="AK109" i="1"/>
  <c r="AK86" i="1"/>
  <c r="AK106" i="1"/>
  <c r="AK114" i="1"/>
  <c r="AK150" i="7"/>
  <c r="AK153" i="7" s="1"/>
  <c r="AK100" i="1"/>
  <c r="AK126" i="8"/>
  <c r="AK140" i="1"/>
  <c r="BD411" i="1"/>
  <c r="DR409" i="1"/>
  <c r="BC398" i="1"/>
  <c r="BC411" i="1"/>
  <c r="BC410" i="1"/>
  <c r="AX46" i="1"/>
  <c r="AX60" i="1" s="1"/>
  <c r="DQ427" i="1"/>
  <c r="DQ432" i="1"/>
  <c r="DQ433" i="1" s="1"/>
  <c r="DQ208" i="1"/>
  <c r="CM200" i="7"/>
  <c r="CM175" i="7"/>
  <c r="BG28" i="7"/>
  <c r="BH110" i="7"/>
  <c r="BH28" i="7" s="1"/>
  <c r="BY161" i="1"/>
  <c r="BY146" i="1"/>
  <c r="BY19" i="1"/>
  <c r="BY25" i="1" s="1"/>
  <c r="BY131" i="1" s="1"/>
  <c r="CS130" i="8"/>
  <c r="CS131" i="8"/>
  <c r="BG419" i="1"/>
  <c r="BF416" i="1"/>
  <c r="BF420" i="1"/>
  <c r="BF429" i="1"/>
  <c r="DS419" i="1"/>
  <c r="BB47" i="1"/>
  <c r="CL603" i="1"/>
  <c r="CL594" i="1"/>
  <c r="CM590" i="1" s="1"/>
  <c r="CL602" i="1"/>
  <c r="AQ79" i="7"/>
  <c r="AP82" i="7"/>
  <c r="AP84" i="7"/>
  <c r="AP97" i="7" s="1"/>
  <c r="AP94" i="7"/>
  <c r="AP112" i="7" s="1"/>
  <c r="AR90" i="7"/>
  <c r="AR91" i="7" s="1"/>
  <c r="AY109" i="7"/>
  <c r="AX27" i="7"/>
  <c r="R110" i="7"/>
  <c r="S110" i="7" s="1"/>
  <c r="T110" i="7" s="1"/>
  <c r="N110" i="7"/>
  <c r="O110" i="7" s="1"/>
  <c r="P110" i="7" s="1"/>
  <c r="AU130" i="8"/>
  <c r="BB98" i="7"/>
  <c r="BB91" i="7"/>
  <c r="AY108" i="7"/>
  <c r="AX26" i="7"/>
  <c r="BT130" i="1"/>
  <c r="BT21" i="1"/>
  <c r="CU24" i="1"/>
  <c r="CM187" i="7"/>
  <c r="X139" i="1"/>
  <c r="X85" i="1"/>
  <c r="X82" i="1"/>
  <c r="X168" i="1"/>
  <c r="X153" i="1"/>
  <c r="AB153" i="1"/>
  <c r="H56" i="8"/>
  <c r="I53" i="8"/>
  <c r="I55" i="8" s="1"/>
  <c r="H103" i="8"/>
  <c r="M162" i="7"/>
  <c r="M164" i="7"/>
  <c r="CO58" i="1"/>
  <c r="CO526" i="1" s="1"/>
  <c r="BF262" i="1"/>
  <c r="BF210" i="1"/>
  <c r="BF263" i="1"/>
  <c r="BL283" i="1"/>
  <c r="BL282" i="1"/>
  <c r="BL213" i="1"/>
  <c r="CT129" i="1"/>
  <c r="CT516" i="1"/>
  <c r="AI150" i="7"/>
  <c r="AI153" i="7" s="1"/>
  <c r="AI158" i="7"/>
  <c r="AI100" i="1"/>
  <c r="AI109" i="1"/>
  <c r="AI126" i="8"/>
  <c r="AI106" i="1"/>
  <c r="AI114" i="1"/>
  <c r="AI86" i="1"/>
  <c r="AI140" i="1"/>
  <c r="AI169" i="1"/>
  <c r="BC464" i="1"/>
  <c r="BD463" i="1"/>
  <c r="BC457" i="1"/>
  <c r="CO35" i="1"/>
  <c r="AW62" i="1"/>
  <c r="AW11" i="1"/>
  <c r="BB114" i="8"/>
  <c r="BB122" i="8" s="1"/>
  <c r="BB123" i="8" s="1"/>
  <c r="BB134" i="8"/>
  <c r="BB136" i="8" s="1"/>
  <c r="BB137" i="8" s="1"/>
  <c r="BC167" i="1"/>
  <c r="BB137" i="1"/>
  <c r="BB138" i="1"/>
  <c r="BB72" i="1"/>
  <c r="BB78" i="1"/>
  <c r="CQ420" i="1"/>
  <c r="AM154" i="1"/>
  <c r="CQ422" i="1"/>
  <c r="AQ27" i="7"/>
  <c r="AQ83" i="7"/>
  <c r="AQ25" i="7"/>
  <c r="AQ26" i="7"/>
  <c r="AQ28" i="7"/>
  <c r="CQ15" i="8"/>
  <c r="BC89" i="7"/>
  <c r="BC98" i="7" s="1"/>
  <c r="BC115" i="8"/>
  <c r="BC135" i="8"/>
  <c r="BC136" i="8" s="1"/>
  <c r="BC137" i="8" s="1"/>
  <c r="BC29" i="8"/>
  <c r="BC137" i="1"/>
  <c r="AP100" i="8"/>
  <c r="DR43" i="1"/>
  <c r="AH106" i="1"/>
  <c r="CL103" i="1"/>
  <c r="DM103" i="1"/>
  <c r="U130" i="8"/>
  <c r="U131" i="8"/>
  <c r="CO110" i="7"/>
  <c r="CO108" i="7"/>
  <c r="CO107" i="7"/>
  <c r="CO109" i="7"/>
  <c r="AX79" i="7"/>
  <c r="AW94" i="7"/>
  <c r="BC101" i="7"/>
  <c r="BG103" i="7"/>
  <c r="BC104" i="7"/>
  <c r="BD104" i="7"/>
  <c r="CQ80" i="7"/>
  <c r="BC103" i="7"/>
  <c r="CM121" i="8"/>
  <c r="CM38" i="8"/>
  <c r="CM51" i="8" s="1"/>
  <c r="AX458" i="1"/>
  <c r="AX34" i="1"/>
  <c r="AY459" i="1"/>
  <c r="AX459" i="1"/>
  <c r="DQ457" i="1"/>
  <c r="AX211" i="1"/>
  <c r="CP457" i="1"/>
  <c r="AX437" i="1"/>
  <c r="CM627" i="1"/>
  <c r="CM626" i="1"/>
  <c r="CM628" i="1"/>
  <c r="CM629" i="1"/>
  <c r="CM148" i="1"/>
  <c r="CM515" i="1"/>
  <c r="CM71" i="1"/>
  <c r="CM128" i="1"/>
  <c r="CM54" i="1"/>
  <c r="CP196" i="1"/>
  <c r="CQ196" i="1"/>
  <c r="AC85" i="1"/>
  <c r="AC82" i="1"/>
  <c r="AD168" i="1"/>
  <c r="AC139" i="1"/>
  <c r="AC168" i="1"/>
  <c r="DL78" i="1"/>
  <c r="DL85" i="1" s="1"/>
  <c r="DL86" i="1" s="1"/>
  <c r="CO63" i="1"/>
  <c r="CO531" i="1" s="1"/>
  <c r="DO395" i="1"/>
  <c r="AR397" i="1"/>
  <c r="AQ401" i="1"/>
  <c r="AQ382" i="1"/>
  <c r="AU396" i="1"/>
  <c r="AQ396" i="1"/>
  <c r="AQ397" i="1"/>
  <c r="BX146" i="1"/>
  <c r="BX19" i="1"/>
  <c r="BX161" i="1"/>
  <c r="T164" i="7"/>
  <c r="T162" i="7"/>
  <c r="K103" i="8"/>
  <c r="CQ430" i="1"/>
  <c r="AW42" i="1"/>
  <c r="CO44" i="1"/>
  <c r="BE43" i="1"/>
  <c r="BE57" i="1" s="1"/>
  <c r="CQ30" i="1"/>
  <c r="BJ150" i="7"/>
  <c r="BJ153" i="7" s="1"/>
  <c r="CO469" i="1"/>
  <c r="CO474" i="1"/>
  <c r="CO212" i="1"/>
  <c r="AZ29" i="7"/>
  <c r="AZ24" i="7" s="1"/>
  <c r="BA88" i="7"/>
  <c r="BA90" i="7" s="1"/>
  <c r="BA92" i="7" s="1"/>
  <c r="AG56" i="8"/>
  <c r="AG103" i="8"/>
  <c r="AH53" i="8"/>
  <c r="AH55" i="8" s="1"/>
  <c r="CX47" i="7"/>
  <c r="AQ104" i="7"/>
  <c r="AQ103" i="7"/>
  <c r="AU103" i="7"/>
  <c r="AR104" i="7"/>
  <c r="CN80" i="7"/>
  <c r="AQ98" i="7"/>
  <c r="BB163" i="7"/>
  <c r="BB174" i="7"/>
  <c r="BB178" i="7"/>
  <c r="BB170" i="7"/>
  <c r="CU146" i="1"/>
  <c r="BO26" i="7"/>
  <c r="BP108" i="7"/>
  <c r="BP26" i="7" s="1"/>
  <c r="CU11" i="1"/>
  <c r="AY110" i="7"/>
  <c r="AX28" i="7"/>
  <c r="R79" i="7"/>
  <c r="Q84" i="7"/>
  <c r="Q97" i="7" s="1"/>
  <c r="Q94" i="7"/>
  <c r="Q82" i="7"/>
  <c r="DP35" i="1"/>
  <c r="CN35" i="1"/>
  <c r="AS62" i="1"/>
  <c r="BH349" i="1"/>
  <c r="BG350" i="1"/>
  <c r="CU81" i="7"/>
  <c r="BV112" i="7"/>
  <c r="CG179" i="7"/>
  <c r="BB57" i="1"/>
  <c r="CH51" i="8"/>
  <c r="CH129" i="8"/>
  <c r="CL554" i="1"/>
  <c r="CA245" i="1"/>
  <c r="BZ233" i="1"/>
  <c r="BZ246" i="1"/>
  <c r="AE131" i="8"/>
  <c r="AE130" i="8"/>
  <c r="CV322" i="1"/>
  <c r="L53" i="8"/>
  <c r="L55" i="8" s="1"/>
  <c r="K56" i="8"/>
  <c r="Q603" i="1"/>
  <c r="Q602" i="1"/>
  <c r="CS162" i="7"/>
  <c r="CS179" i="7"/>
  <c r="CS161" i="7"/>
  <c r="CN443" i="1"/>
  <c r="CO438" i="1"/>
  <c r="AU444" i="1"/>
  <c r="AQ445" i="1"/>
  <c r="AR445" i="1"/>
  <c r="CV318" i="1"/>
  <c r="AJ107" i="7"/>
  <c r="BI423" i="1"/>
  <c r="BJ422" i="1"/>
  <c r="L102" i="8"/>
  <c r="L103" i="8" s="1"/>
  <c r="M100" i="8"/>
  <c r="DR219" i="1"/>
  <c r="DR430" i="1"/>
  <c r="CO130" i="8"/>
  <c r="CI101" i="7"/>
  <c r="CI98" i="7"/>
  <c r="CJ103" i="7"/>
  <c r="CI103" i="7"/>
  <c r="BG268" i="1"/>
  <c r="BG261" i="1"/>
  <c r="BH267" i="1"/>
  <c r="BM288" i="1"/>
  <c r="BM281" i="1"/>
  <c r="BN287" i="1"/>
  <c r="DQ210" i="1"/>
  <c r="DQ448" i="1"/>
  <c r="DQ453" i="1"/>
  <c r="CN152" i="7"/>
  <c r="CM63" i="7"/>
  <c r="AW476" i="1"/>
  <c r="AW475" i="1"/>
  <c r="AX476" i="1"/>
  <c r="BE430" i="1"/>
  <c r="BE409" i="1"/>
  <c r="BE431" i="1"/>
  <c r="CG162" i="7" l="1"/>
  <c r="AQ164" i="7"/>
  <c r="BK26" i="7"/>
  <c r="CH200" i="7"/>
  <c r="CG82" i="7"/>
  <c r="CG83" i="7" s="1"/>
  <c r="O162" i="7"/>
  <c r="CG200" i="7"/>
  <c r="CO200" i="7"/>
  <c r="BQ112" i="7"/>
  <c r="BR102" i="7"/>
  <c r="BK27" i="7"/>
  <c r="BL109" i="7"/>
  <c r="BL27" i="7" s="1"/>
  <c r="CG174" i="7"/>
  <c r="CG178" i="7"/>
  <c r="CG163" i="7"/>
  <c r="AY25" i="7"/>
  <c r="AY83" i="7"/>
  <c r="BW84" i="7"/>
  <c r="BW97" i="7" s="1"/>
  <c r="CG66" i="7"/>
  <c r="CF73" i="7"/>
  <c r="BJ158" i="7"/>
  <c r="BW22" i="1"/>
  <c r="DN399" i="1"/>
  <c r="BC447" i="1"/>
  <c r="BC454" i="1"/>
  <c r="BD453" i="1"/>
  <c r="CO407" i="1"/>
  <c r="AH602" i="1"/>
  <c r="AH594" i="1"/>
  <c r="AI590" i="1" s="1"/>
  <c r="AH603" i="1"/>
  <c r="CP162" i="7"/>
  <c r="BI200" i="7"/>
  <c r="CJ200" i="7"/>
  <c r="CI33" i="7"/>
  <c r="CI178" i="7"/>
  <c r="CI174" i="7"/>
  <c r="BX123" i="7"/>
  <c r="BY123" i="7" s="1"/>
  <c r="BZ123" i="7" s="1"/>
  <c r="CA123" i="7" s="1"/>
  <c r="CB123" i="7" s="1"/>
  <c r="CC123" i="7" s="1"/>
  <c r="BW17" i="7"/>
  <c r="CI200" i="7"/>
  <c r="CI175" i="7"/>
  <c r="T150" i="7"/>
  <c r="T153" i="7" s="1"/>
  <c r="T158" i="7"/>
  <c r="T140" i="1"/>
  <c r="T114" i="1"/>
  <c r="AZ47" i="1"/>
  <c r="AZ45" i="1" s="1"/>
  <c r="DN402" i="1"/>
  <c r="AZ443" i="1"/>
  <c r="AZ209" i="1"/>
  <c r="AZ32" i="1"/>
  <c r="AZ438" i="1"/>
  <c r="BF344" i="1"/>
  <c r="BF345" i="1"/>
  <c r="BX237" i="1"/>
  <c r="DQ33" i="1"/>
  <c r="BC139" i="1"/>
  <c r="CO413" i="1"/>
  <c r="CN32" i="1"/>
  <c r="BC82" i="1"/>
  <c r="BW535" i="1"/>
  <c r="BN633" i="1"/>
  <c r="BX230" i="1"/>
  <c r="BC122" i="8"/>
  <c r="BC123" i="8" s="1"/>
  <c r="AJ403" i="1"/>
  <c r="CR143" i="1"/>
  <c r="CR187" i="7" s="1"/>
  <c r="CN58" i="1"/>
  <c r="CN526" i="1" s="1"/>
  <c r="DP58" i="1"/>
  <c r="CK401" i="1"/>
  <c r="BB432" i="1"/>
  <c r="BA426" i="1"/>
  <c r="BA433" i="1"/>
  <c r="BZ322" i="1"/>
  <c r="CA321" i="1"/>
  <c r="DY321" i="1" s="1"/>
  <c r="DY322" i="1" s="1"/>
  <c r="BA216" i="1"/>
  <c r="BA399" i="1"/>
  <c r="BA400" i="1"/>
  <c r="BB400" i="1"/>
  <c r="CV14" i="1"/>
  <c r="CN395" i="1"/>
  <c r="R116" i="1"/>
  <c r="R104" i="1" s="1"/>
  <c r="BH515" i="1"/>
  <c r="BH522" i="1" s="1"/>
  <c r="BF207" i="1"/>
  <c r="BD259" i="1"/>
  <c r="BD253" i="1"/>
  <c r="BC216" i="1"/>
  <c r="BC368" i="1"/>
  <c r="BD368" i="1"/>
  <c r="CR238" i="1"/>
  <c r="CS238" i="1"/>
  <c r="BN619" i="1"/>
  <c r="BN632" i="1"/>
  <c r="BR632" i="1"/>
  <c r="AZ208" i="1"/>
  <c r="AZ428" i="1"/>
  <c r="AZ427" i="1"/>
  <c r="AZ31" i="1"/>
  <c r="AZ406" i="1"/>
  <c r="BE273" i="1"/>
  <c r="BE211" i="1"/>
  <c r="BE209" i="1"/>
  <c r="BE257" i="1"/>
  <c r="AU41" i="1"/>
  <c r="AU11" i="1"/>
  <c r="CP410" i="1"/>
  <c r="CP217" i="1"/>
  <c r="DP206" i="1"/>
  <c r="DP412" i="1"/>
  <c r="BG346" i="1"/>
  <c r="BF347" i="1"/>
  <c r="BF218" i="1"/>
  <c r="BF356" i="1"/>
  <c r="BF336" i="1"/>
  <c r="AY468" i="1"/>
  <c r="AY213" i="1"/>
  <c r="AY36" i="1"/>
  <c r="AY480" i="1"/>
  <c r="AY479" i="1"/>
  <c r="DQ478" i="1"/>
  <c r="CU238" i="1"/>
  <c r="BR129" i="1"/>
  <c r="BR21" i="1"/>
  <c r="CU23" i="1"/>
  <c r="AR60" i="1"/>
  <c r="CN46" i="1"/>
  <c r="DP46" i="1"/>
  <c r="AR45" i="1"/>
  <c r="AM402" i="1"/>
  <c r="AN403" i="1"/>
  <c r="AM403" i="1"/>
  <c r="BF278" i="1"/>
  <c r="BF271" i="1"/>
  <c r="BG277" i="1"/>
  <c r="AS396" i="1"/>
  <c r="AS382" i="1"/>
  <c r="AS397" i="1"/>
  <c r="AS401" i="1"/>
  <c r="AW402" i="1" s="1"/>
  <c r="AS205" i="1"/>
  <c r="AW396" i="1"/>
  <c r="CP216" i="1"/>
  <c r="CP399" i="1"/>
  <c r="CL401" i="1"/>
  <c r="CL399" i="1"/>
  <c r="CO399" i="1"/>
  <c r="CO216" i="1"/>
  <c r="AT403" i="1"/>
  <c r="BJ100" i="1"/>
  <c r="BW581" i="1"/>
  <c r="BW584" i="1" s="1"/>
  <c r="BX581" i="1" s="1"/>
  <c r="BX584" i="1" s="1"/>
  <c r="BY581" i="1" s="1"/>
  <c r="BY584" i="1" s="1"/>
  <c r="BZ581" i="1" s="1"/>
  <c r="BZ584" i="1" s="1"/>
  <c r="CA581" i="1" s="1"/>
  <c r="CA584" i="1" s="1"/>
  <c r="CB581" i="1" s="1"/>
  <c r="CB584" i="1" s="1"/>
  <c r="CC581" i="1" s="1"/>
  <c r="CC584" i="1" s="1"/>
  <c r="DS16" i="1"/>
  <c r="BH22" i="1"/>
  <c r="BW540" i="1"/>
  <c r="BW539" i="1" s="1"/>
  <c r="AY407" i="1"/>
  <c r="AY408" i="1"/>
  <c r="AY29" i="1"/>
  <c r="AY412" i="1"/>
  <c r="AY206" i="1"/>
  <c r="BD370" i="1"/>
  <c r="BD205" i="1"/>
  <c r="CC557" i="1"/>
  <c r="BG557" i="1"/>
  <c r="BG83" i="1" s="1"/>
  <c r="BN557" i="1"/>
  <c r="BN83" i="1" s="1"/>
  <c r="BN156" i="7" s="1"/>
  <c r="BB557" i="1"/>
  <c r="BB83" i="1" s="1"/>
  <c r="BB156" i="7" s="1"/>
  <c r="AP557" i="1"/>
  <c r="AP83" i="1" s="1"/>
  <c r="AT557" i="1"/>
  <c r="AT83" i="1" s="1"/>
  <c r="AQ557" i="1"/>
  <c r="AQ83" i="1" s="1"/>
  <c r="BV557" i="1"/>
  <c r="BV83" i="1" s="1"/>
  <c r="BE557" i="1"/>
  <c r="BE83" i="1" s="1"/>
  <c r="BE156" i="7" s="1"/>
  <c r="CN83" i="1"/>
  <c r="AX557" i="1"/>
  <c r="AX83" i="1" s="1"/>
  <c r="BI557" i="1"/>
  <c r="BI83" i="1" s="1"/>
  <c r="BI156" i="7" s="1"/>
  <c r="BM557" i="1"/>
  <c r="BM83" i="1" s="1"/>
  <c r="BR557" i="1"/>
  <c r="BR83" i="1" s="1"/>
  <c r="BH557" i="1"/>
  <c r="BH83" i="1" s="1"/>
  <c r="AU557" i="1"/>
  <c r="AU83" i="1" s="1"/>
  <c r="CA557" i="1"/>
  <c r="AZ557" i="1"/>
  <c r="AZ83" i="1" s="1"/>
  <c r="BD557" i="1"/>
  <c r="BD83" i="1" s="1"/>
  <c r="CO557" i="1"/>
  <c r="BX557" i="1"/>
  <c r="BO557" i="1"/>
  <c r="BO83" i="1" s="1"/>
  <c r="BQ557" i="1"/>
  <c r="BQ83" i="1" s="1"/>
  <c r="BQ156" i="7" s="1"/>
  <c r="BW557" i="1"/>
  <c r="BW83" i="1" s="1"/>
  <c r="BP557" i="1"/>
  <c r="BP83" i="1" s="1"/>
  <c r="AW557" i="1"/>
  <c r="AW83" i="1" s="1"/>
  <c r="AV557" i="1"/>
  <c r="AV83" i="1" s="1"/>
  <c r="AY557" i="1"/>
  <c r="AY83" i="1" s="1"/>
  <c r="BK557" i="1"/>
  <c r="BK83" i="1" s="1"/>
  <c r="BA557" i="1"/>
  <c r="BA83" i="1" s="1"/>
  <c r="BJ557" i="1"/>
  <c r="BJ83" i="1" s="1"/>
  <c r="BJ156" i="7" s="1"/>
  <c r="AS557" i="1"/>
  <c r="AS83" i="1" s="1"/>
  <c r="BS557" i="1"/>
  <c r="BS83" i="1" s="1"/>
  <c r="BT557" i="1"/>
  <c r="BT83" i="1" s="1"/>
  <c r="BZ557" i="1"/>
  <c r="BL557" i="1"/>
  <c r="BL83" i="1" s="1"/>
  <c r="BC557" i="1"/>
  <c r="BC83" i="1" s="1"/>
  <c r="BC156" i="7" s="1"/>
  <c r="BU557" i="1"/>
  <c r="BU83" i="1" s="1"/>
  <c r="BU156" i="7" s="1"/>
  <c r="AR557" i="1"/>
  <c r="AR83" i="1" s="1"/>
  <c r="BF557" i="1"/>
  <c r="BF83" i="1" s="1"/>
  <c r="CB557" i="1"/>
  <c r="BY557" i="1"/>
  <c r="DP216" i="1"/>
  <c r="DP399" i="1"/>
  <c r="AE403" i="1"/>
  <c r="AI402" i="1"/>
  <c r="BD335" i="1"/>
  <c r="BD339" i="1"/>
  <c r="BD341" i="1" s="1"/>
  <c r="BD206" i="1"/>
  <c r="CN399" i="1"/>
  <c r="CM399" i="1"/>
  <c r="CM401" i="1"/>
  <c r="AU403" i="1"/>
  <c r="AU536" i="1"/>
  <c r="AU537" i="1"/>
  <c r="CN29" i="1"/>
  <c r="DP29" i="1"/>
  <c r="CS143" i="1"/>
  <c r="CS187" i="7" s="1"/>
  <c r="CR623" i="1"/>
  <c r="CR620" i="1"/>
  <c r="CR147" i="7"/>
  <c r="DZ74" i="1"/>
  <c r="BA484" i="1"/>
  <c r="AZ478" i="1"/>
  <c r="AZ485" i="1"/>
  <c r="DP443" i="1"/>
  <c r="DP209" i="1"/>
  <c r="AT28" i="1"/>
  <c r="AT378" i="1"/>
  <c r="CN44" i="1"/>
  <c r="AS42" i="1"/>
  <c r="DP44" i="1"/>
  <c r="BF21" i="1"/>
  <c r="BF129" i="1"/>
  <c r="AS414" i="1"/>
  <c r="AW413" i="1"/>
  <c r="BE219" i="1"/>
  <c r="BE353" i="1"/>
  <c r="BE358" i="1"/>
  <c r="CQ356" i="1"/>
  <c r="CQ219" i="1" s="1"/>
  <c r="CQ554" i="1"/>
  <c r="CQ134" i="1"/>
  <c r="CQ129" i="7"/>
  <c r="CQ133" i="1"/>
  <c r="CQ131" i="7"/>
  <c r="CQ619" i="1"/>
  <c r="CQ118" i="7"/>
  <c r="CQ140" i="7" s="1"/>
  <c r="CQ151" i="7"/>
  <c r="CQ145" i="7"/>
  <c r="CQ135" i="1"/>
  <c r="CQ147" i="7"/>
  <c r="BJ106" i="1"/>
  <c r="BJ109" i="1"/>
  <c r="BD372" i="1"/>
  <c r="BR633" i="1"/>
  <c r="CU16" i="1"/>
  <c r="CS16" i="1"/>
  <c r="AY44" i="1"/>
  <c r="DQ31" i="1"/>
  <c r="CQ211" i="1"/>
  <c r="CQ277" i="1"/>
  <c r="CQ209" i="1"/>
  <c r="AO402" i="1"/>
  <c r="AK402" i="1"/>
  <c r="AL403" i="1"/>
  <c r="AK403" i="1"/>
  <c r="BW140" i="7"/>
  <c r="BN634" i="1"/>
  <c r="BR634" i="1"/>
  <c r="BE336" i="1"/>
  <c r="AF403" i="1"/>
  <c r="AM158" i="7"/>
  <c r="AM100" i="1"/>
  <c r="AM150" i="7"/>
  <c r="AM153" i="7" s="1"/>
  <c r="AM140" i="1"/>
  <c r="AM114" i="1"/>
  <c r="AM86" i="1"/>
  <c r="AM106" i="1"/>
  <c r="AR205" i="1"/>
  <c r="DP395" i="1"/>
  <c r="AR401" i="1"/>
  <c r="AR402" i="1" s="1"/>
  <c r="AR396" i="1"/>
  <c r="AR382" i="1"/>
  <c r="DQ216" i="1"/>
  <c r="DQ399" i="1"/>
  <c r="BR146" i="7"/>
  <c r="BR130" i="7"/>
  <c r="BR120" i="7"/>
  <c r="BR142" i="7" s="1"/>
  <c r="BJ619" i="1"/>
  <c r="BJ632" i="1"/>
  <c r="K138" i="1"/>
  <c r="K72" i="1"/>
  <c r="K134" i="8"/>
  <c r="K136" i="8" s="1"/>
  <c r="K137" i="8" s="1"/>
  <c r="K78" i="1"/>
  <c r="O153" i="1" s="1"/>
  <c r="K114" i="8"/>
  <c r="K122" i="8" s="1"/>
  <c r="K123" i="8" s="1"/>
  <c r="K137" i="1"/>
  <c r="AN169" i="1"/>
  <c r="T111" i="1"/>
  <c r="AL85" i="1"/>
  <c r="AM168" i="1"/>
  <c r="AL139" i="1"/>
  <c r="AL168" i="1"/>
  <c r="AL82" i="1"/>
  <c r="W106" i="1"/>
  <c r="N85" i="1"/>
  <c r="N82" i="1"/>
  <c r="N103" i="1" s="1"/>
  <c r="N139" i="1"/>
  <c r="R153" i="1"/>
  <c r="O85" i="1"/>
  <c r="O82" i="1"/>
  <c r="O103" i="1" s="1"/>
  <c r="O139" i="1"/>
  <c r="O168" i="1"/>
  <c r="U139" i="1"/>
  <c r="U82" i="1"/>
  <c r="U168" i="1"/>
  <c r="U85" i="1"/>
  <c r="CJ137" i="1"/>
  <c r="CJ134" i="8"/>
  <c r="CJ136" i="8" s="1"/>
  <c r="CJ137" i="8" s="1"/>
  <c r="CJ78" i="1"/>
  <c r="CJ138" i="1"/>
  <c r="CJ72" i="1"/>
  <c r="CJ114" i="8"/>
  <c r="CJ122" i="8" s="1"/>
  <c r="CJ123" i="8" s="1"/>
  <c r="R124" i="8"/>
  <c r="W140" i="1"/>
  <c r="W158" i="7"/>
  <c r="AA154" i="1"/>
  <c r="W126" i="8"/>
  <c r="W86" i="1"/>
  <c r="W150" i="7"/>
  <c r="W153" i="7" s="1"/>
  <c r="W100" i="1"/>
  <c r="W114" i="1"/>
  <c r="AA155" i="1" s="1"/>
  <c r="W109" i="1"/>
  <c r="M85" i="1"/>
  <c r="M140" i="1" s="1"/>
  <c r="AV59" i="1"/>
  <c r="AV527" i="1" s="1"/>
  <c r="CI117" i="7"/>
  <c r="CI139" i="7" s="1"/>
  <c r="BW195" i="7"/>
  <c r="BW145" i="7"/>
  <c r="BW121" i="8"/>
  <c r="DW143" i="1"/>
  <c r="BW146" i="7"/>
  <c r="BW119" i="7" s="1"/>
  <c r="BW141" i="7" s="1"/>
  <c r="CU164" i="7"/>
  <c r="CU162" i="7"/>
  <c r="AI162" i="7"/>
  <c r="AI164" i="7"/>
  <c r="BJ102" i="7"/>
  <c r="BI112" i="7"/>
  <c r="AL26" i="7"/>
  <c r="AL28" i="7"/>
  <c r="AL83" i="7"/>
  <c r="AL27" i="7"/>
  <c r="AL25" i="7"/>
  <c r="BF164" i="7"/>
  <c r="BF162" i="7"/>
  <c r="AK164" i="7"/>
  <c r="AK162" i="7"/>
  <c r="CR168" i="7"/>
  <c r="CR161" i="7" s="1"/>
  <c r="CR199" i="7"/>
  <c r="CR175" i="7" s="1"/>
  <c r="CR201" i="7"/>
  <c r="CR62" i="7"/>
  <c r="CR63" i="7" s="1"/>
  <c r="CM151" i="7"/>
  <c r="CM152" i="7"/>
  <c r="AG141" i="7"/>
  <c r="CV152" i="7"/>
  <c r="CU63" i="7"/>
  <c r="CM161" i="7"/>
  <c r="CM179" i="7"/>
  <c r="CM162" i="7"/>
  <c r="BZ57" i="7"/>
  <c r="CV57" i="7"/>
  <c r="CV68" i="7" s="1"/>
  <c r="BY68" i="7"/>
  <c r="CN178" i="7"/>
  <c r="CN174" i="7"/>
  <c r="CN163" i="7"/>
  <c r="CN170" i="7"/>
  <c r="AO164" i="7"/>
  <c r="AO162" i="7"/>
  <c r="CL174" i="7"/>
  <c r="CL178" i="7"/>
  <c r="CL161" i="7"/>
  <c r="CL170" i="7"/>
  <c r="CL163" i="7"/>
  <c r="CJ152" i="7"/>
  <c r="CJ151" i="7"/>
  <c r="Z82" i="7"/>
  <c r="CJ82" i="7" s="1"/>
  <c r="Z84" i="7"/>
  <c r="Z97" i="7" s="1"/>
  <c r="Z85" i="7"/>
  <c r="V84" i="7"/>
  <c r="V97" i="7" s="1"/>
  <c r="V85" i="7"/>
  <c r="V82" i="7"/>
  <c r="CI82" i="7" s="1"/>
  <c r="AD117" i="7"/>
  <c r="AD139" i="7" s="1"/>
  <c r="AD141" i="7"/>
  <c r="CR179" i="7"/>
  <c r="BT162" i="7"/>
  <c r="BT164" i="7"/>
  <c r="CP90" i="7"/>
  <c r="CP92" i="7" s="1"/>
  <c r="CN161" i="7"/>
  <c r="CS152" i="7"/>
  <c r="CH164" i="7"/>
  <c r="CH162" i="7"/>
  <c r="CO161" i="7"/>
  <c r="CO179" i="7"/>
  <c r="BU112" i="7"/>
  <c r="BV102" i="7"/>
  <c r="BM91" i="7"/>
  <c r="AM117" i="7"/>
  <c r="AM139" i="7" s="1"/>
  <c r="AM141" i="7"/>
  <c r="BJ83" i="7"/>
  <c r="BJ84" i="7" s="1"/>
  <c r="BJ97" i="7" s="1"/>
  <c r="BJ85" i="7"/>
  <c r="AM91" i="7"/>
  <c r="BR164" i="7"/>
  <c r="BR162" i="7"/>
  <c r="AA164" i="7"/>
  <c r="AA162" i="7"/>
  <c r="BI178" i="7"/>
  <c r="BI163" i="7"/>
  <c r="BI161" i="7"/>
  <c r="BI170" i="7"/>
  <c r="BI174" i="7"/>
  <c r="CM119" i="7"/>
  <c r="CL119" i="7"/>
  <c r="CL141" i="7" s="1"/>
  <c r="CK141" i="7"/>
  <c r="AG117" i="7"/>
  <c r="AG139" i="7" s="1"/>
  <c r="BF82" i="7"/>
  <c r="CR82" i="7" s="1"/>
  <c r="BF84" i="7"/>
  <c r="BF97" i="7" s="1"/>
  <c r="BF85" i="7"/>
  <c r="CQ162" i="7"/>
  <c r="CL63" i="7"/>
  <c r="AI141" i="7"/>
  <c r="AI117" i="7"/>
  <c r="AI139" i="7" s="1"/>
  <c r="CI204" i="7"/>
  <c r="CI206" i="7" s="1"/>
  <c r="CN200" i="7"/>
  <c r="BL110" i="7"/>
  <c r="BL28" i="7" s="1"/>
  <c r="BK28" i="7"/>
  <c r="BN164" i="7"/>
  <c r="BN162" i="7"/>
  <c r="BK162" i="7"/>
  <c r="BK164" i="7"/>
  <c r="BA164" i="7"/>
  <c r="BA162" i="7"/>
  <c r="AY164" i="7"/>
  <c r="AY162" i="7"/>
  <c r="CO178" i="7"/>
  <c r="CO174" i="7"/>
  <c r="CO170" i="7"/>
  <c r="CO164" i="7" s="1"/>
  <c r="CO163" i="7"/>
  <c r="AU164" i="7"/>
  <c r="AU162" i="7"/>
  <c r="AC162" i="7"/>
  <c r="AC164" i="7"/>
  <c r="CL200" i="7"/>
  <c r="CJ163" i="7"/>
  <c r="CJ174" i="7"/>
  <c r="CJ170" i="7"/>
  <c r="CJ178" i="7"/>
  <c r="CI179" i="7"/>
  <c r="CI162" i="7"/>
  <c r="CI161" i="7"/>
  <c r="Y112" i="7"/>
  <c r="Y102" i="7"/>
  <c r="U112" i="7"/>
  <c r="U102" i="7"/>
  <c r="CI63" i="7"/>
  <c r="AX524" i="1"/>
  <c r="AX129" i="1"/>
  <c r="CV233" i="1"/>
  <c r="BY235" i="1"/>
  <c r="BY234" i="1"/>
  <c r="CA295" i="1"/>
  <c r="BZ296" i="1"/>
  <c r="BU539" i="1"/>
  <c r="BU535" i="1"/>
  <c r="DQ407" i="1"/>
  <c r="DQ412" i="1"/>
  <c r="DQ413" i="1" s="1"/>
  <c r="DQ206" i="1"/>
  <c r="AX413" i="1"/>
  <c r="AX414" i="1"/>
  <c r="BZ291" i="1"/>
  <c r="BZ229" i="1" s="1"/>
  <c r="BY292" i="1"/>
  <c r="CV291" i="1"/>
  <c r="BY13" i="1"/>
  <c r="BY293" i="1"/>
  <c r="BS85" i="7"/>
  <c r="AQ102" i="7"/>
  <c r="BQ137" i="1"/>
  <c r="BQ72" i="1"/>
  <c r="BQ152" i="1"/>
  <c r="N168" i="1"/>
  <c r="CQ517" i="1"/>
  <c r="CQ130" i="1"/>
  <c r="AN153" i="1"/>
  <c r="AJ82" i="1"/>
  <c r="AJ153" i="1"/>
  <c r="AK168" i="1"/>
  <c r="AJ85" i="1"/>
  <c r="DN78" i="1"/>
  <c r="AJ139" i="1"/>
  <c r="BW191" i="7"/>
  <c r="BQ114" i="8"/>
  <c r="BQ122" i="8" s="1"/>
  <c r="BQ123" i="8" s="1"/>
  <c r="BQ78" i="1"/>
  <c r="BQ85" i="1" s="1"/>
  <c r="M139" i="1"/>
  <c r="BW192" i="7"/>
  <c r="BQ138" i="1"/>
  <c r="M82" i="1"/>
  <c r="M103" i="1" s="1"/>
  <c r="J82" i="1"/>
  <c r="J103" i="1" s="1"/>
  <c r="N153" i="1"/>
  <c r="J139" i="1"/>
  <c r="J85" i="1"/>
  <c r="J168" i="1"/>
  <c r="CE71" i="1"/>
  <c r="CF152" i="1" s="1"/>
  <c r="CE135" i="1"/>
  <c r="CF151" i="1"/>
  <c r="CK204" i="7"/>
  <c r="CK206" i="7" s="1"/>
  <c r="CK147" i="7" s="1"/>
  <c r="CK33" i="7"/>
  <c r="BM200" i="7"/>
  <c r="BS102" i="7"/>
  <c r="BR112" i="7"/>
  <c r="W179" i="7"/>
  <c r="W161" i="7"/>
  <c r="W162" i="7"/>
  <c r="AH26" i="7"/>
  <c r="AH83" i="7"/>
  <c r="AH28" i="7"/>
  <c r="AH25" i="7"/>
  <c r="AH27" i="7"/>
  <c r="BZ167" i="7"/>
  <c r="AG112" i="7"/>
  <c r="AG102" i="7"/>
  <c r="V179" i="7"/>
  <c r="V162" i="7"/>
  <c r="V161" i="7"/>
  <c r="AI29" i="7"/>
  <c r="AI24" i="7" s="1"/>
  <c r="AJ88" i="7"/>
  <c r="CB325" i="1"/>
  <c r="CA326" i="1"/>
  <c r="BZ14" i="1"/>
  <c r="BZ319" i="1"/>
  <c r="BZ318" i="1"/>
  <c r="BJ359" i="1"/>
  <c r="BI360" i="1"/>
  <c r="BW238" i="1"/>
  <c r="BW239" i="1"/>
  <c r="CA300" i="1"/>
  <c r="CA291" i="1"/>
  <c r="CB299" i="1"/>
  <c r="BA130" i="1"/>
  <c r="BA527" i="1"/>
  <c r="BH313" i="1"/>
  <c r="BG314" i="1"/>
  <c r="BG307" i="1"/>
  <c r="BB32" i="1"/>
  <c r="BB439" i="1"/>
  <c r="BB443" i="1"/>
  <c r="BB445" i="1" s="1"/>
  <c r="I116" i="1"/>
  <c r="I104" i="1" s="1"/>
  <c r="BI139" i="1"/>
  <c r="BX11" i="1"/>
  <c r="BX606" i="1"/>
  <c r="BX209" i="7" s="1"/>
  <c r="CQ214" i="1"/>
  <c r="CQ313" i="1"/>
  <c r="CQ212" i="1"/>
  <c r="BY88" i="1"/>
  <c r="DX89" i="1"/>
  <c r="CV89" i="1"/>
  <c r="CG535" i="1"/>
  <c r="AY443" i="1"/>
  <c r="AY395" i="1"/>
  <c r="AZ439" i="1"/>
  <c r="AY438" i="1"/>
  <c r="AY32" i="1"/>
  <c r="AY209" i="1"/>
  <c r="CQ349" i="1"/>
  <c r="CQ207" i="1"/>
  <c r="BB46" i="1"/>
  <c r="BB60" i="1" s="1"/>
  <c r="BJ168" i="1"/>
  <c r="BF308" i="1"/>
  <c r="BF303" i="1"/>
  <c r="BF214" i="1"/>
  <c r="BF309" i="1"/>
  <c r="BF212" i="1"/>
  <c r="CP448" i="1"/>
  <c r="CP210" i="1"/>
  <c r="CP453" i="1"/>
  <c r="CP454" i="1" s="1"/>
  <c r="AY46" i="1"/>
  <c r="AY45" i="1" s="1"/>
  <c r="CC89" i="1"/>
  <c r="CW90" i="1"/>
  <c r="CX90" i="1" s="1"/>
  <c r="Z106" i="1"/>
  <c r="Z109" i="1"/>
  <c r="Z126" i="8"/>
  <c r="Z86" i="1"/>
  <c r="Z114" i="1"/>
  <c r="AA170" i="1" s="1"/>
  <c r="Z140" i="1"/>
  <c r="Z100" i="1"/>
  <c r="Z158" i="7"/>
  <c r="Z150" i="7"/>
  <c r="Z153" i="7" s="1"/>
  <c r="CF137" i="1"/>
  <c r="CF138" i="1"/>
  <c r="CF78" i="1"/>
  <c r="CF114" i="8"/>
  <c r="CF122" i="8" s="1"/>
  <c r="CF123" i="8" s="1"/>
  <c r="CF72" i="1"/>
  <c r="CF134" i="8"/>
  <c r="CF136" i="8" s="1"/>
  <c r="CF137" i="8" s="1"/>
  <c r="BV120" i="7"/>
  <c r="BV142" i="7" s="1"/>
  <c r="BV130" i="7"/>
  <c r="BV146" i="7"/>
  <c r="DW16" i="1"/>
  <c r="BU632" i="1"/>
  <c r="BU619" i="1"/>
  <c r="M100" i="1"/>
  <c r="M86" i="1"/>
  <c r="M109" i="1"/>
  <c r="M154" i="1"/>
  <c r="BJ140" i="1"/>
  <c r="BJ126" i="8"/>
  <c r="CN572" i="1"/>
  <c r="CN573" i="1" s="1"/>
  <c r="CO567" i="1" s="1"/>
  <c r="CO601" i="1" s="1"/>
  <c r="DV16" i="1"/>
  <c r="CQ16" i="1"/>
  <c r="AA169" i="1"/>
  <c r="BU119" i="7"/>
  <c r="BU141" i="7" s="1"/>
  <c r="V85" i="1"/>
  <c r="Z154" i="1" s="1"/>
  <c r="V139" i="1"/>
  <c r="W168" i="1"/>
  <c r="V82" i="1"/>
  <c r="V168" i="1"/>
  <c r="V153" i="1"/>
  <c r="AA124" i="8"/>
  <c r="AD82" i="1"/>
  <c r="AD85" i="1"/>
  <c r="AH154" i="1" s="1"/>
  <c r="AD139" i="1"/>
  <c r="AD153" i="1"/>
  <c r="BJ114" i="1"/>
  <c r="BJ86" i="1"/>
  <c r="BI85" i="1"/>
  <c r="BI100" i="1" s="1"/>
  <c r="AH153" i="1"/>
  <c r="AR131" i="1"/>
  <c r="AR530" i="1"/>
  <c r="BV129" i="1"/>
  <c r="BV21" i="1"/>
  <c r="BU140" i="7"/>
  <c r="BG129" i="1"/>
  <c r="CR23" i="1"/>
  <c r="Y137" i="1"/>
  <c r="Y134" i="8"/>
  <c r="Y136" i="8" s="1"/>
  <c r="Y137" i="8" s="1"/>
  <c r="Y78" i="1"/>
  <c r="Y152" i="1"/>
  <c r="Y72" i="1"/>
  <c r="Y138" i="1"/>
  <c r="Y167" i="1"/>
  <c r="Y156" i="7"/>
  <c r="Z167" i="1"/>
  <c r="Y114" i="8"/>
  <c r="Y122" i="8" s="1"/>
  <c r="Y123" i="8" s="1"/>
  <c r="DK71" i="1"/>
  <c r="DK72" i="1" s="1"/>
  <c r="P153" i="1"/>
  <c r="L153" i="1"/>
  <c r="L85" i="1"/>
  <c r="L82" i="1"/>
  <c r="L103" i="1" s="1"/>
  <c r="L168" i="1"/>
  <c r="L139" i="1"/>
  <c r="M168" i="1"/>
  <c r="AA111" i="1"/>
  <c r="AA116" i="1"/>
  <c r="AA104" i="1" s="1"/>
  <c r="S139" i="1"/>
  <c r="W153" i="1"/>
  <c r="S153" i="1"/>
  <c r="S168" i="1"/>
  <c r="T168" i="1"/>
  <c r="S82" i="1"/>
  <c r="S85" i="1"/>
  <c r="AH109" i="1"/>
  <c r="AH140" i="1"/>
  <c r="AH100" i="1"/>
  <c r="AH126" i="8"/>
  <c r="AH150" i="7"/>
  <c r="AH153" i="7" s="1"/>
  <c r="AH114" i="1"/>
  <c r="AI170" i="1" s="1"/>
  <c r="AL154" i="1"/>
  <c r="AH86" i="1"/>
  <c r="AH158" i="7"/>
  <c r="BD131" i="1"/>
  <c r="CQ25" i="1"/>
  <c r="BP633" i="1"/>
  <c r="BL633" i="1"/>
  <c r="AG167" i="1"/>
  <c r="AH167" i="1"/>
  <c r="AG134" i="8"/>
  <c r="AG136" i="8" s="1"/>
  <c r="AG137" i="8" s="1"/>
  <c r="AG138" i="1"/>
  <c r="AG72" i="1"/>
  <c r="AG137" i="1"/>
  <c r="AG78" i="1"/>
  <c r="AG114" i="8"/>
  <c r="AG122" i="8" s="1"/>
  <c r="AG123" i="8" s="1"/>
  <c r="AG156" i="7"/>
  <c r="AG152" i="1"/>
  <c r="DM71" i="1"/>
  <c r="DM72" i="1" s="1"/>
  <c r="AK152" i="1"/>
  <c r="CS634" i="1"/>
  <c r="CT16" i="1"/>
  <c r="CT120" i="7" s="1"/>
  <c r="CT142" i="7" s="1"/>
  <c r="BP632" i="1"/>
  <c r="BT632" i="1"/>
  <c r="AC152" i="1"/>
  <c r="H111" i="1"/>
  <c r="H116" i="1"/>
  <c r="H104" i="1" s="1"/>
  <c r="AE82" i="1"/>
  <c r="AE139" i="1"/>
  <c r="AE85" i="1"/>
  <c r="AE153" i="1"/>
  <c r="AF168" i="1"/>
  <c r="AE168" i="1"/>
  <c r="BO515" i="1"/>
  <c r="BO522" i="1" s="1"/>
  <c r="P85" i="1"/>
  <c r="P168" i="1"/>
  <c r="P82" i="1"/>
  <c r="P103" i="1" s="1"/>
  <c r="T153" i="1"/>
  <c r="P139" i="1"/>
  <c r="T98" i="1"/>
  <c r="T110" i="1"/>
  <c r="T67" i="7"/>
  <c r="T115" i="1"/>
  <c r="BH72" i="1"/>
  <c r="BH78" i="1"/>
  <c r="BH114" i="8"/>
  <c r="BH122" i="8" s="1"/>
  <c r="BH123" i="8" s="1"/>
  <c r="BH138" i="1"/>
  <c r="BH137" i="1"/>
  <c r="BH134" i="8"/>
  <c r="BH136" i="8" s="1"/>
  <c r="BH137" i="8" s="1"/>
  <c r="BH156" i="7"/>
  <c r="BI167" i="1"/>
  <c r="H98" i="1"/>
  <c r="H115" i="1"/>
  <c r="H110" i="1"/>
  <c r="AQ530" i="1"/>
  <c r="AQ131" i="1"/>
  <c r="BO71" i="1"/>
  <c r="CL535" i="1"/>
  <c r="BO22" i="1"/>
  <c r="BU139" i="1"/>
  <c r="BU85" i="1"/>
  <c r="BU82" i="1"/>
  <c r="CR633" i="1"/>
  <c r="CS633" i="1"/>
  <c r="BD129" i="1"/>
  <c r="BD21" i="1"/>
  <c r="CQ23" i="1"/>
  <c r="CS516" i="1"/>
  <c r="CS129" i="1"/>
  <c r="BK131" i="1"/>
  <c r="BK21" i="1"/>
  <c r="CS25" i="1"/>
  <c r="CI78" i="1"/>
  <c r="CI134" i="8"/>
  <c r="CI136" i="8" s="1"/>
  <c r="CI137" i="8" s="1"/>
  <c r="CI156" i="7"/>
  <c r="CI72" i="1"/>
  <c r="CI137" i="1"/>
  <c r="CI114" i="8"/>
  <c r="CI122" i="8" s="1"/>
  <c r="CI123" i="8" s="1"/>
  <c r="CI138" i="1"/>
  <c r="CJ152" i="1"/>
  <c r="BL632" i="1"/>
  <c r="BL619" i="1"/>
  <c r="BP634" i="1"/>
  <c r="DV143" i="1"/>
  <c r="DT143" i="1"/>
  <c r="CH535" i="1"/>
  <c r="BO634" i="1"/>
  <c r="CH117" i="7"/>
  <c r="CH139" i="7" s="1"/>
  <c r="CH140" i="7"/>
  <c r="G85" i="1"/>
  <c r="G168" i="1"/>
  <c r="G82" i="1"/>
  <c r="G103" i="1" s="1"/>
  <c r="G139" i="1"/>
  <c r="K153" i="1"/>
  <c r="H168" i="1"/>
  <c r="BG131" i="1"/>
  <c r="BG21" i="1"/>
  <c r="CR25" i="1"/>
  <c r="Q137" i="1"/>
  <c r="Q72" i="1"/>
  <c r="U152" i="1"/>
  <c r="Q134" i="8"/>
  <c r="Q136" i="8" s="1"/>
  <c r="Q137" i="8" s="1"/>
  <c r="DI71" i="1"/>
  <c r="DI72" i="1" s="1"/>
  <c r="Q78" i="1"/>
  <c r="Q138" i="1"/>
  <c r="Q156" i="7"/>
  <c r="Q167" i="1"/>
  <c r="Q114" i="8"/>
  <c r="Q122" i="8" s="1"/>
  <c r="Q123" i="8" s="1"/>
  <c r="Q152" i="1"/>
  <c r="R167" i="1"/>
  <c r="CL629" i="1"/>
  <c r="CL626" i="1"/>
  <c r="CL627" i="1"/>
  <c r="CL628" i="1"/>
  <c r="BK634" i="1"/>
  <c r="DU143" i="1"/>
  <c r="BR539" i="1"/>
  <c r="CU541" i="1"/>
  <c r="BS120" i="7"/>
  <c r="BS142" i="7" s="1"/>
  <c r="BS130" i="7"/>
  <c r="BS134" i="7"/>
  <c r="BS146" i="7"/>
  <c r="CK140" i="7"/>
  <c r="CK117" i="7"/>
  <c r="CK139" i="7" s="1"/>
  <c r="CL54" i="1"/>
  <c r="CL515" i="1"/>
  <c r="CL128" i="1"/>
  <c r="CL71" i="1"/>
  <c r="CM152" i="1" s="1"/>
  <c r="CL148" i="1"/>
  <c r="BK619" i="1"/>
  <c r="BK633" i="1"/>
  <c r="BO187" i="7"/>
  <c r="BO633" i="1"/>
  <c r="BO632" i="1"/>
  <c r="BO619" i="1"/>
  <c r="CU120" i="7"/>
  <c r="CU142" i="7" s="1"/>
  <c r="CU130" i="7"/>
  <c r="CU146" i="7"/>
  <c r="CU119" i="7" s="1"/>
  <c r="CU141" i="7" s="1"/>
  <c r="CU134" i="7"/>
  <c r="BS540" i="1"/>
  <c r="BS535" i="1"/>
  <c r="BS619" i="1"/>
  <c r="BS632" i="1"/>
  <c r="BG632" i="1"/>
  <c r="BG619" i="1"/>
  <c r="CL187" i="7"/>
  <c r="CL140" i="7"/>
  <c r="CL117" i="7"/>
  <c r="CL139" i="7" s="1"/>
  <c r="BK632" i="1"/>
  <c r="BS131" i="1"/>
  <c r="CU25" i="1"/>
  <c r="BS21" i="1"/>
  <c r="CK71" i="1"/>
  <c r="CK515" i="1"/>
  <c r="CK54" i="1"/>
  <c r="CK128" i="1"/>
  <c r="CK148" i="1"/>
  <c r="BS633" i="1"/>
  <c r="BP130" i="1"/>
  <c r="BP21" i="1"/>
  <c r="BT148" i="1" s="1"/>
  <c r="CT24" i="1"/>
  <c r="CT518" i="1"/>
  <c r="CT131" i="1"/>
  <c r="CH128" i="1"/>
  <c r="CH515" i="1"/>
  <c r="CI148" i="1"/>
  <c r="CH54" i="1"/>
  <c r="CH148" i="1"/>
  <c r="CH71" i="1"/>
  <c r="F82" i="1"/>
  <c r="F103" i="1" s="1"/>
  <c r="J153" i="1"/>
  <c r="F139" i="1"/>
  <c r="F85" i="1"/>
  <c r="CG140" i="7"/>
  <c r="CG117" i="7"/>
  <c r="CG139" i="7" s="1"/>
  <c r="CG515" i="1"/>
  <c r="CG128" i="1"/>
  <c r="CG54" i="1"/>
  <c r="CG71" i="1"/>
  <c r="CG148" i="1"/>
  <c r="CK535" i="1"/>
  <c r="BL130" i="1"/>
  <c r="BL21" i="1"/>
  <c r="CS24" i="1"/>
  <c r="BS634" i="1"/>
  <c r="CV19" i="1"/>
  <c r="CA249" i="1"/>
  <c r="CA241" i="1" s="1"/>
  <c r="BZ250" i="1"/>
  <c r="BX144" i="1"/>
  <c r="BX159" i="1"/>
  <c r="BX17" i="1"/>
  <c r="BX16" i="1" s="1"/>
  <c r="BY243" i="1"/>
  <c r="BY242" i="1"/>
  <c r="CV241" i="1"/>
  <c r="BY12" i="1"/>
  <c r="BY229" i="1"/>
  <c r="CL56" i="8"/>
  <c r="CM53" i="8"/>
  <c r="CM55" i="8" s="1"/>
  <c r="CL103" i="8"/>
  <c r="CQ89" i="7"/>
  <c r="CQ98" i="7" s="1"/>
  <c r="CR51" i="8"/>
  <c r="CR129" i="8"/>
  <c r="AE29" i="7"/>
  <c r="AE24" i="7" s="1"/>
  <c r="AF88" i="7"/>
  <c r="AF90" i="7" s="1"/>
  <c r="AF91" i="7" s="1"/>
  <c r="Q131" i="8"/>
  <c r="Q130" i="8"/>
  <c r="BD131" i="8"/>
  <c r="BD130" i="8"/>
  <c r="CB42" i="7"/>
  <c r="CB549" i="1"/>
  <c r="CB550" i="1" s="1"/>
  <c r="CB76" i="1" s="1"/>
  <c r="CA167" i="7"/>
  <c r="DQ103" i="1"/>
  <c r="CP103" i="1"/>
  <c r="CT98" i="7"/>
  <c r="CT101" i="7"/>
  <c r="CT103" i="7"/>
  <c r="CO584" i="1"/>
  <c r="CP581" i="1" s="1"/>
  <c r="CP584" i="1" s="1"/>
  <c r="CQ581" i="1" s="1"/>
  <c r="CQ584" i="1" s="1"/>
  <c r="CR581" i="1" s="1"/>
  <c r="CR584" i="1" s="1"/>
  <c r="CS581" i="1" s="1"/>
  <c r="CS584" i="1" s="1"/>
  <c r="CT581" i="1" s="1"/>
  <c r="CT584" i="1" s="1"/>
  <c r="CU581" i="1" s="1"/>
  <c r="CU584" i="1" s="1"/>
  <c r="CV581" i="1" s="1"/>
  <c r="CV584" i="1" s="1"/>
  <c r="CW581" i="1" s="1"/>
  <c r="CW584" i="1" s="1"/>
  <c r="CX581" i="1" s="1"/>
  <c r="CX584" i="1" s="1"/>
  <c r="CY581" i="1" s="1"/>
  <c r="CY584" i="1" s="1"/>
  <c r="CZ581" i="1" s="1"/>
  <c r="CZ584" i="1" s="1"/>
  <c r="DA581" i="1" s="1"/>
  <c r="DA584" i="1" s="1"/>
  <c r="DB581" i="1" s="1"/>
  <c r="DB584" i="1" s="1"/>
  <c r="DC581" i="1" s="1"/>
  <c r="DC584" i="1" s="1"/>
  <c r="CI131" i="8"/>
  <c r="CI130" i="8"/>
  <c r="AM131" i="8"/>
  <c r="AM130" i="8"/>
  <c r="CV167" i="7"/>
  <c r="BK130" i="8"/>
  <c r="BK131" i="8"/>
  <c r="AU572" i="1"/>
  <c r="CO572" i="1" s="1"/>
  <c r="CO586" i="1"/>
  <c r="CO587" i="1" s="1"/>
  <c r="BU130" i="8"/>
  <c r="BU131" i="8"/>
  <c r="CA549" i="1"/>
  <c r="CA550" i="1" s="1"/>
  <c r="CA76" i="1" s="1"/>
  <c r="DX76" i="1" s="1"/>
  <c r="CM98" i="7"/>
  <c r="CM103" i="7"/>
  <c r="CM101" i="7"/>
  <c r="BL130" i="8"/>
  <c r="BL131" i="8"/>
  <c r="BO79" i="7"/>
  <c r="BN94" i="7"/>
  <c r="BN84" i="7"/>
  <c r="BN97" i="7" s="1"/>
  <c r="CT152" i="7"/>
  <c r="CT151" i="7"/>
  <c r="CS63" i="7"/>
  <c r="AV88" i="7"/>
  <c r="AV90" i="7" s="1"/>
  <c r="AU29" i="7"/>
  <c r="AU24" i="7" s="1"/>
  <c r="CF179" i="7"/>
  <c r="CF161" i="7"/>
  <c r="CF162" i="7"/>
  <c r="BM174" i="7"/>
  <c r="BM163" i="7"/>
  <c r="BM170" i="7"/>
  <c r="BM161" i="7"/>
  <c r="BM178" i="7"/>
  <c r="AD102" i="7"/>
  <c r="AD112" i="7"/>
  <c r="AT26" i="7"/>
  <c r="AT27" i="7"/>
  <c r="AT28" i="7"/>
  <c r="AT25" i="7"/>
  <c r="AT83" i="7"/>
  <c r="AY82" i="7"/>
  <c r="AY85" i="7"/>
  <c r="AY84" i="7"/>
  <c r="AY97" i="7" s="1"/>
  <c r="AE85" i="7"/>
  <c r="AX112" i="7"/>
  <c r="AY102" i="7"/>
  <c r="U602" i="1"/>
  <c r="U603" i="1"/>
  <c r="AP380" i="1"/>
  <c r="AT379" i="1"/>
  <c r="AP379" i="1"/>
  <c r="AP537" i="1"/>
  <c r="AP536" i="1"/>
  <c r="AX475" i="1"/>
  <c r="AV130" i="1"/>
  <c r="DR214" i="1"/>
  <c r="DR494" i="1"/>
  <c r="DR495" i="1" s="1"/>
  <c r="DR489" i="1"/>
  <c r="BC50" i="1"/>
  <c r="BC64" i="1" s="1"/>
  <c r="DR37" i="1"/>
  <c r="BC372" i="1"/>
  <c r="AP41" i="1"/>
  <c r="AP40" i="1" s="1"/>
  <c r="AP11" i="1"/>
  <c r="CO205" i="1"/>
  <c r="CO401" i="1"/>
  <c r="AV378" i="1"/>
  <c r="CO382" i="1"/>
  <c r="AW384" i="1"/>
  <c r="AV383" i="1"/>
  <c r="AV384" i="1"/>
  <c r="AV28" i="1"/>
  <c r="BE495" i="1"/>
  <c r="BE488" i="1"/>
  <c r="BF494" i="1"/>
  <c r="AX48" i="1"/>
  <c r="AV403" i="1"/>
  <c r="AW403" i="1"/>
  <c r="AV402" i="1"/>
  <c r="BD37" i="1"/>
  <c r="BD489" i="1"/>
  <c r="BD490" i="1"/>
  <c r="AC602" i="1"/>
  <c r="AC603" i="1"/>
  <c r="BC114" i="1"/>
  <c r="BC124" i="8" s="1"/>
  <c r="BC109" i="1"/>
  <c r="BC106" i="1"/>
  <c r="BC86" i="1"/>
  <c r="BC100" i="1"/>
  <c r="BC140" i="1"/>
  <c r="BC150" i="7"/>
  <c r="BC153" i="7" s="1"/>
  <c r="BW133" i="1"/>
  <c r="BW149" i="1"/>
  <c r="BW164" i="1"/>
  <c r="DW68" i="1"/>
  <c r="BW67" i="1"/>
  <c r="I110" i="1"/>
  <c r="I115" i="1"/>
  <c r="I98" i="1"/>
  <c r="BN82" i="1"/>
  <c r="BN85" i="1"/>
  <c r="BN139" i="1"/>
  <c r="BN153" i="1"/>
  <c r="AF124" i="8"/>
  <c r="AF155" i="1"/>
  <c r="AB170" i="1"/>
  <c r="AB124" i="8"/>
  <c r="BM138" i="1"/>
  <c r="BM156" i="7"/>
  <c r="BM72" i="1"/>
  <c r="BM78" i="1"/>
  <c r="BM134" i="8"/>
  <c r="BM136" i="8" s="1"/>
  <c r="BM137" i="8" s="1"/>
  <c r="BM152" i="1"/>
  <c r="BM137" i="1"/>
  <c r="BM114" i="8"/>
  <c r="BM122" i="8" s="1"/>
  <c r="BM123" i="8" s="1"/>
  <c r="AO150" i="7"/>
  <c r="AO153" i="7" s="1"/>
  <c r="AO114" i="1"/>
  <c r="AO155" i="1" s="1"/>
  <c r="AO169" i="1"/>
  <c r="AO126" i="8"/>
  <c r="AO100" i="1"/>
  <c r="AO106" i="1"/>
  <c r="AO157" i="7"/>
  <c r="AO140" i="1"/>
  <c r="AO158" i="7"/>
  <c r="AO86" i="1"/>
  <c r="AO109" i="1"/>
  <c r="BX25" i="1"/>
  <c r="BX131" i="1" s="1"/>
  <c r="AB111" i="1"/>
  <c r="AB116" i="1"/>
  <c r="AB104" i="1" s="1"/>
  <c r="AB67" i="7"/>
  <c r="AB115" i="1"/>
  <c r="AB98" i="1"/>
  <c r="AB110" i="1"/>
  <c r="BE82" i="1"/>
  <c r="BE85" i="1"/>
  <c r="BE139" i="1"/>
  <c r="I170" i="1"/>
  <c r="AF110" i="1"/>
  <c r="AF98" i="1"/>
  <c r="AF67" i="7"/>
  <c r="AF115" i="1"/>
  <c r="AF116" i="1"/>
  <c r="AF104" i="1" s="1"/>
  <c r="AF111" i="1"/>
  <c r="CV146" i="1"/>
  <c r="CO444" i="1"/>
  <c r="CB245" i="1"/>
  <c r="CA246" i="1"/>
  <c r="BI349" i="1"/>
  <c r="BH350" i="1"/>
  <c r="R84" i="7"/>
  <c r="R97" i="7" s="1"/>
  <c r="R82" i="7"/>
  <c r="CH82" i="7" s="1"/>
  <c r="R85" i="7"/>
  <c r="CY47" i="7"/>
  <c r="CO475" i="1"/>
  <c r="BJ116" i="1"/>
  <c r="BJ104" i="1" s="1"/>
  <c r="BJ111" i="1"/>
  <c r="BJ110" i="1"/>
  <c r="BJ98" i="1"/>
  <c r="BJ67" i="7"/>
  <c r="BJ115" i="1"/>
  <c r="CO42" i="1"/>
  <c r="AW56" i="1"/>
  <c r="AW40" i="1"/>
  <c r="AW53" i="1" s="1"/>
  <c r="AX47" i="1"/>
  <c r="AX61" i="1" s="1"/>
  <c r="DQ34" i="1"/>
  <c r="DQ146" i="1" s="1"/>
  <c r="CP34" i="1"/>
  <c r="AH111" i="1"/>
  <c r="AH116" i="1"/>
  <c r="AW131" i="7"/>
  <c r="AW135" i="1"/>
  <c r="AW622" i="1"/>
  <c r="AW151" i="7"/>
  <c r="AW118" i="7"/>
  <c r="AW623" i="1"/>
  <c r="AW131" i="8"/>
  <c r="AW134" i="1"/>
  <c r="AW621" i="1"/>
  <c r="AW620" i="1"/>
  <c r="AW101" i="7"/>
  <c r="AW554" i="1"/>
  <c r="AW133" i="1"/>
  <c r="AW129" i="7"/>
  <c r="AI115" i="1"/>
  <c r="AI110" i="1"/>
  <c r="AI67" i="7"/>
  <c r="AI98" i="1"/>
  <c r="X158" i="7"/>
  <c r="X126" i="8"/>
  <c r="X86" i="1"/>
  <c r="X100" i="1"/>
  <c r="X150" i="7"/>
  <c r="X153" i="7" s="1"/>
  <c r="X109" i="1"/>
  <c r="X114" i="1"/>
  <c r="X140" i="1"/>
  <c r="X154" i="1"/>
  <c r="AB154" i="1"/>
  <c r="X169" i="1"/>
  <c r="CU517" i="1"/>
  <c r="CU21" i="1"/>
  <c r="CU130" i="1"/>
  <c r="AZ108" i="7"/>
  <c r="AZ26" i="7" s="1"/>
  <c r="AY26" i="7"/>
  <c r="AR29" i="7"/>
  <c r="AR24" i="7" s="1"/>
  <c r="AS88" i="7"/>
  <c r="AS90" i="7" s="1"/>
  <c r="AS92" i="7" s="1"/>
  <c r="DS420" i="1"/>
  <c r="DS218" i="1"/>
  <c r="BF418" i="1"/>
  <c r="BF30" i="1"/>
  <c r="BF417" i="1"/>
  <c r="DR410" i="1"/>
  <c r="DR217" i="1"/>
  <c r="CM56" i="8"/>
  <c r="CM103" i="8"/>
  <c r="CN53" i="8"/>
  <c r="CN55" i="8" s="1"/>
  <c r="BG210" i="1"/>
  <c r="BG263" i="1"/>
  <c r="BG262" i="1"/>
  <c r="BN281" i="1"/>
  <c r="BN288" i="1"/>
  <c r="BO287" i="1"/>
  <c r="AS530" i="1"/>
  <c r="CN62" i="1"/>
  <c r="AS131" i="1"/>
  <c r="DP62" i="1"/>
  <c r="DP131" i="1" s="1"/>
  <c r="CN103" i="7"/>
  <c r="CN98" i="7"/>
  <c r="CO103" i="7"/>
  <c r="AZ25" i="7"/>
  <c r="AZ83" i="7"/>
  <c r="DO396" i="1"/>
  <c r="DO401" i="1"/>
  <c r="DQ463" i="1"/>
  <c r="DQ464" i="1" s="1"/>
  <c r="DQ458" i="1"/>
  <c r="DQ211" i="1"/>
  <c r="AW112" i="7"/>
  <c r="AX102" i="7"/>
  <c r="AP102" i="8"/>
  <c r="AQ100" i="8"/>
  <c r="AQ94" i="7"/>
  <c r="AR79" i="7"/>
  <c r="AQ82" i="7"/>
  <c r="BI140" i="1"/>
  <c r="AW530" i="1"/>
  <c r="CO62" i="1"/>
  <c r="AW131" i="1"/>
  <c r="I56" i="8"/>
  <c r="I103" i="8"/>
  <c r="BT128" i="1"/>
  <c r="BT71" i="1"/>
  <c r="BT22" i="1"/>
  <c r="BT163" i="1"/>
  <c r="BT515" i="1"/>
  <c r="BU163" i="1"/>
  <c r="DW21" i="1"/>
  <c r="CN90" i="7"/>
  <c r="CN92" i="7" s="1"/>
  <c r="AQ85" i="7"/>
  <c r="AQ84" i="7"/>
  <c r="AQ97" i="7" s="1"/>
  <c r="BF431" i="1"/>
  <c r="BF430" i="1"/>
  <c r="BF409" i="1"/>
  <c r="AK124" i="8"/>
  <c r="BQ139" i="1"/>
  <c r="DQ454" i="1"/>
  <c r="M102" i="8"/>
  <c r="CF100" i="8"/>
  <c r="CV326" i="1"/>
  <c r="BZ243" i="1"/>
  <c r="BZ12" i="1"/>
  <c r="BZ242" i="1"/>
  <c r="CH131" i="8"/>
  <c r="CH130" i="8"/>
  <c r="CH79" i="7"/>
  <c r="CG94" i="7"/>
  <c r="CG84" i="7"/>
  <c r="CG97" i="7" s="1"/>
  <c r="BM282" i="1"/>
  <c r="BM213" i="1"/>
  <c r="BM283" i="1"/>
  <c r="BK422" i="1"/>
  <c r="BJ423" i="1"/>
  <c r="Q112" i="7"/>
  <c r="Q102" i="7"/>
  <c r="AZ110" i="7"/>
  <c r="AZ28" i="7" s="1"/>
  <c r="AY28" i="7"/>
  <c r="CU151" i="7"/>
  <c r="CU622" i="1"/>
  <c r="CU634" i="1" s="1"/>
  <c r="CU537" i="1"/>
  <c r="CU143" i="1"/>
  <c r="CU187" i="7" s="1"/>
  <c r="CU619" i="1"/>
  <c r="CU621" i="1"/>
  <c r="CU633" i="1" s="1"/>
  <c r="CU145" i="7"/>
  <c r="CU118" i="7"/>
  <c r="CU134" i="1"/>
  <c r="CU129" i="7"/>
  <c r="CU131" i="7"/>
  <c r="CU131" i="8"/>
  <c r="CU536" i="1"/>
  <c r="CU147" i="7"/>
  <c r="CU623" i="1"/>
  <c r="CU101" i="7"/>
  <c r="CU133" i="1"/>
  <c r="CU620" i="1"/>
  <c r="CU632" i="1" s="1"/>
  <c r="CU135" i="1"/>
  <c r="CU554" i="1"/>
  <c r="DZ11" i="1"/>
  <c r="DZ67" i="1" s="1"/>
  <c r="BB164" i="7"/>
  <c r="BB162" i="7"/>
  <c r="DO382" i="1"/>
  <c r="AU383" i="1"/>
  <c r="AQ378" i="1"/>
  <c r="AQ384" i="1"/>
  <c r="AQ28" i="1"/>
  <c r="AR384" i="1"/>
  <c r="AC106" i="1"/>
  <c r="AC126" i="8"/>
  <c r="AC140" i="1"/>
  <c r="AC86" i="1"/>
  <c r="AC109" i="1"/>
  <c r="AC114" i="1"/>
  <c r="AC150" i="7"/>
  <c r="AC153" i="7" s="1"/>
  <c r="AC158" i="7"/>
  <c r="AC100" i="1"/>
  <c r="AC157" i="7"/>
  <c r="AC169" i="1"/>
  <c r="AX443" i="1"/>
  <c r="AX395" i="1"/>
  <c r="DQ437" i="1"/>
  <c r="CP437" i="1"/>
  <c r="BB438" i="1"/>
  <c r="AX438" i="1"/>
  <c r="AY439" i="1"/>
  <c r="AX439" i="1"/>
  <c r="AX32" i="1"/>
  <c r="AX209" i="1"/>
  <c r="CR103" i="7"/>
  <c r="CQ101" i="7"/>
  <c r="CQ103" i="7"/>
  <c r="AX85" i="7"/>
  <c r="AX84" i="7"/>
  <c r="AX97" i="7" s="1"/>
  <c r="AX82" i="7"/>
  <c r="CQ43" i="1"/>
  <c r="CQ423" i="1"/>
  <c r="BB139" i="1"/>
  <c r="BB85" i="1"/>
  <c r="BB82" i="1"/>
  <c r="BC168" i="1"/>
  <c r="BC459" i="1"/>
  <c r="BC458" i="1"/>
  <c r="BC34" i="1"/>
  <c r="BC437" i="1"/>
  <c r="DR457" i="1"/>
  <c r="AI124" i="8"/>
  <c r="BB29" i="7"/>
  <c r="BB24" i="7" s="1"/>
  <c r="BC88" i="7"/>
  <c r="AZ109" i="7"/>
  <c r="AZ27" i="7" s="1"/>
  <c r="AY27" i="7"/>
  <c r="BB45" i="1"/>
  <c r="BH419" i="1"/>
  <c r="BG429" i="1"/>
  <c r="BG409" i="1" s="1"/>
  <c r="BG416" i="1"/>
  <c r="BG420" i="1"/>
  <c r="AK110" i="1"/>
  <c r="AK67" i="7"/>
  <c r="AK98" i="1"/>
  <c r="AK115" i="1"/>
  <c r="AK116" i="1"/>
  <c r="AK111" i="1"/>
  <c r="BE410" i="1"/>
  <c r="BE411" i="1"/>
  <c r="BE398" i="1"/>
  <c r="CQ398" i="1" s="1"/>
  <c r="BI267" i="1"/>
  <c r="BH268" i="1"/>
  <c r="BH261" i="1"/>
  <c r="L56" i="8"/>
  <c r="M53" i="8"/>
  <c r="M55" i="8" s="1"/>
  <c r="M56" i="8" s="1"/>
  <c r="BZ235" i="1"/>
  <c r="BZ234" i="1"/>
  <c r="DR57" i="1"/>
  <c r="CQ57" i="1"/>
  <c r="CQ525" i="1" s="1"/>
  <c r="BT79" i="7"/>
  <c r="BS94" i="7"/>
  <c r="BS84" i="7"/>
  <c r="BS97" i="7" s="1"/>
  <c r="AH103" i="8"/>
  <c r="AI53" i="8"/>
  <c r="AI55" i="8" s="1"/>
  <c r="AH56" i="8"/>
  <c r="BJ124" i="8"/>
  <c r="BX238" i="1"/>
  <c r="BX239" i="1"/>
  <c r="CN401" i="1"/>
  <c r="CN396" i="1"/>
  <c r="CO396" i="1"/>
  <c r="AQ403" i="1"/>
  <c r="AR403" i="1"/>
  <c r="AQ402" i="1"/>
  <c r="AU402" i="1"/>
  <c r="CM134" i="8"/>
  <c r="CM136" i="8" s="1"/>
  <c r="CM137" i="8" s="1"/>
  <c r="CM72" i="1"/>
  <c r="CM114" i="8"/>
  <c r="CM122" i="8" s="1"/>
  <c r="CM123" i="8" s="1"/>
  <c r="CM138" i="1"/>
  <c r="CM137" i="1"/>
  <c r="CM78" i="1"/>
  <c r="CM156" i="7"/>
  <c r="CP211" i="1"/>
  <c r="CP458" i="1"/>
  <c r="CP463" i="1"/>
  <c r="CP464" i="1" s="1"/>
  <c r="BC129" i="8"/>
  <c r="BC126" i="8"/>
  <c r="BC51" i="8"/>
  <c r="CQ135" i="8"/>
  <c r="CQ115" i="8"/>
  <c r="CQ29" i="8"/>
  <c r="BD457" i="1"/>
  <c r="BD464" i="1"/>
  <c r="BE463" i="1"/>
  <c r="AI116" i="1"/>
  <c r="AI104" i="1" s="1"/>
  <c r="AI111" i="1"/>
  <c r="CS281" i="1"/>
  <c r="X103" i="1"/>
  <c r="CM594" i="1"/>
  <c r="CN590" i="1" s="1"/>
  <c r="CM602" i="1"/>
  <c r="CM603" i="1"/>
  <c r="BB61" i="1"/>
  <c r="BC399" i="1"/>
  <c r="DR398" i="1"/>
  <c r="BC400" i="1"/>
  <c r="BD400" i="1"/>
  <c r="CQ409" i="1"/>
  <c r="CQ410" i="1" s="1"/>
  <c r="AQ130" i="1"/>
  <c r="AY94" i="7" l="1"/>
  <c r="AZ79" i="7"/>
  <c r="AZ85" i="7" s="1"/>
  <c r="BU117" i="7"/>
  <c r="BU139" i="7" s="1"/>
  <c r="AZ59" i="1"/>
  <c r="BC33" i="1"/>
  <c r="BC449" i="1"/>
  <c r="DR447" i="1"/>
  <c r="BC448" i="1"/>
  <c r="BD454" i="1"/>
  <c r="BD447" i="1"/>
  <c r="BE453" i="1"/>
  <c r="AI603" i="1"/>
  <c r="AI594" i="1"/>
  <c r="AJ590" i="1" s="1"/>
  <c r="AI602" i="1"/>
  <c r="CR200" i="7"/>
  <c r="M114" i="1"/>
  <c r="M155" i="1" s="1"/>
  <c r="K168" i="1"/>
  <c r="AZ61" i="1"/>
  <c r="AZ130" i="1"/>
  <c r="AZ527" i="1"/>
  <c r="AZ444" i="1"/>
  <c r="BA445" i="1"/>
  <c r="T124" i="8"/>
  <c r="T104" i="1"/>
  <c r="CA233" i="1"/>
  <c r="CA317" i="1"/>
  <c r="CT146" i="7"/>
  <c r="CT119" i="7" s="1"/>
  <c r="M150" i="7"/>
  <c r="CT130" i="7"/>
  <c r="M126" i="8"/>
  <c r="M106" i="1"/>
  <c r="X157" i="7"/>
  <c r="DP205" i="1"/>
  <c r="DP401" i="1"/>
  <c r="AM124" i="8"/>
  <c r="AN170" i="1"/>
  <c r="AY42" i="1"/>
  <c r="DQ42" i="1" s="1"/>
  <c r="DQ44" i="1"/>
  <c r="BE208" i="1"/>
  <c r="CQ353" i="1"/>
  <c r="BE355" i="1"/>
  <c r="BE333" i="1"/>
  <c r="BE329" i="1"/>
  <c r="CQ329" i="1" s="1"/>
  <c r="AT41" i="1"/>
  <c r="AT40" i="1" s="1"/>
  <c r="AT11" i="1"/>
  <c r="CR632" i="1"/>
  <c r="CS632" i="1"/>
  <c r="CM402" i="1"/>
  <c r="AS384" i="1"/>
  <c r="AS378" i="1"/>
  <c r="AW383" i="1"/>
  <c r="AS28" i="1"/>
  <c r="AR59" i="1"/>
  <c r="CN45" i="1"/>
  <c r="DP45" i="1"/>
  <c r="DQ479" i="1"/>
  <c r="DQ484" i="1"/>
  <c r="DQ485" i="1" s="1"/>
  <c r="DQ213" i="1"/>
  <c r="BF217" i="1"/>
  <c r="BF338" i="1"/>
  <c r="BF337" i="1"/>
  <c r="BF366" i="1"/>
  <c r="BG356" i="1"/>
  <c r="BG347" i="1"/>
  <c r="BH346" i="1"/>
  <c r="BG218" i="1"/>
  <c r="BG336" i="1"/>
  <c r="BG343" i="1"/>
  <c r="BE253" i="1"/>
  <c r="BE259" i="1"/>
  <c r="AZ29" i="1"/>
  <c r="AZ412" i="1"/>
  <c r="AZ407" i="1"/>
  <c r="AZ206" i="1"/>
  <c r="AZ408" i="1"/>
  <c r="CN382" i="1"/>
  <c r="CO383" i="1" s="1"/>
  <c r="BQ153" i="1"/>
  <c r="BQ82" i="1"/>
  <c r="DP396" i="1"/>
  <c r="CT134" i="7"/>
  <c r="N169" i="1"/>
  <c r="BR119" i="7"/>
  <c r="DP382" i="1"/>
  <c r="AR28" i="1"/>
  <c r="AR378" i="1"/>
  <c r="BE366" i="1"/>
  <c r="BE338" i="1"/>
  <c r="BE217" i="1"/>
  <c r="CQ336" i="1"/>
  <c r="CQ628" i="1"/>
  <c r="CQ626" i="1"/>
  <c r="CQ629" i="1"/>
  <c r="CQ627" i="1"/>
  <c r="BF148" i="1"/>
  <c r="BF22" i="1"/>
  <c r="BF515" i="1"/>
  <c r="BF522" i="1" s="1"/>
  <c r="BF128" i="1"/>
  <c r="BJ148" i="1"/>
  <c r="BF71" i="1"/>
  <c r="BF163" i="1"/>
  <c r="AZ479" i="1"/>
  <c r="AZ468" i="1"/>
  <c r="AZ36" i="1"/>
  <c r="AZ480" i="1"/>
  <c r="AZ213" i="1"/>
  <c r="AU535" i="1"/>
  <c r="AM155" i="1"/>
  <c r="AY469" i="1"/>
  <c r="AY35" i="1"/>
  <c r="DQ35" i="1" s="1"/>
  <c r="AY212" i="1"/>
  <c r="AY474" i="1"/>
  <c r="AY470" i="1"/>
  <c r="DQ468" i="1"/>
  <c r="BF219" i="1"/>
  <c r="BF358" i="1"/>
  <c r="BF353" i="1"/>
  <c r="BF357" i="1"/>
  <c r="AZ44" i="1"/>
  <c r="AZ42" i="1" s="1"/>
  <c r="BD255" i="1"/>
  <c r="CQ253" i="1"/>
  <c r="CQ374" i="1" s="1"/>
  <c r="BD374" i="1"/>
  <c r="BU153" i="1"/>
  <c r="BI86" i="1"/>
  <c r="CN575" i="1"/>
  <c r="CN577" i="1" s="1"/>
  <c r="CN578" i="1" s="1"/>
  <c r="K85" i="1"/>
  <c r="K82" i="1"/>
  <c r="K103" i="1" s="1"/>
  <c r="K139" i="1"/>
  <c r="AM116" i="1"/>
  <c r="AM104" i="1" s="1"/>
  <c r="AM111" i="1"/>
  <c r="BW117" i="7"/>
  <c r="BW139" i="7" s="1"/>
  <c r="AY58" i="1"/>
  <c r="DQ58" i="1" s="1"/>
  <c r="AT537" i="1"/>
  <c r="AT536" i="1"/>
  <c r="BA485" i="1"/>
  <c r="BA478" i="1"/>
  <c r="BB484" i="1"/>
  <c r="AU380" i="1"/>
  <c r="AY413" i="1"/>
  <c r="AY414" i="1"/>
  <c r="AS402" i="1"/>
  <c r="AS403" i="1"/>
  <c r="BG278" i="1"/>
  <c r="BG271" i="1"/>
  <c r="BH277" i="1"/>
  <c r="CU129" i="1"/>
  <c r="CU516" i="1"/>
  <c r="AU133" i="1"/>
  <c r="AU623" i="1"/>
  <c r="AU129" i="7"/>
  <c r="AU134" i="1"/>
  <c r="AU101" i="7"/>
  <c r="AU622" i="1"/>
  <c r="AU554" i="1"/>
  <c r="AU131" i="7"/>
  <c r="AU131" i="8"/>
  <c r="AU621" i="1"/>
  <c r="AU151" i="7"/>
  <c r="AU135" i="1"/>
  <c r="AU620" i="1"/>
  <c r="AU158" i="1"/>
  <c r="AU188" i="7" s="1"/>
  <c r="AU118" i="7"/>
  <c r="AU140" i="7" s="1"/>
  <c r="BA428" i="1"/>
  <c r="BA208" i="1"/>
  <c r="BA427" i="1"/>
  <c r="CP426" i="1"/>
  <c r="BA406" i="1"/>
  <c r="BA31" i="1"/>
  <c r="BI114" i="1"/>
  <c r="BJ170" i="1" s="1"/>
  <c r="BW134" i="7"/>
  <c r="BW130" i="7"/>
  <c r="AM67" i="7"/>
  <c r="AM98" i="1"/>
  <c r="AM110" i="1"/>
  <c r="AM115" i="1"/>
  <c r="AS56" i="1"/>
  <c r="DP42" i="1"/>
  <c r="CN42" i="1"/>
  <c r="AT384" i="1"/>
  <c r="CO83" i="1"/>
  <c r="CP557" i="1"/>
  <c r="DQ29" i="1"/>
  <c r="DQ144" i="1" s="1"/>
  <c r="CL402" i="1"/>
  <c r="BF273" i="1"/>
  <c r="BF272" i="1"/>
  <c r="BF211" i="1"/>
  <c r="BF209" i="1"/>
  <c r="BF257" i="1"/>
  <c r="DP60" i="1"/>
  <c r="CN60" i="1"/>
  <c r="CN528" i="1" s="1"/>
  <c r="BR163" i="1"/>
  <c r="BR148" i="1"/>
  <c r="BR71" i="1"/>
  <c r="BR156" i="7" s="1"/>
  <c r="BR515" i="1"/>
  <c r="BR128" i="1"/>
  <c r="BR22" i="1"/>
  <c r="AY49" i="1"/>
  <c r="AY63" i="1" s="1"/>
  <c r="DQ36" i="1"/>
  <c r="AU55" i="1"/>
  <c r="AU40" i="1"/>
  <c r="CA322" i="1"/>
  <c r="CB321" i="1"/>
  <c r="BC432" i="1"/>
  <c r="BB426" i="1"/>
  <c r="BB433" i="1"/>
  <c r="AL114" i="1"/>
  <c r="AL155" i="1" s="1"/>
  <c r="AL109" i="1"/>
  <c r="AL106" i="1"/>
  <c r="AL86" i="1"/>
  <c r="AL100" i="1"/>
  <c r="AM169" i="1"/>
  <c r="AL158" i="7"/>
  <c r="AL140" i="1"/>
  <c r="AL126" i="8"/>
  <c r="AL150" i="7"/>
  <c r="AL153" i="7" s="1"/>
  <c r="AL169" i="1"/>
  <c r="AN157" i="7"/>
  <c r="AE157" i="7"/>
  <c r="CO59" i="1"/>
  <c r="W116" i="1"/>
  <c r="W104" i="1" s="1"/>
  <c r="W111" i="1"/>
  <c r="BY606" i="1"/>
  <c r="CV606" i="1" s="1"/>
  <c r="BX587" i="1"/>
  <c r="BX586" i="1" s="1"/>
  <c r="BX572" i="1" s="1"/>
  <c r="AD169" i="1"/>
  <c r="CJ98" i="1"/>
  <c r="CJ82" i="1"/>
  <c r="CJ85" i="1"/>
  <c r="CJ139" i="1"/>
  <c r="U103" i="1"/>
  <c r="U106" i="1" s="1"/>
  <c r="O140" i="1"/>
  <c r="O158" i="7"/>
  <c r="O100" i="1"/>
  <c r="O126" i="8"/>
  <c r="O109" i="1"/>
  <c r="O106" i="1"/>
  <c r="O114" i="1"/>
  <c r="O150" i="7"/>
  <c r="O153" i="7" s="1"/>
  <c r="O169" i="1"/>
  <c r="O86" i="1"/>
  <c r="O154" i="1"/>
  <c r="N106" i="1"/>
  <c r="N140" i="1"/>
  <c r="N126" i="8"/>
  <c r="N150" i="7"/>
  <c r="N153" i="7" s="1"/>
  <c r="N100" i="1"/>
  <c r="N158" i="7"/>
  <c r="N114" i="1"/>
  <c r="N170" i="1" s="1"/>
  <c r="N109" i="1"/>
  <c r="N86" i="1"/>
  <c r="R154" i="1"/>
  <c r="W124" i="8"/>
  <c r="U114" i="1"/>
  <c r="U126" i="8"/>
  <c r="U100" i="1"/>
  <c r="U109" i="1"/>
  <c r="U86" i="1"/>
  <c r="U169" i="1"/>
  <c r="U150" i="7"/>
  <c r="U153" i="7" s="1"/>
  <c r="U140" i="1"/>
  <c r="U158" i="7"/>
  <c r="AD157" i="7"/>
  <c r="W110" i="1"/>
  <c r="W67" i="7"/>
  <c r="W115" i="1"/>
  <c r="W98" i="1"/>
  <c r="BX15" i="7"/>
  <c r="BX145" i="7" s="1"/>
  <c r="DL82" i="1"/>
  <c r="CJ164" i="7"/>
  <c r="CJ162" i="7"/>
  <c r="AM29" i="7"/>
  <c r="AM24" i="7" s="1"/>
  <c r="AN88" i="7"/>
  <c r="AN90" i="7" s="1"/>
  <c r="BN88" i="7"/>
  <c r="BN90" i="7" s="1"/>
  <c r="CT90" i="7" s="1"/>
  <c r="CT92" i="7" s="1"/>
  <c r="BM94" i="7"/>
  <c r="CR174" i="7"/>
  <c r="CR170" i="7"/>
  <c r="CR163" i="7"/>
  <c r="CR178" i="7"/>
  <c r="CI147" i="7"/>
  <c r="CJ156" i="7"/>
  <c r="CM141" i="7"/>
  <c r="CM117" i="7"/>
  <c r="CM139" i="7" s="1"/>
  <c r="BI164" i="7"/>
  <c r="BI162" i="7"/>
  <c r="BK79" i="7"/>
  <c r="BJ94" i="7"/>
  <c r="CO162" i="7"/>
  <c r="CL162" i="7"/>
  <c r="CL164" i="7"/>
  <c r="CN164" i="7"/>
  <c r="CN162" i="7"/>
  <c r="CA57" i="7"/>
  <c r="BZ68" i="7"/>
  <c r="AM79" i="7"/>
  <c r="AL94" i="7"/>
  <c r="AL84" i="7"/>
  <c r="AL97" i="7" s="1"/>
  <c r="AL82" i="7"/>
  <c r="BY145" i="1"/>
  <c r="BY18" i="1"/>
  <c r="BY160" i="1"/>
  <c r="CB295" i="1"/>
  <c r="CB291" i="1" s="1"/>
  <c r="CA296" i="1"/>
  <c r="CV234" i="1"/>
  <c r="CV299" i="1"/>
  <c r="CV300" i="1" s="1"/>
  <c r="CV292" i="1"/>
  <c r="CV13" i="1"/>
  <c r="CV145" i="1" s="1"/>
  <c r="BZ293" i="1"/>
  <c r="BZ13" i="1"/>
  <c r="BZ11" i="1" s="1"/>
  <c r="BZ292" i="1"/>
  <c r="BJ169" i="1"/>
  <c r="BI154" i="1"/>
  <c r="BI158" i="7"/>
  <c r="BI106" i="1"/>
  <c r="J86" i="1"/>
  <c r="N154" i="1"/>
  <c r="J106" i="1"/>
  <c r="J140" i="1"/>
  <c r="J114" i="1"/>
  <c r="J126" i="8"/>
  <c r="J100" i="1"/>
  <c r="J169" i="1"/>
  <c r="J109" i="1"/>
  <c r="K169" i="1"/>
  <c r="BI150" i="7"/>
  <c r="BI153" i="7" s="1"/>
  <c r="BI109" i="1"/>
  <c r="DN85" i="1"/>
  <c r="DN86" i="1" s="1"/>
  <c r="DN82" i="1"/>
  <c r="CE78" i="1"/>
  <c r="CF153" i="1" s="1"/>
  <c r="CE72" i="1"/>
  <c r="CE138" i="1"/>
  <c r="CE137" i="1"/>
  <c r="BI126" i="8"/>
  <c r="AJ126" i="8"/>
  <c r="AJ106" i="1"/>
  <c r="AK169" i="1"/>
  <c r="AJ169" i="1"/>
  <c r="AJ86" i="1"/>
  <c r="AJ109" i="1"/>
  <c r="AN154" i="1"/>
  <c r="AJ158" i="7"/>
  <c r="AJ140" i="1"/>
  <c r="AJ154" i="1"/>
  <c r="AM157" i="7"/>
  <c r="AJ150" i="7"/>
  <c r="AJ153" i="7" s="1"/>
  <c r="AJ114" i="1"/>
  <c r="AJ100" i="1"/>
  <c r="AK157" i="7"/>
  <c r="AL157" i="7"/>
  <c r="CE103" i="1"/>
  <c r="AJ90" i="7"/>
  <c r="AJ91" i="7" s="1"/>
  <c r="AI28" i="7"/>
  <c r="AI25" i="7"/>
  <c r="AI26" i="7"/>
  <c r="AI27" i="7"/>
  <c r="AI83" i="7"/>
  <c r="AI79" i="7"/>
  <c r="AH84" i="7"/>
  <c r="AH97" i="7" s="1"/>
  <c r="AH94" i="7"/>
  <c r="AH82" i="7"/>
  <c r="CL152" i="7"/>
  <c r="CL151" i="7"/>
  <c r="CK63" i="7"/>
  <c r="BZ19" i="1"/>
  <c r="BZ25" i="1" s="1"/>
  <c r="BZ131" i="1" s="1"/>
  <c r="BZ146" i="1"/>
  <c r="BZ161" i="1"/>
  <c r="CA319" i="1"/>
  <c r="CA318" i="1"/>
  <c r="CA14" i="1"/>
  <c r="CC325" i="1"/>
  <c r="CB317" i="1"/>
  <c r="CB326" i="1"/>
  <c r="BJ360" i="1"/>
  <c r="BK359" i="1"/>
  <c r="BX541" i="1"/>
  <c r="BX69" i="1" s="1"/>
  <c r="CC299" i="1"/>
  <c r="CB300" i="1"/>
  <c r="BX540" i="1"/>
  <c r="BX68" i="1" s="1"/>
  <c r="BX32" i="8"/>
  <c r="BX79" i="8" s="1"/>
  <c r="BX40" i="7"/>
  <c r="BX21" i="7"/>
  <c r="BX143" i="1"/>
  <c r="BX187" i="7" s="1"/>
  <c r="CA292" i="1"/>
  <c r="CA13" i="1"/>
  <c r="CA293" i="1"/>
  <c r="BX158" i="1"/>
  <c r="BX188" i="7" s="1"/>
  <c r="CP46" i="1"/>
  <c r="DQ46" i="1"/>
  <c r="AY60" i="1"/>
  <c r="CV25" i="1"/>
  <c r="CV131" i="1" s="1"/>
  <c r="AX45" i="1"/>
  <c r="AY59" i="1"/>
  <c r="AY382" i="1"/>
  <c r="AY401" i="1"/>
  <c r="AY402" i="1" s="1"/>
  <c r="AY205" i="1"/>
  <c r="AY396" i="1"/>
  <c r="DX88" i="1"/>
  <c r="CV88" i="1"/>
  <c r="BG212" i="1"/>
  <c r="BG214" i="1"/>
  <c r="BG309" i="1"/>
  <c r="BG308" i="1"/>
  <c r="BG303" i="1"/>
  <c r="CX89" i="1"/>
  <c r="CX88" i="1" s="1"/>
  <c r="CY90" i="1"/>
  <c r="AY444" i="1"/>
  <c r="AZ445" i="1"/>
  <c r="AP535" i="1"/>
  <c r="CO573" i="1"/>
  <c r="CO575" i="1" s="1"/>
  <c r="CO577" i="1" s="1"/>
  <c r="CO578" i="1" s="1"/>
  <c r="CW89" i="1"/>
  <c r="CC88" i="1"/>
  <c r="CW88" i="1" s="1"/>
  <c r="BI313" i="1"/>
  <c r="BH314" i="1"/>
  <c r="BH307" i="1"/>
  <c r="BV71" i="1"/>
  <c r="BV163" i="1"/>
  <c r="BV128" i="1"/>
  <c r="BV515" i="1"/>
  <c r="BV148" i="1"/>
  <c r="BV22" i="1"/>
  <c r="BW163" i="1"/>
  <c r="Z110" i="1"/>
  <c r="Z67" i="7"/>
  <c r="Z115" i="1"/>
  <c r="Z98" i="1"/>
  <c r="M110" i="1"/>
  <c r="M98" i="1"/>
  <c r="M115" i="1"/>
  <c r="BV119" i="7"/>
  <c r="CF139" i="1"/>
  <c r="CF98" i="1"/>
  <c r="CF85" i="1"/>
  <c r="CF82" i="1"/>
  <c r="AD114" i="1"/>
  <c r="AH155" i="1" s="1"/>
  <c r="AD150" i="7"/>
  <c r="AD153" i="7" s="1"/>
  <c r="AD86" i="1"/>
  <c r="AD126" i="8"/>
  <c r="AD109" i="1"/>
  <c r="AD100" i="1"/>
  <c r="AD154" i="1"/>
  <c r="AD158" i="7"/>
  <c r="AD140" i="1"/>
  <c r="AD106" i="1"/>
  <c r="M116" i="1"/>
  <c r="M104" i="1" s="1"/>
  <c r="M111" i="1"/>
  <c r="Z124" i="8"/>
  <c r="Z116" i="1"/>
  <c r="Z104" i="1" s="1"/>
  <c r="Z111" i="1"/>
  <c r="V103" i="1"/>
  <c r="V106" i="1" s="1"/>
  <c r="V126" i="8"/>
  <c r="V114" i="1"/>
  <c r="V158" i="7"/>
  <c r="V150" i="7"/>
  <c r="V153" i="7" s="1"/>
  <c r="V100" i="1"/>
  <c r="V109" i="1"/>
  <c r="V140" i="1"/>
  <c r="V154" i="1"/>
  <c r="V86" i="1"/>
  <c r="W169" i="1"/>
  <c r="V169" i="1"/>
  <c r="W157" i="7"/>
  <c r="M124" i="8"/>
  <c r="AE140" i="1"/>
  <c r="AE106" i="1"/>
  <c r="AE100" i="1"/>
  <c r="AE86" i="1"/>
  <c r="AE150" i="7"/>
  <c r="AE153" i="7" s="1"/>
  <c r="AE154" i="1"/>
  <c r="AE109" i="1"/>
  <c r="AE169" i="1"/>
  <c r="AE114" i="1"/>
  <c r="AE158" i="7"/>
  <c r="AE126" i="8"/>
  <c r="AF169" i="1"/>
  <c r="AI154" i="1"/>
  <c r="L100" i="1"/>
  <c r="O157" i="7"/>
  <c r="L109" i="1"/>
  <c r="L169" i="1"/>
  <c r="L126" i="8"/>
  <c r="M169" i="1"/>
  <c r="L140" i="1"/>
  <c r="L86" i="1"/>
  <c r="L114" i="1"/>
  <c r="L154" i="1"/>
  <c r="N157" i="7"/>
  <c r="L106" i="1"/>
  <c r="M157" i="7"/>
  <c r="AP55" i="1"/>
  <c r="BD22" i="1"/>
  <c r="BD71" i="1"/>
  <c r="BD515" i="1"/>
  <c r="BD522" i="1" s="1"/>
  <c r="BD128" i="1"/>
  <c r="BH148" i="1"/>
  <c r="CQ131" i="1"/>
  <c r="CQ518" i="1"/>
  <c r="AF157" i="7"/>
  <c r="CI139" i="1"/>
  <c r="CI98" i="1"/>
  <c r="CI85" i="1"/>
  <c r="CI82" i="1"/>
  <c r="CJ153" i="1"/>
  <c r="CS131" i="1"/>
  <c r="CS518" i="1"/>
  <c r="BU106" i="1"/>
  <c r="BU140" i="1"/>
  <c r="BU100" i="1"/>
  <c r="BU158" i="7"/>
  <c r="BU86" i="1"/>
  <c r="BU114" i="1"/>
  <c r="BU109" i="1"/>
  <c r="BU150" i="7"/>
  <c r="BU153" i="7" s="1"/>
  <c r="BU126" i="8"/>
  <c r="AG85" i="1"/>
  <c r="AG157" i="7" s="1"/>
  <c r="AG139" i="1"/>
  <c r="AG82" i="1"/>
  <c r="DM78" i="1"/>
  <c r="AG168" i="1"/>
  <c r="AH168" i="1"/>
  <c r="AG153" i="1"/>
  <c r="AK153" i="1"/>
  <c r="AH124" i="8"/>
  <c r="AH67" i="7"/>
  <c r="AH115" i="1"/>
  <c r="AH98" i="1"/>
  <c r="AH110" i="1"/>
  <c r="S109" i="1"/>
  <c r="S126" i="8"/>
  <c r="S169" i="1"/>
  <c r="S86" i="1"/>
  <c r="S140" i="1"/>
  <c r="S114" i="1"/>
  <c r="U157" i="7"/>
  <c r="W154" i="1"/>
  <c r="V157" i="7"/>
  <c r="T169" i="1"/>
  <c r="S100" i="1"/>
  <c r="S150" i="7"/>
  <c r="S153" i="7" s="1"/>
  <c r="S154" i="1"/>
  <c r="S158" i="7"/>
  <c r="CR129" i="1"/>
  <c r="CR516" i="1"/>
  <c r="BH139" i="1"/>
  <c r="BH82" i="1"/>
  <c r="BH85" i="1"/>
  <c r="BI168" i="1"/>
  <c r="Y85" i="1"/>
  <c r="Y153" i="1"/>
  <c r="Y139" i="1"/>
  <c r="Z168" i="1"/>
  <c r="Y82" i="1"/>
  <c r="Y168" i="1"/>
  <c r="AC153" i="1"/>
  <c r="BK163" i="1"/>
  <c r="BK71" i="1"/>
  <c r="BO152" i="1" s="1"/>
  <c r="DT21" i="1"/>
  <c r="BK515" i="1"/>
  <c r="BK522" i="1" s="1"/>
  <c r="BK128" i="1"/>
  <c r="BK22" i="1"/>
  <c r="BO148" i="1"/>
  <c r="CQ129" i="1"/>
  <c r="CQ516" i="1"/>
  <c r="CQ21" i="1"/>
  <c r="BO138" i="1"/>
  <c r="BO134" i="8"/>
  <c r="BO136" i="8" s="1"/>
  <c r="BO137" i="8" s="1"/>
  <c r="BO156" i="7"/>
  <c r="BO167" i="1"/>
  <c r="BO78" i="1"/>
  <c r="BO137" i="1"/>
  <c r="BO72" i="1"/>
  <c r="BO114" i="8"/>
  <c r="BO122" i="8" s="1"/>
  <c r="BO123" i="8" s="1"/>
  <c r="P86" i="1"/>
  <c r="P150" i="7"/>
  <c r="P153" i="7" s="1"/>
  <c r="P114" i="1"/>
  <c r="P140" i="1"/>
  <c r="P126" i="8"/>
  <c r="P109" i="1"/>
  <c r="P100" i="1"/>
  <c r="P106" i="1"/>
  <c r="P169" i="1"/>
  <c r="P158" i="7"/>
  <c r="T154" i="1"/>
  <c r="P157" i="7"/>
  <c r="P154" i="1"/>
  <c r="S103" i="1"/>
  <c r="BL163" i="1"/>
  <c r="BL71" i="1"/>
  <c r="BL128" i="1"/>
  <c r="BL515" i="1"/>
  <c r="BL522" i="1" s="1"/>
  <c r="BL148" i="1"/>
  <c r="BL22" i="1"/>
  <c r="BM163" i="1"/>
  <c r="DU21" i="1"/>
  <c r="CG114" i="8"/>
  <c r="CG122" i="8" s="1"/>
  <c r="CG123" i="8" s="1"/>
  <c r="CG72" i="1"/>
  <c r="CG78" i="1"/>
  <c r="CG138" i="1"/>
  <c r="CG134" i="8"/>
  <c r="CG136" i="8" s="1"/>
  <c r="CG137" i="8" s="1"/>
  <c r="CG156" i="7"/>
  <c r="CG137" i="1"/>
  <c r="CG152" i="1"/>
  <c r="BP22" i="1"/>
  <c r="BP71" i="1"/>
  <c r="BT152" i="1" s="1"/>
  <c r="BP515" i="1"/>
  <c r="BP522" i="1" s="1"/>
  <c r="BP128" i="1"/>
  <c r="BP148" i="1"/>
  <c r="BP163" i="1"/>
  <c r="BQ163" i="1"/>
  <c r="DV21" i="1"/>
  <c r="CU518" i="1"/>
  <c r="CU131" i="1"/>
  <c r="BS539" i="1"/>
  <c r="CU539" i="1" s="1"/>
  <c r="CU540" i="1"/>
  <c r="CL134" i="8"/>
  <c r="CL136" i="8" s="1"/>
  <c r="CL137" i="8" s="1"/>
  <c r="CL137" i="1"/>
  <c r="CL152" i="1"/>
  <c r="CL114" i="8"/>
  <c r="CL122" i="8" s="1"/>
  <c r="CL123" i="8" s="1"/>
  <c r="CL78" i="1"/>
  <c r="CM153" i="1" s="1"/>
  <c r="CL72" i="1"/>
  <c r="CL138" i="1"/>
  <c r="CL156" i="7"/>
  <c r="CT117" i="7"/>
  <c r="CT139" i="7" s="1"/>
  <c r="CT141" i="7"/>
  <c r="F109" i="1"/>
  <c r="F114" i="1"/>
  <c r="J155" i="1" s="1"/>
  <c r="F86" i="1"/>
  <c r="F100" i="1"/>
  <c r="F106" i="1"/>
  <c r="F140" i="1"/>
  <c r="J154" i="1"/>
  <c r="CH137" i="1"/>
  <c r="CH78" i="1"/>
  <c r="CH114" i="8"/>
  <c r="CH122" i="8" s="1"/>
  <c r="CH123" i="8" s="1"/>
  <c r="CH152" i="1"/>
  <c r="CH72" i="1"/>
  <c r="CH138" i="1"/>
  <c r="CH156" i="7"/>
  <c r="CI152" i="1"/>
  <c r="CH134" i="8"/>
  <c r="CH136" i="8" s="1"/>
  <c r="CH137" i="8" s="1"/>
  <c r="U153" i="1"/>
  <c r="Q139" i="1"/>
  <c r="Q82" i="1"/>
  <c r="Q168" i="1"/>
  <c r="Q153" i="1"/>
  <c r="Q85" i="1"/>
  <c r="R168" i="1"/>
  <c r="CK72" i="1"/>
  <c r="CK114" i="8"/>
  <c r="CK122" i="8" s="1"/>
  <c r="CK123" i="8" s="1"/>
  <c r="CK152" i="1"/>
  <c r="CK156" i="7"/>
  <c r="CK138" i="1"/>
  <c r="CK137" i="1"/>
  <c r="CK134" i="8"/>
  <c r="CK136" i="8" s="1"/>
  <c r="CK137" i="8" s="1"/>
  <c r="CK78" i="1"/>
  <c r="BS119" i="7"/>
  <c r="CR518" i="1"/>
  <c r="CR131" i="1"/>
  <c r="CR21" i="1"/>
  <c r="G169" i="1"/>
  <c r="G109" i="1"/>
  <c r="G86" i="1"/>
  <c r="K154" i="1"/>
  <c r="H169" i="1"/>
  <c r="G100" i="1"/>
  <c r="G114" i="1"/>
  <c r="G140" i="1"/>
  <c r="G106" i="1"/>
  <c r="CS517" i="1"/>
  <c r="CS130" i="1"/>
  <c r="CS21" i="1"/>
  <c r="CT517" i="1"/>
  <c r="CT130" i="1"/>
  <c r="CT21" i="1"/>
  <c r="CU148" i="1" s="1"/>
  <c r="BS71" i="1"/>
  <c r="BT167" i="1" s="1"/>
  <c r="BS163" i="1"/>
  <c r="BS22" i="1"/>
  <c r="BS515" i="1"/>
  <c r="BS128" i="1"/>
  <c r="BS148" i="1"/>
  <c r="BW148" i="1"/>
  <c r="BG22" i="1"/>
  <c r="BG515" i="1"/>
  <c r="BG522" i="1" s="1"/>
  <c r="BH163" i="1"/>
  <c r="BG71" i="1"/>
  <c r="BG148" i="1"/>
  <c r="BG128" i="1"/>
  <c r="BK148" i="1"/>
  <c r="DS21" i="1"/>
  <c r="BG163" i="1"/>
  <c r="CV249" i="1"/>
  <c r="CV250" i="1" s="1"/>
  <c r="CV12" i="1"/>
  <c r="CV242" i="1"/>
  <c r="BY230" i="1"/>
  <c r="BY231" i="1"/>
  <c r="BY237" i="1"/>
  <c r="CV229" i="1"/>
  <c r="BY159" i="1"/>
  <c r="BY11" i="1"/>
  <c r="BY144" i="1"/>
  <c r="BY17" i="1"/>
  <c r="CV17" i="1" s="1"/>
  <c r="BX23" i="1"/>
  <c r="CB249" i="1"/>
  <c r="CB241" i="1" s="1"/>
  <c r="CA250" i="1"/>
  <c r="BN112" i="7"/>
  <c r="BO102" i="7"/>
  <c r="AE25" i="7"/>
  <c r="AE28" i="7"/>
  <c r="AE26" i="7"/>
  <c r="AE27" i="7"/>
  <c r="AE83" i="7"/>
  <c r="BO83" i="7"/>
  <c r="BO84" i="7" s="1"/>
  <c r="BO97" i="7" s="1"/>
  <c r="BO85" i="7"/>
  <c r="CC42" i="7"/>
  <c r="CC549" i="1"/>
  <c r="CC550" i="1" s="1"/>
  <c r="CC76" i="1" s="1"/>
  <c r="CW76" i="1" s="1"/>
  <c r="CW550" i="1" s="1"/>
  <c r="CB167" i="7"/>
  <c r="CR131" i="8"/>
  <c r="CR130" i="8"/>
  <c r="AF29" i="7"/>
  <c r="AF24" i="7" s="1"/>
  <c r="AG88" i="7"/>
  <c r="AG90" i="7" s="1"/>
  <c r="AG92" i="7" s="1"/>
  <c r="BM164" i="7"/>
  <c r="BM162" i="7"/>
  <c r="AU28" i="7"/>
  <c r="AU26" i="7"/>
  <c r="AU27" i="7"/>
  <c r="AU25" i="7"/>
  <c r="AU83" i="7"/>
  <c r="AU79" i="7"/>
  <c r="AT84" i="7"/>
  <c r="AT97" i="7" s="1"/>
  <c r="AT82" i="7"/>
  <c r="AT94" i="7"/>
  <c r="AV91" i="7"/>
  <c r="BE489" i="1"/>
  <c r="BE37" i="1"/>
  <c r="BE490" i="1"/>
  <c r="CQ488" i="1"/>
  <c r="AV380" i="1"/>
  <c r="CO378" i="1"/>
  <c r="AW380" i="1"/>
  <c r="AV537" i="1"/>
  <c r="AV536" i="1"/>
  <c r="AP120" i="7"/>
  <c r="AP142" i="7" s="1"/>
  <c r="AP130" i="7"/>
  <c r="AP134" i="7"/>
  <c r="AP146" i="7"/>
  <c r="DR50" i="1"/>
  <c r="CO527" i="1"/>
  <c r="CO130" i="1"/>
  <c r="CU535" i="1"/>
  <c r="AX62" i="1"/>
  <c r="DR64" i="1"/>
  <c r="BD50" i="1"/>
  <c r="BD64" i="1" s="1"/>
  <c r="BF495" i="1"/>
  <c r="BF488" i="1"/>
  <c r="BG494" i="1"/>
  <c r="CO28" i="1"/>
  <c r="AV11" i="1"/>
  <c r="AV41" i="1"/>
  <c r="AP131" i="8"/>
  <c r="AP147" i="7"/>
  <c r="AP118" i="7"/>
  <c r="AP620" i="1"/>
  <c r="AP135" i="1"/>
  <c r="AP134" i="1"/>
  <c r="AP133" i="1"/>
  <c r="AP151" i="7"/>
  <c r="AP623" i="1"/>
  <c r="AP621" i="1"/>
  <c r="AP131" i="7"/>
  <c r="AP554" i="1"/>
  <c r="AP129" i="7"/>
  <c r="AP622" i="1"/>
  <c r="AP101" i="7"/>
  <c r="AP143" i="1"/>
  <c r="AP187" i="7" s="1"/>
  <c r="AP158" i="1"/>
  <c r="AP188" i="7" s="1"/>
  <c r="AP145" i="7"/>
  <c r="AP53" i="1"/>
  <c r="AT143" i="1"/>
  <c r="AT187" i="7" s="1"/>
  <c r="BC111" i="1"/>
  <c r="BC116" i="1"/>
  <c r="BC104" i="1" s="1"/>
  <c r="BC98" i="1"/>
  <c r="BC110" i="1"/>
  <c r="BC67" i="7"/>
  <c r="BC115" i="1"/>
  <c r="BW71" i="1"/>
  <c r="DW67" i="1"/>
  <c r="BW135" i="1"/>
  <c r="BW166" i="1"/>
  <c r="BW151" i="1"/>
  <c r="BE158" i="7"/>
  <c r="BE150" i="7"/>
  <c r="BE153" i="7" s="1"/>
  <c r="BE106" i="1"/>
  <c r="BE140" i="1"/>
  <c r="BE126" i="8"/>
  <c r="BE109" i="1"/>
  <c r="BE100" i="1"/>
  <c r="BE86" i="1"/>
  <c r="BE114" i="1"/>
  <c r="BI155" i="1" s="1"/>
  <c r="AO111" i="1"/>
  <c r="AO116" i="1"/>
  <c r="AO104" i="1" s="1"/>
  <c r="AO124" i="8"/>
  <c r="AO170" i="1"/>
  <c r="BM85" i="1"/>
  <c r="BN169" i="1" s="1"/>
  <c r="BM82" i="1"/>
  <c r="BM139" i="1"/>
  <c r="BM153" i="1"/>
  <c r="BN168" i="1"/>
  <c r="AO115" i="1"/>
  <c r="AO67" i="7"/>
  <c r="AO98" i="1"/>
  <c r="AO110" i="1"/>
  <c r="BN150" i="7"/>
  <c r="BN153" i="7" s="1"/>
  <c r="BN126" i="8"/>
  <c r="BN140" i="1"/>
  <c r="BN109" i="1"/>
  <c r="BN106" i="1"/>
  <c r="BN86" i="1"/>
  <c r="BN100" i="1"/>
  <c r="BN158" i="7"/>
  <c r="BN114" i="1"/>
  <c r="BN154" i="1"/>
  <c r="CQ399" i="1"/>
  <c r="DQ61" i="1"/>
  <c r="CP61" i="1"/>
  <c r="CP529" i="1" s="1"/>
  <c r="AW54" i="1"/>
  <c r="AW128" i="1"/>
  <c r="AW71" i="1"/>
  <c r="AW515" i="1"/>
  <c r="AW522" i="1" s="1"/>
  <c r="BG411" i="1"/>
  <c r="BG398" i="1"/>
  <c r="BG410" i="1"/>
  <c r="DS409" i="1"/>
  <c r="CN602" i="1"/>
  <c r="CN603" i="1"/>
  <c r="CN594" i="1"/>
  <c r="CO590" i="1" s="1"/>
  <c r="CQ129" i="8"/>
  <c r="CQ51" i="8"/>
  <c r="BX37" i="7"/>
  <c r="BX16" i="7"/>
  <c r="BX146" i="7" s="1"/>
  <c r="DO402" i="1"/>
  <c r="DP402" i="1"/>
  <c r="CZ47" i="7"/>
  <c r="CA12" i="1"/>
  <c r="DX12" i="1" s="1"/>
  <c r="CA229" i="1"/>
  <c r="CA243" i="1"/>
  <c r="CA242" i="1"/>
  <c r="BI419" i="1"/>
  <c r="BH429" i="1"/>
  <c r="BH416" i="1"/>
  <c r="BH420" i="1"/>
  <c r="BC90" i="7"/>
  <c r="BC91" i="7" s="1"/>
  <c r="DQ438" i="1"/>
  <c r="DQ209" i="1"/>
  <c r="DQ443" i="1"/>
  <c r="DQ444" i="1" s="1"/>
  <c r="CU117" i="7"/>
  <c r="CU139" i="7" s="1"/>
  <c r="CU140" i="7"/>
  <c r="BK423" i="1"/>
  <c r="BL422" i="1"/>
  <c r="BZ231" i="1"/>
  <c r="BZ237" i="1"/>
  <c r="BZ230" i="1"/>
  <c r="CF102" i="8"/>
  <c r="CG100" i="8" s="1"/>
  <c r="CG102" i="8" s="1"/>
  <c r="CH100" i="8" s="1"/>
  <c r="CH102" i="8" s="1"/>
  <c r="CI100" i="8" s="1"/>
  <c r="CI102" i="8" s="1"/>
  <c r="CJ100" i="8" s="1"/>
  <c r="CJ102" i="8" s="1"/>
  <c r="CF53" i="8"/>
  <c r="CF55" i="8" s="1"/>
  <c r="DW128" i="1"/>
  <c r="DW22" i="1"/>
  <c r="BI111" i="1"/>
  <c r="BI116" i="1"/>
  <c r="BS112" i="7"/>
  <c r="BT102" i="7"/>
  <c r="BI268" i="1"/>
  <c r="BJ267" i="1"/>
  <c r="BI261" i="1"/>
  <c r="BG418" i="1"/>
  <c r="BG30" i="1"/>
  <c r="BG417" i="1"/>
  <c r="BB59" i="1"/>
  <c r="BB83" i="7"/>
  <c r="BB25" i="7"/>
  <c r="BB28" i="7"/>
  <c r="BB27" i="7"/>
  <c r="BB26" i="7"/>
  <c r="BC47" i="1"/>
  <c r="BC61" i="1" s="1"/>
  <c r="DR61" i="1" s="1"/>
  <c r="DR34" i="1"/>
  <c r="DR146" i="1" s="1"/>
  <c r="AX205" i="1"/>
  <c r="AX396" i="1"/>
  <c r="AX382" i="1"/>
  <c r="DQ395" i="1"/>
  <c r="AX397" i="1"/>
  <c r="AX401" i="1"/>
  <c r="AY397" i="1"/>
  <c r="AC115" i="1"/>
  <c r="AC110" i="1"/>
  <c r="AC98" i="1"/>
  <c r="AC67" i="7"/>
  <c r="AC116" i="1"/>
  <c r="AC111" i="1"/>
  <c r="BZ144" i="1"/>
  <c r="BZ17" i="1"/>
  <c r="BZ23" i="1" s="1"/>
  <c r="BZ159" i="1"/>
  <c r="N100" i="8"/>
  <c r="M103" i="8"/>
  <c r="N53" i="8"/>
  <c r="N55" i="8" s="1"/>
  <c r="BQ86" i="1"/>
  <c r="BQ106" i="1"/>
  <c r="BQ100" i="1"/>
  <c r="BQ109" i="1"/>
  <c r="BQ114" i="1"/>
  <c r="BQ140" i="1"/>
  <c r="BQ158" i="7"/>
  <c r="BQ150" i="7"/>
  <c r="BQ153" i="7" s="1"/>
  <c r="BQ126" i="8"/>
  <c r="BU154" i="1"/>
  <c r="DQ45" i="1"/>
  <c r="CP45" i="1"/>
  <c r="BI124" i="8"/>
  <c r="AZ82" i="7"/>
  <c r="BA79" i="7"/>
  <c r="AZ84" i="7"/>
  <c r="AZ97" i="7" s="1"/>
  <c r="AZ94" i="7"/>
  <c r="BN213" i="1"/>
  <c r="BN282" i="1"/>
  <c r="BN283" i="1"/>
  <c r="CU71" i="1"/>
  <c r="CU128" i="1"/>
  <c r="CU515" i="1"/>
  <c r="CU22" i="1"/>
  <c r="AW524" i="1"/>
  <c r="AW129" i="1"/>
  <c r="CO56" i="1"/>
  <c r="BD459" i="1"/>
  <c r="BD458" i="1"/>
  <c r="BD34" i="1"/>
  <c r="BD437" i="1"/>
  <c r="BE400" i="1"/>
  <c r="BE399" i="1"/>
  <c r="AD170" i="1"/>
  <c r="AC124" i="8"/>
  <c r="AC170" i="1"/>
  <c r="BF463" i="1"/>
  <c r="BE457" i="1"/>
  <c r="BE464" i="1"/>
  <c r="CM98" i="1"/>
  <c r="CM82" i="1"/>
  <c r="CM139" i="1"/>
  <c r="CM85" i="1"/>
  <c r="AI56" i="8"/>
  <c r="AI103" i="8"/>
  <c r="AJ53" i="8"/>
  <c r="AJ55" i="8" s="1"/>
  <c r="BT85" i="7"/>
  <c r="BT83" i="7"/>
  <c r="BT84" i="7" s="1"/>
  <c r="BT97" i="7" s="1"/>
  <c r="CQ457" i="1"/>
  <c r="CP32" i="1"/>
  <c r="AX59" i="1"/>
  <c r="DQ32" i="1"/>
  <c r="DQ145" i="1" s="1"/>
  <c r="AY445" i="1"/>
  <c r="BB444" i="1"/>
  <c r="AX444" i="1"/>
  <c r="AX445" i="1"/>
  <c r="AU379" i="1"/>
  <c r="DO378" i="1"/>
  <c r="AQ380" i="1"/>
  <c r="AQ537" i="1"/>
  <c r="AQ536" i="1"/>
  <c r="AQ379" i="1"/>
  <c r="CG112" i="7"/>
  <c r="CG102" i="7"/>
  <c r="BF398" i="1"/>
  <c r="BF410" i="1"/>
  <c r="BF411" i="1"/>
  <c r="CO530" i="1"/>
  <c r="CO131" i="1"/>
  <c r="AR85" i="7"/>
  <c r="AQ102" i="8"/>
  <c r="AR100" i="8"/>
  <c r="CN131" i="1"/>
  <c r="CN530" i="1"/>
  <c r="X155" i="1"/>
  <c r="X124" i="8"/>
  <c r="X170" i="1"/>
  <c r="AB155" i="1"/>
  <c r="X110" i="1"/>
  <c r="X98" i="1"/>
  <c r="X115" i="1"/>
  <c r="X67" i="7"/>
  <c r="AW619" i="1"/>
  <c r="DQ47" i="1"/>
  <c r="CP47" i="1"/>
  <c r="CA234" i="1"/>
  <c r="CA235" i="1"/>
  <c r="BC438" i="1"/>
  <c r="BC443" i="1"/>
  <c r="BC439" i="1"/>
  <c r="BC32" i="1"/>
  <c r="DR437" i="1"/>
  <c r="DR216" i="1"/>
  <c r="DR399" i="1"/>
  <c r="CS213" i="1"/>
  <c r="CS282" i="1"/>
  <c r="CS287" i="1"/>
  <c r="CS288" i="1" s="1"/>
  <c r="BC130" i="8"/>
  <c r="BC131" i="8"/>
  <c r="CN402" i="1"/>
  <c r="CO402" i="1"/>
  <c r="BH210" i="1"/>
  <c r="BH263" i="1"/>
  <c r="BH262" i="1"/>
  <c r="AK104" i="1"/>
  <c r="BG431" i="1"/>
  <c r="BG430" i="1"/>
  <c r="DS429" i="1"/>
  <c r="DR211" i="1"/>
  <c r="DR458" i="1"/>
  <c r="DR463" i="1"/>
  <c r="DR464" i="1" s="1"/>
  <c r="BB140" i="1"/>
  <c r="BB150" i="7"/>
  <c r="BB153" i="7" s="1"/>
  <c r="BB126" i="8"/>
  <c r="BB106" i="1"/>
  <c r="BB109" i="1"/>
  <c r="BB114" i="1"/>
  <c r="BB86" i="1"/>
  <c r="BB100" i="1"/>
  <c r="BB158" i="7"/>
  <c r="BC169" i="1"/>
  <c r="CP443" i="1"/>
  <c r="CP209" i="1"/>
  <c r="CP438" i="1"/>
  <c r="AQ41" i="1"/>
  <c r="AQ40" i="1" s="1"/>
  <c r="CN28" i="1"/>
  <c r="AQ11" i="1"/>
  <c r="CH85" i="7"/>
  <c r="CH83" i="7"/>
  <c r="CH84" i="7" s="1"/>
  <c r="CH97" i="7" s="1"/>
  <c r="BT156" i="7"/>
  <c r="BT137" i="1"/>
  <c r="BT138" i="1"/>
  <c r="BT78" i="1"/>
  <c r="BT114" i="8"/>
  <c r="BT122" i="8" s="1"/>
  <c r="BT123" i="8" s="1"/>
  <c r="BT72" i="1"/>
  <c r="BT134" i="8"/>
  <c r="BT136" i="8" s="1"/>
  <c r="BT137" i="8" s="1"/>
  <c r="BU167" i="1"/>
  <c r="BI110" i="1"/>
  <c r="BI98" i="1"/>
  <c r="BI67" i="7"/>
  <c r="BI115" i="1"/>
  <c r="AQ112" i="7"/>
  <c r="AR102" i="7"/>
  <c r="BO281" i="1"/>
  <c r="BP287" i="1"/>
  <c r="BO288" i="1"/>
  <c r="CO53" i="8"/>
  <c r="CO55" i="8" s="1"/>
  <c r="CN56" i="8"/>
  <c r="CN103" i="8"/>
  <c r="DS416" i="1"/>
  <c r="BF43" i="1"/>
  <c r="BF57" i="1" s="1"/>
  <c r="DS30" i="1"/>
  <c r="AR26" i="7"/>
  <c r="AR25" i="7"/>
  <c r="AR28" i="7"/>
  <c r="AR27" i="7"/>
  <c r="AR83" i="7"/>
  <c r="AR84" i="7" s="1"/>
  <c r="AR97" i="7" s="1"/>
  <c r="X106" i="1"/>
  <c r="AW140" i="7"/>
  <c r="AH104" i="1"/>
  <c r="AW130" i="7"/>
  <c r="AW134" i="7"/>
  <c r="AW146" i="7"/>
  <c r="AW120" i="7"/>
  <c r="AW142" i="7" s="1"/>
  <c r="BJ349" i="1"/>
  <c r="BI350" i="1"/>
  <c r="CC245" i="1"/>
  <c r="CW245" i="1" s="1"/>
  <c r="CB246" i="1"/>
  <c r="AY112" i="7" l="1"/>
  <c r="AZ102" i="7"/>
  <c r="BF453" i="1"/>
  <c r="BE454" i="1"/>
  <c r="BE447" i="1"/>
  <c r="DR448" i="1"/>
  <c r="DR210" i="1"/>
  <c r="DR453" i="1"/>
  <c r="DR454" i="1" s="1"/>
  <c r="BD33" i="1"/>
  <c r="BD46" i="1" s="1"/>
  <c r="BD60" i="1" s="1"/>
  <c r="BD449" i="1"/>
  <c r="BD448" i="1"/>
  <c r="CQ447" i="1"/>
  <c r="BC46" i="1"/>
  <c r="DR33" i="1"/>
  <c r="BY587" i="1"/>
  <c r="BY586" i="1" s="1"/>
  <c r="BY572" i="1" s="1"/>
  <c r="CV572" i="1" s="1"/>
  <c r="CP567" i="1"/>
  <c r="AJ602" i="1"/>
  <c r="AJ594" i="1"/>
  <c r="AK590" i="1" s="1"/>
  <c r="AJ603" i="1"/>
  <c r="K106" i="1"/>
  <c r="AU619" i="1"/>
  <c r="CB233" i="1"/>
  <c r="AY56" i="1"/>
  <c r="DQ56" i="1" s="1"/>
  <c r="DQ129" i="1" s="1"/>
  <c r="CF103" i="1"/>
  <c r="DQ63" i="1"/>
  <c r="BF253" i="1"/>
  <c r="BF258" i="1"/>
  <c r="BF259" i="1"/>
  <c r="CP31" i="1"/>
  <c r="BA44" i="1"/>
  <c r="CP44" i="1" s="1"/>
  <c r="BI277" i="1"/>
  <c r="BH278" i="1"/>
  <c r="BH271" i="1"/>
  <c r="BA36" i="1"/>
  <c r="BA480" i="1"/>
  <c r="BA479" i="1"/>
  <c r="BA213" i="1"/>
  <c r="BA468" i="1"/>
  <c r="BA395" i="1" s="1"/>
  <c r="AS380" i="1"/>
  <c r="AR379" i="1"/>
  <c r="AR536" i="1"/>
  <c r="DP378" i="1"/>
  <c r="AR537" i="1"/>
  <c r="CN378" i="1"/>
  <c r="DL106" i="1"/>
  <c r="DL100" i="1"/>
  <c r="BB31" i="1"/>
  <c r="BB44" i="1" s="1"/>
  <c r="BB428" i="1"/>
  <c r="BB406" i="1"/>
  <c r="BB427" i="1"/>
  <c r="AU53" i="1"/>
  <c r="AU120" i="7"/>
  <c r="AU142" i="7" s="1"/>
  <c r="AU130" i="7"/>
  <c r="AU134" i="7"/>
  <c r="AU146" i="7"/>
  <c r="BA408" i="1"/>
  <c r="BA206" i="1"/>
  <c r="BA407" i="1"/>
  <c r="BA29" i="1"/>
  <c r="BA412" i="1"/>
  <c r="BG272" i="1"/>
  <c r="BG211" i="1"/>
  <c r="BG273" i="1"/>
  <c r="BG257" i="1"/>
  <c r="BG209" i="1"/>
  <c r="DQ469" i="1"/>
  <c r="DQ474" i="1"/>
  <c r="DQ475" i="1" s="1"/>
  <c r="DQ212" i="1"/>
  <c r="AZ49" i="1"/>
  <c r="AZ48" i="1" s="1"/>
  <c r="DP28" i="1"/>
  <c r="AR11" i="1"/>
  <c r="AR41" i="1"/>
  <c r="BE255" i="1"/>
  <c r="BE374" i="1"/>
  <c r="BH218" i="1"/>
  <c r="BH347" i="1"/>
  <c r="BI346" i="1"/>
  <c r="BH356" i="1"/>
  <c r="BH343" i="1"/>
  <c r="AR130" i="1"/>
  <c r="DP59" i="1"/>
  <c r="DP130" i="1" s="1"/>
  <c r="CN59" i="1"/>
  <c r="BR141" i="7"/>
  <c r="BR117" i="7"/>
  <c r="BR139" i="7" s="1"/>
  <c r="BF216" i="1"/>
  <c r="BF368" i="1"/>
  <c r="BF367" i="1"/>
  <c r="AW379" i="1"/>
  <c r="AS537" i="1"/>
  <c r="AS536" i="1"/>
  <c r="AS379" i="1"/>
  <c r="AT120" i="7"/>
  <c r="AT142" i="7" s="1"/>
  <c r="AT134" i="7"/>
  <c r="AT146" i="7"/>
  <c r="AT130" i="7"/>
  <c r="CQ359" i="1"/>
  <c r="CQ208" i="1"/>
  <c r="CQ333" i="1"/>
  <c r="AR380" i="1"/>
  <c r="AV379" i="1"/>
  <c r="BD432" i="1"/>
  <c r="BC426" i="1"/>
  <c r="BC433" i="1"/>
  <c r="AY48" i="1"/>
  <c r="DQ49" i="1"/>
  <c r="AY129" i="1"/>
  <c r="CP427" i="1"/>
  <c r="CP208" i="1"/>
  <c r="CP432" i="1"/>
  <c r="AT535" i="1"/>
  <c r="K116" i="1"/>
  <c r="K111" i="1"/>
  <c r="BF354" i="1"/>
  <c r="BF208" i="1"/>
  <c r="BF355" i="1"/>
  <c r="BF329" i="1"/>
  <c r="BF331" i="1" s="1"/>
  <c r="BF333" i="1"/>
  <c r="CP478" i="1"/>
  <c r="AZ212" i="1"/>
  <c r="AZ35" i="1"/>
  <c r="AZ470" i="1"/>
  <c r="AZ474" i="1"/>
  <c r="AZ469" i="1"/>
  <c r="CP406" i="1"/>
  <c r="AZ413" i="1"/>
  <c r="AZ414" i="1"/>
  <c r="BG207" i="1"/>
  <c r="BG344" i="1"/>
  <c r="BG345" i="1"/>
  <c r="AS11" i="1"/>
  <c r="AS41" i="1"/>
  <c r="AT55" i="1"/>
  <c r="BE206" i="1"/>
  <c r="BE363" i="1"/>
  <c r="BE335" i="1"/>
  <c r="BE339" i="1"/>
  <c r="BE341" i="1" s="1"/>
  <c r="AS524" i="1"/>
  <c r="CN56" i="1"/>
  <c r="DP56" i="1"/>
  <c r="DP129" i="1" s="1"/>
  <c r="AS129" i="1"/>
  <c r="BF114" i="8"/>
  <c r="BF122" i="8" s="1"/>
  <c r="BF123" i="8" s="1"/>
  <c r="BF167" i="1"/>
  <c r="BF78" i="1"/>
  <c r="BF134" i="8"/>
  <c r="BF136" i="8" s="1"/>
  <c r="BF137" i="8" s="1"/>
  <c r="BJ152" i="1"/>
  <c r="BF137" i="1"/>
  <c r="BF138" i="1"/>
  <c r="BF152" i="1"/>
  <c r="BF156" i="7"/>
  <c r="BF72" i="1"/>
  <c r="CQ217" i="1"/>
  <c r="CQ366" i="1"/>
  <c r="CQ216" i="1" s="1"/>
  <c r="DS398" i="1"/>
  <c r="DN109" i="1"/>
  <c r="CC321" i="1"/>
  <c r="CC322" i="1" s="1"/>
  <c r="CB322" i="1"/>
  <c r="BV20" i="1"/>
  <c r="BR134" i="8"/>
  <c r="BR136" i="8" s="1"/>
  <c r="BR137" i="8" s="1"/>
  <c r="BR137" i="1"/>
  <c r="BR78" i="1"/>
  <c r="BR138" i="1"/>
  <c r="BR114" i="8"/>
  <c r="BR122" i="8" s="1"/>
  <c r="BR123" i="8" s="1"/>
  <c r="BR167" i="1"/>
  <c r="BR72" i="1"/>
  <c r="BR152" i="1"/>
  <c r="CP83" i="1"/>
  <c r="CQ557" i="1"/>
  <c r="BB485" i="1"/>
  <c r="BB478" i="1"/>
  <c r="BC484" i="1"/>
  <c r="AT380" i="1"/>
  <c r="K109" i="1"/>
  <c r="K126" i="8"/>
  <c r="K114" i="1"/>
  <c r="K124" i="8" s="1"/>
  <c r="K140" i="1"/>
  <c r="K100" i="1"/>
  <c r="K86" i="1"/>
  <c r="AZ58" i="1"/>
  <c r="AY475" i="1"/>
  <c r="AY476" i="1"/>
  <c r="BE216" i="1"/>
  <c r="BE368" i="1"/>
  <c r="AZ395" i="1"/>
  <c r="AZ56" i="1"/>
  <c r="BG338" i="1"/>
  <c r="BG217" i="1"/>
  <c r="BG366" i="1"/>
  <c r="BG337" i="1"/>
  <c r="BG357" i="1"/>
  <c r="BG358" i="1"/>
  <c r="BG219" i="1"/>
  <c r="BG353" i="1"/>
  <c r="BG333" i="1" s="1"/>
  <c r="AT620" i="1"/>
  <c r="AT632" i="1" s="1"/>
  <c r="AT101" i="7"/>
  <c r="AT131" i="7"/>
  <c r="AT134" i="1"/>
  <c r="AT133" i="1"/>
  <c r="AT131" i="8"/>
  <c r="AT53" i="1"/>
  <c r="AT554" i="1"/>
  <c r="AT622" i="1"/>
  <c r="AT634" i="1" s="1"/>
  <c r="AT151" i="7"/>
  <c r="AT623" i="1"/>
  <c r="AT135" i="1"/>
  <c r="AT118" i="7"/>
  <c r="AT140" i="7" s="1"/>
  <c r="AT621" i="1"/>
  <c r="AT129" i="7"/>
  <c r="CB292" i="1"/>
  <c r="CB293" i="1"/>
  <c r="AL111" i="1"/>
  <c r="AL116" i="1"/>
  <c r="AL104" i="1" s="1"/>
  <c r="AL110" i="1"/>
  <c r="AL98" i="1"/>
  <c r="AL67" i="7"/>
  <c r="AL115" i="1"/>
  <c r="AM170" i="1"/>
  <c r="AL124" i="8"/>
  <c r="AL170" i="1"/>
  <c r="BX196" i="7"/>
  <c r="BX20" i="7"/>
  <c r="BX27" i="8" s="1"/>
  <c r="BX195" i="7"/>
  <c r="BX23" i="8"/>
  <c r="BY209" i="7"/>
  <c r="BZ606" i="1"/>
  <c r="BZ209" i="7" s="1"/>
  <c r="U170" i="1"/>
  <c r="U124" i="8"/>
  <c r="N124" i="8"/>
  <c r="R155" i="1"/>
  <c r="N116" i="1"/>
  <c r="N104" i="1" s="1"/>
  <c r="N111" i="1"/>
  <c r="U116" i="1"/>
  <c r="U104" i="1" s="1"/>
  <c r="U111" i="1"/>
  <c r="O124" i="8"/>
  <c r="O170" i="1"/>
  <c r="O110" i="1"/>
  <c r="O115" i="1"/>
  <c r="O67" i="7"/>
  <c r="O98" i="1"/>
  <c r="CJ140" i="1"/>
  <c r="CJ150" i="7"/>
  <c r="CJ153" i="7" s="1"/>
  <c r="CJ100" i="1"/>
  <c r="CJ106" i="1"/>
  <c r="CJ109" i="1"/>
  <c r="CJ126" i="8"/>
  <c r="CJ114" i="1"/>
  <c r="CJ158" i="7"/>
  <c r="CJ157" i="7"/>
  <c r="CJ86" i="1"/>
  <c r="U115" i="1"/>
  <c r="U67" i="7"/>
  <c r="U98" i="1"/>
  <c r="U110" i="1"/>
  <c r="N115" i="1"/>
  <c r="N98" i="1"/>
  <c r="N67" i="7"/>
  <c r="N71" i="7" s="1"/>
  <c r="N72" i="7" s="1"/>
  <c r="N110" i="1"/>
  <c r="O111" i="1"/>
  <c r="O116" i="1"/>
  <c r="O104" i="1" s="1"/>
  <c r="DW71" i="1"/>
  <c r="DW72" i="1" s="1"/>
  <c r="AM85" i="7"/>
  <c r="CA68" i="7"/>
  <c r="CB57" i="7"/>
  <c r="BK102" i="7"/>
  <c r="BJ112" i="7"/>
  <c r="BM112" i="7"/>
  <c r="BN102" i="7"/>
  <c r="AN91" i="7"/>
  <c r="AL112" i="7"/>
  <c r="AM102" i="7"/>
  <c r="BK82" i="7"/>
  <c r="CS82" i="7" s="1"/>
  <c r="BK85" i="7"/>
  <c r="BK84" i="7"/>
  <c r="BK97" i="7" s="1"/>
  <c r="CR162" i="7"/>
  <c r="CR164" i="7"/>
  <c r="AM25" i="7"/>
  <c r="AM83" i="7"/>
  <c r="AM27" i="7"/>
  <c r="AM26" i="7"/>
  <c r="AM28" i="7"/>
  <c r="BZ160" i="1"/>
  <c r="BZ145" i="1"/>
  <c r="BZ18" i="1"/>
  <c r="BZ24" i="1" s="1"/>
  <c r="BZ130" i="1" s="1"/>
  <c r="CC295" i="1"/>
  <c r="CC296" i="1" s="1"/>
  <c r="CB296" i="1"/>
  <c r="CV18" i="1"/>
  <c r="CV16" i="1" s="1"/>
  <c r="BY24" i="1"/>
  <c r="J115" i="1"/>
  <c r="J110" i="1"/>
  <c r="J98" i="1"/>
  <c r="J111" i="1"/>
  <c r="J116" i="1"/>
  <c r="J104" i="1" s="1"/>
  <c r="DL109" i="1"/>
  <c r="AJ115" i="1"/>
  <c r="DN100" i="1"/>
  <c r="AJ98" i="1"/>
  <c r="AJ67" i="7"/>
  <c r="AJ110" i="1"/>
  <c r="DN106" i="1"/>
  <c r="AJ116" i="1"/>
  <c r="AJ111" i="1"/>
  <c r="CE98" i="1"/>
  <c r="CE82" i="1"/>
  <c r="CE85" i="1"/>
  <c r="CE106" i="1" s="1"/>
  <c r="CE139" i="1"/>
  <c r="AJ124" i="8"/>
  <c r="AN155" i="1"/>
  <c r="DN114" i="1"/>
  <c r="AJ170" i="1"/>
  <c r="AJ155" i="1"/>
  <c r="AK170" i="1"/>
  <c r="J124" i="8"/>
  <c r="N155" i="1"/>
  <c r="J170" i="1"/>
  <c r="AK88" i="7"/>
  <c r="AK90" i="7" s="1"/>
  <c r="AK92" i="7" s="1"/>
  <c r="AJ29" i="7"/>
  <c r="AJ24" i="7" s="1"/>
  <c r="AI85" i="7"/>
  <c r="AI84" i="7"/>
  <c r="AI97" i="7" s="1"/>
  <c r="AI94" i="7"/>
  <c r="AJ79" i="7"/>
  <c r="AI82" i="7"/>
  <c r="AH102" i="7"/>
  <c r="AH112" i="7"/>
  <c r="AI102" i="7"/>
  <c r="CV518" i="1"/>
  <c r="CB318" i="1"/>
  <c r="CB319" i="1"/>
  <c r="CB14" i="1"/>
  <c r="CC326" i="1"/>
  <c r="DX14" i="1"/>
  <c r="CA161" i="1"/>
  <c r="CA19" i="1"/>
  <c r="CA25" i="1" s="1"/>
  <c r="CA131" i="1" s="1"/>
  <c r="CA146" i="1"/>
  <c r="BK360" i="1"/>
  <c r="BL359" i="1"/>
  <c r="BX80" i="7"/>
  <c r="BX103" i="7" s="1"/>
  <c r="BX121" i="8"/>
  <c r="CB13" i="1"/>
  <c r="CB18" i="1" s="1"/>
  <c r="CB24" i="1" s="1"/>
  <c r="CB130" i="1" s="1"/>
  <c r="BX539" i="1"/>
  <c r="DX13" i="1"/>
  <c r="CA160" i="1"/>
  <c r="CA18" i="1"/>
  <c r="CA24" i="1" s="1"/>
  <c r="CA130" i="1" s="1"/>
  <c r="CA145" i="1"/>
  <c r="CC300" i="1"/>
  <c r="AH157" i="7"/>
  <c r="DQ60" i="1"/>
  <c r="CP60" i="1"/>
  <c r="CP528" i="1" s="1"/>
  <c r="AP619" i="1"/>
  <c r="AV535" i="1"/>
  <c r="AY130" i="1"/>
  <c r="AY527" i="1"/>
  <c r="BH303" i="1"/>
  <c r="BH212" i="1"/>
  <c r="BH308" i="1"/>
  <c r="BH309" i="1"/>
  <c r="BH214" i="1"/>
  <c r="AY378" i="1"/>
  <c r="AY390" i="1"/>
  <c r="AY383" i="1"/>
  <c r="AY28" i="1"/>
  <c r="BJ313" i="1"/>
  <c r="BI314" i="1"/>
  <c r="BI307" i="1"/>
  <c r="CR307" i="1" s="1"/>
  <c r="CY89" i="1"/>
  <c r="CY88" i="1" s="1"/>
  <c r="CZ90" i="1"/>
  <c r="V67" i="7"/>
  <c r="V110" i="1"/>
  <c r="V115" i="1"/>
  <c r="V98" i="1"/>
  <c r="AD116" i="1"/>
  <c r="AD104" i="1" s="1"/>
  <c r="AD111" i="1"/>
  <c r="AD98" i="1"/>
  <c r="AD115" i="1"/>
  <c r="AD110" i="1"/>
  <c r="AD67" i="7"/>
  <c r="CF140" i="1"/>
  <c r="CF86" i="1"/>
  <c r="CF157" i="7"/>
  <c r="CF114" i="1"/>
  <c r="CF109" i="1"/>
  <c r="CF126" i="8"/>
  <c r="CF100" i="1"/>
  <c r="CF150" i="7"/>
  <c r="BV141" i="7"/>
  <c r="BV117" i="7"/>
  <c r="BV139" i="7" s="1"/>
  <c r="BV72" i="1"/>
  <c r="BV134" i="8"/>
  <c r="BV136" i="8" s="1"/>
  <c r="BV137" i="8" s="1"/>
  <c r="BV137" i="1"/>
  <c r="BV156" i="7"/>
  <c r="BV114" i="8"/>
  <c r="BV122" i="8" s="1"/>
  <c r="BV123" i="8" s="1"/>
  <c r="BV138" i="1"/>
  <c r="BV78" i="1"/>
  <c r="BV167" i="1"/>
  <c r="BV152" i="1"/>
  <c r="CF106" i="1"/>
  <c r="Z155" i="1"/>
  <c r="W170" i="1"/>
  <c r="V170" i="1"/>
  <c r="V155" i="1"/>
  <c r="V124" i="8"/>
  <c r="V116" i="1"/>
  <c r="V104" i="1" s="1"/>
  <c r="V111" i="1"/>
  <c r="AD155" i="1"/>
  <c r="AD124" i="8"/>
  <c r="AE155" i="1"/>
  <c r="AE170" i="1"/>
  <c r="AF170" i="1"/>
  <c r="AE124" i="8"/>
  <c r="AI155" i="1"/>
  <c r="P115" i="1"/>
  <c r="P110" i="1"/>
  <c r="P67" i="7"/>
  <c r="P98" i="1"/>
  <c r="P124" i="8"/>
  <c r="P170" i="1"/>
  <c r="T155" i="1"/>
  <c r="P155" i="1"/>
  <c r="BO85" i="1"/>
  <c r="BO168" i="1"/>
  <c r="BO82" i="1"/>
  <c r="BO139" i="1"/>
  <c r="T170" i="1"/>
  <c r="S155" i="1"/>
  <c r="S170" i="1"/>
  <c r="W155" i="1"/>
  <c r="S124" i="8"/>
  <c r="BU124" i="8"/>
  <c r="BU115" i="1"/>
  <c r="BU67" i="7"/>
  <c r="BU98" i="1"/>
  <c r="BU110" i="1"/>
  <c r="L111" i="1"/>
  <c r="L116" i="1"/>
  <c r="L104" i="1" s="1"/>
  <c r="AE67" i="7"/>
  <c r="AE98" i="1"/>
  <c r="AE110" i="1"/>
  <c r="AE115" i="1"/>
  <c r="DT128" i="1"/>
  <c r="DT22" i="1"/>
  <c r="BU111" i="1"/>
  <c r="BU116" i="1"/>
  <c r="BU104" i="1" s="1"/>
  <c r="S106" i="1"/>
  <c r="CH103" i="1"/>
  <c r="BH109" i="1"/>
  <c r="BH100" i="1"/>
  <c r="BH114" i="1"/>
  <c r="BH158" i="7"/>
  <c r="BH126" i="8"/>
  <c r="BH150" i="7"/>
  <c r="BH153" i="7" s="1"/>
  <c r="BH140" i="1"/>
  <c r="BH106" i="1"/>
  <c r="BH86" i="1"/>
  <c r="BI169" i="1"/>
  <c r="DM85" i="1"/>
  <c r="DM86" i="1" s="1"/>
  <c r="DM82" i="1"/>
  <c r="AG114" i="1"/>
  <c r="AG158" i="7"/>
  <c r="AG100" i="1"/>
  <c r="AG140" i="1"/>
  <c r="AG150" i="7"/>
  <c r="AG153" i="7" s="1"/>
  <c r="AG86" i="1"/>
  <c r="AG126" i="8"/>
  <c r="AG106" i="1"/>
  <c r="AG109" i="1"/>
  <c r="DM109" i="1" s="1"/>
  <c r="AJ157" i="7"/>
  <c r="AG169" i="1"/>
  <c r="AK154" i="1"/>
  <c r="AI157" i="7"/>
  <c r="AH169" i="1"/>
  <c r="AG154" i="1"/>
  <c r="AE111" i="1"/>
  <c r="AE116" i="1"/>
  <c r="AE104" i="1" s="1"/>
  <c r="DL114" i="1"/>
  <c r="P111" i="1"/>
  <c r="P116" i="1"/>
  <c r="P104" i="1" s="1"/>
  <c r="CQ515" i="1"/>
  <c r="CQ522" i="1" s="1"/>
  <c r="CQ128" i="1"/>
  <c r="CQ71" i="1"/>
  <c r="CQ22" i="1"/>
  <c r="BK134" i="8"/>
  <c r="BK136" i="8" s="1"/>
  <c r="BK137" i="8" s="1"/>
  <c r="BK78" i="1"/>
  <c r="BK114" i="8"/>
  <c r="BK122" i="8" s="1"/>
  <c r="BK123" i="8" s="1"/>
  <c r="BK167" i="1"/>
  <c r="BK137" i="1"/>
  <c r="BK138" i="1"/>
  <c r="BK156" i="7"/>
  <c r="DT71" i="1"/>
  <c r="DT72" i="1" s="1"/>
  <c r="BK72" i="1"/>
  <c r="Y103" i="1"/>
  <c r="Y126" i="8"/>
  <c r="Y100" i="1"/>
  <c r="Y158" i="7"/>
  <c r="Y150" i="7"/>
  <c r="Y153" i="7" s="1"/>
  <c r="Z169" i="1"/>
  <c r="Y114" i="1"/>
  <c r="Y140" i="1"/>
  <c r="Y86" i="1"/>
  <c r="Y109" i="1"/>
  <c r="Y154" i="1"/>
  <c r="AB157" i="7"/>
  <c r="AC154" i="1"/>
  <c r="Z157" i="7"/>
  <c r="AA157" i="7"/>
  <c r="Y169" i="1"/>
  <c r="Y157" i="7"/>
  <c r="S115" i="1"/>
  <c r="S98" i="1"/>
  <c r="S110" i="1"/>
  <c r="S67" i="7"/>
  <c r="CI150" i="7"/>
  <c r="CI153" i="7" s="1"/>
  <c r="CI114" i="1"/>
  <c r="CI109" i="1"/>
  <c r="CI158" i="7"/>
  <c r="CI86" i="1"/>
  <c r="CI100" i="1"/>
  <c r="CI126" i="8"/>
  <c r="CI140" i="1"/>
  <c r="CI157" i="7"/>
  <c r="CJ154" i="1"/>
  <c r="BD72" i="1"/>
  <c r="BD78" i="1"/>
  <c r="BD114" i="8"/>
  <c r="BD122" i="8" s="1"/>
  <c r="BD123" i="8" s="1"/>
  <c r="BD137" i="1"/>
  <c r="BD134" i="8"/>
  <c r="BD136" i="8" s="1"/>
  <c r="BD137" i="8" s="1"/>
  <c r="BD138" i="1"/>
  <c r="BD156" i="7"/>
  <c r="BD167" i="1"/>
  <c r="BE167" i="1"/>
  <c r="BH152" i="1"/>
  <c r="M170" i="1"/>
  <c r="L155" i="1"/>
  <c r="L170" i="1"/>
  <c r="L124" i="8"/>
  <c r="L98" i="1"/>
  <c r="L110" i="1"/>
  <c r="L115" i="1"/>
  <c r="BP137" i="1"/>
  <c r="BP138" i="1"/>
  <c r="BP72" i="1"/>
  <c r="BP78" i="1"/>
  <c r="BT153" i="1" s="1"/>
  <c r="BP114" i="8"/>
  <c r="BP122" i="8" s="1"/>
  <c r="BP123" i="8" s="1"/>
  <c r="BP134" i="8"/>
  <c r="BP136" i="8" s="1"/>
  <c r="BP137" i="8" s="1"/>
  <c r="BP152" i="1"/>
  <c r="BP156" i="7"/>
  <c r="BQ167" i="1"/>
  <c r="DV71" i="1"/>
  <c r="DV72" i="1" s="1"/>
  <c r="BP167" i="1"/>
  <c r="BQ154" i="1"/>
  <c r="DS128" i="1"/>
  <c r="DS22" i="1"/>
  <c r="BG78" i="1"/>
  <c r="BG138" i="1"/>
  <c r="BH167" i="1"/>
  <c r="BG137" i="1"/>
  <c r="BG72" i="1"/>
  <c r="BG114" i="8"/>
  <c r="BG122" i="8" s="1"/>
  <c r="BG123" i="8" s="1"/>
  <c r="BK152" i="1"/>
  <c r="BG134" i="8"/>
  <c r="BG136" i="8" s="1"/>
  <c r="BG137" i="8" s="1"/>
  <c r="BG156" i="7"/>
  <c r="BG152" i="1"/>
  <c r="DS71" i="1"/>
  <c r="DS72" i="1" s="1"/>
  <c r="BG167" i="1"/>
  <c r="CT22" i="1"/>
  <c r="CT148" i="1"/>
  <c r="CT515" i="1"/>
  <c r="CT128" i="1"/>
  <c r="CT71" i="1"/>
  <c r="G170" i="1"/>
  <c r="H170" i="1"/>
  <c r="K155" i="1"/>
  <c r="CK98" i="1"/>
  <c r="CK139" i="1"/>
  <c r="CK153" i="1"/>
  <c r="CK82" i="1"/>
  <c r="CK85" i="1"/>
  <c r="Q140" i="1"/>
  <c r="Q169" i="1"/>
  <c r="Q114" i="1"/>
  <c r="R157" i="7"/>
  <c r="Q86" i="1"/>
  <c r="R169" i="1"/>
  <c r="Q154" i="1"/>
  <c r="Q157" i="7"/>
  <c r="Q100" i="1"/>
  <c r="Q158" i="7"/>
  <c r="Q150" i="7"/>
  <c r="Q153" i="7" s="1"/>
  <c r="Q109" i="1"/>
  <c r="U154" i="1"/>
  <c r="Q126" i="8"/>
  <c r="S157" i="7"/>
  <c r="T157" i="7"/>
  <c r="Q103" i="1"/>
  <c r="CG103" i="1" s="1"/>
  <c r="CH82" i="1"/>
  <c r="CH98" i="1"/>
  <c r="CH85" i="1"/>
  <c r="CH139" i="1"/>
  <c r="CH153" i="1"/>
  <c r="CI153" i="1"/>
  <c r="F111" i="1"/>
  <c r="F116" i="1"/>
  <c r="F104" i="1" s="1"/>
  <c r="G98" i="1"/>
  <c r="G115" i="1"/>
  <c r="G110" i="1"/>
  <c r="DU22" i="1"/>
  <c r="DU128" i="1"/>
  <c r="G116" i="1"/>
  <c r="G104" i="1" s="1"/>
  <c r="G111" i="1"/>
  <c r="CG85" i="1"/>
  <c r="CG139" i="1"/>
  <c r="CG98" i="1"/>
  <c r="CG82" i="1"/>
  <c r="CG153" i="1"/>
  <c r="F110" i="1"/>
  <c r="F98" i="1"/>
  <c r="F115" i="1"/>
  <c r="BS137" i="1"/>
  <c r="BS78" i="1"/>
  <c r="BT168" i="1" s="1"/>
  <c r="BS114" i="8"/>
  <c r="BS122" i="8" s="1"/>
  <c r="BS123" i="8" s="1"/>
  <c r="BS72" i="1"/>
  <c r="BS138" i="1"/>
  <c r="BS134" i="8"/>
  <c r="BS136" i="8" s="1"/>
  <c r="BS137" i="8" s="1"/>
  <c r="BS156" i="7"/>
  <c r="BS167" i="1"/>
  <c r="BS152" i="1"/>
  <c r="CS148" i="1"/>
  <c r="CS22" i="1"/>
  <c r="CS515" i="1"/>
  <c r="CS522" i="1" s="1"/>
  <c r="CS71" i="1"/>
  <c r="CS128" i="1"/>
  <c r="CR22" i="1"/>
  <c r="CR148" i="1"/>
  <c r="CR515" i="1"/>
  <c r="CR522" i="1" s="1"/>
  <c r="CR128" i="1"/>
  <c r="CR71" i="1"/>
  <c r="BS117" i="7"/>
  <c r="BS139" i="7" s="1"/>
  <c r="BS141" i="7"/>
  <c r="CL98" i="1"/>
  <c r="CL82" i="1"/>
  <c r="CL85" i="1"/>
  <c r="CM154" i="1" s="1"/>
  <c r="CL139" i="1"/>
  <c r="CL153" i="1"/>
  <c r="DV22" i="1"/>
  <c r="DV128" i="1"/>
  <c r="BL114" i="8"/>
  <c r="BL122" i="8" s="1"/>
  <c r="BL123" i="8" s="1"/>
  <c r="BL152" i="1"/>
  <c r="BL167" i="1"/>
  <c r="BL78" i="1"/>
  <c r="BL134" i="8"/>
  <c r="BL136" i="8" s="1"/>
  <c r="BL137" i="8" s="1"/>
  <c r="BL156" i="7"/>
  <c r="BL138" i="1"/>
  <c r="BL137" i="1"/>
  <c r="BL72" i="1"/>
  <c r="DU71" i="1"/>
  <c r="DU72" i="1" s="1"/>
  <c r="BM167" i="1"/>
  <c r="CC249" i="1"/>
  <c r="CC250" i="1" s="1"/>
  <c r="CB250" i="1"/>
  <c r="BX21" i="1"/>
  <c r="BX129" i="1"/>
  <c r="BY158" i="1"/>
  <c r="BY188" i="7" s="1"/>
  <c r="BY541" i="1"/>
  <c r="BY21" i="7"/>
  <c r="CV21" i="7" s="1"/>
  <c r="BY40" i="7"/>
  <c r="CV40" i="7" s="1"/>
  <c r="BY143" i="1"/>
  <c r="BY187" i="7" s="1"/>
  <c r="BY32" i="8"/>
  <c r="BY79" i="8" s="1"/>
  <c r="BY540" i="1"/>
  <c r="BY15" i="7"/>
  <c r="BY238" i="1"/>
  <c r="BY239" i="1"/>
  <c r="CV144" i="1"/>
  <c r="CV11" i="1"/>
  <c r="BY23" i="1"/>
  <c r="BY16" i="1"/>
  <c r="CV230" i="1"/>
  <c r="CV237" i="1"/>
  <c r="AF28" i="7"/>
  <c r="AF26" i="7"/>
  <c r="AF27" i="7"/>
  <c r="AF25" i="7"/>
  <c r="AF83" i="7"/>
  <c r="CW42" i="7"/>
  <c r="CC167" i="7"/>
  <c r="BO94" i="7"/>
  <c r="BP79" i="7"/>
  <c r="AE94" i="7"/>
  <c r="AF79" i="7"/>
  <c r="AE82" i="7"/>
  <c r="AE84" i="7"/>
  <c r="AE97" i="7" s="1"/>
  <c r="CP575" i="1"/>
  <c r="CP577" i="1" s="1"/>
  <c r="CP578" i="1" s="1"/>
  <c r="CP601" i="1"/>
  <c r="AW88" i="7"/>
  <c r="AW90" i="7" s="1"/>
  <c r="AV29" i="7"/>
  <c r="AV24" i="7" s="1"/>
  <c r="AU84" i="7"/>
  <c r="AU97" i="7" s="1"/>
  <c r="AU85" i="7"/>
  <c r="AU102" i="7"/>
  <c r="AT112" i="7"/>
  <c r="AV79" i="7"/>
  <c r="AU82" i="7"/>
  <c r="AU94" i="7"/>
  <c r="AP633" i="1"/>
  <c r="AT633" i="1"/>
  <c r="BF490" i="1"/>
  <c r="BF489" i="1"/>
  <c r="BF37" i="1"/>
  <c r="AX131" i="1"/>
  <c r="AX530" i="1"/>
  <c r="CQ489" i="1"/>
  <c r="CQ494" i="1"/>
  <c r="CQ495" i="1" s="1"/>
  <c r="AP148" i="1"/>
  <c r="AP128" i="1"/>
  <c r="AP54" i="1"/>
  <c r="AP71" i="1"/>
  <c r="AP163" i="1"/>
  <c r="AP515" i="1"/>
  <c r="AP522" i="1" s="1"/>
  <c r="AT148" i="1"/>
  <c r="AP632" i="1"/>
  <c r="AV55" i="1"/>
  <c r="CO55" i="1" s="1"/>
  <c r="CO523" i="1" s="1"/>
  <c r="AV40" i="1"/>
  <c r="AV53" i="1" s="1"/>
  <c r="AP119" i="7"/>
  <c r="AP141" i="7" s="1"/>
  <c r="AP634" i="1"/>
  <c r="AP140" i="7"/>
  <c r="AV133" i="1"/>
  <c r="AV623" i="1"/>
  <c r="AV620" i="1"/>
  <c r="AV135" i="1"/>
  <c r="AV131" i="8"/>
  <c r="AV554" i="1"/>
  <c r="AV118" i="7"/>
  <c r="AV151" i="7"/>
  <c r="AV101" i="7"/>
  <c r="AV131" i="7"/>
  <c r="AV621" i="1"/>
  <c r="AV134" i="1"/>
  <c r="AV129" i="7"/>
  <c r="AV622" i="1"/>
  <c r="AV158" i="1"/>
  <c r="AV188" i="7" s="1"/>
  <c r="CO11" i="1"/>
  <c r="AW158" i="1"/>
  <c r="AW188" i="7" s="1"/>
  <c r="AW147" i="7"/>
  <c r="AW145" i="7"/>
  <c r="AV143" i="1"/>
  <c r="AV187" i="7" s="1"/>
  <c r="BG495" i="1"/>
  <c r="BH494" i="1"/>
  <c r="BG488" i="1"/>
  <c r="DS488" i="1" s="1"/>
  <c r="CO537" i="1"/>
  <c r="CO536" i="1"/>
  <c r="CQ37" i="1"/>
  <c r="BE50" i="1"/>
  <c r="CQ50" i="1" s="1"/>
  <c r="BW137" i="1"/>
  <c r="BW134" i="8"/>
  <c r="BW167" i="1"/>
  <c r="BW138" i="1"/>
  <c r="BW156" i="7"/>
  <c r="BW152" i="1"/>
  <c r="BW114" i="8"/>
  <c r="BW78" i="1"/>
  <c r="BW82" i="1" s="1"/>
  <c r="BW72" i="1"/>
  <c r="BW205" i="7"/>
  <c r="BM109" i="1"/>
  <c r="BM106" i="1"/>
  <c r="BM158" i="7"/>
  <c r="BM114" i="1"/>
  <c r="BN170" i="1" s="1"/>
  <c r="BM150" i="7"/>
  <c r="BM153" i="7" s="1"/>
  <c r="BM86" i="1"/>
  <c r="BM100" i="1"/>
  <c r="BM140" i="1"/>
  <c r="BM126" i="8"/>
  <c r="BM154" i="1"/>
  <c r="BE98" i="1"/>
  <c r="BE67" i="7"/>
  <c r="BE115" i="1"/>
  <c r="BE110" i="1"/>
  <c r="BE116" i="1"/>
  <c r="BE104" i="1" s="1"/>
  <c r="BE111" i="1"/>
  <c r="BN115" i="1"/>
  <c r="BN67" i="7"/>
  <c r="BN98" i="1"/>
  <c r="BN110" i="1"/>
  <c r="BN124" i="8"/>
  <c r="BN155" i="1"/>
  <c r="BE124" i="8"/>
  <c r="BN111" i="1"/>
  <c r="BN116" i="1"/>
  <c r="BN104" i="1" s="1"/>
  <c r="BD88" i="7"/>
  <c r="BC94" i="7"/>
  <c r="BZ129" i="1"/>
  <c r="DS399" i="1"/>
  <c r="DS216" i="1"/>
  <c r="AQ134" i="7"/>
  <c r="AQ146" i="7"/>
  <c r="AQ130" i="7"/>
  <c r="AQ120" i="7"/>
  <c r="AQ142" i="7" s="1"/>
  <c r="DO40" i="1"/>
  <c r="BO283" i="1"/>
  <c r="BO213" i="1"/>
  <c r="BO282" i="1"/>
  <c r="AQ620" i="1"/>
  <c r="AQ53" i="1"/>
  <c r="AQ134" i="1"/>
  <c r="AQ623" i="1"/>
  <c r="AQ621" i="1"/>
  <c r="AQ622" i="1"/>
  <c r="AQ129" i="7"/>
  <c r="AQ118" i="7"/>
  <c r="AQ151" i="7"/>
  <c r="AQ133" i="1"/>
  <c r="AQ131" i="7"/>
  <c r="AQ554" i="1"/>
  <c r="AQ135" i="1"/>
  <c r="AQ143" i="1"/>
  <c r="AQ187" i="7" s="1"/>
  <c r="AQ131" i="8"/>
  <c r="DO11" i="1"/>
  <c r="AR145" i="7"/>
  <c r="AQ147" i="7"/>
  <c r="AR147" i="7"/>
  <c r="AQ158" i="1"/>
  <c r="AQ188" i="7" s="1"/>
  <c r="AQ145" i="7"/>
  <c r="AU143" i="1"/>
  <c r="AU187" i="7" s="1"/>
  <c r="AQ101" i="7"/>
  <c r="AR158" i="1"/>
  <c r="AR188" i="7" s="1"/>
  <c r="BB115" i="1"/>
  <c r="BB98" i="1"/>
  <c r="BB110" i="1"/>
  <c r="BB67" i="7"/>
  <c r="CX245" i="1"/>
  <c r="CW246" i="1"/>
  <c r="AW119" i="7"/>
  <c r="X111" i="1"/>
  <c r="X116" i="1"/>
  <c r="X104" i="1" s="1"/>
  <c r="CP53" i="8"/>
  <c r="CP55" i="8" s="1"/>
  <c r="CO103" i="8"/>
  <c r="CO56" i="8"/>
  <c r="AQ55" i="1"/>
  <c r="BX150" i="1"/>
  <c r="BX165" i="1"/>
  <c r="BX134" i="1"/>
  <c r="AR102" i="8"/>
  <c r="AS100" i="8"/>
  <c r="AS102" i="8" s="1"/>
  <c r="AX130" i="1"/>
  <c r="CP59" i="1"/>
  <c r="DQ59" i="1"/>
  <c r="DQ130" i="1" s="1"/>
  <c r="AX527" i="1"/>
  <c r="AJ103" i="8"/>
  <c r="AJ56" i="8"/>
  <c r="AK53" i="8"/>
  <c r="AK55" i="8" s="1"/>
  <c r="BG463" i="1"/>
  <c r="BF464" i="1"/>
  <c r="BF457" i="1"/>
  <c r="BD439" i="1"/>
  <c r="BD443" i="1"/>
  <c r="BD438" i="1"/>
  <c r="BD32" i="1"/>
  <c r="CO129" i="1"/>
  <c r="CO524" i="1"/>
  <c r="BX149" i="1"/>
  <c r="BX133" i="1"/>
  <c r="BX67" i="1"/>
  <c r="BX164" i="1"/>
  <c r="BQ124" i="8"/>
  <c r="BU155" i="1"/>
  <c r="DQ401" i="1"/>
  <c r="DQ402" i="1" s="1"/>
  <c r="DQ396" i="1"/>
  <c r="DQ205" i="1"/>
  <c r="BI262" i="1"/>
  <c r="BI210" i="1"/>
  <c r="BI263" i="1"/>
  <c r="CR261" i="1"/>
  <c r="BM422" i="1"/>
  <c r="BL423" i="1"/>
  <c r="BH430" i="1"/>
  <c r="BH431" i="1"/>
  <c r="CA237" i="1"/>
  <c r="CA230" i="1"/>
  <c r="CA231" i="1"/>
  <c r="BX19" i="7"/>
  <c r="BX18" i="7"/>
  <c r="BX191" i="7"/>
  <c r="BX17" i="7"/>
  <c r="BX192" i="7"/>
  <c r="BX24" i="8"/>
  <c r="CO603" i="1"/>
  <c r="CO602" i="1"/>
  <c r="CO594" i="1"/>
  <c r="CP590" i="1" s="1"/>
  <c r="BG399" i="1"/>
  <c r="BG400" i="1"/>
  <c r="BP281" i="1"/>
  <c r="BP288" i="1"/>
  <c r="BQ287" i="1"/>
  <c r="BK349" i="1"/>
  <c r="BJ350" i="1"/>
  <c r="DS417" i="1"/>
  <c r="DS207" i="1"/>
  <c r="DS422" i="1"/>
  <c r="DS423" i="1" s="1"/>
  <c r="DR32" i="1"/>
  <c r="DR145" i="1" s="1"/>
  <c r="CC246" i="1"/>
  <c r="CB12" i="1"/>
  <c r="CB229" i="1"/>
  <c r="CB242" i="1"/>
  <c r="CB243" i="1"/>
  <c r="AR94" i="7"/>
  <c r="AS79" i="7"/>
  <c r="AR82" i="7"/>
  <c r="CP444" i="1"/>
  <c r="BB124" i="8"/>
  <c r="BC170" i="1"/>
  <c r="DS430" i="1"/>
  <c r="DS219" i="1"/>
  <c r="DR209" i="1"/>
  <c r="DR438" i="1"/>
  <c r="DR443" i="1"/>
  <c r="DR444" i="1" s="1"/>
  <c r="BF400" i="1"/>
  <c r="BF399" i="1"/>
  <c r="AQ535" i="1"/>
  <c r="DO379" i="1"/>
  <c r="DP379" i="1"/>
  <c r="CU137" i="1"/>
  <c r="CU78" i="1"/>
  <c r="CU138" i="1"/>
  <c r="CU134" i="8"/>
  <c r="CU136" i="8" s="1"/>
  <c r="CU137" i="8" s="1"/>
  <c r="CU114" i="8"/>
  <c r="CU122" i="8" s="1"/>
  <c r="CU123" i="8" s="1"/>
  <c r="CU72" i="1"/>
  <c r="BA84" i="7"/>
  <c r="BA97" i="7" s="1"/>
  <c r="BA82" i="7"/>
  <c r="CP82" i="7" s="1"/>
  <c r="BA85" i="7"/>
  <c r="O53" i="8"/>
  <c r="O55" i="8" s="1"/>
  <c r="N56" i="8"/>
  <c r="AC104" i="1"/>
  <c r="AY384" i="1"/>
  <c r="AX390" i="1"/>
  <c r="DQ382" i="1"/>
  <c r="AX28" i="1"/>
  <c r="AX383" i="1"/>
  <c r="AX384" i="1"/>
  <c r="AX378" i="1"/>
  <c r="BC45" i="1"/>
  <c r="BC59" i="1" s="1"/>
  <c r="DR47" i="1"/>
  <c r="BJ261" i="1"/>
  <c r="BJ268" i="1"/>
  <c r="BK267" i="1"/>
  <c r="BI104" i="1"/>
  <c r="CF56" i="8"/>
  <c r="CG53" i="8"/>
  <c r="CG55" i="8" s="1"/>
  <c r="CF103" i="8"/>
  <c r="BH409" i="1"/>
  <c r="CA17" i="1"/>
  <c r="CA144" i="1"/>
  <c r="CA11" i="1"/>
  <c r="DX11" i="1" s="1"/>
  <c r="CA159" i="1"/>
  <c r="BX25" i="8"/>
  <c r="CQ131" i="8"/>
  <c r="CQ130" i="8"/>
  <c r="DS410" i="1"/>
  <c r="DS217" i="1"/>
  <c r="AW156" i="7"/>
  <c r="AW78" i="1"/>
  <c r="AW72" i="1"/>
  <c r="AW137" i="1"/>
  <c r="AW114" i="8"/>
  <c r="AW122" i="8" s="1"/>
  <c r="AW123" i="8" s="1"/>
  <c r="AW134" i="8"/>
  <c r="AW136" i="8" s="1"/>
  <c r="AW137" i="8" s="1"/>
  <c r="AW138" i="1"/>
  <c r="CB235" i="1"/>
  <c r="CB234" i="1"/>
  <c r="CI79" i="7"/>
  <c r="CH94" i="7"/>
  <c r="BC444" i="1"/>
  <c r="BC445" i="1"/>
  <c r="CN536" i="1"/>
  <c r="CN379" i="1"/>
  <c r="CN537" i="1"/>
  <c r="CO379" i="1"/>
  <c r="CQ458" i="1"/>
  <c r="CQ463" i="1"/>
  <c r="CQ464" i="1" s="1"/>
  <c r="BU79" i="7"/>
  <c r="BT94" i="7"/>
  <c r="BD47" i="1"/>
  <c r="BD45" i="1" s="1"/>
  <c r="BQ115" i="1"/>
  <c r="BQ110" i="1"/>
  <c r="BQ98" i="1"/>
  <c r="BQ67" i="7"/>
  <c r="BQ111" i="1"/>
  <c r="BQ116" i="1"/>
  <c r="BQ104" i="1" s="1"/>
  <c r="BZ16" i="1"/>
  <c r="AX402" i="1"/>
  <c r="AY403" i="1"/>
  <c r="AX403" i="1"/>
  <c r="BC79" i="7"/>
  <c r="BB94" i="7"/>
  <c r="BB84" i="7"/>
  <c r="BB97" i="7" s="1"/>
  <c r="BB82" i="7"/>
  <c r="BG43" i="1"/>
  <c r="BG57" i="1" s="1"/>
  <c r="BZ238" i="1"/>
  <c r="BZ239" i="1"/>
  <c r="BJ419" i="1"/>
  <c r="BI420" i="1"/>
  <c r="BI429" i="1"/>
  <c r="BI416" i="1"/>
  <c r="CR419" i="1"/>
  <c r="BT82" i="1"/>
  <c r="BT85" i="1"/>
  <c r="BT139" i="1"/>
  <c r="BU168" i="1"/>
  <c r="BB111" i="1"/>
  <c r="BB116" i="1"/>
  <c r="BB104" i="1" s="1"/>
  <c r="CM150" i="7"/>
  <c r="CM153" i="7" s="1"/>
  <c r="CM100" i="1"/>
  <c r="CM158" i="7"/>
  <c r="CM157" i="7"/>
  <c r="CM126" i="8"/>
  <c r="CM86" i="1"/>
  <c r="CM114" i="1"/>
  <c r="CM106" i="1"/>
  <c r="CM140" i="1"/>
  <c r="CM109" i="1"/>
  <c r="BE34" i="1"/>
  <c r="CQ34" i="1" s="1"/>
  <c r="BE458" i="1"/>
  <c r="BE459" i="1"/>
  <c r="BE437" i="1"/>
  <c r="BA102" i="7"/>
  <c r="AZ112" i="7"/>
  <c r="O100" i="8"/>
  <c r="N102" i="8"/>
  <c r="N103" i="8" s="1"/>
  <c r="BZ540" i="1"/>
  <c r="BZ143" i="1"/>
  <c r="BZ187" i="7" s="1"/>
  <c r="BZ541" i="1"/>
  <c r="BZ15" i="7"/>
  <c r="BZ32" i="8"/>
  <c r="BZ158" i="1"/>
  <c r="BZ188" i="7" s="1"/>
  <c r="BZ21" i="7"/>
  <c r="BZ40" i="7"/>
  <c r="BB527" i="1"/>
  <c r="BH418" i="1"/>
  <c r="BH30" i="1"/>
  <c r="BH417" i="1"/>
  <c r="DA47" i="7"/>
  <c r="CV586" i="1" l="1"/>
  <c r="CC317" i="1"/>
  <c r="CP468" i="1"/>
  <c r="CP212" i="1" s="1"/>
  <c r="AZ62" i="1"/>
  <c r="BC60" i="1"/>
  <c r="DR46" i="1"/>
  <c r="CQ46" i="1"/>
  <c r="BE448" i="1"/>
  <c r="BE33" i="1"/>
  <c r="BE46" i="1" s="1"/>
  <c r="BE60" i="1" s="1"/>
  <c r="BE449" i="1"/>
  <c r="CQ453" i="1"/>
  <c r="CQ454" i="1" s="1"/>
  <c r="CQ448" i="1"/>
  <c r="CQ33" i="1"/>
  <c r="BF454" i="1"/>
  <c r="BG453" i="1"/>
  <c r="BF447" i="1"/>
  <c r="AK594" i="1"/>
  <c r="AL590" i="1" s="1"/>
  <c r="AK602" i="1"/>
  <c r="AK603" i="1"/>
  <c r="BZ587" i="1"/>
  <c r="BZ586" i="1" s="1"/>
  <c r="BZ572" i="1" s="1"/>
  <c r="K170" i="1"/>
  <c r="DN111" i="1"/>
  <c r="AT147" i="7"/>
  <c r="AY524" i="1"/>
  <c r="AS535" i="1"/>
  <c r="DN98" i="1"/>
  <c r="K104" i="1"/>
  <c r="O155" i="1"/>
  <c r="DL110" i="1"/>
  <c r="K98" i="1"/>
  <c r="K110" i="1"/>
  <c r="K115" i="1"/>
  <c r="BE205" i="1"/>
  <c r="BE365" i="1"/>
  <c r="BE370" i="1"/>
  <c r="BE372" i="1" s="1"/>
  <c r="BG363" i="1"/>
  <c r="BG334" i="1"/>
  <c r="BG206" i="1"/>
  <c r="BG339" i="1"/>
  <c r="BG335" i="1"/>
  <c r="CA606" i="1"/>
  <c r="CA587" i="1" s="1"/>
  <c r="CA586" i="1" s="1"/>
  <c r="CA572" i="1" s="1"/>
  <c r="AT71" i="1"/>
  <c r="AT128" i="1"/>
  <c r="AT54" i="1"/>
  <c r="AT515" i="1"/>
  <c r="AT522" i="1" s="1"/>
  <c r="BG355" i="1"/>
  <c r="BG354" i="1"/>
  <c r="BG208" i="1"/>
  <c r="CP29" i="1"/>
  <c r="AZ475" i="1"/>
  <c r="AZ476" i="1"/>
  <c r="CP213" i="1"/>
  <c r="CP484" i="1"/>
  <c r="CP485" i="1" s="1"/>
  <c r="CP479" i="1"/>
  <c r="AY62" i="1"/>
  <c r="DQ48" i="1"/>
  <c r="BH219" i="1"/>
  <c r="BH358" i="1"/>
  <c r="BH353" i="1"/>
  <c r="BH357" i="1"/>
  <c r="AZ63" i="1"/>
  <c r="BA397" i="1"/>
  <c r="BA382" i="1"/>
  <c r="BA396" i="1"/>
  <c r="BA205" i="1"/>
  <c r="BA401" i="1"/>
  <c r="AU119" i="7"/>
  <c r="BB29" i="1"/>
  <c r="BB412" i="1"/>
  <c r="BB408" i="1"/>
  <c r="BB407" i="1"/>
  <c r="BA474" i="1"/>
  <c r="BA470" i="1"/>
  <c r="BA212" i="1"/>
  <c r="BA469" i="1"/>
  <c r="BA35" i="1"/>
  <c r="BA49" i="1"/>
  <c r="BA63" i="1" s="1"/>
  <c r="CP36" i="1"/>
  <c r="BA42" i="1"/>
  <c r="BA58" i="1"/>
  <c r="CP58" i="1" s="1"/>
  <c r="CP526" i="1" s="1"/>
  <c r="BF254" i="1"/>
  <c r="BF255" i="1"/>
  <c r="BF374" i="1"/>
  <c r="AT158" i="1"/>
  <c r="AT188" i="7" s="1"/>
  <c r="AW143" i="1"/>
  <c r="AW187" i="7" s="1"/>
  <c r="AS621" i="1"/>
  <c r="AS143" i="1"/>
  <c r="AS187" i="7" s="1"/>
  <c r="AS134" i="1"/>
  <c r="AS101" i="7"/>
  <c r="AS151" i="7"/>
  <c r="AS131" i="7"/>
  <c r="AS135" i="1"/>
  <c r="AS554" i="1"/>
  <c r="AS131" i="8"/>
  <c r="AS622" i="1"/>
  <c r="AS133" i="1"/>
  <c r="AS158" i="1"/>
  <c r="AS188" i="7" s="1"/>
  <c r="AS620" i="1"/>
  <c r="AS118" i="7"/>
  <c r="AS129" i="7"/>
  <c r="CP433" i="1"/>
  <c r="BD433" i="1"/>
  <c r="BE432" i="1"/>
  <c r="BD426" i="1"/>
  <c r="CN527" i="1"/>
  <c r="CN130" i="1"/>
  <c r="BI271" i="1"/>
  <c r="CR271" i="1" s="1"/>
  <c r="BJ277" i="1"/>
  <c r="BI278" i="1"/>
  <c r="CN11" i="1"/>
  <c r="CN131" i="8" s="1"/>
  <c r="AV145" i="7"/>
  <c r="BG368" i="1"/>
  <c r="BG367" i="1"/>
  <c r="BG216" i="1"/>
  <c r="AZ524" i="1"/>
  <c r="AZ129" i="1"/>
  <c r="BD484" i="1"/>
  <c r="BC478" i="1"/>
  <c r="BC485" i="1"/>
  <c r="BG329" i="1"/>
  <c r="BG331" i="1" s="1"/>
  <c r="BF335" i="1"/>
  <c r="BF206" i="1"/>
  <c r="BF363" i="1"/>
  <c r="BF334" i="1"/>
  <c r="BF339" i="1"/>
  <c r="CR346" i="1"/>
  <c r="BI347" i="1"/>
  <c r="BI218" i="1"/>
  <c r="BJ346" i="1"/>
  <c r="BI356" i="1"/>
  <c r="BI343" i="1"/>
  <c r="AR55" i="1"/>
  <c r="DP41" i="1"/>
  <c r="AR40" i="1"/>
  <c r="AU163" i="1"/>
  <c r="AU515" i="1"/>
  <c r="AU522" i="1" s="1"/>
  <c r="AU71" i="1"/>
  <c r="AU128" i="1"/>
  <c r="AU54" i="1"/>
  <c r="AR535" i="1"/>
  <c r="BH272" i="1"/>
  <c r="BH273" i="1"/>
  <c r="BH211" i="1"/>
  <c r="BH209" i="1"/>
  <c r="BH257" i="1"/>
  <c r="CN129" i="1"/>
  <c r="CN524" i="1"/>
  <c r="CP412" i="1"/>
  <c r="CP413" i="1" s="1"/>
  <c r="CP407" i="1"/>
  <c r="CP206" i="1"/>
  <c r="BH344" i="1"/>
  <c r="BH345" i="1"/>
  <c r="BH207" i="1"/>
  <c r="AS145" i="7"/>
  <c r="AS147" i="7"/>
  <c r="AT145" i="7"/>
  <c r="AV147" i="7"/>
  <c r="DL98" i="1"/>
  <c r="DN110" i="1"/>
  <c r="CW321" i="1"/>
  <c r="AT619" i="1"/>
  <c r="AZ397" i="1"/>
  <c r="AZ205" i="1"/>
  <c r="AZ382" i="1"/>
  <c r="AZ401" i="1"/>
  <c r="AZ396" i="1"/>
  <c r="CP395" i="1"/>
  <c r="BB480" i="1"/>
  <c r="BB468" i="1"/>
  <c r="BB36" i="1"/>
  <c r="BB49" i="1" s="1"/>
  <c r="BB479" i="1"/>
  <c r="CQ83" i="1"/>
  <c r="CQ156" i="7" s="1"/>
  <c r="CR557" i="1"/>
  <c r="BR168" i="1"/>
  <c r="BR139" i="1"/>
  <c r="BR82" i="1"/>
  <c r="BR85" i="1"/>
  <c r="BR153" i="1"/>
  <c r="BF139" i="1"/>
  <c r="BF85" i="1"/>
  <c r="BF168" i="1"/>
  <c r="BJ153" i="1"/>
  <c r="BF153" i="1"/>
  <c r="BF82" i="1"/>
  <c r="AS55" i="1"/>
  <c r="AS40" i="1"/>
  <c r="AS53" i="1" s="1"/>
  <c r="CP469" i="1"/>
  <c r="CP474" i="1"/>
  <c r="BC31" i="1"/>
  <c r="BC428" i="1"/>
  <c r="BC427" i="1"/>
  <c r="BC406" i="1"/>
  <c r="CQ339" i="1"/>
  <c r="CQ206" i="1"/>
  <c r="CQ363" i="1"/>
  <c r="AT119" i="7"/>
  <c r="BH336" i="1"/>
  <c r="AR151" i="7"/>
  <c r="AR118" i="7"/>
  <c r="AR140" i="7" s="1"/>
  <c r="AU147" i="7"/>
  <c r="AR131" i="8"/>
  <c r="AR129" i="7"/>
  <c r="AR101" i="7"/>
  <c r="AR134" i="1"/>
  <c r="AR621" i="1"/>
  <c r="AR633" i="1" s="1"/>
  <c r="AU145" i="7"/>
  <c r="AR554" i="1"/>
  <c r="DP11" i="1"/>
  <c r="DP143" i="1" s="1"/>
  <c r="AR622" i="1"/>
  <c r="AR634" i="1" s="1"/>
  <c r="AR135" i="1"/>
  <c r="AR623" i="1"/>
  <c r="AR131" i="7"/>
  <c r="AR620" i="1"/>
  <c r="AV632" i="1" s="1"/>
  <c r="AR143" i="1"/>
  <c r="AR187" i="7" s="1"/>
  <c r="AR133" i="1"/>
  <c r="BG258" i="1"/>
  <c r="BG259" i="1"/>
  <c r="BG253" i="1"/>
  <c r="BA413" i="1"/>
  <c r="BA414" i="1"/>
  <c r="DR426" i="1"/>
  <c r="BB58" i="1"/>
  <c r="BB42" i="1"/>
  <c r="DN115" i="1"/>
  <c r="CC233" i="1"/>
  <c r="CW233" i="1" s="1"/>
  <c r="CC291" i="1"/>
  <c r="CW291" i="1" s="1"/>
  <c r="CW295" i="1"/>
  <c r="CW296" i="1" s="1"/>
  <c r="O66" i="7"/>
  <c r="O71" i="7" s="1"/>
  <c r="O72" i="7" s="1"/>
  <c r="N73" i="7"/>
  <c r="CJ116" i="1"/>
  <c r="CJ104" i="1" s="1"/>
  <c r="CJ111" i="1"/>
  <c r="CJ124" i="8"/>
  <c r="CJ110" i="1"/>
  <c r="CJ67" i="7"/>
  <c r="CJ115" i="1"/>
  <c r="DL115" i="1"/>
  <c r="CF154" i="1"/>
  <c r="CB160" i="1"/>
  <c r="BZ21" i="1"/>
  <c r="BZ128" i="1" s="1"/>
  <c r="BY82" i="1"/>
  <c r="BZ82" i="1" s="1"/>
  <c r="CA82" i="1" s="1"/>
  <c r="CB82" i="1" s="1"/>
  <c r="CC82" i="1" s="1"/>
  <c r="DW78" i="1"/>
  <c r="AO88" i="7"/>
  <c r="AO90" i="7" s="1"/>
  <c r="AN29" i="7"/>
  <c r="AN24" i="7" s="1"/>
  <c r="BX104" i="7"/>
  <c r="AM94" i="7"/>
  <c r="AN79" i="7"/>
  <c r="AM82" i="7"/>
  <c r="CB68" i="7"/>
  <c r="CC57" i="7"/>
  <c r="AM84" i="7"/>
  <c r="AM97" i="7" s="1"/>
  <c r="CV24" i="1"/>
  <c r="BY130" i="1"/>
  <c r="CE116" i="1"/>
  <c r="CE111" i="1"/>
  <c r="CE86" i="1"/>
  <c r="CE109" i="1"/>
  <c r="CE114" i="1"/>
  <c r="CF155" i="1" s="1"/>
  <c r="CE140" i="1"/>
  <c r="CE100" i="1"/>
  <c r="AJ104" i="1"/>
  <c r="DN104" i="1" s="1"/>
  <c r="DN116" i="1"/>
  <c r="CU152" i="1"/>
  <c r="AJ85" i="7"/>
  <c r="AJ26" i="7"/>
  <c r="AJ25" i="7"/>
  <c r="AJ83" i="7"/>
  <c r="AJ84" i="7" s="1"/>
  <c r="AJ97" i="7" s="1"/>
  <c r="AJ27" i="7"/>
  <c r="AJ28" i="7"/>
  <c r="AI112" i="7"/>
  <c r="AJ102" i="7"/>
  <c r="CA16" i="1"/>
  <c r="CA37" i="7" s="1"/>
  <c r="CB146" i="1"/>
  <c r="CB19" i="1"/>
  <c r="CB25" i="1" s="1"/>
  <c r="CB131" i="1" s="1"/>
  <c r="CB161" i="1"/>
  <c r="CW317" i="1"/>
  <c r="CC14" i="1"/>
  <c r="CC318" i="1"/>
  <c r="CC319" i="1"/>
  <c r="BM359" i="1"/>
  <c r="BL360" i="1"/>
  <c r="CB145" i="1"/>
  <c r="DX54" i="1"/>
  <c r="CO535" i="1"/>
  <c r="BK313" i="1"/>
  <c r="BJ307" i="1"/>
  <c r="BJ314" i="1"/>
  <c r="AY379" i="1"/>
  <c r="AY536" i="1"/>
  <c r="AY537" i="1"/>
  <c r="CZ89" i="1"/>
  <c r="CZ88" i="1" s="1"/>
  <c r="DA90" i="1"/>
  <c r="AY41" i="1"/>
  <c r="AY40" i="1" s="1"/>
  <c r="AY11" i="1"/>
  <c r="CR212" i="1"/>
  <c r="CR214" i="1"/>
  <c r="CR313" i="1"/>
  <c r="CR314" i="1" s="1"/>
  <c r="CR308" i="1"/>
  <c r="BI303" i="1"/>
  <c r="CR303" i="1" s="1"/>
  <c r="CR304" i="1" s="1"/>
  <c r="BI308" i="1"/>
  <c r="BI309" i="1"/>
  <c r="BI212" i="1"/>
  <c r="BI214" i="1"/>
  <c r="CF124" i="8"/>
  <c r="CF115" i="1"/>
  <c r="CF110" i="1"/>
  <c r="DL116" i="1"/>
  <c r="DL111" i="1"/>
  <c r="BV82" i="1"/>
  <c r="BV85" i="1"/>
  <c r="BV139" i="1"/>
  <c r="BV168" i="1"/>
  <c r="BV153" i="1"/>
  <c r="DL104" i="1"/>
  <c r="CF116" i="1"/>
  <c r="CF104" i="1" s="1"/>
  <c r="CF111" i="1"/>
  <c r="AG111" i="1"/>
  <c r="DM111" i="1" s="1"/>
  <c r="AG116" i="1"/>
  <c r="DM106" i="1"/>
  <c r="DM114" i="1"/>
  <c r="AG170" i="1"/>
  <c r="AK155" i="1"/>
  <c r="AG124" i="8"/>
  <c r="AH170" i="1"/>
  <c r="AG155" i="1"/>
  <c r="BD139" i="1"/>
  <c r="BD82" i="1"/>
  <c r="BD85" i="1"/>
  <c r="BD168" i="1"/>
  <c r="BE168" i="1"/>
  <c r="BH153" i="1"/>
  <c r="BH67" i="7"/>
  <c r="BH98" i="1"/>
  <c r="BH115" i="1"/>
  <c r="BH110" i="1"/>
  <c r="AP117" i="7"/>
  <c r="AP139" i="7" s="1"/>
  <c r="CQ114" i="8"/>
  <c r="CQ122" i="8" s="1"/>
  <c r="CQ123" i="8" s="1"/>
  <c r="CQ137" i="1"/>
  <c r="CQ134" i="8"/>
  <c r="CQ136" i="8" s="1"/>
  <c r="CQ137" i="8" s="1"/>
  <c r="CQ72" i="1"/>
  <c r="CQ78" i="1"/>
  <c r="CQ138" i="1"/>
  <c r="AG98" i="1"/>
  <c r="DM98" i="1" s="1"/>
  <c r="AG115" i="1"/>
  <c r="DM115" i="1" s="1"/>
  <c r="AG67" i="7"/>
  <c r="AG110" i="1"/>
  <c r="DM110" i="1" s="1"/>
  <c r="DM100" i="1"/>
  <c r="S116" i="1"/>
  <c r="S104" i="1" s="1"/>
  <c r="S111" i="1"/>
  <c r="Y106" i="1"/>
  <c r="CI103" i="1"/>
  <c r="CI106" i="1" s="1"/>
  <c r="BH111" i="1"/>
  <c r="BH116" i="1"/>
  <c r="CI110" i="1"/>
  <c r="CI115" i="1"/>
  <c r="CI67" i="7"/>
  <c r="CI124" i="8"/>
  <c r="CJ155" i="1"/>
  <c r="Z170" i="1"/>
  <c r="Y155" i="1"/>
  <c r="Y170" i="1"/>
  <c r="AC155" i="1"/>
  <c r="Y124" i="8"/>
  <c r="Y98" i="1"/>
  <c r="Y110" i="1"/>
  <c r="Y115" i="1"/>
  <c r="Y67" i="7"/>
  <c r="BK82" i="1"/>
  <c r="BK168" i="1"/>
  <c r="BK85" i="1"/>
  <c r="BO154" i="1" s="1"/>
  <c r="BK139" i="1"/>
  <c r="DT78" i="1"/>
  <c r="BH124" i="8"/>
  <c r="BI170" i="1"/>
  <c r="BO153" i="1"/>
  <c r="BO114" i="1"/>
  <c r="BO100" i="1"/>
  <c r="BO126" i="8"/>
  <c r="BO140" i="1"/>
  <c r="BO150" i="7"/>
  <c r="BO153" i="7" s="1"/>
  <c r="BO106" i="1"/>
  <c r="BO169" i="1"/>
  <c r="BO86" i="1"/>
  <c r="BO109" i="1"/>
  <c r="BO158" i="7"/>
  <c r="BQ155" i="1"/>
  <c r="Q106" i="1"/>
  <c r="Q116" i="1" s="1"/>
  <c r="Q104" i="1" s="1"/>
  <c r="BE64" i="1"/>
  <c r="CQ64" i="1" s="1"/>
  <c r="CQ532" i="1" s="1"/>
  <c r="CS78" i="1"/>
  <c r="CS72" i="1"/>
  <c r="CS134" i="8"/>
  <c r="CS136" i="8" s="1"/>
  <c r="CS137" i="8" s="1"/>
  <c r="CS152" i="1"/>
  <c r="CS137" i="1"/>
  <c r="CS114" i="8"/>
  <c r="CS122" i="8" s="1"/>
  <c r="CS123" i="8" s="1"/>
  <c r="CS138" i="1"/>
  <c r="CH86" i="1"/>
  <c r="CH140" i="1"/>
  <c r="CH109" i="1"/>
  <c r="CH100" i="1"/>
  <c r="CH154" i="1"/>
  <c r="CH150" i="7"/>
  <c r="CH153" i="7" s="1"/>
  <c r="CH157" i="7"/>
  <c r="CH158" i="7"/>
  <c r="CH114" i="1"/>
  <c r="CI154" i="1"/>
  <c r="CH126" i="8"/>
  <c r="CH106" i="1"/>
  <c r="CG106" i="1"/>
  <c r="Q98" i="1"/>
  <c r="Q115" i="1"/>
  <c r="Q67" i="7"/>
  <c r="Q110" i="1"/>
  <c r="Q170" i="1"/>
  <c r="Q155" i="1"/>
  <c r="R170" i="1"/>
  <c r="U155" i="1"/>
  <c r="Q124" i="8"/>
  <c r="BL153" i="1"/>
  <c r="BL82" i="1"/>
  <c r="BL168" i="1"/>
  <c r="BL139" i="1"/>
  <c r="BL85" i="1"/>
  <c r="DU78" i="1"/>
  <c r="BM168" i="1"/>
  <c r="CL106" i="1"/>
  <c r="CL150" i="7"/>
  <c r="CL153" i="7" s="1"/>
  <c r="CL114" i="1"/>
  <c r="CM155" i="1" s="1"/>
  <c r="CL126" i="8"/>
  <c r="CL158" i="7"/>
  <c r="CL140" i="1"/>
  <c r="CL109" i="1"/>
  <c r="CL154" i="1"/>
  <c r="CL100" i="1"/>
  <c r="CL86" i="1"/>
  <c r="CL157" i="7"/>
  <c r="CG126" i="8"/>
  <c r="CG109" i="1"/>
  <c r="CG140" i="1"/>
  <c r="CG158" i="7"/>
  <c r="CG150" i="7"/>
  <c r="CG153" i="7" s="1"/>
  <c r="CG114" i="1"/>
  <c r="CG154" i="1"/>
  <c r="CG100" i="1"/>
  <c r="CG86" i="1"/>
  <c r="CG157" i="7"/>
  <c r="BP82" i="1"/>
  <c r="BP139" i="1"/>
  <c r="BP85" i="1"/>
  <c r="BT154" i="1" s="1"/>
  <c r="BP153" i="1"/>
  <c r="DV78" i="1"/>
  <c r="BQ168" i="1"/>
  <c r="BP168" i="1"/>
  <c r="CR78" i="1"/>
  <c r="CR72" i="1"/>
  <c r="CR114" i="8"/>
  <c r="CR122" i="8" s="1"/>
  <c r="CR123" i="8" s="1"/>
  <c r="CR134" i="8"/>
  <c r="CR136" i="8" s="1"/>
  <c r="CR137" i="8" s="1"/>
  <c r="CR137" i="1"/>
  <c r="CR138" i="1"/>
  <c r="CR152" i="1"/>
  <c r="CK106" i="1"/>
  <c r="CK157" i="7"/>
  <c r="CK126" i="8"/>
  <c r="CK150" i="7"/>
  <c r="CK153" i="7" s="1"/>
  <c r="CK114" i="1"/>
  <c r="CK109" i="1"/>
  <c r="CK140" i="1"/>
  <c r="CK100" i="1"/>
  <c r="CK86" i="1"/>
  <c r="CK154" i="1"/>
  <c r="CK158" i="7"/>
  <c r="CT138" i="1"/>
  <c r="CT152" i="1"/>
  <c r="CT114" i="8"/>
  <c r="CT122" i="8" s="1"/>
  <c r="CT123" i="8" s="1"/>
  <c r="CT72" i="1"/>
  <c r="CT134" i="8"/>
  <c r="CT136" i="8" s="1"/>
  <c r="CT137" i="8" s="1"/>
  <c r="CT137" i="1"/>
  <c r="CT78" i="1"/>
  <c r="BH168" i="1"/>
  <c r="BG85" i="1"/>
  <c r="BG139" i="1"/>
  <c r="BK153" i="1"/>
  <c r="BG82" i="1"/>
  <c r="BG153" i="1"/>
  <c r="BG168" i="1"/>
  <c r="DS78" i="1"/>
  <c r="BS82" i="1"/>
  <c r="BS139" i="1"/>
  <c r="BS85" i="1"/>
  <c r="BT169" i="1" s="1"/>
  <c r="BS168" i="1"/>
  <c r="BS153" i="1"/>
  <c r="CC241" i="1"/>
  <c r="CC242" i="1" s="1"/>
  <c r="CA23" i="1"/>
  <c r="CA129" i="1" s="1"/>
  <c r="BY23" i="8"/>
  <c r="BY195" i="7"/>
  <c r="CV15" i="7"/>
  <c r="BY196" i="7"/>
  <c r="BY145" i="7"/>
  <c r="BY20" i="7"/>
  <c r="CV32" i="8"/>
  <c r="CV121" i="8" s="1"/>
  <c r="BY121" i="8"/>
  <c r="BY80" i="7"/>
  <c r="CV129" i="7"/>
  <c r="BY16" i="7"/>
  <c r="BY146" i="7" s="1"/>
  <c r="BY37" i="7"/>
  <c r="BY69" i="1"/>
  <c r="CV541" i="1"/>
  <c r="BX148" i="1"/>
  <c r="BX163" i="1"/>
  <c r="BX22" i="1"/>
  <c r="BX128" i="1"/>
  <c r="BX515" i="1"/>
  <c r="CV238" i="1"/>
  <c r="BY129" i="1"/>
  <c r="BY21" i="1"/>
  <c r="CV540" i="1"/>
  <c r="BY68" i="1"/>
  <c r="BY539" i="1"/>
  <c r="CV539" i="1" s="1"/>
  <c r="CV621" i="1"/>
  <c r="CV633" i="1" s="1"/>
  <c r="CV622" i="1"/>
  <c r="CV634" i="1" s="1"/>
  <c r="CV619" i="1"/>
  <c r="CV143" i="1"/>
  <c r="CV187" i="7" s="1"/>
  <c r="CV151" i="7"/>
  <c r="CV623" i="1"/>
  <c r="CV620" i="1"/>
  <c r="CV632" i="1" s="1"/>
  <c r="CV131" i="7"/>
  <c r="CV23" i="1"/>
  <c r="BP102" i="7"/>
  <c r="BO112" i="7"/>
  <c r="AF85" i="7"/>
  <c r="AF84" i="7"/>
  <c r="AF97" i="7" s="1"/>
  <c r="AE112" i="7"/>
  <c r="AE102" i="7"/>
  <c r="CX42" i="7"/>
  <c r="CW167" i="7"/>
  <c r="CW549" i="1"/>
  <c r="CW551" i="1" s="1"/>
  <c r="BP85" i="7"/>
  <c r="BP83" i="7"/>
  <c r="BP84" i="7" s="1"/>
  <c r="BP97" i="7" s="1"/>
  <c r="AG79" i="7"/>
  <c r="AF82" i="7"/>
  <c r="AF94" i="7"/>
  <c r="AV85" i="7"/>
  <c r="AV25" i="7"/>
  <c r="AV27" i="7"/>
  <c r="AV26" i="7"/>
  <c r="AV83" i="7"/>
  <c r="AV28" i="7"/>
  <c r="AV102" i="7"/>
  <c r="AU112" i="7"/>
  <c r="AW92" i="7"/>
  <c r="CO90" i="7"/>
  <c r="CO92" i="7" s="1"/>
  <c r="BG489" i="1"/>
  <c r="BG490" i="1"/>
  <c r="BG37" i="1"/>
  <c r="DS37" i="1" s="1"/>
  <c r="AV619" i="1"/>
  <c r="AV140" i="7"/>
  <c r="BF50" i="1"/>
  <c r="BF64" i="1" s="1"/>
  <c r="BH495" i="1"/>
  <c r="BI494" i="1"/>
  <c r="BH488" i="1"/>
  <c r="AV71" i="1"/>
  <c r="AV54" i="1"/>
  <c r="AV128" i="1"/>
  <c r="AV163" i="1"/>
  <c r="AV515" i="1"/>
  <c r="AV522" i="1" s="1"/>
  <c r="CO53" i="1"/>
  <c r="AW163" i="1"/>
  <c r="CO133" i="1"/>
  <c r="CO145" i="7"/>
  <c r="CO147" i="7"/>
  <c r="CO135" i="1"/>
  <c r="CO118" i="7"/>
  <c r="CO140" i="7" s="1"/>
  <c r="CO101" i="7"/>
  <c r="CO151" i="7"/>
  <c r="CO129" i="7"/>
  <c r="CO131" i="8"/>
  <c r="CO619" i="1"/>
  <c r="CO554" i="1"/>
  <c r="CO134" i="1"/>
  <c r="CO131" i="7"/>
  <c r="AP114" i="8"/>
  <c r="AP122" i="8" s="1"/>
  <c r="AP123" i="8" s="1"/>
  <c r="AP72" i="1"/>
  <c r="AP78" i="1"/>
  <c r="AP167" i="1"/>
  <c r="AP152" i="1"/>
  <c r="AP138" i="1"/>
  <c r="AP156" i="7"/>
  <c r="AP137" i="1"/>
  <c r="AP134" i="8"/>
  <c r="AP136" i="8" s="1"/>
  <c r="AP137" i="8" s="1"/>
  <c r="AT152" i="1"/>
  <c r="DS489" i="1"/>
  <c r="DS214" i="1"/>
  <c r="DS494" i="1"/>
  <c r="DS495" i="1" s="1"/>
  <c r="AV146" i="7"/>
  <c r="AV120" i="7"/>
  <c r="AV142" i="7" s="1"/>
  <c r="AV134" i="7"/>
  <c r="AV130" i="7"/>
  <c r="CO40" i="1"/>
  <c r="BW139" i="1"/>
  <c r="BW153" i="1"/>
  <c r="BW168" i="1"/>
  <c r="BC527" i="1"/>
  <c r="DR59" i="1"/>
  <c r="DR130" i="1" s="1"/>
  <c r="BM111" i="1"/>
  <c r="BM116" i="1"/>
  <c r="BM104" i="1" s="1"/>
  <c r="CN535" i="1"/>
  <c r="BM110" i="1"/>
  <c r="BM67" i="7"/>
  <c r="BM115" i="1"/>
  <c r="BM98" i="1"/>
  <c r="BM155" i="1"/>
  <c r="BM124" i="8"/>
  <c r="DS57" i="1"/>
  <c r="BH43" i="1"/>
  <c r="BH57" i="1" s="1"/>
  <c r="BI431" i="1"/>
  <c r="BI430" i="1"/>
  <c r="CA32" i="8"/>
  <c r="CA15" i="7"/>
  <c r="CA23" i="8" s="1"/>
  <c r="CA143" i="1"/>
  <c r="CA187" i="7" s="1"/>
  <c r="CA540" i="1"/>
  <c r="CA21" i="7"/>
  <c r="CA40" i="7"/>
  <c r="CA158" i="1"/>
  <c r="CA188" i="7" s="1"/>
  <c r="CA541" i="1"/>
  <c r="BJ263" i="1"/>
  <c r="BJ210" i="1"/>
  <c r="BJ262" i="1"/>
  <c r="CB230" i="1"/>
  <c r="CB237" i="1"/>
  <c r="CB231" i="1"/>
  <c r="BX71" i="8"/>
  <c r="BN422" i="1"/>
  <c r="BM423" i="1"/>
  <c r="BX135" i="1"/>
  <c r="BX151" i="1"/>
  <c r="BX166" i="1"/>
  <c r="BX39" i="7"/>
  <c r="BX46" i="7"/>
  <c r="BX71" i="1"/>
  <c r="CV79" i="8"/>
  <c r="BF34" i="1"/>
  <c r="BF458" i="1"/>
  <c r="BF459" i="1"/>
  <c r="BF437" i="1"/>
  <c r="AQ634" i="1"/>
  <c r="AU634" i="1"/>
  <c r="BD90" i="7"/>
  <c r="BD91" i="7" s="1"/>
  <c r="BZ20" i="7"/>
  <c r="BZ196" i="7"/>
  <c r="BZ145" i="7"/>
  <c r="BZ195" i="7"/>
  <c r="BZ23" i="8"/>
  <c r="BZ539" i="1"/>
  <c r="BZ68" i="1"/>
  <c r="CM115" i="1"/>
  <c r="CM110" i="1"/>
  <c r="CM67" i="7"/>
  <c r="CR420" i="1"/>
  <c r="BU102" i="7"/>
  <c r="BT112" i="7"/>
  <c r="BX33" i="8"/>
  <c r="AW85" i="1"/>
  <c r="AW82" i="1"/>
  <c r="AW139" i="1"/>
  <c r="BX72" i="8"/>
  <c r="CH53" i="8"/>
  <c r="CH55" i="8" s="1"/>
  <c r="CG56" i="8"/>
  <c r="CG103" i="8"/>
  <c r="DQ390" i="1"/>
  <c r="O56" i="8"/>
  <c r="P53" i="8"/>
  <c r="P55" i="8" s="1"/>
  <c r="AS85" i="7"/>
  <c r="AS84" i="7"/>
  <c r="AS97" i="7" s="1"/>
  <c r="AS82" i="7"/>
  <c r="CN82" i="7" s="1"/>
  <c r="CB144" i="1"/>
  <c r="CB11" i="1"/>
  <c r="CB17" i="1"/>
  <c r="CB159" i="1"/>
  <c r="BP283" i="1"/>
  <c r="BP282" i="1"/>
  <c r="BP213" i="1"/>
  <c r="BD59" i="1"/>
  <c r="AK56" i="8"/>
  <c r="AK103" i="8"/>
  <c r="AL53" i="8"/>
  <c r="AL55" i="8" s="1"/>
  <c r="CP527" i="1"/>
  <c r="CP130" i="1"/>
  <c r="AT100" i="8"/>
  <c r="CQ53" i="8"/>
  <c r="CQ55" i="8" s="1"/>
  <c r="CP56" i="8"/>
  <c r="CP103" i="8"/>
  <c r="AQ515" i="1"/>
  <c r="AQ522" i="1" s="1"/>
  <c r="AQ148" i="1"/>
  <c r="AQ128" i="1"/>
  <c r="AQ71" i="1"/>
  <c r="AQ54" i="1"/>
  <c r="AQ163" i="1"/>
  <c r="DO53" i="1"/>
  <c r="AU148" i="1"/>
  <c r="BE47" i="1"/>
  <c r="BE45" i="1" s="1"/>
  <c r="CQ45" i="1" s="1"/>
  <c r="CM111" i="1"/>
  <c r="CM116" i="1"/>
  <c r="CM104" i="1" s="1"/>
  <c r="BT126" i="8"/>
  <c r="BT150" i="7"/>
  <c r="BT153" i="7" s="1"/>
  <c r="BT140" i="1"/>
  <c r="BT86" i="1"/>
  <c r="BT106" i="1"/>
  <c r="BT114" i="1"/>
  <c r="BT109" i="1"/>
  <c r="BT100" i="1"/>
  <c r="BT158" i="7"/>
  <c r="BU169" i="1"/>
  <c r="BI409" i="1"/>
  <c r="CR409" i="1" s="1"/>
  <c r="CR410" i="1" s="1"/>
  <c r="BJ420" i="1"/>
  <c r="BJ416" i="1"/>
  <c r="BK419" i="1"/>
  <c r="BJ429" i="1"/>
  <c r="BJ409" i="1" s="1"/>
  <c r="BB112" i="7"/>
  <c r="BC102" i="7"/>
  <c r="BZ16" i="7"/>
  <c r="BZ146" i="7" s="1"/>
  <c r="BZ37" i="7"/>
  <c r="BD61" i="1"/>
  <c r="BU82" i="7"/>
  <c r="CU82" i="7" s="1"/>
  <c r="BU85" i="7"/>
  <c r="BU84" i="7"/>
  <c r="BU97" i="7" s="1"/>
  <c r="CH102" i="7"/>
  <c r="CH112" i="7"/>
  <c r="BL267" i="1"/>
  <c r="BK268" i="1"/>
  <c r="BK261" i="1"/>
  <c r="AX11" i="1"/>
  <c r="AX41" i="1"/>
  <c r="AX55" i="1" s="1"/>
  <c r="DQ28" i="1"/>
  <c r="CU153" i="1"/>
  <c r="CU139" i="1"/>
  <c r="CU82" i="1"/>
  <c r="DZ82" i="1" s="1"/>
  <c r="CU85" i="1"/>
  <c r="AR112" i="7"/>
  <c r="AS102" i="7"/>
  <c r="BK350" i="1"/>
  <c r="BL349" i="1"/>
  <c r="CA238" i="1"/>
  <c r="CA239" i="1"/>
  <c r="CR429" i="1"/>
  <c r="BG457" i="1"/>
  <c r="BG464" i="1"/>
  <c r="BH463" i="1"/>
  <c r="CY245" i="1"/>
  <c r="CN131" i="7"/>
  <c r="CN129" i="7"/>
  <c r="CN143" i="1"/>
  <c r="CN187" i="7" s="1"/>
  <c r="CN147" i="7"/>
  <c r="CN619" i="1"/>
  <c r="CN151" i="7"/>
  <c r="CN145" i="7"/>
  <c r="CN554" i="1"/>
  <c r="CN118" i="7"/>
  <c r="CN134" i="1"/>
  <c r="CO143" i="1"/>
  <c r="CO187" i="7" s="1"/>
  <c r="CN101" i="7"/>
  <c r="AQ140" i="7"/>
  <c r="AQ633" i="1"/>
  <c r="AU633" i="1"/>
  <c r="AQ619" i="1"/>
  <c r="AQ632" i="1"/>
  <c r="AU632" i="1"/>
  <c r="BZ80" i="7"/>
  <c r="BZ121" i="8"/>
  <c r="BZ79" i="8"/>
  <c r="DB47" i="7"/>
  <c r="BZ69" i="1"/>
  <c r="P100" i="8"/>
  <c r="O102" i="8"/>
  <c r="O103" i="8" s="1"/>
  <c r="BE32" i="1"/>
  <c r="BE443" i="1"/>
  <c r="BE438" i="1"/>
  <c r="BE439" i="1"/>
  <c r="CQ437" i="1"/>
  <c r="CM124" i="8"/>
  <c r="BI30" i="1"/>
  <c r="BI418" i="1"/>
  <c r="BI417" i="1"/>
  <c r="CR416" i="1"/>
  <c r="BC84" i="7"/>
  <c r="BC97" i="7" s="1"/>
  <c r="BC82" i="7"/>
  <c r="CQ82" i="7" s="1"/>
  <c r="BC85" i="7"/>
  <c r="CI83" i="7"/>
  <c r="CI84" i="7" s="1"/>
  <c r="CI97" i="7" s="1"/>
  <c r="CI85" i="7"/>
  <c r="BH398" i="1"/>
  <c r="BH411" i="1"/>
  <c r="BH410" i="1"/>
  <c r="DR45" i="1"/>
  <c r="AX537" i="1"/>
  <c r="AX379" i="1"/>
  <c r="DQ378" i="1"/>
  <c r="DQ379" i="1" s="1"/>
  <c r="AX380" i="1"/>
  <c r="AY380" i="1"/>
  <c r="AX536" i="1"/>
  <c r="BW115" i="8"/>
  <c r="BW135" i="8"/>
  <c r="BW136" i="8" s="1"/>
  <c r="CC234" i="1"/>
  <c r="CC235" i="1"/>
  <c r="BQ288" i="1"/>
  <c r="BQ281" i="1"/>
  <c r="BR287" i="1"/>
  <c r="CP594" i="1"/>
  <c r="CQ590" i="1" s="1"/>
  <c r="CP602" i="1"/>
  <c r="CP603" i="1"/>
  <c r="BX74" i="8"/>
  <c r="CR262" i="1"/>
  <c r="CR267" i="1"/>
  <c r="CR268" i="1" s="1"/>
  <c r="CR210" i="1"/>
  <c r="BD445" i="1"/>
  <c r="BD444" i="1"/>
  <c r="AW141" i="7"/>
  <c r="AW117" i="7"/>
  <c r="AW139" i="7" s="1"/>
  <c r="AQ119" i="7"/>
  <c r="AQ141" i="7" s="1"/>
  <c r="BC112" i="7"/>
  <c r="BD102" i="7"/>
  <c r="CB606" i="1" l="1"/>
  <c r="CC606" i="1" s="1"/>
  <c r="AV634" i="1"/>
  <c r="DR60" i="1"/>
  <c r="CQ60" i="1"/>
  <c r="CQ528" i="1" s="1"/>
  <c r="BF449" i="1"/>
  <c r="BF448" i="1"/>
  <c r="BF33" i="1"/>
  <c r="AZ530" i="1"/>
  <c r="AZ131" i="1"/>
  <c r="BG454" i="1"/>
  <c r="BH453" i="1"/>
  <c r="BG447" i="1"/>
  <c r="CN55" i="1"/>
  <c r="CA209" i="7"/>
  <c r="AL602" i="1"/>
  <c r="AL603" i="1"/>
  <c r="AL594" i="1"/>
  <c r="AM590" i="1" s="1"/>
  <c r="AV633" i="1"/>
  <c r="CW234" i="1"/>
  <c r="CC12" i="1"/>
  <c r="CR257" i="1"/>
  <c r="CR258" i="1" s="1"/>
  <c r="CR209" i="1"/>
  <c r="CX295" i="1"/>
  <c r="CY295" i="1" s="1"/>
  <c r="CZ295" i="1" s="1"/>
  <c r="DA295" i="1" s="1"/>
  <c r="DB295" i="1" s="1"/>
  <c r="DC295" i="1" s="1"/>
  <c r="BG255" i="1"/>
  <c r="BG374" i="1"/>
  <c r="BG254" i="1"/>
  <c r="BC407" i="1"/>
  <c r="BC408" i="1"/>
  <c r="BC412" i="1"/>
  <c r="BC29" i="1"/>
  <c r="DR29" i="1" s="1"/>
  <c r="DR144" i="1" s="1"/>
  <c r="CP475" i="1"/>
  <c r="CR83" i="1"/>
  <c r="CR156" i="7" s="1"/>
  <c r="CS557" i="1"/>
  <c r="BB469" i="1"/>
  <c r="BB474" i="1"/>
  <c r="BB35" i="1"/>
  <c r="BB470" i="1"/>
  <c r="AZ403" i="1"/>
  <c r="AZ402" i="1"/>
  <c r="BI358" i="1"/>
  <c r="BI357" i="1"/>
  <c r="BI353" i="1"/>
  <c r="BI219" i="1"/>
  <c r="CR218" i="1"/>
  <c r="CR347" i="1"/>
  <c r="AS140" i="7"/>
  <c r="AS54" i="1"/>
  <c r="AS71" i="1"/>
  <c r="AW148" i="1"/>
  <c r="AS515" i="1"/>
  <c r="AS522" i="1" s="1"/>
  <c r="AS128" i="1"/>
  <c r="AS148" i="1"/>
  <c r="DR406" i="1"/>
  <c r="BB414" i="1"/>
  <c r="BB413" i="1"/>
  <c r="BA402" i="1"/>
  <c r="BA403" i="1"/>
  <c r="BH355" i="1"/>
  <c r="BH208" i="1"/>
  <c r="BH354" i="1"/>
  <c r="AT163" i="1"/>
  <c r="BG340" i="1"/>
  <c r="BG341" i="1"/>
  <c r="CN135" i="1"/>
  <c r="CN133" i="1"/>
  <c r="DR427" i="1"/>
  <c r="DR432" i="1"/>
  <c r="DR433" i="1" s="1"/>
  <c r="DR208" i="1"/>
  <c r="AR619" i="1"/>
  <c r="AR632" i="1"/>
  <c r="CQ370" i="1"/>
  <c r="CQ205" i="1"/>
  <c r="BF169" i="1"/>
  <c r="BF109" i="1"/>
  <c r="BF86" i="1"/>
  <c r="BF126" i="8"/>
  <c r="BF154" i="1"/>
  <c r="BF140" i="1"/>
  <c r="BJ154" i="1"/>
  <c r="BF114" i="1"/>
  <c r="BF150" i="7"/>
  <c r="BF153" i="7" s="1"/>
  <c r="BF100" i="1"/>
  <c r="BF106" i="1"/>
  <c r="BF158" i="7"/>
  <c r="AZ384" i="1"/>
  <c r="AZ28" i="1"/>
  <c r="AZ378" i="1"/>
  <c r="AZ390" i="1"/>
  <c r="AZ383" i="1"/>
  <c r="CP382" i="1"/>
  <c r="CP383" i="1" s="1"/>
  <c r="CX321" i="1"/>
  <c r="CW322" i="1"/>
  <c r="BH259" i="1"/>
  <c r="BH258" i="1"/>
  <c r="BH253" i="1"/>
  <c r="DP55" i="1"/>
  <c r="BJ218" i="1"/>
  <c r="BJ347" i="1"/>
  <c r="BJ356" i="1"/>
  <c r="BK346" i="1"/>
  <c r="BJ343" i="1"/>
  <c r="BF364" i="1"/>
  <c r="BF205" i="1"/>
  <c r="BF365" i="1"/>
  <c r="BF370" i="1"/>
  <c r="AW632" i="1"/>
  <c r="AS619" i="1"/>
  <c r="AS632" i="1"/>
  <c r="AS634" i="1"/>
  <c r="AW634" i="1"/>
  <c r="BB56" i="1"/>
  <c r="BB524" i="1" s="1"/>
  <c r="CP63" i="1"/>
  <c r="CP531" i="1" s="1"/>
  <c r="AY131" i="1"/>
  <c r="AY530" i="1"/>
  <c r="DQ62" i="1"/>
  <c r="DQ131" i="1" s="1"/>
  <c r="DP135" i="1"/>
  <c r="DP134" i="1"/>
  <c r="DP133" i="1"/>
  <c r="BH337" i="1"/>
  <c r="BH366" i="1"/>
  <c r="BH338" i="1"/>
  <c r="BH217" i="1"/>
  <c r="CP396" i="1"/>
  <c r="CP205" i="1"/>
  <c r="CP401" i="1"/>
  <c r="BH329" i="1"/>
  <c r="AU78" i="1"/>
  <c r="AU114" i="8"/>
  <c r="AU122" i="8" s="1"/>
  <c r="AU123" i="8" s="1"/>
  <c r="AU72" i="1"/>
  <c r="AU137" i="1"/>
  <c r="AU167" i="1"/>
  <c r="AU138" i="1"/>
  <c r="AU156" i="7"/>
  <c r="AU134" i="8"/>
  <c r="AU136" i="8" s="1"/>
  <c r="AU137" i="8" s="1"/>
  <c r="BI344" i="1"/>
  <c r="BI345" i="1"/>
  <c r="BI207" i="1"/>
  <c r="BI333" i="1"/>
  <c r="DR478" i="1"/>
  <c r="BC479" i="1"/>
  <c r="BC36" i="1"/>
  <c r="BC480" i="1"/>
  <c r="BC468" i="1"/>
  <c r="BC395" i="1" s="1"/>
  <c r="BJ278" i="1"/>
  <c r="BK277" i="1"/>
  <c r="BJ271" i="1"/>
  <c r="BD427" i="1"/>
  <c r="BD406" i="1"/>
  <c r="BD31" i="1"/>
  <c r="BD428" i="1"/>
  <c r="CP42" i="1"/>
  <c r="BA48" i="1"/>
  <c r="CP48" i="1" s="1"/>
  <c r="CP49" i="1"/>
  <c r="CR356" i="1"/>
  <c r="AT114" i="8"/>
  <c r="AT122" i="8" s="1"/>
  <c r="AT123" i="8" s="1"/>
  <c r="AT138" i="1"/>
  <c r="AT78" i="1"/>
  <c r="AT134" i="8"/>
  <c r="AT136" i="8" s="1"/>
  <c r="AT137" i="8" s="1"/>
  <c r="AT72" i="1"/>
  <c r="AT137" i="1"/>
  <c r="AT156" i="7"/>
  <c r="CR343" i="1"/>
  <c r="BU157" i="7"/>
  <c r="AT141" i="7"/>
  <c r="AT117" i="7"/>
  <c r="AT139" i="7" s="1"/>
  <c r="DR31" i="1"/>
  <c r="BC44" i="1"/>
  <c r="BC58" i="1" s="1"/>
  <c r="AS146" i="7"/>
  <c r="AS120" i="7"/>
  <c r="AS142" i="7" s="1"/>
  <c r="AS134" i="7"/>
  <c r="AS130" i="7"/>
  <c r="BR150" i="7"/>
  <c r="BR153" i="7" s="1"/>
  <c r="BR154" i="1"/>
  <c r="BR86" i="1"/>
  <c r="BR109" i="1"/>
  <c r="BR114" i="1"/>
  <c r="BR100" i="1"/>
  <c r="BR126" i="8"/>
  <c r="BR158" i="7"/>
  <c r="BR140" i="1"/>
  <c r="BR106" i="1"/>
  <c r="BR169" i="1"/>
  <c r="BB63" i="1"/>
  <c r="BB48" i="1"/>
  <c r="BH333" i="1"/>
  <c r="CR211" i="1"/>
  <c r="CR272" i="1"/>
  <c r="CR277" i="1"/>
  <c r="CR278" i="1" s="1"/>
  <c r="AR53" i="1"/>
  <c r="AR134" i="7"/>
  <c r="AR130" i="7"/>
  <c r="DP40" i="1"/>
  <c r="AR120" i="7"/>
  <c r="AR142" i="7" s="1"/>
  <c r="AR146" i="7"/>
  <c r="CN40" i="1"/>
  <c r="BI336" i="1"/>
  <c r="BF341" i="1"/>
  <c r="BF340" i="1"/>
  <c r="BD478" i="1"/>
  <c r="BD485" i="1"/>
  <c r="BE484" i="1"/>
  <c r="BI211" i="1"/>
  <c r="BI273" i="1"/>
  <c r="BI272" i="1"/>
  <c r="BI209" i="1"/>
  <c r="BI257" i="1"/>
  <c r="BF432" i="1"/>
  <c r="BE433" i="1"/>
  <c r="BE426" i="1"/>
  <c r="CQ426" i="1" s="1"/>
  <c r="AS633" i="1"/>
  <c r="AW633" i="1"/>
  <c r="DR36" i="1"/>
  <c r="CP35" i="1"/>
  <c r="BA62" i="1"/>
  <c r="CP62" i="1" s="1"/>
  <c r="BA476" i="1"/>
  <c r="BA475" i="1"/>
  <c r="BB395" i="1"/>
  <c r="AU117" i="7"/>
  <c r="AU139" i="7" s="1"/>
  <c r="AU141" i="7"/>
  <c r="BA384" i="1"/>
  <c r="BA383" i="1"/>
  <c r="BA378" i="1"/>
  <c r="BA28" i="1"/>
  <c r="BA390" i="1"/>
  <c r="BA392" i="1" s="1"/>
  <c r="BG370" i="1"/>
  <c r="BG364" i="1"/>
  <c r="BG365" i="1"/>
  <c r="BG205" i="1"/>
  <c r="BA56" i="1"/>
  <c r="CC292" i="1"/>
  <c r="CC293" i="1"/>
  <c r="BZ148" i="1"/>
  <c r="CC13" i="1"/>
  <c r="CC145" i="1" s="1"/>
  <c r="BZ515" i="1"/>
  <c r="BZ22" i="1"/>
  <c r="P66" i="7"/>
  <c r="P71" i="7" s="1"/>
  <c r="P72" i="7" s="1"/>
  <c r="O73" i="7"/>
  <c r="BZ163" i="1"/>
  <c r="CA16" i="7"/>
  <c r="CA19" i="7" s="1"/>
  <c r="CW57" i="7"/>
  <c r="CC68" i="7"/>
  <c r="AN102" i="7"/>
  <c r="AM112" i="7"/>
  <c r="AN28" i="7"/>
  <c r="AN27" i="7"/>
  <c r="AN26" i="7"/>
  <c r="AN83" i="7"/>
  <c r="AN25" i="7"/>
  <c r="AN85" i="7"/>
  <c r="AO92" i="7"/>
  <c r="CM90" i="7"/>
  <c r="CM92" i="7" s="1"/>
  <c r="CV517" i="1"/>
  <c r="CV130" i="1"/>
  <c r="CE110" i="1"/>
  <c r="CE115" i="1"/>
  <c r="CE104" i="1"/>
  <c r="AJ82" i="7"/>
  <c r="AJ94" i="7"/>
  <c r="AK79" i="7"/>
  <c r="DX16" i="1"/>
  <c r="CB16" i="1"/>
  <c r="CB16" i="7" s="1"/>
  <c r="CB146" i="7" s="1"/>
  <c r="CW325" i="1"/>
  <c r="CW318" i="1"/>
  <c r="CW14" i="1"/>
  <c r="CW146" i="1" s="1"/>
  <c r="CC161" i="1"/>
  <c r="CC19" i="1"/>
  <c r="CW19" i="1" s="1"/>
  <c r="CC146" i="1"/>
  <c r="BM360" i="1"/>
  <c r="BN359" i="1"/>
  <c r="CW241" i="1"/>
  <c r="CW249" i="1" s="1"/>
  <c r="CC229" i="1"/>
  <c r="CW229" i="1" s="1"/>
  <c r="CW237" i="1" s="1"/>
  <c r="CC243" i="1"/>
  <c r="CW299" i="1"/>
  <c r="CW292" i="1"/>
  <c r="CW13" i="1"/>
  <c r="CW145" i="1" s="1"/>
  <c r="AX535" i="1"/>
  <c r="Q111" i="1"/>
  <c r="AY143" i="1"/>
  <c r="AY187" i="7" s="1"/>
  <c r="AY135" i="1"/>
  <c r="AY131" i="8"/>
  <c r="AY622" i="1"/>
  <c r="AY151" i="7"/>
  <c r="AY620" i="1"/>
  <c r="AY118" i="7"/>
  <c r="AY133" i="1"/>
  <c r="AY129" i="7"/>
  <c r="AY554" i="1"/>
  <c r="AY131" i="7"/>
  <c r="AY134" i="1"/>
  <c r="AY101" i="7"/>
  <c r="BC143" i="1"/>
  <c r="BC187" i="7" s="1"/>
  <c r="AY623" i="1"/>
  <c r="AY53" i="1"/>
  <c r="AY621" i="1"/>
  <c r="AY535" i="1"/>
  <c r="BK314" i="1"/>
  <c r="BK307" i="1"/>
  <c r="BL313" i="1"/>
  <c r="AY55" i="1"/>
  <c r="AY146" i="7"/>
  <c r="AY134" i="7"/>
  <c r="AY130" i="7"/>
  <c r="AY120" i="7"/>
  <c r="AY142" i="7" s="1"/>
  <c r="DB90" i="1"/>
  <c r="DA89" i="1"/>
  <c r="DA88" i="1" s="1"/>
  <c r="BJ214" i="1"/>
  <c r="BJ308" i="1"/>
  <c r="BJ303" i="1"/>
  <c r="BJ309" i="1"/>
  <c r="BJ212" i="1"/>
  <c r="BV150" i="7"/>
  <c r="BV153" i="7" s="1"/>
  <c r="BV114" i="1"/>
  <c r="BV100" i="1"/>
  <c r="BV86" i="1"/>
  <c r="BV126" i="8"/>
  <c r="BV109" i="1"/>
  <c r="BV140" i="1"/>
  <c r="BV158" i="7"/>
  <c r="BV169" i="1"/>
  <c r="BV106" i="1"/>
  <c r="BV154" i="1"/>
  <c r="BK158" i="7"/>
  <c r="BK114" i="1"/>
  <c r="BO155" i="1" s="1"/>
  <c r="BK106" i="1"/>
  <c r="BK86" i="1"/>
  <c r="BK109" i="1"/>
  <c r="BK140" i="1"/>
  <c r="BK169" i="1"/>
  <c r="BK126" i="8"/>
  <c r="BK100" i="1"/>
  <c r="BK150" i="7"/>
  <c r="BK153" i="7" s="1"/>
  <c r="BK157" i="7"/>
  <c r="CI116" i="1"/>
  <c r="CI104" i="1" s="1"/>
  <c r="CI111" i="1"/>
  <c r="CQ98" i="1"/>
  <c r="CQ82" i="1"/>
  <c r="CQ85" i="1"/>
  <c r="CQ139" i="1"/>
  <c r="CB209" i="7"/>
  <c r="BD100" i="1"/>
  <c r="BD86" i="1"/>
  <c r="BD106" i="1"/>
  <c r="BD158" i="7"/>
  <c r="BD109" i="1"/>
  <c r="BD114" i="1"/>
  <c r="BD140" i="1"/>
  <c r="BD150" i="7"/>
  <c r="BD153" i="7" s="1"/>
  <c r="BD126" i="8"/>
  <c r="BD169" i="1"/>
  <c r="BE157" i="7"/>
  <c r="BE169" i="1"/>
  <c r="BH154" i="1"/>
  <c r="BF157" i="7"/>
  <c r="BO124" i="8"/>
  <c r="BO170" i="1"/>
  <c r="DT82" i="1"/>
  <c r="DT85" i="1"/>
  <c r="DT86" i="1" s="1"/>
  <c r="BH104" i="1"/>
  <c r="BT157" i="7"/>
  <c r="BV157" i="7"/>
  <c r="BO111" i="1"/>
  <c r="BO116" i="1"/>
  <c r="BO104" i="1" s="1"/>
  <c r="BO67" i="7"/>
  <c r="BO98" i="1"/>
  <c r="BO115" i="1"/>
  <c r="BO110" i="1"/>
  <c r="Y111" i="1"/>
  <c r="Y116" i="1"/>
  <c r="Y104" i="1" s="1"/>
  <c r="AG104" i="1"/>
  <c r="DM104" i="1" s="1"/>
  <c r="DM116" i="1"/>
  <c r="CA21" i="1"/>
  <c r="DX21" i="1" s="1"/>
  <c r="DX22" i="1" s="1"/>
  <c r="BG100" i="1"/>
  <c r="BG126" i="8"/>
  <c r="BG114" i="1"/>
  <c r="BG140" i="1"/>
  <c r="BG86" i="1"/>
  <c r="BG154" i="1"/>
  <c r="BH169" i="1"/>
  <c r="BG158" i="7"/>
  <c r="BK154" i="1"/>
  <c r="BG109" i="1"/>
  <c r="BG106" i="1"/>
  <c r="BG150" i="7"/>
  <c r="BG153" i="7" s="1"/>
  <c r="BJ157" i="7"/>
  <c r="BH157" i="7"/>
  <c r="BG157" i="7"/>
  <c r="BG169" i="1"/>
  <c r="BI157" i="7"/>
  <c r="CK110" i="1"/>
  <c r="CK115" i="1"/>
  <c r="CK67" i="7"/>
  <c r="CG124" i="8"/>
  <c r="CG155" i="1"/>
  <c r="CL110" i="1"/>
  <c r="CL67" i="7"/>
  <c r="CL115" i="1"/>
  <c r="CL111" i="1"/>
  <c r="CL116" i="1"/>
  <c r="CL104" i="1" s="1"/>
  <c r="BL109" i="1"/>
  <c r="BL106" i="1"/>
  <c r="BL169" i="1"/>
  <c r="BL114" i="1"/>
  <c r="BL126" i="8"/>
  <c r="BL158" i="7"/>
  <c r="BL154" i="1"/>
  <c r="BL86" i="1"/>
  <c r="BL100" i="1"/>
  <c r="BL140" i="1"/>
  <c r="BL150" i="7"/>
  <c r="BL153" i="7" s="1"/>
  <c r="BL157" i="7"/>
  <c r="BO157" i="7"/>
  <c r="BM169" i="1"/>
  <c r="BN157" i="7"/>
  <c r="BM157" i="7"/>
  <c r="CS82" i="1"/>
  <c r="CS85" i="1"/>
  <c r="CS153" i="1"/>
  <c r="CS139" i="1"/>
  <c r="BS106" i="1"/>
  <c r="BS150" i="7"/>
  <c r="BS153" i="7" s="1"/>
  <c r="BS114" i="1"/>
  <c r="BS158" i="7"/>
  <c r="BS109" i="1"/>
  <c r="BS86" i="1"/>
  <c r="BS100" i="1"/>
  <c r="BS140" i="1"/>
  <c r="BS126" i="8"/>
  <c r="BS154" i="1"/>
  <c r="BS169" i="1"/>
  <c r="DS82" i="1"/>
  <c r="DS85" i="1"/>
  <c r="DS86" i="1" s="1"/>
  <c r="CT85" i="1"/>
  <c r="CU154" i="1" s="1"/>
  <c r="CT153" i="1"/>
  <c r="CT139" i="1"/>
  <c r="CT82" i="1"/>
  <c r="CR139" i="1"/>
  <c r="CR85" i="1"/>
  <c r="CR82" i="1"/>
  <c r="CR98" i="1"/>
  <c r="CR153" i="1"/>
  <c r="BP114" i="1"/>
  <c r="BT155" i="1" s="1"/>
  <c r="BP126" i="8"/>
  <c r="BP86" i="1"/>
  <c r="BP140" i="1"/>
  <c r="BP109" i="1"/>
  <c r="BP150" i="7"/>
  <c r="BP153" i="7" s="1"/>
  <c r="BP158" i="7"/>
  <c r="BP106" i="1"/>
  <c r="BP100" i="1"/>
  <c r="BP154" i="1"/>
  <c r="BP169" i="1"/>
  <c r="BQ157" i="7"/>
  <c r="BQ169" i="1"/>
  <c r="BR157" i="7"/>
  <c r="BS157" i="7"/>
  <c r="BP157" i="7"/>
  <c r="CG67" i="7"/>
  <c r="CG71" i="7" s="1"/>
  <c r="CG72" i="7" s="1"/>
  <c r="CG110" i="1"/>
  <c r="CG115" i="1"/>
  <c r="CL155" i="1"/>
  <c r="CL124" i="8"/>
  <c r="DU85" i="1"/>
  <c r="DU82" i="1"/>
  <c r="CG111" i="1"/>
  <c r="CG116" i="1"/>
  <c r="CG104" i="1" s="1"/>
  <c r="CH124" i="8"/>
  <c r="CH155" i="1"/>
  <c r="CI155" i="1"/>
  <c r="CK124" i="8"/>
  <c r="CK155" i="1"/>
  <c r="CK116" i="1"/>
  <c r="CK104" i="1" s="1"/>
  <c r="CK111" i="1"/>
  <c r="DV85" i="1"/>
  <c r="DV82" i="1"/>
  <c r="CH111" i="1"/>
  <c r="CH116" i="1"/>
  <c r="CH104" i="1" s="1"/>
  <c r="CH67" i="7"/>
  <c r="CH110" i="1"/>
  <c r="CH115" i="1"/>
  <c r="BY103" i="7"/>
  <c r="BY104" i="7"/>
  <c r="CV80" i="7"/>
  <c r="CV129" i="1"/>
  <c r="CV516" i="1"/>
  <c r="CV21" i="1"/>
  <c r="BY148" i="1"/>
  <c r="BY163" i="1"/>
  <c r="BY515" i="1"/>
  <c r="BY22" i="1"/>
  <c r="BY128" i="1"/>
  <c r="CV20" i="7"/>
  <c r="CV128" i="7" s="1"/>
  <c r="BY27" i="8"/>
  <c r="CV27" i="8" s="1"/>
  <c r="BY67" i="1"/>
  <c r="CV68" i="1"/>
  <c r="BY164" i="1"/>
  <c r="BY149" i="1"/>
  <c r="BY133" i="1"/>
  <c r="BY134" i="1"/>
  <c r="BY165" i="1"/>
  <c r="CV69" i="1"/>
  <c r="BY150" i="1"/>
  <c r="CV37" i="7"/>
  <c r="CV120" i="7" s="1"/>
  <c r="CV142" i="7" s="1"/>
  <c r="BY25" i="8"/>
  <c r="CV25" i="8" s="1"/>
  <c r="BY192" i="7"/>
  <c r="BY17" i="7"/>
  <c r="CV17" i="7" s="1"/>
  <c r="BY191" i="7"/>
  <c r="BY24" i="8"/>
  <c r="CV24" i="8" s="1"/>
  <c r="BY19" i="7"/>
  <c r="CV19" i="7" s="1"/>
  <c r="BY18" i="7"/>
  <c r="CV18" i="7" s="1"/>
  <c r="CV16" i="7"/>
  <c r="CV145" i="7"/>
  <c r="CV196" i="7"/>
  <c r="CV118" i="7"/>
  <c r="CV140" i="7" s="1"/>
  <c r="CV195" i="7"/>
  <c r="AF112" i="7"/>
  <c r="AF102" i="7"/>
  <c r="CY42" i="7"/>
  <c r="CX167" i="7"/>
  <c r="CX549" i="1"/>
  <c r="CX550" i="1" s="1"/>
  <c r="CX76" i="1" s="1"/>
  <c r="AG85" i="7"/>
  <c r="AG82" i="7"/>
  <c r="CK82" i="7" s="1"/>
  <c r="AG84" i="7"/>
  <c r="AG97" i="7" s="1"/>
  <c r="BQ79" i="7"/>
  <c r="BP94" i="7"/>
  <c r="AW79" i="7"/>
  <c r="AV82" i="7"/>
  <c r="AV94" i="7"/>
  <c r="AV84" i="7"/>
  <c r="AV97" i="7" s="1"/>
  <c r="CO134" i="7"/>
  <c r="CO120" i="7"/>
  <c r="CO142" i="7" s="1"/>
  <c r="CO146" i="7"/>
  <c r="CO119" i="7" s="1"/>
  <c r="CO130" i="7"/>
  <c r="AP85" i="1"/>
  <c r="AP168" i="1"/>
  <c r="AP139" i="1"/>
  <c r="AP82" i="1"/>
  <c r="AP153" i="1"/>
  <c r="AT153" i="1"/>
  <c r="AV119" i="7"/>
  <c r="CO71" i="1"/>
  <c r="CO128" i="1"/>
  <c r="CO54" i="1"/>
  <c r="CO515" i="1"/>
  <c r="CO522" i="1" s="1"/>
  <c r="CO629" i="1"/>
  <c r="CO627" i="1"/>
  <c r="CO626" i="1"/>
  <c r="CO628" i="1"/>
  <c r="BJ494" i="1"/>
  <c r="BI495" i="1"/>
  <c r="BI488" i="1"/>
  <c r="BH37" i="1"/>
  <c r="BH489" i="1"/>
  <c r="BH490" i="1"/>
  <c r="BG50" i="1"/>
  <c r="AV156" i="7"/>
  <c r="AV72" i="1"/>
  <c r="AV167" i="1"/>
  <c r="AV78" i="1"/>
  <c r="AV114" i="8"/>
  <c r="AV122" i="8" s="1"/>
  <c r="AV123" i="8" s="1"/>
  <c r="AV138" i="1"/>
  <c r="AV134" i="8"/>
  <c r="AV136" i="8" s="1"/>
  <c r="AV137" i="8" s="1"/>
  <c r="AV137" i="1"/>
  <c r="AW167" i="1"/>
  <c r="DW80" i="1"/>
  <c r="BJ411" i="1"/>
  <c r="BJ398" i="1"/>
  <c r="BJ410" i="1"/>
  <c r="Q100" i="8"/>
  <c r="Q102" i="8" s="1"/>
  <c r="P102" i="8"/>
  <c r="P103" i="8" s="1"/>
  <c r="CN629" i="1"/>
  <c r="CN626" i="1"/>
  <c r="CN627" i="1"/>
  <c r="CN628" i="1"/>
  <c r="BH464" i="1"/>
  <c r="BI463" i="1"/>
  <c r="BH457" i="1"/>
  <c r="CB540" i="1"/>
  <c r="CB143" i="1"/>
  <c r="CB187" i="7" s="1"/>
  <c r="CB40" i="7"/>
  <c r="CB32" i="8"/>
  <c r="CB21" i="7"/>
  <c r="CB541" i="1"/>
  <c r="CB15" i="7"/>
  <c r="CB158" i="1"/>
  <c r="CB188" i="7" s="1"/>
  <c r="BZ70" i="8"/>
  <c r="CA70" i="8" s="1"/>
  <c r="BD94" i="7"/>
  <c r="BE88" i="7"/>
  <c r="CC159" i="1"/>
  <c r="CC144" i="1"/>
  <c r="CC17" i="1"/>
  <c r="CA69" i="1"/>
  <c r="DX69" i="1" s="1"/>
  <c r="BH400" i="1"/>
  <c r="BH399" i="1"/>
  <c r="CJ79" i="7"/>
  <c r="CI94" i="7"/>
  <c r="BE445" i="1"/>
  <c r="BE444" i="1"/>
  <c r="BZ134" i="1"/>
  <c r="BZ150" i="1"/>
  <c r="BZ165" i="1"/>
  <c r="CA79" i="8"/>
  <c r="BZ104" i="7"/>
  <c r="BZ103" i="7"/>
  <c r="CZ245" i="1"/>
  <c r="BL350" i="1"/>
  <c r="BM349" i="1"/>
  <c r="BW204" i="7"/>
  <c r="BW206" i="7" s="1"/>
  <c r="CQ103" i="8"/>
  <c r="CR53" i="8"/>
  <c r="CR55" i="8" s="1"/>
  <c r="CQ56" i="8"/>
  <c r="AL56" i="8"/>
  <c r="AL103" i="8"/>
  <c r="AM53" i="8"/>
  <c r="AM55" i="8" s="1"/>
  <c r="Q53" i="8"/>
  <c r="Q55" i="8" s="1"/>
  <c r="P56" i="8"/>
  <c r="CQ47" i="1"/>
  <c r="BX38" i="8"/>
  <c r="BX80" i="8"/>
  <c r="BF32" i="1"/>
  <c r="BF439" i="1"/>
  <c r="BF438" i="1"/>
  <c r="BF443" i="1"/>
  <c r="BF47" i="1"/>
  <c r="BF61" i="1" s="1"/>
  <c r="CA145" i="7"/>
  <c r="CA195" i="7"/>
  <c r="CA20" i="7"/>
  <c r="CA27" i="8" s="1"/>
  <c r="CA196" i="7"/>
  <c r="BQ213" i="1"/>
  <c r="BQ282" i="1"/>
  <c r="BQ283" i="1"/>
  <c r="CT281" i="1"/>
  <c r="CA25" i="8"/>
  <c r="CH56" i="8"/>
  <c r="CI53" i="8"/>
  <c r="CI55" i="8" s="1"/>
  <c r="CH103" i="8"/>
  <c r="CQ438" i="1"/>
  <c r="CQ443" i="1"/>
  <c r="BE59" i="1"/>
  <c r="CQ32" i="1"/>
  <c r="DC47" i="7"/>
  <c r="DT419" i="1"/>
  <c r="BG458" i="1"/>
  <c r="BG34" i="1"/>
  <c r="BG459" i="1"/>
  <c r="BG437" i="1"/>
  <c r="DS437" i="1" s="1"/>
  <c r="CU150" i="7"/>
  <c r="CU153" i="7" s="1"/>
  <c r="CU126" i="8"/>
  <c r="CU100" i="1"/>
  <c r="CU86" i="1"/>
  <c r="CU140" i="1"/>
  <c r="CU109" i="1"/>
  <c r="CU114" i="1"/>
  <c r="CU106" i="1"/>
  <c r="CU157" i="7"/>
  <c r="CU158" i="7"/>
  <c r="AX40" i="1"/>
  <c r="AX53" i="1" s="1"/>
  <c r="DQ41" i="1"/>
  <c r="BL268" i="1"/>
  <c r="BL261" i="1"/>
  <c r="BM267" i="1"/>
  <c r="BZ19" i="7"/>
  <c r="BZ18" i="7"/>
  <c r="BZ17" i="7"/>
  <c r="BZ191" i="7"/>
  <c r="BZ192" i="7"/>
  <c r="BZ24" i="8"/>
  <c r="BJ418" i="1"/>
  <c r="BJ417" i="1"/>
  <c r="BJ30" i="1"/>
  <c r="BT110" i="1"/>
  <c r="BT115" i="1"/>
  <c r="BT98" i="1"/>
  <c r="BT67" i="7"/>
  <c r="BU170" i="1"/>
  <c r="BT124" i="8"/>
  <c r="AU100" i="8"/>
  <c r="AT102" i="8"/>
  <c r="BD527" i="1"/>
  <c r="BZ67" i="1"/>
  <c r="BZ149" i="1"/>
  <c r="BZ133" i="1"/>
  <c r="BZ164" i="1"/>
  <c r="BZ27" i="8"/>
  <c r="DS457" i="1"/>
  <c r="BX152" i="1"/>
  <c r="BX137" i="1"/>
  <c r="BX134" i="8"/>
  <c r="BX72" i="1"/>
  <c r="BX167" i="1"/>
  <c r="BX138" i="1"/>
  <c r="BX114" i="8"/>
  <c r="CA121" i="8"/>
  <c r="CA80" i="7"/>
  <c r="DQ55" i="1"/>
  <c r="BK262" i="1"/>
  <c r="BK263" i="1"/>
  <c r="BK210" i="1"/>
  <c r="BZ25" i="8"/>
  <c r="BK429" i="1"/>
  <c r="BK409" i="1" s="1"/>
  <c r="BK420" i="1"/>
  <c r="BL419" i="1"/>
  <c r="BK416" i="1"/>
  <c r="BI410" i="1"/>
  <c r="BI411" i="1"/>
  <c r="BI398" i="1"/>
  <c r="DO54" i="1"/>
  <c r="AW158" i="7"/>
  <c r="AW140" i="1"/>
  <c r="AW86" i="1"/>
  <c r="AW100" i="1"/>
  <c r="AW109" i="1"/>
  <c r="AW126" i="8"/>
  <c r="AW150" i="7"/>
  <c r="AW153" i="7" s="1"/>
  <c r="AW114" i="1"/>
  <c r="AW106" i="1"/>
  <c r="BX26" i="8"/>
  <c r="BX43" i="7"/>
  <c r="BX205" i="7"/>
  <c r="CB239" i="1"/>
  <c r="CB238" i="1"/>
  <c r="CQ594" i="1"/>
  <c r="CR590" i="1" s="1"/>
  <c r="CQ603" i="1"/>
  <c r="CQ602" i="1"/>
  <c r="BS287" i="1"/>
  <c r="BR288" i="1"/>
  <c r="BR281" i="1"/>
  <c r="CR422" i="1"/>
  <c r="CR417" i="1"/>
  <c r="BI43" i="1"/>
  <c r="BI57" i="1" s="1"/>
  <c r="AQ117" i="7"/>
  <c r="AQ139" i="7" s="1"/>
  <c r="CN140" i="7"/>
  <c r="CR430" i="1"/>
  <c r="AX151" i="7"/>
  <c r="AX143" i="1"/>
  <c r="AX187" i="7" s="1"/>
  <c r="AX129" i="7"/>
  <c r="AX620" i="1"/>
  <c r="AX554" i="1"/>
  <c r="AX135" i="1"/>
  <c r="AX133" i="1"/>
  <c r="AX118" i="7"/>
  <c r="AX623" i="1"/>
  <c r="AX622" i="1"/>
  <c r="AX134" i="1"/>
  <c r="BB143" i="1"/>
  <c r="BB187" i="7" s="1"/>
  <c r="AX131" i="7"/>
  <c r="AX621" i="1"/>
  <c r="AX101" i="7"/>
  <c r="AX158" i="1"/>
  <c r="AX188" i="7" s="1"/>
  <c r="AX131" i="8"/>
  <c r="DQ11" i="1"/>
  <c r="AY145" i="7"/>
  <c r="AX145" i="7"/>
  <c r="AY158" i="1"/>
  <c r="AY188" i="7" s="1"/>
  <c r="AX147" i="7"/>
  <c r="AY147" i="7"/>
  <c r="BJ431" i="1"/>
  <c r="BJ430" i="1"/>
  <c r="BT116" i="1"/>
  <c r="BT104" i="1" s="1"/>
  <c r="BT111" i="1"/>
  <c r="BE61" i="1"/>
  <c r="AQ78" i="1"/>
  <c r="AQ167" i="1"/>
  <c r="AQ137" i="1"/>
  <c r="AQ134" i="8"/>
  <c r="AQ136" i="8" s="1"/>
  <c r="AQ137" i="8" s="1"/>
  <c r="AQ138" i="1"/>
  <c r="AQ156" i="7"/>
  <c r="AQ152" i="1"/>
  <c r="AQ114" i="8"/>
  <c r="AQ122" i="8" s="1"/>
  <c r="AQ123" i="8" s="1"/>
  <c r="AQ72" i="1"/>
  <c r="DO71" i="1"/>
  <c r="AU152" i="1"/>
  <c r="CB23" i="1"/>
  <c r="BX49" i="7"/>
  <c r="BX28" i="8"/>
  <c r="BN423" i="1"/>
  <c r="BO422" i="1"/>
  <c r="CA539" i="1"/>
  <c r="CA68" i="1"/>
  <c r="DX68" i="1" s="1"/>
  <c r="CR30" i="1"/>
  <c r="CB587" i="1" l="1"/>
  <c r="CB586" i="1" s="1"/>
  <c r="CB572" i="1" s="1"/>
  <c r="DS447" i="1"/>
  <c r="BG449" i="1"/>
  <c r="BG448" i="1"/>
  <c r="BG33" i="1"/>
  <c r="BG46" i="1" s="1"/>
  <c r="BG60" i="1" s="1"/>
  <c r="BH447" i="1"/>
  <c r="BI453" i="1"/>
  <c r="BH454" i="1"/>
  <c r="BF46" i="1"/>
  <c r="BF60" i="1" s="1"/>
  <c r="DS60" i="1" s="1"/>
  <c r="DS33" i="1"/>
  <c r="AM603" i="1"/>
  <c r="AM602" i="1"/>
  <c r="AM594" i="1"/>
  <c r="AN590" i="1" s="1"/>
  <c r="BB62" i="1"/>
  <c r="DR58" i="1"/>
  <c r="CQ432" i="1"/>
  <c r="CQ427" i="1"/>
  <c r="AS119" i="7"/>
  <c r="BH331" i="1"/>
  <c r="BH330" i="1"/>
  <c r="CP131" i="1"/>
  <c r="CP530" i="1"/>
  <c r="BJ336" i="1"/>
  <c r="BJ219" i="1"/>
  <c r="BJ358" i="1"/>
  <c r="BJ357" i="1"/>
  <c r="BJ353" i="1"/>
  <c r="BJ329" i="1" s="1"/>
  <c r="BH374" i="1"/>
  <c r="BH255" i="1"/>
  <c r="BH254" i="1"/>
  <c r="CY321" i="1"/>
  <c r="CX233" i="1"/>
  <c r="AZ380" i="1"/>
  <c r="AZ536" i="1"/>
  <c r="AZ379" i="1"/>
  <c r="AZ537" i="1"/>
  <c r="CP378" i="1"/>
  <c r="BF111" i="1"/>
  <c r="BF116" i="1"/>
  <c r="BF104" i="1" s="1"/>
  <c r="CR336" i="1"/>
  <c r="BI217" i="1"/>
  <c r="BI338" i="1"/>
  <c r="BI366" i="1"/>
  <c r="BI337" i="1"/>
  <c r="AR148" i="1"/>
  <c r="AR54" i="1"/>
  <c r="AR71" i="1"/>
  <c r="AS167" i="1" s="1"/>
  <c r="AR515" i="1"/>
  <c r="AR522" i="1" s="1"/>
  <c r="AR128" i="1"/>
  <c r="DP53" i="1"/>
  <c r="AR163" i="1"/>
  <c r="CN53" i="1"/>
  <c r="AV148" i="1"/>
  <c r="BH363" i="1"/>
  <c r="BH339" i="1"/>
  <c r="BH206" i="1"/>
  <c r="BH334" i="1"/>
  <c r="BH335" i="1"/>
  <c r="BJ272" i="1"/>
  <c r="BJ273" i="1"/>
  <c r="BJ211" i="1"/>
  <c r="BJ257" i="1"/>
  <c r="BJ209" i="1"/>
  <c r="DR468" i="1"/>
  <c r="BC474" i="1"/>
  <c r="BC470" i="1"/>
  <c r="BC469" i="1"/>
  <c r="BC35" i="1"/>
  <c r="DR484" i="1"/>
  <c r="DR485" i="1" s="1"/>
  <c r="DR213" i="1"/>
  <c r="DR479" i="1"/>
  <c r="CP402" i="1"/>
  <c r="AZ11" i="1"/>
  <c r="AZ41" i="1"/>
  <c r="CP28" i="1"/>
  <c r="BF115" i="1"/>
  <c r="BF67" i="7"/>
  <c r="BF110" i="1"/>
  <c r="BF98" i="1"/>
  <c r="AS163" i="1"/>
  <c r="BB476" i="1"/>
  <c r="BB475" i="1"/>
  <c r="BG371" i="1"/>
  <c r="BG372" i="1"/>
  <c r="BA41" i="1"/>
  <c r="BA40" i="1" s="1"/>
  <c r="BA120" i="7" s="1"/>
  <c r="BA142" i="7" s="1"/>
  <c r="BA11" i="1"/>
  <c r="BF426" i="1"/>
  <c r="BG432" i="1"/>
  <c r="BF433" i="1"/>
  <c r="BD479" i="1"/>
  <c r="BD468" i="1"/>
  <c r="BD480" i="1"/>
  <c r="BD36" i="1"/>
  <c r="CN134" i="7"/>
  <c r="CN120" i="7"/>
  <c r="CN142" i="7" s="1"/>
  <c r="CN146" i="7"/>
  <c r="CN119" i="7" s="1"/>
  <c r="CN130" i="7"/>
  <c r="BR111" i="1"/>
  <c r="BR116" i="1"/>
  <c r="BR104" i="1" s="1"/>
  <c r="BR67" i="7"/>
  <c r="BR110" i="1"/>
  <c r="BR115" i="1"/>
  <c r="BR98" i="1"/>
  <c r="BC42" i="1"/>
  <c r="DR42" i="1" s="1"/>
  <c r="DR44" i="1"/>
  <c r="AT85" i="1"/>
  <c r="AT139" i="1"/>
  <c r="AT82" i="1"/>
  <c r="CR357" i="1"/>
  <c r="CR219" i="1"/>
  <c r="BD44" i="1"/>
  <c r="BD58" i="1" s="1"/>
  <c r="BL277" i="1"/>
  <c r="BK278" i="1"/>
  <c r="BK271" i="1"/>
  <c r="BI363" i="1"/>
  <c r="BI339" i="1"/>
  <c r="BI206" i="1"/>
  <c r="BI334" i="1"/>
  <c r="BI335" i="1"/>
  <c r="BH216" i="1"/>
  <c r="BH368" i="1"/>
  <c r="BH367" i="1"/>
  <c r="BF372" i="1"/>
  <c r="BF371" i="1"/>
  <c r="BJ344" i="1"/>
  <c r="BJ345" i="1"/>
  <c r="BJ207" i="1"/>
  <c r="BJ333" i="1"/>
  <c r="BI355" i="1"/>
  <c r="BI208" i="1"/>
  <c r="BI354" i="1"/>
  <c r="BC382" i="1"/>
  <c r="BC397" i="1"/>
  <c r="BC401" i="1"/>
  <c r="BC396" i="1"/>
  <c r="BA524" i="1"/>
  <c r="BA129" i="1"/>
  <c r="CP56" i="1"/>
  <c r="BB401" i="1"/>
  <c r="BB397" i="1"/>
  <c r="BB396" i="1"/>
  <c r="BB382" i="1"/>
  <c r="DR395" i="1"/>
  <c r="BE427" i="1"/>
  <c r="BE406" i="1"/>
  <c r="BE428" i="1"/>
  <c r="BE31" i="1"/>
  <c r="BE44" i="1" s="1"/>
  <c r="BE478" i="1"/>
  <c r="BF484" i="1"/>
  <c r="BE485" i="1"/>
  <c r="BC413" i="1"/>
  <c r="BC414" i="1"/>
  <c r="BT170" i="1"/>
  <c r="BA380" i="1"/>
  <c r="BA379" i="1"/>
  <c r="BA536" i="1"/>
  <c r="BA537" i="1"/>
  <c r="BA530" i="1"/>
  <c r="BA131" i="1"/>
  <c r="BI259" i="1"/>
  <c r="BI258" i="1"/>
  <c r="BI253" i="1"/>
  <c r="AR119" i="7"/>
  <c r="BR155" i="1"/>
  <c r="BR170" i="1"/>
  <c r="BR124" i="8"/>
  <c r="CR207" i="1"/>
  <c r="CR349" i="1"/>
  <c r="CR350" i="1" s="1"/>
  <c r="CR344" i="1"/>
  <c r="CR333" i="1"/>
  <c r="BD407" i="1"/>
  <c r="BD412" i="1"/>
  <c r="BD29" i="1"/>
  <c r="BD408" i="1"/>
  <c r="BC49" i="1"/>
  <c r="BI329" i="1"/>
  <c r="AU168" i="1"/>
  <c r="AU139" i="1"/>
  <c r="AU85" i="1"/>
  <c r="AU82" i="1"/>
  <c r="BK347" i="1"/>
  <c r="BK218" i="1"/>
  <c r="BK356" i="1"/>
  <c r="BL346" i="1"/>
  <c r="BK343" i="1"/>
  <c r="CP390" i="1"/>
  <c r="BF155" i="1"/>
  <c r="BJ155" i="1"/>
  <c r="BF170" i="1"/>
  <c r="BF124" i="8"/>
  <c r="CR353" i="1"/>
  <c r="DR412" i="1"/>
  <c r="DR413" i="1" s="1"/>
  <c r="DR206" i="1"/>
  <c r="DR407" i="1"/>
  <c r="AT167" i="1"/>
  <c r="AW152" i="1"/>
  <c r="AS72" i="1"/>
  <c r="AS152" i="1"/>
  <c r="AS114" i="8"/>
  <c r="AS122" i="8" s="1"/>
  <c r="AS123" i="8" s="1"/>
  <c r="AS78" i="1"/>
  <c r="AT168" i="1" s="1"/>
  <c r="AS156" i="7"/>
  <c r="AS137" i="1"/>
  <c r="AS134" i="8"/>
  <c r="AS136" i="8" s="1"/>
  <c r="AS137" i="8" s="1"/>
  <c r="AS138" i="1"/>
  <c r="CS83" i="1"/>
  <c r="CS156" i="7" s="1"/>
  <c r="CT557" i="1"/>
  <c r="CC11" i="1"/>
  <c r="CC158" i="1" s="1"/>
  <c r="CC188" i="7" s="1"/>
  <c r="CA191" i="7"/>
  <c r="CC18" i="1"/>
  <c r="CW18" i="1" s="1"/>
  <c r="CC160" i="1"/>
  <c r="CA24" i="8"/>
  <c r="CA146" i="7"/>
  <c r="CA192" i="7"/>
  <c r="CW12" i="1"/>
  <c r="CW144" i="1" s="1"/>
  <c r="Q66" i="7"/>
  <c r="Q71" i="7" s="1"/>
  <c r="Q72" i="7" s="1"/>
  <c r="R66" i="7" s="1"/>
  <c r="R71" i="7" s="1"/>
  <c r="R72" i="7" s="1"/>
  <c r="S66" i="7" s="1"/>
  <c r="S71" i="7" s="1"/>
  <c r="S72" i="7" s="1"/>
  <c r="P73" i="7"/>
  <c r="CA18" i="7"/>
  <c r="CA17" i="7"/>
  <c r="AO79" i="7"/>
  <c r="AN94" i="7"/>
  <c r="AN82" i="7"/>
  <c r="AN84" i="7"/>
  <c r="AN97" i="7" s="1"/>
  <c r="CX57" i="7"/>
  <c r="CW68" i="7"/>
  <c r="AK85" i="7"/>
  <c r="AK84" i="7"/>
  <c r="AK97" i="7" s="1"/>
  <c r="AK82" i="7"/>
  <c r="CL82" i="7" s="1"/>
  <c r="AK102" i="7"/>
  <c r="AJ112" i="7"/>
  <c r="CB37" i="7"/>
  <c r="CB25" i="8" s="1"/>
  <c r="CC25" i="1"/>
  <c r="CC131" i="1" s="1"/>
  <c r="CW25" i="1"/>
  <c r="CX325" i="1"/>
  <c r="CW326" i="1"/>
  <c r="BO359" i="1"/>
  <c r="BN360" i="1"/>
  <c r="CW242" i="1"/>
  <c r="CC230" i="1"/>
  <c r="CW230" i="1"/>
  <c r="CC237" i="1"/>
  <c r="CC231" i="1"/>
  <c r="CA515" i="1"/>
  <c r="CA163" i="1"/>
  <c r="CA148" i="1"/>
  <c r="CA22" i="1"/>
  <c r="CA128" i="1"/>
  <c r="CW24" i="1"/>
  <c r="CW300" i="1"/>
  <c r="CX299" i="1"/>
  <c r="AY140" i="7"/>
  <c r="AY119" i="7"/>
  <c r="AY141" i="7" s="1"/>
  <c r="BC632" i="1"/>
  <c r="AY619" i="1"/>
  <c r="AY632" i="1"/>
  <c r="BL307" i="1"/>
  <c r="BM313" i="1"/>
  <c r="BL314" i="1"/>
  <c r="BC633" i="1"/>
  <c r="AY633" i="1"/>
  <c r="DB89" i="1"/>
  <c r="DB88" i="1" s="1"/>
  <c r="DC90" i="1"/>
  <c r="DC89" i="1" s="1"/>
  <c r="DC88" i="1" s="1"/>
  <c r="BA146" i="7"/>
  <c r="BA134" i="7"/>
  <c r="BK214" i="1"/>
  <c r="BK308" i="1"/>
  <c r="BK309" i="1"/>
  <c r="BK303" i="1"/>
  <c r="BK212" i="1"/>
  <c r="AY515" i="1"/>
  <c r="AY522" i="1" s="1"/>
  <c r="AY128" i="1"/>
  <c r="AY148" i="1"/>
  <c r="AY54" i="1"/>
  <c r="AY71" i="1"/>
  <c r="BC634" i="1"/>
  <c r="AY634" i="1"/>
  <c r="BV116" i="1"/>
  <c r="BV104" i="1" s="1"/>
  <c r="BV111" i="1"/>
  <c r="BV58" i="7"/>
  <c r="BV55" i="7" s="1"/>
  <c r="BV67" i="7"/>
  <c r="BV115" i="1"/>
  <c r="BV110" i="1"/>
  <c r="BV98" i="1"/>
  <c r="BV124" i="8"/>
  <c r="BV170" i="1"/>
  <c r="BV155" i="1"/>
  <c r="BD116" i="1"/>
  <c r="BD104" i="1" s="1"/>
  <c r="BD111" i="1"/>
  <c r="BK111" i="1"/>
  <c r="BK116" i="1"/>
  <c r="DT106" i="1"/>
  <c r="BD67" i="7"/>
  <c r="BD98" i="1"/>
  <c r="BD110" i="1"/>
  <c r="BD115" i="1"/>
  <c r="BK115" i="1"/>
  <c r="DT115" i="1" s="1"/>
  <c r="BK67" i="7"/>
  <c r="BK110" i="1"/>
  <c r="BK98" i="1"/>
  <c r="DT100" i="1"/>
  <c r="CW606" i="1"/>
  <c r="CX606" i="1" s="1"/>
  <c r="CC587" i="1"/>
  <c r="CC586" i="1" s="1"/>
  <c r="CC572" i="1" s="1"/>
  <c r="CC209" i="7"/>
  <c r="CQ106" i="1"/>
  <c r="CQ109" i="1"/>
  <c r="CQ126" i="8"/>
  <c r="CQ158" i="7"/>
  <c r="CQ100" i="1"/>
  <c r="CQ150" i="7"/>
  <c r="CQ153" i="7" s="1"/>
  <c r="CQ140" i="1"/>
  <c r="CQ157" i="7"/>
  <c r="CQ114" i="1"/>
  <c r="CQ86" i="1"/>
  <c r="BD170" i="1"/>
  <c r="BE170" i="1"/>
  <c r="BD124" i="8"/>
  <c r="BH155" i="1"/>
  <c r="BK124" i="8"/>
  <c r="BK170" i="1"/>
  <c r="DT114" i="1"/>
  <c r="BL98" i="1"/>
  <c r="BL110" i="1"/>
  <c r="BL115" i="1"/>
  <c r="BL67" i="7"/>
  <c r="DU100" i="1"/>
  <c r="DU115" i="1" s="1"/>
  <c r="DV86" i="1"/>
  <c r="DV114" i="1"/>
  <c r="DV106" i="1"/>
  <c r="DV116" i="1" s="1"/>
  <c r="DU86" i="1"/>
  <c r="DU114" i="1"/>
  <c r="BL170" i="1"/>
  <c r="BL124" i="8"/>
  <c r="BL155" i="1"/>
  <c r="BM170" i="1"/>
  <c r="CH66" i="7"/>
  <c r="CH71" i="7" s="1"/>
  <c r="CH72" i="7" s="1"/>
  <c r="CG73" i="7"/>
  <c r="BP67" i="7"/>
  <c r="BP98" i="1"/>
  <c r="DW98" i="1" s="1"/>
  <c r="BP110" i="1"/>
  <c r="BP115" i="1"/>
  <c r="DV100" i="1"/>
  <c r="DV115" i="1" s="1"/>
  <c r="BS111" i="1"/>
  <c r="BS116" i="1"/>
  <c r="BS104" i="1" s="1"/>
  <c r="BG116" i="1"/>
  <c r="BG111" i="1"/>
  <c r="DS106" i="1"/>
  <c r="BG155" i="1"/>
  <c r="BG124" i="8"/>
  <c r="BH170" i="1"/>
  <c r="BK155" i="1"/>
  <c r="DS114" i="1"/>
  <c r="BG170" i="1"/>
  <c r="CT106" i="1"/>
  <c r="CT157" i="7"/>
  <c r="CT114" i="1"/>
  <c r="CU155" i="1" s="1"/>
  <c r="CT109" i="1"/>
  <c r="CT158" i="7"/>
  <c r="CT126" i="8"/>
  <c r="CT86" i="1"/>
  <c r="CT150" i="7"/>
  <c r="CT153" i="7" s="1"/>
  <c r="CT154" i="1"/>
  <c r="CT140" i="1"/>
  <c r="CT100" i="1"/>
  <c r="BG110" i="1"/>
  <c r="BG98" i="1"/>
  <c r="BG115" i="1"/>
  <c r="BG67" i="7"/>
  <c r="DS100" i="1"/>
  <c r="BP116" i="1"/>
  <c r="BP104" i="1" s="1"/>
  <c r="BP111" i="1"/>
  <c r="BP124" i="8"/>
  <c r="BP155" i="1"/>
  <c r="BQ170" i="1"/>
  <c r="BP170" i="1"/>
  <c r="CR157" i="7"/>
  <c r="CR140" i="1"/>
  <c r="CR158" i="7"/>
  <c r="CR150" i="7"/>
  <c r="CR153" i="7" s="1"/>
  <c r="CR106" i="1"/>
  <c r="CR86" i="1"/>
  <c r="CR100" i="1"/>
  <c r="CR114" i="1"/>
  <c r="CR154" i="1"/>
  <c r="CR109" i="1"/>
  <c r="CR126" i="8"/>
  <c r="BS67" i="7"/>
  <c r="BS110" i="1"/>
  <c r="BS98" i="1"/>
  <c r="BS115" i="1"/>
  <c r="BS124" i="8"/>
  <c r="BS170" i="1"/>
  <c r="BS155" i="1"/>
  <c r="CS126" i="8"/>
  <c r="CS86" i="1"/>
  <c r="CS140" i="1"/>
  <c r="CS100" i="1"/>
  <c r="CS106" i="1"/>
  <c r="CS158" i="7"/>
  <c r="CS150" i="7"/>
  <c r="CS153" i="7" s="1"/>
  <c r="CS154" i="1"/>
  <c r="CS114" i="1"/>
  <c r="CS157" i="7"/>
  <c r="CS109" i="1"/>
  <c r="BL116" i="1"/>
  <c r="BL104" i="1" s="1"/>
  <c r="DU104" i="1" s="1"/>
  <c r="BL111" i="1"/>
  <c r="DU106" i="1"/>
  <c r="DU116" i="1" s="1"/>
  <c r="CV124" i="7"/>
  <c r="CV123" i="7"/>
  <c r="CV125" i="7"/>
  <c r="BY74" i="8"/>
  <c r="CV74" i="8" s="1"/>
  <c r="BY46" i="7"/>
  <c r="BY135" i="1"/>
  <c r="BY39" i="7"/>
  <c r="BY166" i="1"/>
  <c r="BY71" i="1"/>
  <c r="BY151" i="1"/>
  <c r="BY72" i="8"/>
  <c r="CV72" i="8" s="1"/>
  <c r="CV192" i="7"/>
  <c r="CV191" i="7"/>
  <c r="CV146" i="7"/>
  <c r="CV119" i="7" s="1"/>
  <c r="CV150" i="1"/>
  <c r="CV537" i="1"/>
  <c r="CV134" i="1"/>
  <c r="BY71" i="8"/>
  <c r="CV71" i="8" s="1"/>
  <c r="CV148" i="1"/>
  <c r="CV22" i="1"/>
  <c r="CV128" i="1"/>
  <c r="CV515" i="1"/>
  <c r="CV103" i="7"/>
  <c r="CV101" i="7"/>
  <c r="CV536" i="1"/>
  <c r="CV149" i="1"/>
  <c r="CV67" i="1"/>
  <c r="CV133" i="1"/>
  <c r="BQ102" i="7"/>
  <c r="BP112" i="7"/>
  <c r="CZ42" i="7"/>
  <c r="CY167" i="7"/>
  <c r="CY549" i="1"/>
  <c r="CY550" i="1" s="1"/>
  <c r="CY76" i="1" s="1"/>
  <c r="BQ84" i="7"/>
  <c r="BQ97" i="7" s="1"/>
  <c r="BQ82" i="7"/>
  <c r="CT82" i="7" s="1"/>
  <c r="BQ85" i="7"/>
  <c r="AV112" i="7"/>
  <c r="AW102" i="7"/>
  <c r="AW85" i="7"/>
  <c r="AW84" i="7"/>
  <c r="AW97" i="7" s="1"/>
  <c r="AW82" i="7"/>
  <c r="CO82" i="7" s="1"/>
  <c r="AV141" i="7"/>
  <c r="AV117" i="7"/>
  <c r="AV139" i="7" s="1"/>
  <c r="AP169" i="1"/>
  <c r="AP109" i="1"/>
  <c r="AP158" i="7"/>
  <c r="AP157" i="7"/>
  <c r="AP100" i="1"/>
  <c r="AP126" i="8"/>
  <c r="AP86" i="1"/>
  <c r="AP114" i="1"/>
  <c r="AP106" i="1"/>
  <c r="AP140" i="1"/>
  <c r="AP150" i="7"/>
  <c r="AP153" i="7" s="1"/>
  <c r="AP154" i="1"/>
  <c r="CW17" i="1"/>
  <c r="AV85" i="1"/>
  <c r="AV168" i="1"/>
  <c r="AV82" i="1"/>
  <c r="AV139" i="1"/>
  <c r="AW168" i="1"/>
  <c r="BG64" i="1"/>
  <c r="BI490" i="1"/>
  <c r="BI37" i="1"/>
  <c r="BI489" i="1"/>
  <c r="CR488" i="1"/>
  <c r="BH50" i="1"/>
  <c r="BH64" i="1" s="1"/>
  <c r="CO78" i="1"/>
  <c r="CO114" i="8"/>
  <c r="CO122" i="8" s="1"/>
  <c r="CO123" i="8" s="1"/>
  <c r="CO137" i="1"/>
  <c r="CO138" i="1"/>
  <c r="CO134" i="8"/>
  <c r="CO136" i="8" s="1"/>
  <c r="CO137" i="8" s="1"/>
  <c r="CO72" i="1"/>
  <c r="CO156" i="7"/>
  <c r="CO141" i="7"/>
  <c r="CO117" i="7"/>
  <c r="CO139" i="7" s="1"/>
  <c r="BJ488" i="1"/>
  <c r="BJ495" i="1"/>
  <c r="BK494" i="1"/>
  <c r="BW118" i="8"/>
  <c r="DW81" i="1"/>
  <c r="BW85" i="1"/>
  <c r="CC23" i="1"/>
  <c r="BX51" i="7"/>
  <c r="CR57" i="1"/>
  <c r="CR525" i="1" s="1"/>
  <c r="BK398" i="1"/>
  <c r="DT398" i="1" s="1"/>
  <c r="BK410" i="1"/>
  <c r="BK411" i="1"/>
  <c r="DT409" i="1"/>
  <c r="AX634" i="1"/>
  <c r="BB634" i="1"/>
  <c r="BK418" i="1"/>
  <c r="BK30" i="1"/>
  <c r="DT30" i="1" s="1"/>
  <c r="BK417" i="1"/>
  <c r="BZ72" i="8"/>
  <c r="CA72" i="8" s="1"/>
  <c r="BG47" i="1"/>
  <c r="BG45" i="1" s="1"/>
  <c r="CA134" i="1"/>
  <c r="CA150" i="1"/>
  <c r="CA165" i="1"/>
  <c r="BE102" i="7"/>
  <c r="BD112" i="7"/>
  <c r="CB20" i="7"/>
  <c r="CB27" i="8" s="1"/>
  <c r="CB195" i="7"/>
  <c r="CB145" i="7"/>
  <c r="CB196" i="7"/>
  <c r="CB68" i="1"/>
  <c r="CB539" i="1"/>
  <c r="CW238" i="1"/>
  <c r="BX75" i="8"/>
  <c r="CB21" i="1"/>
  <c r="CB129" i="1"/>
  <c r="DO72" i="1"/>
  <c r="BR213" i="1"/>
  <c r="BR283" i="1"/>
  <c r="BR282" i="1"/>
  <c r="BX73" i="8"/>
  <c r="BX119" i="8"/>
  <c r="AW124" i="8"/>
  <c r="BL420" i="1"/>
  <c r="BL416" i="1"/>
  <c r="BM419" i="1"/>
  <c r="CS419" i="1" s="1"/>
  <c r="CS420" i="1" s="1"/>
  <c r="BL429" i="1"/>
  <c r="CB19" i="7"/>
  <c r="CB192" i="7"/>
  <c r="CB17" i="7"/>
  <c r="CB191" i="7"/>
  <c r="CB18" i="7"/>
  <c r="AV100" i="8"/>
  <c r="AU102" i="8"/>
  <c r="BZ71" i="8"/>
  <c r="BM261" i="1"/>
  <c r="BN267" i="1"/>
  <c r="BM268" i="1"/>
  <c r="AX146" i="7"/>
  <c r="AX120" i="7"/>
  <c r="AX142" i="7" s="1"/>
  <c r="AX130" i="7"/>
  <c r="AX134" i="7"/>
  <c r="DQ40" i="1"/>
  <c r="CU111" i="1"/>
  <c r="CU116" i="1"/>
  <c r="CU104" i="1" s="1"/>
  <c r="CQ444" i="1"/>
  <c r="DS34" i="1"/>
  <c r="BX85" i="8"/>
  <c r="BM350" i="1"/>
  <c r="BN349" i="1"/>
  <c r="CB79" i="8"/>
  <c r="CJ85" i="7"/>
  <c r="CJ83" i="7"/>
  <c r="CJ84" i="7" s="1"/>
  <c r="CJ97" i="7" s="1"/>
  <c r="CB69" i="1"/>
  <c r="CB121" i="8"/>
  <c r="CB80" i="7"/>
  <c r="R100" i="8"/>
  <c r="Q103" i="8"/>
  <c r="AX140" i="7"/>
  <c r="CR423" i="1"/>
  <c r="AW98" i="1"/>
  <c r="AW110" i="1"/>
  <c r="AW115" i="1"/>
  <c r="AW67" i="7"/>
  <c r="BI399" i="1"/>
  <c r="BI400" i="1"/>
  <c r="CA103" i="7"/>
  <c r="CA104" i="7"/>
  <c r="CU110" i="1"/>
  <c r="CU115" i="1"/>
  <c r="CU67" i="7"/>
  <c r="CU98" i="1"/>
  <c r="BE527" i="1"/>
  <c r="CQ59" i="1"/>
  <c r="CQ527" i="1" s="1"/>
  <c r="DS209" i="1"/>
  <c r="DS443" i="1"/>
  <c r="DS444" i="1" s="1"/>
  <c r="DS438" i="1"/>
  <c r="CI112" i="7"/>
  <c r="CI102" i="7"/>
  <c r="DT416" i="1"/>
  <c r="BO423" i="1"/>
  <c r="BP422" i="1"/>
  <c r="AQ139" i="1"/>
  <c r="AQ153" i="1"/>
  <c r="AQ82" i="1"/>
  <c r="AQ85" i="1"/>
  <c r="AQ168" i="1"/>
  <c r="DO78" i="1"/>
  <c r="AU153" i="1"/>
  <c r="DQ135" i="1"/>
  <c r="DQ143" i="1"/>
  <c r="DQ134" i="1"/>
  <c r="DQ133" i="1"/>
  <c r="CR43" i="1"/>
  <c r="CR602" i="1"/>
  <c r="CR603" i="1"/>
  <c r="CR594" i="1"/>
  <c r="CS590" i="1" s="1"/>
  <c r="BJ43" i="1"/>
  <c r="BJ57" i="1" s="1"/>
  <c r="CQ61" i="1"/>
  <c r="CQ529" i="1" s="1"/>
  <c r="BL262" i="1"/>
  <c r="BL210" i="1"/>
  <c r="BL263" i="1"/>
  <c r="BG438" i="1"/>
  <c r="BG32" i="1"/>
  <c r="BG439" i="1"/>
  <c r="BG443" i="1"/>
  <c r="DT218" i="1"/>
  <c r="DT420" i="1"/>
  <c r="CJ53" i="8"/>
  <c r="CJ55" i="8" s="1"/>
  <c r="CI103" i="8"/>
  <c r="CI56" i="8"/>
  <c r="BF45" i="1"/>
  <c r="BF445" i="1"/>
  <c r="BF444" i="1"/>
  <c r="Q56" i="8"/>
  <c r="R53" i="8"/>
  <c r="R55" i="8" s="1"/>
  <c r="AM103" i="8"/>
  <c r="AM56" i="8"/>
  <c r="AN53" i="8"/>
  <c r="AN55" i="8" s="1"/>
  <c r="BW147" i="7"/>
  <c r="BX156" i="7"/>
  <c r="DA245" i="1"/>
  <c r="CR398" i="1"/>
  <c r="CB24" i="8"/>
  <c r="BH458" i="1"/>
  <c r="BH34" i="1"/>
  <c r="BH459" i="1"/>
  <c r="BH437" i="1"/>
  <c r="BB632" i="1"/>
  <c r="AX632" i="1"/>
  <c r="AX619" i="1"/>
  <c r="BK431" i="1"/>
  <c r="BK430" i="1"/>
  <c r="DT429" i="1"/>
  <c r="BZ74" i="8"/>
  <c r="CA74" i="8" s="1"/>
  <c r="CA164" i="1"/>
  <c r="CA133" i="1"/>
  <c r="CA67" i="1"/>
  <c r="DX67" i="1" s="1"/>
  <c r="CA149" i="1"/>
  <c r="BB633" i="1"/>
  <c r="AX633" i="1"/>
  <c r="AX515" i="1"/>
  <c r="AX522" i="1" s="1"/>
  <c r="AX128" i="1"/>
  <c r="AX148" i="1"/>
  <c r="AX54" i="1"/>
  <c r="AX71" i="1"/>
  <c r="AX163" i="1"/>
  <c r="AY163" i="1"/>
  <c r="DQ53" i="1"/>
  <c r="BS281" i="1"/>
  <c r="BS288" i="1"/>
  <c r="AW116" i="1"/>
  <c r="AW111" i="1"/>
  <c r="DS458" i="1"/>
  <c r="DS463" i="1"/>
  <c r="DS464" i="1" s="1"/>
  <c r="DS211" i="1"/>
  <c r="BZ135" i="1"/>
  <c r="BZ166" i="1"/>
  <c r="BZ151" i="1"/>
  <c r="BZ46" i="7"/>
  <c r="BZ39" i="7"/>
  <c r="BZ71" i="1"/>
  <c r="CU124" i="8"/>
  <c r="CT213" i="1"/>
  <c r="CT287" i="1"/>
  <c r="CT288" i="1" s="1"/>
  <c r="CT282" i="1"/>
  <c r="CB23" i="8"/>
  <c r="CB70" i="8" s="1"/>
  <c r="CR56" i="8"/>
  <c r="CR103" i="8"/>
  <c r="CS53" i="8"/>
  <c r="CS55" i="8" s="1"/>
  <c r="CX249" i="1"/>
  <c r="CW250" i="1"/>
  <c r="BE90" i="7"/>
  <c r="CQ90" i="7" s="1"/>
  <c r="CQ92" i="7" s="1"/>
  <c r="BI464" i="1"/>
  <c r="BJ463" i="1"/>
  <c r="BI457" i="1"/>
  <c r="BJ399" i="1"/>
  <c r="BJ400" i="1"/>
  <c r="DX98" i="1" l="1"/>
  <c r="BA130" i="7"/>
  <c r="CA71" i="8"/>
  <c r="BI447" i="1"/>
  <c r="BJ453" i="1"/>
  <c r="BI454" i="1"/>
  <c r="BH33" i="1"/>
  <c r="BH449" i="1"/>
  <c r="BH448" i="1"/>
  <c r="CR447" i="1"/>
  <c r="DS453" i="1"/>
  <c r="DS454" i="1" s="1"/>
  <c r="DS448" i="1"/>
  <c r="DS210" i="1"/>
  <c r="AN603" i="1"/>
  <c r="AN602" i="1"/>
  <c r="AN594" i="1"/>
  <c r="AO590" i="1" s="1"/>
  <c r="CW16" i="1"/>
  <c r="CC32" i="8"/>
  <c r="CC80" i="7" s="1"/>
  <c r="CW80" i="7" s="1"/>
  <c r="CC541" i="1"/>
  <c r="CC69" i="1" s="1"/>
  <c r="CC21" i="7"/>
  <c r="CW21" i="7" s="1"/>
  <c r="CC540" i="1"/>
  <c r="CW540" i="1" s="1"/>
  <c r="BA55" i="1"/>
  <c r="AZ535" i="1"/>
  <c r="CC16" i="1"/>
  <c r="CC37" i="7" s="1"/>
  <c r="CC25" i="8" s="1"/>
  <c r="CW25" i="8" s="1"/>
  <c r="BK336" i="1"/>
  <c r="BK219" i="1"/>
  <c r="BK358" i="1"/>
  <c r="BK357" i="1"/>
  <c r="BK353" i="1"/>
  <c r="BI330" i="1"/>
  <c r="BI331" i="1"/>
  <c r="CR363" i="1"/>
  <c r="CR206" i="1"/>
  <c r="CR339" i="1"/>
  <c r="CR340" i="1" s="1"/>
  <c r="CR334" i="1"/>
  <c r="BG484" i="1"/>
  <c r="BF478" i="1"/>
  <c r="BF485" i="1"/>
  <c r="BE407" i="1"/>
  <c r="BE408" i="1"/>
  <c r="BE412" i="1"/>
  <c r="BE29" i="1"/>
  <c r="BC403" i="1"/>
  <c r="BC402" i="1"/>
  <c r="BJ331" i="1"/>
  <c r="BJ330" i="1"/>
  <c r="BI341" i="1"/>
  <c r="BI340" i="1"/>
  <c r="BM277" i="1"/>
  <c r="BL271" i="1"/>
  <c r="BL278" i="1"/>
  <c r="CN141" i="7"/>
  <c r="CN117" i="7"/>
  <c r="CN139" i="7" s="1"/>
  <c r="BH432" i="1"/>
  <c r="BG433" i="1"/>
  <c r="BG426" i="1"/>
  <c r="DS426" i="1" s="1"/>
  <c r="AZ623" i="1"/>
  <c r="AZ133" i="1"/>
  <c r="AZ554" i="1"/>
  <c r="AZ621" i="1"/>
  <c r="BC145" i="7"/>
  <c r="AZ158" i="1"/>
  <c r="AZ188" i="7" s="1"/>
  <c r="BC147" i="7"/>
  <c r="AZ143" i="1"/>
  <c r="AZ187" i="7" s="1"/>
  <c r="AZ134" i="1"/>
  <c r="AZ151" i="7"/>
  <c r="AZ131" i="7"/>
  <c r="AZ131" i="8"/>
  <c r="DR11" i="1"/>
  <c r="AZ620" i="1"/>
  <c r="AZ118" i="7"/>
  <c r="AZ140" i="7" s="1"/>
  <c r="AZ622" i="1"/>
  <c r="BD143" i="1"/>
  <c r="BD187" i="7" s="1"/>
  <c r="AZ135" i="1"/>
  <c r="AZ129" i="7"/>
  <c r="AZ101" i="7"/>
  <c r="BB147" i="7"/>
  <c r="BA147" i="7"/>
  <c r="AZ145" i="7"/>
  <c r="CP11" i="1"/>
  <c r="AZ147" i="7"/>
  <c r="BB145" i="7"/>
  <c r="BA145" i="7"/>
  <c r="BJ259" i="1"/>
  <c r="BJ258" i="1"/>
  <c r="BJ253" i="1"/>
  <c r="BH340" i="1"/>
  <c r="BH341" i="1"/>
  <c r="CQ406" i="1"/>
  <c r="CC40" i="7"/>
  <c r="CW40" i="7" s="1"/>
  <c r="CC15" i="7"/>
  <c r="CC195" i="7" s="1"/>
  <c r="Q73" i="7"/>
  <c r="BC56" i="1"/>
  <c r="AW153" i="1"/>
  <c r="AS153" i="1"/>
  <c r="AS139" i="1"/>
  <c r="AS82" i="1"/>
  <c r="AS85" i="1"/>
  <c r="AU106" i="1"/>
  <c r="AU140" i="1"/>
  <c r="AU158" i="7"/>
  <c r="AU150" i="7"/>
  <c r="AU153" i="7" s="1"/>
  <c r="AU126" i="8"/>
  <c r="AU114" i="1"/>
  <c r="AU169" i="1"/>
  <c r="AU109" i="1"/>
  <c r="AU100" i="1"/>
  <c r="AU86" i="1"/>
  <c r="AR141" i="7"/>
  <c r="AR117" i="7"/>
  <c r="AR139" i="7" s="1"/>
  <c r="BA535" i="1"/>
  <c r="BE479" i="1"/>
  <c r="BE468" i="1"/>
  <c r="BE395" i="1" s="1"/>
  <c r="BE480" i="1"/>
  <c r="BE36" i="1"/>
  <c r="CQ478" i="1"/>
  <c r="BI365" i="1"/>
  <c r="BI205" i="1"/>
  <c r="BI364" i="1"/>
  <c r="BI370" i="1"/>
  <c r="BD469" i="1"/>
  <c r="BD470" i="1"/>
  <c r="BD35" i="1"/>
  <c r="BD474" i="1"/>
  <c r="BF428" i="1"/>
  <c r="BF427" i="1"/>
  <c r="BF406" i="1"/>
  <c r="BF31" i="1"/>
  <c r="BC475" i="1"/>
  <c r="BC476" i="1"/>
  <c r="BH364" i="1"/>
  <c r="BH365" i="1"/>
  <c r="BH205" i="1"/>
  <c r="BH370" i="1"/>
  <c r="CR366" i="1"/>
  <c r="CR217" i="1"/>
  <c r="CR337" i="1"/>
  <c r="CP537" i="1"/>
  <c r="CP536" i="1"/>
  <c r="CP379" i="1"/>
  <c r="CU557" i="1"/>
  <c r="CT83" i="1"/>
  <c r="CT156" i="7" s="1"/>
  <c r="BK333" i="1"/>
  <c r="BK344" i="1"/>
  <c r="BK329" i="1"/>
  <c r="BK207" i="1"/>
  <c r="BK345" i="1"/>
  <c r="BC63" i="1"/>
  <c r="DR63" i="1" s="1"/>
  <c r="BC48" i="1"/>
  <c r="DR49" i="1"/>
  <c r="BD414" i="1"/>
  <c r="BD413" i="1"/>
  <c r="BE58" i="1"/>
  <c r="CQ58" i="1" s="1"/>
  <c r="BE42" i="1"/>
  <c r="DR401" i="1"/>
  <c r="DR402" i="1" s="1"/>
  <c r="DR205" i="1"/>
  <c r="DR396" i="1"/>
  <c r="BB403" i="1"/>
  <c r="BB402" i="1"/>
  <c r="BC390" i="1"/>
  <c r="BC378" i="1"/>
  <c r="BC384" i="1"/>
  <c r="BC383" i="1"/>
  <c r="BC28" i="1"/>
  <c r="BK211" i="1"/>
  <c r="BK272" i="1"/>
  <c r="BK273" i="1"/>
  <c r="BK209" i="1"/>
  <c r="BK257" i="1"/>
  <c r="CQ31" i="1"/>
  <c r="AT150" i="7"/>
  <c r="AT153" i="7" s="1"/>
  <c r="AT100" i="1"/>
  <c r="AT114" i="1"/>
  <c r="AT126" i="8"/>
  <c r="AT158" i="7"/>
  <c r="AT86" i="1"/>
  <c r="AT140" i="1"/>
  <c r="AT106" i="1"/>
  <c r="AT109" i="1"/>
  <c r="BA158" i="1"/>
  <c r="BA188" i="7" s="1"/>
  <c r="BA151" i="7"/>
  <c r="BA129" i="7"/>
  <c r="BD145" i="7"/>
  <c r="BA622" i="1"/>
  <c r="BA143" i="1"/>
  <c r="BA187" i="7" s="1"/>
  <c r="BA101" i="7"/>
  <c r="BE143" i="1"/>
  <c r="BE187" i="7" s="1"/>
  <c r="BA620" i="1"/>
  <c r="BA134" i="1"/>
  <c r="BB158" i="1"/>
  <c r="BB188" i="7" s="1"/>
  <c r="BA554" i="1"/>
  <c r="BD147" i="7"/>
  <c r="BA135" i="1"/>
  <c r="BA623" i="1"/>
  <c r="BA621" i="1"/>
  <c r="BA133" i="1"/>
  <c r="BA131" i="7"/>
  <c r="BA131" i="8"/>
  <c r="BA118" i="7"/>
  <c r="BA140" i="7" s="1"/>
  <c r="DR35" i="1"/>
  <c r="BC62" i="1"/>
  <c r="DR212" i="1"/>
  <c r="DR469" i="1"/>
  <c r="DR474" i="1"/>
  <c r="DR475" i="1" s="1"/>
  <c r="DP54" i="1"/>
  <c r="DP128" i="1"/>
  <c r="DP148" i="1"/>
  <c r="AR114" i="8"/>
  <c r="AR122" i="8" s="1"/>
  <c r="AR123" i="8" s="1"/>
  <c r="AR78" i="1"/>
  <c r="AS168" i="1" s="1"/>
  <c r="AR72" i="1"/>
  <c r="AR134" i="8"/>
  <c r="AR136" i="8" s="1"/>
  <c r="AR137" i="8" s="1"/>
  <c r="AR138" i="1"/>
  <c r="AR156" i="7"/>
  <c r="AR137" i="1"/>
  <c r="AR152" i="1"/>
  <c r="DP71" i="1"/>
  <c r="AV152" i="1"/>
  <c r="AR167" i="1"/>
  <c r="BI368" i="1"/>
  <c r="BI367" i="1"/>
  <c r="BI216" i="1"/>
  <c r="CX234" i="1"/>
  <c r="CR329" i="1"/>
  <c r="CR330" i="1" s="1"/>
  <c r="CC143" i="1"/>
  <c r="CC187" i="7" s="1"/>
  <c r="AT154" i="1"/>
  <c r="R73" i="7"/>
  <c r="CC24" i="1"/>
  <c r="CC130" i="1" s="1"/>
  <c r="CR208" i="1"/>
  <c r="CR354" i="1"/>
  <c r="CR359" i="1"/>
  <c r="CR360" i="1" s="1"/>
  <c r="BM346" i="1"/>
  <c r="BL356" i="1"/>
  <c r="BL336" i="1" s="1"/>
  <c r="BL347" i="1"/>
  <c r="BL218" i="1"/>
  <c r="BL343" i="1"/>
  <c r="BD395" i="1"/>
  <c r="CR253" i="1"/>
  <c r="BI255" i="1"/>
  <c r="BI254" i="1"/>
  <c r="BI374" i="1"/>
  <c r="BB378" i="1"/>
  <c r="BB383" i="1"/>
  <c r="BB390" i="1"/>
  <c r="BB384" i="1"/>
  <c r="BB28" i="1"/>
  <c r="DR382" i="1"/>
  <c r="CP129" i="1"/>
  <c r="CP524" i="1"/>
  <c r="BJ363" i="1"/>
  <c r="BJ206" i="1"/>
  <c r="BJ334" i="1"/>
  <c r="BJ335" i="1"/>
  <c r="BJ339" i="1"/>
  <c r="BD42" i="1"/>
  <c r="BD56" i="1" s="1"/>
  <c r="BD524" i="1" s="1"/>
  <c r="CQ44" i="1"/>
  <c r="BD49" i="1"/>
  <c r="BD48" i="1" s="1"/>
  <c r="BD63" i="1"/>
  <c r="BA53" i="1"/>
  <c r="AZ55" i="1"/>
  <c r="CP55" i="1" s="1"/>
  <c r="CP523" i="1" s="1"/>
  <c r="AZ40" i="1"/>
  <c r="CN71" i="1"/>
  <c r="CN54" i="1"/>
  <c r="CO148" i="1"/>
  <c r="CN148" i="1"/>
  <c r="CN515" i="1"/>
  <c r="CN128" i="1"/>
  <c r="CZ321" i="1"/>
  <c r="CY233" i="1"/>
  <c r="CY234" i="1" s="1"/>
  <c r="BJ355" i="1"/>
  <c r="BJ354" i="1"/>
  <c r="BJ208" i="1"/>
  <c r="BJ337" i="1"/>
  <c r="BJ338" i="1"/>
  <c r="BJ366" i="1"/>
  <c r="BJ217" i="1"/>
  <c r="AS141" i="7"/>
  <c r="AS117" i="7"/>
  <c r="AS139" i="7" s="1"/>
  <c r="CQ433" i="1"/>
  <c r="CW11" i="1"/>
  <c r="AO102" i="7"/>
  <c r="AN112" i="7"/>
  <c r="CY57" i="7"/>
  <c r="CX68" i="7"/>
  <c r="AO82" i="7"/>
  <c r="CM82" i="7" s="1"/>
  <c r="AO84" i="7"/>
  <c r="AO97" i="7" s="1"/>
  <c r="AO85" i="7"/>
  <c r="CC239" i="1"/>
  <c r="CY325" i="1"/>
  <c r="CX317" i="1"/>
  <c r="CW518" i="1"/>
  <c r="CW131" i="1"/>
  <c r="BO360" i="1"/>
  <c r="BP359" i="1"/>
  <c r="CC238" i="1"/>
  <c r="CC129" i="1"/>
  <c r="CX291" i="1"/>
  <c r="CY299" i="1"/>
  <c r="CW130" i="1"/>
  <c r="CW517" i="1"/>
  <c r="AY72" i="1"/>
  <c r="AY78" i="1"/>
  <c r="BC152" i="1"/>
  <c r="AY137" i="1"/>
  <c r="AY152" i="1"/>
  <c r="AY134" i="8"/>
  <c r="AY136" i="8" s="1"/>
  <c r="AY137" i="8" s="1"/>
  <c r="AY156" i="7"/>
  <c r="AY138" i="1"/>
  <c r="AY114" i="8"/>
  <c r="AY122" i="8" s="1"/>
  <c r="AY123" i="8" s="1"/>
  <c r="BN313" i="1"/>
  <c r="BM307" i="1"/>
  <c r="BM314" i="1"/>
  <c r="AY117" i="7"/>
  <c r="AY139" i="7" s="1"/>
  <c r="BA119" i="7"/>
  <c r="BL309" i="1"/>
  <c r="BL308" i="1"/>
  <c r="BL214" i="1"/>
  <c r="BL303" i="1"/>
  <c r="BL212" i="1"/>
  <c r="DS115" i="1"/>
  <c r="DV98" i="1"/>
  <c r="CW572" i="1"/>
  <c r="BV69" i="7"/>
  <c r="BK104" i="1"/>
  <c r="DT104" i="1" s="1"/>
  <c r="DT116" i="1"/>
  <c r="CQ124" i="8"/>
  <c r="CQ115" i="1"/>
  <c r="CQ67" i="7"/>
  <c r="CQ110" i="1"/>
  <c r="CQ116" i="1"/>
  <c r="CQ104" i="1" s="1"/>
  <c r="CQ111" i="1"/>
  <c r="CY606" i="1"/>
  <c r="CX587" i="1"/>
  <c r="CX586" i="1" s="1"/>
  <c r="CX572" i="1" s="1"/>
  <c r="CW586" i="1"/>
  <c r="CS110" i="1"/>
  <c r="CS67" i="7"/>
  <c r="CS98" i="1"/>
  <c r="CS115" i="1"/>
  <c r="CR124" i="8"/>
  <c r="CR155" i="1"/>
  <c r="CT98" i="1"/>
  <c r="CT67" i="7"/>
  <c r="CT110" i="1"/>
  <c r="CT115" i="1"/>
  <c r="CT155" i="1"/>
  <c r="CT124" i="8"/>
  <c r="BG104" i="1"/>
  <c r="DS104" i="1" s="1"/>
  <c r="DS116" i="1"/>
  <c r="CI66" i="7"/>
  <c r="CI71" i="7" s="1"/>
  <c r="CI72" i="7" s="1"/>
  <c r="CH73" i="7"/>
  <c r="DV104" i="1"/>
  <c r="DS98" i="1"/>
  <c r="DU98" i="1"/>
  <c r="DT98" i="1"/>
  <c r="CT116" i="1"/>
  <c r="CT104" i="1" s="1"/>
  <c r="CT111" i="1"/>
  <c r="CR67" i="7"/>
  <c r="CR115" i="1"/>
  <c r="CR110" i="1"/>
  <c r="BG59" i="1"/>
  <c r="BG527" i="1" s="1"/>
  <c r="CS124" i="8"/>
  <c r="CS155" i="1"/>
  <c r="CS111" i="1"/>
  <c r="CS116" i="1"/>
  <c r="CS104" i="1" s="1"/>
  <c r="CR111" i="1"/>
  <c r="CR116" i="1"/>
  <c r="CR104" i="1" s="1"/>
  <c r="CW23" i="1"/>
  <c r="CW516" i="1" s="1"/>
  <c r="CV535" i="1"/>
  <c r="CV135" i="1"/>
  <c r="CV71" i="1"/>
  <c r="CV151" i="1"/>
  <c r="BY26" i="8"/>
  <c r="BY73" i="8" s="1"/>
  <c r="CV73" i="8" s="1"/>
  <c r="BY205" i="7"/>
  <c r="BY43" i="7"/>
  <c r="CV39" i="7"/>
  <c r="CV141" i="7"/>
  <c r="CV117" i="7"/>
  <c r="CV139" i="7" s="1"/>
  <c r="BY137" i="1"/>
  <c r="BY114" i="8"/>
  <c r="BY72" i="1"/>
  <c r="BY167" i="1"/>
  <c r="BY152" i="1"/>
  <c r="BY138" i="1"/>
  <c r="BY134" i="8"/>
  <c r="CV46" i="7"/>
  <c r="BY49" i="7"/>
  <c r="BY28" i="8"/>
  <c r="CV28" i="8" s="1"/>
  <c r="DA42" i="7"/>
  <c r="CZ549" i="1"/>
  <c r="CZ550" i="1" s="1"/>
  <c r="CZ76" i="1" s="1"/>
  <c r="CZ167" i="7"/>
  <c r="BE91" i="7"/>
  <c r="BF88" i="7" s="1"/>
  <c r="BF90" i="7" s="1"/>
  <c r="CR90" i="7" s="1"/>
  <c r="CR92" i="7" s="1"/>
  <c r="BJ37" i="1"/>
  <c r="BJ489" i="1"/>
  <c r="BJ490" i="1"/>
  <c r="CO82" i="1"/>
  <c r="CO98" i="1"/>
  <c r="CO139" i="1"/>
  <c r="CO85" i="1"/>
  <c r="AV158" i="7"/>
  <c r="AV150" i="7"/>
  <c r="AV153" i="7" s="1"/>
  <c r="AV100" i="1"/>
  <c r="AV140" i="1"/>
  <c r="AV106" i="1"/>
  <c r="AV126" i="8"/>
  <c r="AV109" i="1"/>
  <c r="AV86" i="1"/>
  <c r="AV114" i="1"/>
  <c r="AV169" i="1"/>
  <c r="AW169" i="1"/>
  <c r="AW157" i="7"/>
  <c r="AP124" i="8"/>
  <c r="AP155" i="1"/>
  <c r="AP170" i="1"/>
  <c r="AT155" i="1"/>
  <c r="BI50" i="1"/>
  <c r="BI64" i="1" s="1"/>
  <c r="CR64" i="1" s="1"/>
  <c r="CR37" i="1"/>
  <c r="DS64" i="1"/>
  <c r="BL494" i="1"/>
  <c r="BK495" i="1"/>
  <c r="BK488" i="1"/>
  <c r="CR494" i="1"/>
  <c r="CR495" i="1" s="1"/>
  <c r="CR489" i="1"/>
  <c r="AP111" i="1"/>
  <c r="AP116" i="1"/>
  <c r="AP104" i="1" s="1"/>
  <c r="AP110" i="1"/>
  <c r="AP98" i="1"/>
  <c r="AP115" i="1"/>
  <c r="AP67" i="7"/>
  <c r="CB74" i="8"/>
  <c r="BW154" i="1"/>
  <c r="BW169" i="1"/>
  <c r="BW100" i="1"/>
  <c r="BW140" i="1"/>
  <c r="BW150" i="7"/>
  <c r="BW153" i="7" s="1"/>
  <c r="BW158" i="7"/>
  <c r="BW86" i="1"/>
  <c r="BW157" i="7"/>
  <c r="DW85" i="1"/>
  <c r="DW82" i="1"/>
  <c r="BZ134" i="8"/>
  <c r="BZ72" i="1"/>
  <c r="BZ167" i="1"/>
  <c r="BZ114" i="8"/>
  <c r="BZ138" i="1"/>
  <c r="BZ137" i="1"/>
  <c r="BZ152" i="1"/>
  <c r="AW104" i="1"/>
  <c r="BZ26" i="8"/>
  <c r="BZ43" i="7"/>
  <c r="BZ205" i="7"/>
  <c r="DQ54" i="1"/>
  <c r="DQ128" i="1"/>
  <c r="DQ148" i="1"/>
  <c r="AX72" i="1"/>
  <c r="AX134" i="8"/>
  <c r="AX136" i="8" s="1"/>
  <c r="AX137" i="8" s="1"/>
  <c r="AX152" i="1"/>
  <c r="AX114" i="8"/>
  <c r="AX122" i="8" s="1"/>
  <c r="AX123" i="8" s="1"/>
  <c r="AX137" i="1"/>
  <c r="AX167" i="1"/>
  <c r="AX78" i="1"/>
  <c r="AX138" i="1"/>
  <c r="AX156" i="7"/>
  <c r="BB152" i="1"/>
  <c r="AY167" i="1"/>
  <c r="DQ71" i="1"/>
  <c r="CA135" i="1"/>
  <c r="CA151" i="1"/>
  <c r="CA166" i="1"/>
  <c r="CA39" i="7"/>
  <c r="CA46" i="7"/>
  <c r="CA71" i="1"/>
  <c r="DX71" i="1" s="1"/>
  <c r="DX72" i="1" s="1"/>
  <c r="BH439" i="1"/>
  <c r="BH443" i="1"/>
  <c r="BH438" i="1"/>
  <c r="BH32" i="1"/>
  <c r="DB245" i="1"/>
  <c r="DO82" i="1"/>
  <c r="DO85" i="1"/>
  <c r="CB134" i="1"/>
  <c r="CB150" i="1"/>
  <c r="CB165" i="1"/>
  <c r="BN261" i="1"/>
  <c r="BN268" i="1"/>
  <c r="BO267" i="1"/>
  <c r="BM420" i="1"/>
  <c r="BM429" i="1"/>
  <c r="BM409" i="1" s="1"/>
  <c r="BM416" i="1"/>
  <c r="CS416" i="1" s="1"/>
  <c r="BN419" i="1"/>
  <c r="CB72" i="8"/>
  <c r="BI458" i="1"/>
  <c r="BI459" i="1"/>
  <c r="BI34" i="1"/>
  <c r="BI437" i="1"/>
  <c r="CR437" i="1" s="1"/>
  <c r="CR457" i="1"/>
  <c r="CY249" i="1"/>
  <c r="CX241" i="1"/>
  <c r="BS283" i="1"/>
  <c r="BS213" i="1"/>
  <c r="BS282" i="1"/>
  <c r="R56" i="8"/>
  <c r="S53" i="8"/>
  <c r="S55" i="8" s="1"/>
  <c r="S100" i="8"/>
  <c r="R102" i="8"/>
  <c r="R103" i="8" s="1"/>
  <c r="CB103" i="7"/>
  <c r="CB104" i="7"/>
  <c r="BO349" i="1"/>
  <c r="BN350" i="1"/>
  <c r="BF59" i="1"/>
  <c r="BM262" i="1"/>
  <c r="BM210" i="1"/>
  <c r="BM263" i="1"/>
  <c r="CS261" i="1"/>
  <c r="BL417" i="1"/>
  <c r="BL30" i="1"/>
  <c r="BL418" i="1"/>
  <c r="CB515" i="1"/>
  <c r="CB148" i="1"/>
  <c r="CB22" i="1"/>
  <c r="CB128" i="1"/>
  <c r="CB163" i="1"/>
  <c r="DT399" i="1"/>
  <c r="DT216" i="1"/>
  <c r="T66" i="7"/>
  <c r="S73" i="7"/>
  <c r="BZ49" i="7"/>
  <c r="BZ28" i="8"/>
  <c r="BJ457" i="1"/>
  <c r="BK463" i="1"/>
  <c r="BJ464" i="1"/>
  <c r="CS103" i="8"/>
  <c r="CS56" i="8"/>
  <c r="CT53" i="8"/>
  <c r="CT55" i="8" s="1"/>
  <c r="DS32" i="1"/>
  <c r="AO53" i="8"/>
  <c r="AO55" i="8" s="1"/>
  <c r="AN56" i="8"/>
  <c r="AN103" i="8"/>
  <c r="CJ56" i="8"/>
  <c r="CJ103" i="8"/>
  <c r="AQ114" i="1"/>
  <c r="AQ126" i="8"/>
  <c r="AQ106" i="1"/>
  <c r="AQ109" i="1"/>
  <c r="DO109" i="1" s="1"/>
  <c r="AQ150" i="7"/>
  <c r="AQ153" i="7" s="1"/>
  <c r="AQ86" i="1"/>
  <c r="AQ158" i="7"/>
  <c r="AQ154" i="1"/>
  <c r="AQ140" i="1"/>
  <c r="AQ100" i="1"/>
  <c r="AQ169" i="1"/>
  <c r="AQ157" i="7"/>
  <c r="AU154" i="1"/>
  <c r="BQ422" i="1"/>
  <c r="BP423" i="1"/>
  <c r="AX119" i="7"/>
  <c r="CU281" i="1"/>
  <c r="BG61" i="1"/>
  <c r="DT219" i="1"/>
  <c r="DT430" i="1"/>
  <c r="BH47" i="1"/>
  <c r="BH61" i="1" s="1"/>
  <c r="CR399" i="1"/>
  <c r="BG445" i="1"/>
  <c r="BG444" i="1"/>
  <c r="CS602" i="1"/>
  <c r="CS603" i="1"/>
  <c r="CS594" i="1"/>
  <c r="CT590" i="1" s="1"/>
  <c r="DT422" i="1"/>
  <c r="DT423" i="1" s="1"/>
  <c r="DT207" i="1"/>
  <c r="DT417" i="1"/>
  <c r="CW32" i="8"/>
  <c r="CJ94" i="7"/>
  <c r="CK79" i="7"/>
  <c r="CC79" i="8"/>
  <c r="CB71" i="8"/>
  <c r="AV102" i="8"/>
  <c r="AW100" i="8"/>
  <c r="AW102" i="8" s="1"/>
  <c r="BL431" i="1"/>
  <c r="BL430" i="1"/>
  <c r="BL409" i="1"/>
  <c r="CB133" i="1"/>
  <c r="CB67" i="1"/>
  <c r="CB71" i="1" s="1"/>
  <c r="CB149" i="1"/>
  <c r="CB164" i="1"/>
  <c r="BK43" i="1"/>
  <c r="BK57" i="1" s="1"/>
  <c r="DT57" i="1" s="1"/>
  <c r="DT217" i="1"/>
  <c r="DT410" i="1"/>
  <c r="BK400" i="1"/>
  <c r="BK399" i="1"/>
  <c r="BE94" i="7" l="1"/>
  <c r="BI33" i="1"/>
  <c r="CR33" i="1" s="1"/>
  <c r="BI448" i="1"/>
  <c r="BI449" i="1"/>
  <c r="BH46" i="1"/>
  <c r="BH60" i="1"/>
  <c r="CR453" i="1"/>
  <c r="CR454" i="1" s="1"/>
  <c r="CR448" i="1"/>
  <c r="BK453" i="1"/>
  <c r="BJ454" i="1"/>
  <c r="BJ447" i="1"/>
  <c r="AO602" i="1"/>
  <c r="AO594" i="1"/>
  <c r="AP590" i="1" s="1"/>
  <c r="AO603" i="1"/>
  <c r="BE56" i="1"/>
  <c r="BE524" i="1" s="1"/>
  <c r="CP535" i="1"/>
  <c r="CW541" i="1"/>
  <c r="CC121" i="8"/>
  <c r="CC196" i="7"/>
  <c r="CC68" i="1"/>
  <c r="CC67" i="1" s="1"/>
  <c r="CC21" i="1"/>
  <c r="CC163" i="1" s="1"/>
  <c r="CW143" i="1"/>
  <c r="CW187" i="7" s="1"/>
  <c r="CC20" i="7"/>
  <c r="CW20" i="7" s="1"/>
  <c r="CW37" i="7"/>
  <c r="CW120" i="7" s="1"/>
  <c r="CW142" i="7" s="1"/>
  <c r="CC16" i="7"/>
  <c r="CC146" i="7" s="1"/>
  <c r="CW623" i="1"/>
  <c r="CC539" i="1"/>
  <c r="CW539" i="1" s="1"/>
  <c r="CW619" i="1"/>
  <c r="CQ42" i="1"/>
  <c r="CW621" i="1"/>
  <c r="CW633" i="1" s="1"/>
  <c r="CW620" i="1"/>
  <c r="CW632" i="1" s="1"/>
  <c r="CC191" i="7"/>
  <c r="CW131" i="7"/>
  <c r="CX131" i="7" s="1"/>
  <c r="CY131" i="7" s="1"/>
  <c r="CZ131" i="7" s="1"/>
  <c r="DA131" i="7" s="1"/>
  <c r="DB131" i="7" s="1"/>
  <c r="DC131" i="7" s="1"/>
  <c r="CW622" i="1"/>
  <c r="CW634" i="1" s="1"/>
  <c r="CW129" i="7"/>
  <c r="CX129" i="7" s="1"/>
  <c r="CY129" i="7" s="1"/>
  <c r="CZ129" i="7" s="1"/>
  <c r="DA129" i="7" s="1"/>
  <c r="DB129" i="7" s="1"/>
  <c r="DC129" i="7" s="1"/>
  <c r="BJ340" i="1"/>
  <c r="BJ341" i="1"/>
  <c r="BB41" i="1"/>
  <c r="DR28" i="1"/>
  <c r="CR374" i="1"/>
  <c r="CR254" i="1"/>
  <c r="CP134" i="1"/>
  <c r="CP145" i="7"/>
  <c r="CP131" i="8"/>
  <c r="CP554" i="1"/>
  <c r="CP118" i="7"/>
  <c r="CP140" i="7" s="1"/>
  <c r="CP622" i="1"/>
  <c r="CP621" i="1"/>
  <c r="CP133" i="1"/>
  <c r="CQ143" i="1"/>
  <c r="CQ187" i="7" s="1"/>
  <c r="CP620" i="1"/>
  <c r="CP129" i="7"/>
  <c r="CP151" i="7"/>
  <c r="CP131" i="7"/>
  <c r="CP143" i="1"/>
  <c r="CP187" i="7" s="1"/>
  <c r="CP135" i="1"/>
  <c r="CP619" i="1"/>
  <c r="CP623" i="1"/>
  <c r="CP101" i="7"/>
  <c r="CP147" i="7"/>
  <c r="AZ53" i="1"/>
  <c r="AZ146" i="7"/>
  <c r="AZ130" i="7"/>
  <c r="AZ134" i="7"/>
  <c r="AZ120" i="7"/>
  <c r="AZ142" i="7" s="1"/>
  <c r="CP40" i="1"/>
  <c r="BL338" i="1"/>
  <c r="BL366" i="1"/>
  <c r="BL337" i="1"/>
  <c r="BL217" i="1"/>
  <c r="BE633" i="1"/>
  <c r="BA633" i="1"/>
  <c r="BE632" i="1"/>
  <c r="BA619" i="1"/>
  <c r="BA632" i="1"/>
  <c r="BE634" i="1"/>
  <c r="BA634" i="1"/>
  <c r="AU124" i="8"/>
  <c r="AU170" i="1"/>
  <c r="BD633" i="1"/>
  <c r="AZ633" i="1"/>
  <c r="BG428" i="1"/>
  <c r="BG406" i="1"/>
  <c r="DS406" i="1" s="1"/>
  <c r="BG31" i="1"/>
  <c r="BG427" i="1"/>
  <c r="BE397" i="1"/>
  <c r="BE396" i="1"/>
  <c r="BE401" i="1"/>
  <c r="BE382" i="1"/>
  <c r="BB392" i="1"/>
  <c r="DR390" i="1"/>
  <c r="BL344" i="1"/>
  <c r="BL207" i="1"/>
  <c r="BL345" i="1"/>
  <c r="BL219" i="1"/>
  <c r="BL358" i="1"/>
  <c r="BL357" i="1"/>
  <c r="BL353" i="1"/>
  <c r="BL333" i="1" s="1"/>
  <c r="BL363" i="1" s="1"/>
  <c r="AT124" i="8"/>
  <c r="BK258" i="1"/>
  <c r="BK253" i="1"/>
  <c r="BK259" i="1"/>
  <c r="BC537" i="1"/>
  <c r="BC379" i="1"/>
  <c r="BC536" i="1"/>
  <c r="BC380" i="1"/>
  <c r="CQ526" i="1"/>
  <c r="CR216" i="1"/>
  <c r="CR367" i="1"/>
  <c r="BF44" i="1"/>
  <c r="BF42" i="1" s="1"/>
  <c r="BD476" i="1"/>
  <c r="BD475" i="1"/>
  <c r="BI371" i="1"/>
  <c r="BI372" i="1"/>
  <c r="CQ484" i="1"/>
  <c r="CQ485" i="1" s="1"/>
  <c r="CQ479" i="1"/>
  <c r="CQ468" i="1"/>
  <c r="BE469" i="1"/>
  <c r="BE470" i="1"/>
  <c r="BE35" i="1"/>
  <c r="BE474" i="1"/>
  <c r="AU110" i="1"/>
  <c r="AU115" i="1"/>
  <c r="AU98" i="1"/>
  <c r="AU67" i="7"/>
  <c r="BJ254" i="1"/>
  <c r="BJ255" i="1"/>
  <c r="BJ374" i="1"/>
  <c r="BE413" i="1"/>
  <c r="BE414" i="1"/>
  <c r="BF480" i="1"/>
  <c r="BF36" i="1"/>
  <c r="BF468" i="1"/>
  <c r="BF479" i="1"/>
  <c r="BK208" i="1"/>
  <c r="BK355" i="1"/>
  <c r="BK354" i="1"/>
  <c r="BK217" i="1"/>
  <c r="BK338" i="1"/>
  <c r="BK366" i="1"/>
  <c r="BK337" i="1"/>
  <c r="BJ368" i="1"/>
  <c r="BJ216" i="1"/>
  <c r="BJ367" i="1"/>
  <c r="CN152" i="1"/>
  <c r="CN137" i="1"/>
  <c r="CN78" i="1"/>
  <c r="CN72" i="1"/>
  <c r="CN114" i="8"/>
  <c r="CN122" i="8" s="1"/>
  <c r="CN123" i="8" s="1"/>
  <c r="CN138" i="1"/>
  <c r="CN156" i="7"/>
  <c r="CO152" i="1"/>
  <c r="CN134" i="8"/>
  <c r="CN136" i="8" s="1"/>
  <c r="CN137" i="8" s="1"/>
  <c r="BJ364" i="1"/>
  <c r="BJ370" i="1"/>
  <c r="BJ365" i="1"/>
  <c r="BJ205" i="1"/>
  <c r="BB380" i="1"/>
  <c r="BB536" i="1"/>
  <c r="BB537" i="1"/>
  <c r="BB379" i="1"/>
  <c r="DR378" i="1"/>
  <c r="DR379" i="1" s="1"/>
  <c r="BE49" i="1"/>
  <c r="BE48" i="1" s="1"/>
  <c r="CQ48" i="1" s="1"/>
  <c r="CQ36" i="1"/>
  <c r="AS100" i="1"/>
  <c r="AS158" i="7"/>
  <c r="AS86" i="1"/>
  <c r="AS106" i="1"/>
  <c r="AW154" i="1"/>
  <c r="AS140" i="1"/>
  <c r="AS109" i="1"/>
  <c r="AS150" i="7"/>
  <c r="AS153" i="7" s="1"/>
  <c r="AS126" i="8"/>
  <c r="AS154" i="1"/>
  <c r="AS114" i="1"/>
  <c r="DR135" i="1"/>
  <c r="DS143" i="1"/>
  <c r="DR133" i="1"/>
  <c r="DR134" i="1"/>
  <c r="DR143" i="1"/>
  <c r="BM278" i="1"/>
  <c r="BM271" i="1"/>
  <c r="CS271" i="1" s="1"/>
  <c r="BN277" i="1"/>
  <c r="BD397" i="1"/>
  <c r="BD396" i="1"/>
  <c r="BD401" i="1"/>
  <c r="BD382" i="1"/>
  <c r="CQ395" i="1"/>
  <c r="BK206" i="1"/>
  <c r="BK339" i="1"/>
  <c r="BK335" i="1"/>
  <c r="BK334" i="1"/>
  <c r="BK363" i="1"/>
  <c r="DS208" i="1"/>
  <c r="DS427" i="1"/>
  <c r="DS432" i="1"/>
  <c r="DS433" i="1" s="1"/>
  <c r="BD634" i="1"/>
  <c r="AZ634" i="1"/>
  <c r="CC145" i="7"/>
  <c r="CC23" i="8"/>
  <c r="CW23" i="8" s="1"/>
  <c r="CW15" i="7"/>
  <c r="CW145" i="7" s="1"/>
  <c r="AV157" i="7"/>
  <c r="CQ56" i="1"/>
  <c r="DA321" i="1"/>
  <c r="CZ233" i="1"/>
  <c r="CZ234" i="1" s="1"/>
  <c r="BA54" i="1"/>
  <c r="BA515" i="1"/>
  <c r="BA522" i="1" s="1"/>
  <c r="BA128" i="1"/>
  <c r="BA148" i="1"/>
  <c r="BA71" i="1"/>
  <c r="CS346" i="1"/>
  <c r="BM356" i="1"/>
  <c r="BM336" i="1" s="1"/>
  <c r="BM218" i="1"/>
  <c r="BM347" i="1"/>
  <c r="BN346" i="1"/>
  <c r="BM343" i="1"/>
  <c r="DP72" i="1"/>
  <c r="DP152" i="1"/>
  <c r="DP78" i="1"/>
  <c r="AR153" i="1"/>
  <c r="AR85" i="1"/>
  <c r="AS169" i="1" s="1"/>
  <c r="AR82" i="1"/>
  <c r="AR139" i="1"/>
  <c r="AV153" i="1"/>
  <c r="AR168" i="1"/>
  <c r="BC530" i="1"/>
  <c r="DR62" i="1"/>
  <c r="DR131" i="1" s="1"/>
  <c r="AT111" i="1"/>
  <c r="AT116" i="1"/>
  <c r="AT104" i="1" s="1"/>
  <c r="AT169" i="1"/>
  <c r="AT110" i="1"/>
  <c r="AT98" i="1"/>
  <c r="AT67" i="7"/>
  <c r="AT115" i="1"/>
  <c r="BC41" i="1"/>
  <c r="BC40" i="1" s="1"/>
  <c r="BC392" i="1"/>
  <c r="DR48" i="1"/>
  <c r="BK331" i="1"/>
  <c r="BK330" i="1"/>
  <c r="CV557" i="1"/>
  <c r="CU83" i="1"/>
  <c r="CU156" i="7" s="1"/>
  <c r="BH372" i="1"/>
  <c r="BH371" i="1"/>
  <c r="BF408" i="1"/>
  <c r="BF412" i="1"/>
  <c r="BF29" i="1"/>
  <c r="BF56" i="1" s="1"/>
  <c r="BF524" i="1" s="1"/>
  <c r="BF407" i="1"/>
  <c r="BF395" i="1"/>
  <c r="BD62" i="1"/>
  <c r="CQ29" i="1"/>
  <c r="AU111" i="1"/>
  <c r="AU116" i="1"/>
  <c r="AU104" i="1" s="1"/>
  <c r="BC524" i="1"/>
  <c r="DR56" i="1"/>
  <c r="DR129" i="1" s="1"/>
  <c r="CQ407" i="1"/>
  <c r="CQ412" i="1"/>
  <c r="CQ413" i="1" s="1"/>
  <c r="AZ619" i="1"/>
  <c r="BD632" i="1"/>
  <c r="AZ632" i="1"/>
  <c r="BH426" i="1"/>
  <c r="BH433" i="1"/>
  <c r="BI432" i="1"/>
  <c r="BL211" i="1"/>
  <c r="BL272" i="1"/>
  <c r="BL273" i="1"/>
  <c r="BL209" i="1"/>
  <c r="BL257" i="1"/>
  <c r="BG478" i="1"/>
  <c r="BH484" i="1"/>
  <c r="BG485" i="1"/>
  <c r="CR370" i="1"/>
  <c r="CR371" i="1" s="1"/>
  <c r="CR364" i="1"/>
  <c r="CR205" i="1"/>
  <c r="BW58" i="7"/>
  <c r="BW55" i="7" s="1"/>
  <c r="BW115" i="1"/>
  <c r="CY68" i="7"/>
  <c r="CZ57" i="7"/>
  <c r="CW129" i="1"/>
  <c r="CW21" i="1"/>
  <c r="CW148" i="1" s="1"/>
  <c r="CX318" i="1"/>
  <c r="CX14" i="1"/>
  <c r="CY317" i="1"/>
  <c r="CZ325" i="1"/>
  <c r="BP360" i="1"/>
  <c r="BQ359" i="1"/>
  <c r="CY291" i="1"/>
  <c r="CZ299" i="1"/>
  <c r="CX13" i="1"/>
  <c r="CX292" i="1"/>
  <c r="BN307" i="1"/>
  <c r="BN314" i="1"/>
  <c r="BO313" i="1"/>
  <c r="BA141" i="7"/>
  <c r="BA117" i="7"/>
  <c r="BA139" i="7" s="1"/>
  <c r="BC153" i="1"/>
  <c r="AY153" i="1"/>
  <c r="AY85" i="1"/>
  <c r="AY139" i="1"/>
  <c r="AY82" i="1"/>
  <c r="CS307" i="1"/>
  <c r="BM309" i="1"/>
  <c r="BM308" i="1"/>
  <c r="BM214" i="1"/>
  <c r="BM212" i="1"/>
  <c r="BM303" i="1"/>
  <c r="CR532" i="1"/>
  <c r="CR50" i="1"/>
  <c r="CY587" i="1"/>
  <c r="CY586" i="1" s="1"/>
  <c r="CY572" i="1" s="1"/>
  <c r="CZ606" i="1"/>
  <c r="CJ66" i="7"/>
  <c r="CJ71" i="7" s="1"/>
  <c r="CJ72" i="7" s="1"/>
  <c r="CK66" i="7" s="1"/>
  <c r="CI73" i="7"/>
  <c r="CV134" i="7"/>
  <c r="CV49" i="7"/>
  <c r="BY119" i="8"/>
  <c r="CV26" i="8"/>
  <c r="CV205" i="7"/>
  <c r="CV43" i="7"/>
  <c r="CV130" i="7"/>
  <c r="BY75" i="8"/>
  <c r="CV75" i="8" s="1"/>
  <c r="BY51" i="7"/>
  <c r="CV152" i="1"/>
  <c r="CV72" i="1"/>
  <c r="CV134" i="8"/>
  <c r="CV138" i="1"/>
  <c r="CV114" i="8"/>
  <c r="DB42" i="7"/>
  <c r="DA167" i="7"/>
  <c r="DA549" i="1"/>
  <c r="DA550" i="1" s="1"/>
  <c r="DA76" i="1" s="1"/>
  <c r="AV111" i="1"/>
  <c r="AV116" i="1"/>
  <c r="AV104" i="1" s="1"/>
  <c r="BK37" i="1"/>
  <c r="DT37" i="1" s="1"/>
  <c r="BK489" i="1"/>
  <c r="BK490" i="1"/>
  <c r="CO126" i="8"/>
  <c r="CO109" i="1"/>
  <c r="CO100" i="1"/>
  <c r="CO86" i="1"/>
  <c r="CO150" i="7"/>
  <c r="CO153" i="7" s="1"/>
  <c r="CO114" i="1"/>
  <c r="CO157" i="7"/>
  <c r="CO106" i="1"/>
  <c r="CO158" i="7"/>
  <c r="CO140" i="1"/>
  <c r="DT488" i="1"/>
  <c r="BJ50" i="1"/>
  <c r="AV98" i="1"/>
  <c r="AV67" i="7"/>
  <c r="AV115" i="1"/>
  <c r="AV110" i="1"/>
  <c r="BM494" i="1"/>
  <c r="BL488" i="1"/>
  <c r="BL495" i="1"/>
  <c r="AV124" i="8"/>
  <c r="AV170" i="1"/>
  <c r="AW170" i="1"/>
  <c r="DW86" i="1"/>
  <c r="BW98" i="1"/>
  <c r="BW67" i="7"/>
  <c r="DW100" i="1"/>
  <c r="CC72" i="8"/>
  <c r="CW72" i="8" s="1"/>
  <c r="CS417" i="1"/>
  <c r="CS422" i="1"/>
  <c r="CS423" i="1" s="1"/>
  <c r="BM410" i="1"/>
  <c r="BM411" i="1"/>
  <c r="BM398" i="1"/>
  <c r="CB114" i="8"/>
  <c r="CB134" i="8"/>
  <c r="CB152" i="1"/>
  <c r="CB138" i="1"/>
  <c r="CB72" i="1"/>
  <c r="CB167" i="1"/>
  <c r="CB137" i="1"/>
  <c r="CW121" i="8"/>
  <c r="BQ423" i="1"/>
  <c r="BR422" i="1"/>
  <c r="BR423" i="1" s="1"/>
  <c r="AQ67" i="7"/>
  <c r="AQ115" i="1"/>
  <c r="DO115" i="1" s="1"/>
  <c r="AQ110" i="1"/>
  <c r="DO110" i="1" s="1"/>
  <c r="AQ98" i="1"/>
  <c r="DO98" i="1" s="1"/>
  <c r="DO100" i="1"/>
  <c r="CC134" i="1"/>
  <c r="CC150" i="1"/>
  <c r="CC165" i="1"/>
  <c r="CW69" i="1"/>
  <c r="BL410" i="1"/>
  <c r="BL411" i="1"/>
  <c r="BL398" i="1"/>
  <c r="CS409" i="1"/>
  <c r="CS410" i="1" s="1"/>
  <c r="CW79" i="8"/>
  <c r="CK85" i="7"/>
  <c r="CK83" i="7"/>
  <c r="AQ124" i="8"/>
  <c r="AQ155" i="1"/>
  <c r="AQ170" i="1"/>
  <c r="DO114" i="1"/>
  <c r="AU155" i="1"/>
  <c r="CR438" i="1"/>
  <c r="CR443" i="1"/>
  <c r="AX100" i="8"/>
  <c r="CJ102" i="7"/>
  <c r="CJ112" i="7"/>
  <c r="CT602" i="1"/>
  <c r="CT603" i="1"/>
  <c r="CT594" i="1"/>
  <c r="CU590" i="1" s="1"/>
  <c r="CU282" i="1"/>
  <c r="CU287" i="1"/>
  <c r="CU288" i="1" s="1"/>
  <c r="CU213" i="1"/>
  <c r="BK464" i="1"/>
  <c r="BK457" i="1"/>
  <c r="BL463" i="1"/>
  <c r="BL43" i="1"/>
  <c r="BL57" i="1" s="1"/>
  <c r="BF527" i="1"/>
  <c r="DS59" i="1"/>
  <c r="T53" i="8"/>
  <c r="T55" i="8" s="1"/>
  <c r="S56" i="8"/>
  <c r="CZ249" i="1"/>
  <c r="CY241" i="1"/>
  <c r="BI32" i="1"/>
  <c r="BI438" i="1"/>
  <c r="BI439" i="1"/>
  <c r="BI443" i="1"/>
  <c r="BH444" i="1"/>
  <c r="BH445" i="1"/>
  <c r="BJ459" i="1"/>
  <c r="BJ458" i="1"/>
  <c r="BJ34" i="1"/>
  <c r="BJ437" i="1"/>
  <c r="CS210" i="1"/>
  <c r="CS262" i="1"/>
  <c r="CS267" i="1"/>
  <c r="CS268" i="1" s="1"/>
  <c r="BE112" i="7"/>
  <c r="BF102" i="7"/>
  <c r="BI47" i="1"/>
  <c r="BM430" i="1"/>
  <c r="CS429" i="1"/>
  <c r="CS430" i="1" s="1"/>
  <c r="BO261" i="1"/>
  <c r="BP267" i="1"/>
  <c r="BO268" i="1"/>
  <c r="CA72" i="1"/>
  <c r="CA152" i="1"/>
  <c r="CA137" i="1"/>
  <c r="CA138" i="1"/>
  <c r="CA114" i="8"/>
  <c r="CA167" i="1"/>
  <c r="CA134" i="8"/>
  <c r="AX139" i="1"/>
  <c r="AX82" i="1"/>
  <c r="AX85" i="1"/>
  <c r="AX168" i="1"/>
  <c r="AX153" i="1"/>
  <c r="BB153" i="1"/>
  <c r="DQ78" i="1"/>
  <c r="AY168" i="1"/>
  <c r="DS61" i="1"/>
  <c r="BH45" i="1"/>
  <c r="BH59" i="1" s="1"/>
  <c r="CW103" i="7"/>
  <c r="CW101" i="7"/>
  <c r="CT103" i="8"/>
  <c r="CT56" i="8"/>
  <c r="CU53" i="8"/>
  <c r="CU55" i="8" s="1"/>
  <c r="BZ75" i="8"/>
  <c r="BO419" i="1"/>
  <c r="BN416" i="1"/>
  <c r="BN429" i="1"/>
  <c r="BN409" i="1" s="1"/>
  <c r="BN420" i="1"/>
  <c r="DU419" i="1"/>
  <c r="DO86" i="1"/>
  <c r="CA49" i="7"/>
  <c r="CA28" i="8"/>
  <c r="BZ51" i="7"/>
  <c r="CR34" i="1"/>
  <c r="AQ111" i="1"/>
  <c r="DO111" i="1" s="1"/>
  <c r="AQ116" i="1"/>
  <c r="DO106" i="1"/>
  <c r="CB135" i="1"/>
  <c r="CB166" i="1"/>
  <c r="CB151" i="1"/>
  <c r="CB46" i="7"/>
  <c r="CB39" i="7"/>
  <c r="AX141" i="7"/>
  <c r="AX117" i="7"/>
  <c r="AX139" i="7" s="1"/>
  <c r="AP53" i="8"/>
  <c r="AP55" i="8" s="1"/>
  <c r="AO56" i="8"/>
  <c r="AO103" i="8"/>
  <c r="T71" i="7"/>
  <c r="T72" i="7" s="1"/>
  <c r="BO350" i="1"/>
  <c r="BP349" i="1"/>
  <c r="T100" i="8"/>
  <c r="S102" i="8"/>
  <c r="S103" i="8" s="1"/>
  <c r="CC133" i="1"/>
  <c r="CX12" i="1"/>
  <c r="CX229" i="1"/>
  <c r="CX242" i="1"/>
  <c r="CR458" i="1"/>
  <c r="CR463" i="1"/>
  <c r="CR464" i="1" s="1"/>
  <c r="BM30" i="1"/>
  <c r="BM418" i="1"/>
  <c r="BM417" i="1"/>
  <c r="BN210" i="1"/>
  <c r="BN262" i="1"/>
  <c r="BN263" i="1"/>
  <c r="DC245" i="1"/>
  <c r="CC103" i="7"/>
  <c r="CC104" i="7"/>
  <c r="CA26" i="8"/>
  <c r="CA205" i="7"/>
  <c r="CA43" i="7"/>
  <c r="DQ152" i="1"/>
  <c r="DQ72" i="1"/>
  <c r="BZ73" i="8"/>
  <c r="BZ119" i="8"/>
  <c r="CV51" i="7" l="1"/>
  <c r="CW195" i="7"/>
  <c r="BI45" i="1"/>
  <c r="BJ449" i="1"/>
  <c r="BJ448" i="1"/>
  <c r="BJ33" i="1"/>
  <c r="BK454" i="1"/>
  <c r="BK447" i="1"/>
  <c r="BL453" i="1"/>
  <c r="BI46" i="1"/>
  <c r="CR46" i="1" s="1"/>
  <c r="BI60" i="1"/>
  <c r="CR60" i="1" s="1"/>
  <c r="CR528" i="1" s="1"/>
  <c r="AP603" i="1"/>
  <c r="AP602" i="1"/>
  <c r="AP594" i="1"/>
  <c r="CC148" i="1"/>
  <c r="CW118" i="7"/>
  <c r="CW140" i="7" s="1"/>
  <c r="CC149" i="1"/>
  <c r="CC164" i="1"/>
  <c r="CW68" i="1"/>
  <c r="CC22" i="1"/>
  <c r="CC128" i="1"/>
  <c r="CC515" i="1"/>
  <c r="CW128" i="7"/>
  <c r="CX128" i="7" s="1"/>
  <c r="CY128" i="7" s="1"/>
  <c r="CZ128" i="7" s="1"/>
  <c r="DA128" i="7" s="1"/>
  <c r="DB128" i="7" s="1"/>
  <c r="DC128" i="7" s="1"/>
  <c r="CC192" i="7"/>
  <c r="CW196" i="7"/>
  <c r="CC27" i="8"/>
  <c r="CW27" i="8" s="1"/>
  <c r="CC19" i="7"/>
  <c r="CW19" i="7" s="1"/>
  <c r="CC70" i="8"/>
  <c r="CW70" i="8" s="1"/>
  <c r="CW16" i="7"/>
  <c r="CW146" i="7" s="1"/>
  <c r="CW119" i="7" s="1"/>
  <c r="CW141" i="7" s="1"/>
  <c r="CC24" i="8"/>
  <c r="CW24" i="8" s="1"/>
  <c r="CC18" i="7"/>
  <c r="CW18" i="7" s="1"/>
  <c r="CC17" i="7"/>
  <c r="CW17" i="7" s="1"/>
  <c r="BE62" i="1"/>
  <c r="BE530" i="1" s="1"/>
  <c r="CQ49" i="1"/>
  <c r="BC535" i="1"/>
  <c r="BB535" i="1"/>
  <c r="BL364" i="1"/>
  <c r="BL365" i="1"/>
  <c r="BL205" i="1"/>
  <c r="BL370" i="1"/>
  <c r="CS272" i="1"/>
  <c r="CS277" i="1"/>
  <c r="CS278" i="1" s="1"/>
  <c r="CS211" i="1"/>
  <c r="CS209" i="1"/>
  <c r="CS257" i="1"/>
  <c r="CS258" i="1" s="1"/>
  <c r="BM337" i="1"/>
  <c r="BM338" i="1"/>
  <c r="BM217" i="1"/>
  <c r="BM366" i="1"/>
  <c r="CS336" i="1"/>
  <c r="DS407" i="1"/>
  <c r="DS206" i="1"/>
  <c r="DS412" i="1"/>
  <c r="DS413" i="1" s="1"/>
  <c r="BF401" i="1"/>
  <c r="BF396" i="1"/>
  <c r="BF382" i="1"/>
  <c r="BF397" i="1"/>
  <c r="BF414" i="1"/>
  <c r="BF413" i="1"/>
  <c r="BC55" i="1"/>
  <c r="DP85" i="1"/>
  <c r="DP82" i="1"/>
  <c r="DP153" i="1"/>
  <c r="BA137" i="1"/>
  <c r="BE152" i="1"/>
  <c r="BA78" i="1"/>
  <c r="BA152" i="1"/>
  <c r="BA134" i="8"/>
  <c r="BA136" i="8" s="1"/>
  <c r="BA137" i="8" s="1"/>
  <c r="BA156" i="7"/>
  <c r="BA72" i="1"/>
  <c r="BB167" i="1"/>
  <c r="BA138" i="1"/>
  <c r="BA114" i="8"/>
  <c r="BA122" i="8" s="1"/>
  <c r="BA123" i="8" s="1"/>
  <c r="DB321" i="1"/>
  <c r="DA233" i="1"/>
  <c r="DA234" i="1" s="1"/>
  <c r="BK364" i="1"/>
  <c r="BK370" i="1"/>
  <c r="BK205" i="1"/>
  <c r="BK365" i="1"/>
  <c r="BD402" i="1"/>
  <c r="BD403" i="1"/>
  <c r="BN278" i="1"/>
  <c r="BN271" i="1"/>
  <c r="BO277" i="1"/>
  <c r="AT170" i="1"/>
  <c r="AS124" i="8"/>
  <c r="AW155" i="1"/>
  <c r="AS155" i="1"/>
  <c r="AS116" i="1"/>
  <c r="AS104" i="1" s="1"/>
  <c r="AS111" i="1"/>
  <c r="AS67" i="7"/>
  <c r="AS98" i="1"/>
  <c r="AS110" i="1"/>
  <c r="AS115" i="1"/>
  <c r="BJ371" i="1"/>
  <c r="BJ372" i="1"/>
  <c r="CN139" i="1"/>
  <c r="CN85" i="1"/>
  <c r="CN153" i="1"/>
  <c r="CN82" i="1"/>
  <c r="CN98" i="1"/>
  <c r="CO153" i="1"/>
  <c r="BF49" i="1"/>
  <c r="BF48" i="1" s="1"/>
  <c r="BE475" i="1"/>
  <c r="BE476" i="1"/>
  <c r="CQ474" i="1"/>
  <c r="CQ469" i="1"/>
  <c r="BE403" i="1"/>
  <c r="BE402" i="1"/>
  <c r="BG44" i="1"/>
  <c r="BG42" i="1" s="1"/>
  <c r="DS31" i="1"/>
  <c r="BL216" i="1"/>
  <c r="BL368" i="1"/>
  <c r="BL367" i="1"/>
  <c r="BB40" i="1"/>
  <c r="DR41" i="1"/>
  <c r="BI433" i="1"/>
  <c r="BI426" i="1"/>
  <c r="BJ432" i="1"/>
  <c r="CV83" i="1"/>
  <c r="CV156" i="7" s="1"/>
  <c r="CW557" i="1"/>
  <c r="CX557" i="1" s="1"/>
  <c r="CY557" i="1" s="1"/>
  <c r="CY83" i="1" s="1"/>
  <c r="BM344" i="1"/>
  <c r="BM207" i="1"/>
  <c r="BM345" i="1"/>
  <c r="CS343" i="1"/>
  <c r="BM353" i="1"/>
  <c r="BM329" i="1" s="1"/>
  <c r="BM219" i="1"/>
  <c r="BM357" i="1"/>
  <c r="CS356" i="1"/>
  <c r="BM273" i="1"/>
  <c r="BM272" i="1"/>
  <c r="BM211" i="1"/>
  <c r="BM257" i="1"/>
  <c r="BM209" i="1"/>
  <c r="AZ71" i="1"/>
  <c r="AZ54" i="1"/>
  <c r="AZ128" i="1"/>
  <c r="AZ163" i="1"/>
  <c r="AZ515" i="1"/>
  <c r="AZ522" i="1" s="1"/>
  <c r="AZ148" i="1"/>
  <c r="CP53" i="1"/>
  <c r="BG468" i="1"/>
  <c r="BG395" i="1" s="1"/>
  <c r="BG480" i="1"/>
  <c r="BG479" i="1"/>
  <c r="BG36" i="1"/>
  <c r="DS478" i="1"/>
  <c r="CQ35" i="1"/>
  <c r="AR100" i="1"/>
  <c r="AR154" i="1"/>
  <c r="AR150" i="7"/>
  <c r="AR153" i="7" s="1"/>
  <c r="AR114" i="1"/>
  <c r="AU157" i="7"/>
  <c r="AR106" i="1"/>
  <c r="AR158" i="7"/>
  <c r="AR126" i="8"/>
  <c r="AR140" i="1"/>
  <c r="AR86" i="1"/>
  <c r="AR109" i="1"/>
  <c r="DP109" i="1" s="1"/>
  <c r="AR169" i="1"/>
  <c r="AT157" i="7"/>
  <c r="AV154" i="1"/>
  <c r="AR157" i="7"/>
  <c r="AS157" i="7"/>
  <c r="BN356" i="1"/>
  <c r="BO346" i="1"/>
  <c r="BN347" i="1"/>
  <c r="BN218" i="1"/>
  <c r="BN336" i="1"/>
  <c r="BN343" i="1"/>
  <c r="CS347" i="1"/>
  <c r="CS218" i="1"/>
  <c r="CQ396" i="1"/>
  <c r="CQ401" i="1"/>
  <c r="BK216" i="1"/>
  <c r="BK367" i="1"/>
  <c r="BK368" i="1"/>
  <c r="BL208" i="1"/>
  <c r="BL355" i="1"/>
  <c r="BL354" i="1"/>
  <c r="CP629" i="1"/>
  <c r="CP632" i="1"/>
  <c r="CP626" i="1"/>
  <c r="CQ632" i="1"/>
  <c r="CP634" i="1"/>
  <c r="CP628" i="1"/>
  <c r="CQ634" i="1"/>
  <c r="BI484" i="1"/>
  <c r="BH485" i="1"/>
  <c r="BH478" i="1"/>
  <c r="BC53" i="1"/>
  <c r="BC130" i="7"/>
  <c r="BC120" i="7"/>
  <c r="BC142" i="7" s="1"/>
  <c r="BC146" i="7"/>
  <c r="BC134" i="7"/>
  <c r="CQ524" i="1"/>
  <c r="BK254" i="1"/>
  <c r="BK255" i="1"/>
  <c r="BK374" i="1"/>
  <c r="BL206" i="1"/>
  <c r="BL335" i="1"/>
  <c r="BL334" i="1"/>
  <c r="BL339" i="1"/>
  <c r="BG412" i="1"/>
  <c r="BG29" i="1"/>
  <c r="DS29" i="1" s="1"/>
  <c r="BG407" i="1"/>
  <c r="BG408" i="1"/>
  <c r="CP627" i="1"/>
  <c r="CP633" i="1"/>
  <c r="CQ633" i="1"/>
  <c r="CW192" i="7"/>
  <c r="BL253" i="1"/>
  <c r="BL259" i="1"/>
  <c r="BL258" i="1"/>
  <c r="BH31" i="1"/>
  <c r="BH406" i="1"/>
  <c r="BH428" i="1"/>
  <c r="BH427" i="1"/>
  <c r="BD530" i="1"/>
  <c r="BA163" i="1"/>
  <c r="BK341" i="1"/>
  <c r="BK340" i="1"/>
  <c r="BD383" i="1"/>
  <c r="BD378" i="1"/>
  <c r="BD28" i="1"/>
  <c r="BD384" i="1"/>
  <c r="BD390" i="1"/>
  <c r="BE63" i="1"/>
  <c r="CQ63" i="1" s="1"/>
  <c r="CQ531" i="1" s="1"/>
  <c r="BF35" i="1"/>
  <c r="BF469" i="1"/>
  <c r="BF474" i="1"/>
  <c r="BF470" i="1"/>
  <c r="BF58" i="1"/>
  <c r="BL329" i="1"/>
  <c r="CQ382" i="1"/>
  <c r="CQ383" i="1" s="1"/>
  <c r="BE378" i="1"/>
  <c r="BE390" i="1"/>
  <c r="BE28" i="1"/>
  <c r="BE384" i="1"/>
  <c r="BE383" i="1"/>
  <c r="CP146" i="7"/>
  <c r="CP119" i="7" s="1"/>
  <c r="CP130" i="7"/>
  <c r="CP120" i="7"/>
  <c r="CP142" i="7" s="1"/>
  <c r="CP134" i="7"/>
  <c r="AZ119" i="7"/>
  <c r="BB55" i="1"/>
  <c r="DR55" i="1" s="1"/>
  <c r="CZ68" i="7"/>
  <c r="DA57" i="7"/>
  <c r="CZ557" i="1"/>
  <c r="CW22" i="1"/>
  <c r="CW128" i="1"/>
  <c r="CW515" i="1"/>
  <c r="CY14" i="1"/>
  <c r="CY318" i="1"/>
  <c r="CZ317" i="1"/>
  <c r="DA325" i="1"/>
  <c r="CX146" i="1"/>
  <c r="CX19" i="1"/>
  <c r="CX25" i="1" s="1"/>
  <c r="CX131" i="1" s="1"/>
  <c r="BR359" i="1"/>
  <c r="BQ360" i="1"/>
  <c r="CX18" i="1"/>
  <c r="CX24" i="1" s="1"/>
  <c r="CX130" i="1" s="1"/>
  <c r="CX145" i="1"/>
  <c r="CZ291" i="1"/>
  <c r="DA299" i="1"/>
  <c r="CY13" i="1"/>
  <c r="CY292" i="1"/>
  <c r="CR47" i="1"/>
  <c r="BO307" i="1"/>
  <c r="BO314" i="1"/>
  <c r="BP313" i="1"/>
  <c r="AY114" i="1"/>
  <c r="AY154" i="1"/>
  <c r="AY140" i="1"/>
  <c r="AY106" i="1"/>
  <c r="AY150" i="7"/>
  <c r="AY153" i="7" s="1"/>
  <c r="AY100" i="1"/>
  <c r="AY126" i="8"/>
  <c r="AY86" i="1"/>
  <c r="AY109" i="1"/>
  <c r="BC154" i="1"/>
  <c r="AY158" i="7"/>
  <c r="CS303" i="1"/>
  <c r="CS304" i="1" s="1"/>
  <c r="CS214" i="1"/>
  <c r="CS313" i="1"/>
  <c r="CS314" i="1" s="1"/>
  <c r="CS212" i="1"/>
  <c r="CS308" i="1"/>
  <c r="BN308" i="1"/>
  <c r="BN212" i="1"/>
  <c r="BN309" i="1"/>
  <c r="BN214" i="1"/>
  <c r="BN303" i="1"/>
  <c r="CZ587" i="1"/>
  <c r="CZ586" i="1" s="1"/>
  <c r="CZ572" i="1" s="1"/>
  <c r="DA606" i="1"/>
  <c r="CJ73" i="7"/>
  <c r="DC42" i="7"/>
  <c r="DB167" i="7"/>
  <c r="DB549" i="1"/>
  <c r="DB550" i="1" s="1"/>
  <c r="DB76" i="1" s="1"/>
  <c r="CA73" i="8"/>
  <c r="BM488" i="1"/>
  <c r="BM495" i="1"/>
  <c r="BN494" i="1"/>
  <c r="BJ64" i="1"/>
  <c r="CO111" i="1"/>
  <c r="CO116" i="1"/>
  <c r="CO104" i="1" s="1"/>
  <c r="DT494" i="1"/>
  <c r="DT495" i="1" s="1"/>
  <c r="DT489" i="1"/>
  <c r="DT214" i="1"/>
  <c r="CO67" i="7"/>
  <c r="CO115" i="1"/>
  <c r="CO110" i="1"/>
  <c r="CO124" i="8"/>
  <c r="BK50" i="1"/>
  <c r="BK64" i="1" s="1"/>
  <c r="BL489" i="1"/>
  <c r="BL37" i="1"/>
  <c r="BL490" i="1"/>
  <c r="CA119" i="8"/>
  <c r="BN411" i="1"/>
  <c r="BN410" i="1"/>
  <c r="BN398" i="1"/>
  <c r="CW67" i="1"/>
  <c r="DU218" i="1"/>
  <c r="DU420" i="1"/>
  <c r="AP56" i="8"/>
  <c r="AQ53" i="8"/>
  <c r="AQ55" i="8" s="1"/>
  <c r="AP103" i="8"/>
  <c r="BH527" i="1"/>
  <c r="BM43" i="1"/>
  <c r="BM57" i="1" s="1"/>
  <c r="CX237" i="1"/>
  <c r="CX230" i="1"/>
  <c r="BP350" i="1"/>
  <c r="BQ349" i="1"/>
  <c r="CB49" i="7"/>
  <c r="CB28" i="8"/>
  <c r="BO420" i="1"/>
  <c r="BO416" i="1"/>
  <c r="DU416" i="1" s="1"/>
  <c r="BO429" i="1"/>
  <c r="BO409" i="1" s="1"/>
  <c r="BP419" i="1"/>
  <c r="CA75" i="8"/>
  <c r="BP261" i="1"/>
  <c r="BP268" i="1"/>
  <c r="BQ267" i="1"/>
  <c r="BJ47" i="1"/>
  <c r="BJ61" i="1" s="1"/>
  <c r="DA249" i="1"/>
  <c r="CZ241" i="1"/>
  <c r="CV53" i="8"/>
  <c r="CU56" i="8"/>
  <c r="CU103" i="8"/>
  <c r="BO263" i="1"/>
  <c r="BO262" i="1"/>
  <c r="BO210" i="1"/>
  <c r="CR444" i="1"/>
  <c r="CW537" i="1"/>
  <c r="CW150" i="1"/>
  <c r="CW134" i="1"/>
  <c r="CK71" i="7"/>
  <c r="CK72" i="7" s="1"/>
  <c r="CA51" i="7"/>
  <c r="BI61" i="1"/>
  <c r="BJ443" i="1"/>
  <c r="BJ439" i="1"/>
  <c r="BJ438" i="1"/>
  <c r="BJ32" i="1"/>
  <c r="BI59" i="1"/>
  <c r="BI527" i="1" s="1"/>
  <c r="U53" i="8"/>
  <c r="U55" i="8" s="1"/>
  <c r="T56" i="8"/>
  <c r="CS30" i="1"/>
  <c r="BL464" i="1"/>
  <c r="BM463" i="1"/>
  <c r="BL457" i="1"/>
  <c r="CU603" i="1"/>
  <c r="CU594" i="1"/>
  <c r="CV590" i="1" s="1"/>
  <c r="CU602" i="1"/>
  <c r="CK94" i="7"/>
  <c r="CL79" i="7"/>
  <c r="BL399" i="1"/>
  <c r="BL400" i="1"/>
  <c r="CS398" i="1"/>
  <c r="CS399" i="1" s="1"/>
  <c r="CR32" i="1"/>
  <c r="CX144" i="1"/>
  <c r="CX17" i="1"/>
  <c r="CX11" i="1"/>
  <c r="U100" i="8"/>
  <c r="U102" i="8" s="1"/>
  <c r="T102" i="8"/>
  <c r="T103" i="8" s="1"/>
  <c r="CC166" i="1"/>
  <c r="CC135" i="1"/>
  <c r="CC151" i="1"/>
  <c r="CC46" i="7"/>
  <c r="CC39" i="7"/>
  <c r="CC71" i="1"/>
  <c r="BN431" i="1"/>
  <c r="BN430" i="1"/>
  <c r="BR430" i="1"/>
  <c r="DU429" i="1"/>
  <c r="T73" i="7"/>
  <c r="U66" i="7"/>
  <c r="CB26" i="8"/>
  <c r="CB205" i="7"/>
  <c r="CB43" i="7"/>
  <c r="AQ104" i="1"/>
  <c r="DO104" i="1" s="1"/>
  <c r="DO116" i="1"/>
  <c r="BN417" i="1"/>
  <c r="BN30" i="1"/>
  <c r="BN418" i="1"/>
  <c r="CR45" i="1"/>
  <c r="DQ153" i="1"/>
  <c r="DQ82" i="1"/>
  <c r="DQ85" i="1"/>
  <c r="AX169" i="1"/>
  <c r="AX154" i="1"/>
  <c r="AX140" i="1"/>
  <c r="AX86" i="1"/>
  <c r="AX100" i="1"/>
  <c r="AX114" i="1"/>
  <c r="AX150" i="7"/>
  <c r="AX153" i="7" s="1"/>
  <c r="AX109" i="1"/>
  <c r="AX158" i="7"/>
  <c r="AX106" i="1"/>
  <c r="AX126" i="8"/>
  <c r="BB154" i="1"/>
  <c r="AX157" i="7"/>
  <c r="AY157" i="7"/>
  <c r="AY169" i="1"/>
  <c r="BI445" i="1"/>
  <c r="BI444" i="1"/>
  <c r="CY12" i="1"/>
  <c r="CY242" i="1"/>
  <c r="CY229" i="1"/>
  <c r="BK458" i="1"/>
  <c r="BK34" i="1"/>
  <c r="BK459" i="1"/>
  <c r="BK437" i="1"/>
  <c r="DT437" i="1" s="1"/>
  <c r="AX102" i="8"/>
  <c r="AY100" i="8"/>
  <c r="CK84" i="7"/>
  <c r="CK97" i="7" s="1"/>
  <c r="BM400" i="1"/>
  <c r="BM399" i="1"/>
  <c r="DT457" i="1"/>
  <c r="BM453" i="1" l="1"/>
  <c r="BL454" i="1"/>
  <c r="BL447" i="1"/>
  <c r="BJ46" i="1"/>
  <c r="BJ60" i="1" s="1"/>
  <c r="DT447" i="1"/>
  <c r="BK448" i="1"/>
  <c r="BK449" i="1"/>
  <c r="BK33" i="1"/>
  <c r="BK46" i="1" s="1"/>
  <c r="BK60" i="1" s="1"/>
  <c r="AQ590" i="1"/>
  <c r="AP612" i="1"/>
  <c r="AP613" i="1" s="1"/>
  <c r="AP614" i="1" s="1"/>
  <c r="CQ62" i="1"/>
  <c r="CQ530" i="1" s="1"/>
  <c r="CW133" i="1"/>
  <c r="CW149" i="1"/>
  <c r="CW536" i="1"/>
  <c r="CW191" i="7"/>
  <c r="CW117" i="7"/>
  <c r="CW139" i="7" s="1"/>
  <c r="CW123" i="7"/>
  <c r="CX123" i="7" s="1"/>
  <c r="CY123" i="7" s="1"/>
  <c r="CZ123" i="7" s="1"/>
  <c r="DA123" i="7" s="1"/>
  <c r="DB123" i="7" s="1"/>
  <c r="DC123" i="7" s="1"/>
  <c r="CW124" i="7"/>
  <c r="CX124" i="7" s="1"/>
  <c r="CY124" i="7" s="1"/>
  <c r="CZ124" i="7" s="1"/>
  <c r="DA124" i="7" s="1"/>
  <c r="DB124" i="7" s="1"/>
  <c r="DC124" i="7" s="1"/>
  <c r="CC74" i="8"/>
  <c r="CW74" i="8" s="1"/>
  <c r="CC71" i="8"/>
  <c r="CW71" i="8" s="1"/>
  <c r="CW125" i="7"/>
  <c r="CX125" i="7" s="1"/>
  <c r="CY125" i="7" s="1"/>
  <c r="CZ125" i="7" s="1"/>
  <c r="DA125" i="7" s="1"/>
  <c r="DB125" i="7" s="1"/>
  <c r="DC125" i="7" s="1"/>
  <c r="BM333" i="1"/>
  <c r="BM335" i="1" s="1"/>
  <c r="BG56" i="1"/>
  <c r="BG524" i="1" s="1"/>
  <c r="CP141" i="7"/>
  <c r="CP117" i="7"/>
  <c r="CP139" i="7" s="1"/>
  <c r="CQ390" i="1"/>
  <c r="CQ391" i="1" s="1"/>
  <c r="BE391" i="1"/>
  <c r="BE392" i="1"/>
  <c r="BD41" i="1"/>
  <c r="BD40" i="1" s="1"/>
  <c r="CQ28" i="1"/>
  <c r="BH44" i="1"/>
  <c r="BH42" i="1" s="1"/>
  <c r="BG396" i="1"/>
  <c r="BG382" i="1"/>
  <c r="BG401" i="1"/>
  <c r="BG397" i="1"/>
  <c r="BL341" i="1"/>
  <c r="BL340" i="1"/>
  <c r="DP114" i="1"/>
  <c r="DP155" i="1" s="1"/>
  <c r="AR155" i="1"/>
  <c r="AR124" i="8"/>
  <c r="AV155" i="1"/>
  <c r="AR170" i="1"/>
  <c r="BM334" i="1"/>
  <c r="BM206" i="1"/>
  <c r="DS56" i="1"/>
  <c r="CQ475" i="1"/>
  <c r="BF62" i="1"/>
  <c r="CN154" i="1"/>
  <c r="CN157" i="7"/>
  <c r="CN126" i="8"/>
  <c r="CN158" i="7"/>
  <c r="CO154" i="1"/>
  <c r="CN86" i="1"/>
  <c r="CN114" i="1"/>
  <c r="CN109" i="1"/>
  <c r="CN150" i="7"/>
  <c r="CN153" i="7" s="1"/>
  <c r="CN106" i="1"/>
  <c r="CN140" i="1"/>
  <c r="CN100" i="1"/>
  <c r="BN211" i="1"/>
  <c r="BN273" i="1"/>
  <c r="BN272" i="1"/>
  <c r="BN257" i="1"/>
  <c r="BN209" i="1"/>
  <c r="DP86" i="1"/>
  <c r="DP154" i="1"/>
  <c r="BL372" i="1"/>
  <c r="BL371" i="1"/>
  <c r="BE537" i="1"/>
  <c r="BE379" i="1"/>
  <c r="BE380" i="1"/>
  <c r="BE536" i="1"/>
  <c r="BD536" i="1"/>
  <c r="BD537" i="1"/>
  <c r="BD379" i="1"/>
  <c r="BD380" i="1"/>
  <c r="CQ378" i="1"/>
  <c r="BI485" i="1"/>
  <c r="BI478" i="1"/>
  <c r="BJ484" i="1"/>
  <c r="CQ402" i="1"/>
  <c r="BN344" i="1"/>
  <c r="BN207" i="1"/>
  <c r="BN345" i="1"/>
  <c r="BP346" i="1"/>
  <c r="BO356" i="1"/>
  <c r="BO347" i="1"/>
  <c r="BO218" i="1"/>
  <c r="BO343" i="1"/>
  <c r="AR111" i="1"/>
  <c r="DP111" i="1" s="1"/>
  <c r="AR116" i="1"/>
  <c r="DP106" i="1"/>
  <c r="BM354" i="1"/>
  <c r="BM208" i="1"/>
  <c r="BM355" i="1"/>
  <c r="CS353" i="1"/>
  <c r="CS333" i="1" s="1"/>
  <c r="DC321" i="1"/>
  <c r="DC233" i="1" s="1"/>
  <c r="DB233" i="1"/>
  <c r="DB234" i="1" s="1"/>
  <c r="DS395" i="1"/>
  <c r="BF402" i="1"/>
  <c r="BF403" i="1"/>
  <c r="BF475" i="1"/>
  <c r="BF476" i="1"/>
  <c r="BD392" i="1"/>
  <c r="BD391" i="1"/>
  <c r="BC148" i="1"/>
  <c r="BC521" i="1"/>
  <c r="BC54" i="1"/>
  <c r="BN338" i="1"/>
  <c r="BN366" i="1"/>
  <c r="BN337" i="1"/>
  <c r="BN217" i="1"/>
  <c r="BN219" i="1"/>
  <c r="BN357" i="1"/>
  <c r="BN358" i="1"/>
  <c r="BN353" i="1"/>
  <c r="DS213" i="1"/>
  <c r="DS479" i="1"/>
  <c r="DS484" i="1"/>
  <c r="DS485" i="1" s="1"/>
  <c r="DS468" i="1"/>
  <c r="BG35" i="1"/>
  <c r="BG469" i="1"/>
  <c r="BG470" i="1"/>
  <c r="BG474" i="1"/>
  <c r="CP148" i="1"/>
  <c r="CP128" i="1"/>
  <c r="CP515" i="1"/>
  <c r="CP522" i="1" s="1"/>
  <c r="CP71" i="1"/>
  <c r="CP54" i="1"/>
  <c r="AZ156" i="7"/>
  <c r="AZ114" i="8"/>
  <c r="AZ122" i="8" s="1"/>
  <c r="AZ123" i="8" s="1"/>
  <c r="AZ152" i="1"/>
  <c r="AZ72" i="1"/>
  <c r="BD152" i="1"/>
  <c r="AZ134" i="8"/>
  <c r="AZ136" i="8" s="1"/>
  <c r="AZ137" i="8" s="1"/>
  <c r="AZ137" i="1"/>
  <c r="AZ138" i="1"/>
  <c r="AZ78" i="1"/>
  <c r="BA168" i="1" s="1"/>
  <c r="DR71" i="1"/>
  <c r="AZ167" i="1"/>
  <c r="BM259" i="1"/>
  <c r="BM258" i="1"/>
  <c r="BM253" i="1"/>
  <c r="CS253" i="1" s="1"/>
  <c r="CS219" i="1"/>
  <c r="CS357" i="1"/>
  <c r="CS207" i="1"/>
  <c r="CS344" i="1"/>
  <c r="CS349" i="1"/>
  <c r="CS350" i="1" s="1"/>
  <c r="BJ426" i="1"/>
  <c r="BK432" i="1"/>
  <c r="BJ433" i="1"/>
  <c r="BB53" i="1"/>
  <c r="BB130" i="7"/>
  <c r="BB120" i="7"/>
  <c r="BB142" i="7" s="1"/>
  <c r="BB134" i="7"/>
  <c r="BB146" i="7"/>
  <c r="DR40" i="1"/>
  <c r="BK371" i="1"/>
  <c r="BK372" i="1"/>
  <c r="BA139" i="1"/>
  <c r="BA153" i="1"/>
  <c r="BA85" i="1"/>
  <c r="BB168" i="1"/>
  <c r="BA82" i="1"/>
  <c r="BE153" i="1"/>
  <c r="CS366" i="1"/>
  <c r="CS217" i="1"/>
  <c r="CS337" i="1"/>
  <c r="AZ117" i="7"/>
  <c r="AZ139" i="7" s="1"/>
  <c r="AZ141" i="7"/>
  <c r="BE41" i="1"/>
  <c r="BE40" i="1" s="1"/>
  <c r="BL330" i="1"/>
  <c r="BL331" i="1"/>
  <c r="CS329" i="1"/>
  <c r="CS330" i="1" s="1"/>
  <c r="BH407" i="1"/>
  <c r="BH412" i="1"/>
  <c r="BH408" i="1"/>
  <c r="BH29" i="1"/>
  <c r="BL374" i="1"/>
  <c r="BL254" i="1"/>
  <c r="BL255" i="1"/>
  <c r="BG414" i="1"/>
  <c r="BG413" i="1"/>
  <c r="BC119" i="7"/>
  <c r="BH36" i="1"/>
  <c r="BH49" i="1" s="1"/>
  <c r="BH468" i="1"/>
  <c r="BH479" i="1"/>
  <c r="BH480" i="1"/>
  <c r="AR110" i="1"/>
  <c r="DP110" i="1" s="1"/>
  <c r="AR67" i="7"/>
  <c r="AR98" i="1"/>
  <c r="DP98" i="1" s="1"/>
  <c r="AR115" i="1"/>
  <c r="DP115" i="1" s="1"/>
  <c r="DP100" i="1"/>
  <c r="BG49" i="1"/>
  <c r="BG48" i="1" s="1"/>
  <c r="DS36" i="1"/>
  <c r="BM331" i="1"/>
  <c r="BM330" i="1"/>
  <c r="CR426" i="1"/>
  <c r="BI406" i="1"/>
  <c r="CR406" i="1" s="1"/>
  <c r="BI427" i="1"/>
  <c r="BI428" i="1"/>
  <c r="BI31" i="1"/>
  <c r="BG58" i="1"/>
  <c r="DS58" i="1" s="1"/>
  <c r="BF63" i="1"/>
  <c r="AS170" i="1"/>
  <c r="BO278" i="1"/>
  <c r="BP277" i="1"/>
  <c r="BO271" i="1"/>
  <c r="BA167" i="1"/>
  <c r="BF383" i="1"/>
  <c r="BF378" i="1"/>
  <c r="BF390" i="1"/>
  <c r="BF28" i="1"/>
  <c r="BF384" i="1"/>
  <c r="BM216" i="1"/>
  <c r="BM368" i="1"/>
  <c r="BM367" i="1"/>
  <c r="DA68" i="7"/>
  <c r="DB57" i="7"/>
  <c r="DA557" i="1"/>
  <c r="CZ83" i="1"/>
  <c r="CZ14" i="1"/>
  <c r="CZ318" i="1"/>
  <c r="DA317" i="1"/>
  <c r="DB325" i="1"/>
  <c r="CY19" i="1"/>
  <c r="CY25" i="1" s="1"/>
  <c r="CY131" i="1" s="1"/>
  <c r="CY146" i="1"/>
  <c r="BS359" i="1"/>
  <c r="BS360" i="1" s="1"/>
  <c r="BR360" i="1"/>
  <c r="CX16" i="1"/>
  <c r="CX16" i="7" s="1"/>
  <c r="CX146" i="7" s="1"/>
  <c r="DA291" i="1"/>
  <c r="DB299" i="1"/>
  <c r="CZ13" i="1"/>
  <c r="CZ292" i="1"/>
  <c r="CY18" i="1"/>
  <c r="CY24" i="1" s="1"/>
  <c r="CY130" i="1" s="1"/>
  <c r="CY145" i="1"/>
  <c r="AY115" i="1"/>
  <c r="AY98" i="1"/>
  <c r="AY110" i="1"/>
  <c r="AY67" i="7"/>
  <c r="BO214" i="1"/>
  <c r="BO212" i="1"/>
  <c r="BO309" i="1"/>
  <c r="BO308" i="1"/>
  <c r="BO303" i="1"/>
  <c r="BC155" i="1"/>
  <c r="AY124" i="8"/>
  <c r="AY155" i="1"/>
  <c r="AY111" i="1"/>
  <c r="AY116" i="1"/>
  <c r="AY104" i="1" s="1"/>
  <c r="BQ313" i="1"/>
  <c r="BP307" i="1"/>
  <c r="BP314" i="1"/>
  <c r="DB606" i="1"/>
  <c r="DA587" i="1"/>
  <c r="DA586" i="1" s="1"/>
  <c r="DA572" i="1" s="1"/>
  <c r="CR59" i="1"/>
  <c r="CR527" i="1" s="1"/>
  <c r="CB73" i="8"/>
  <c r="DC167" i="7"/>
  <c r="DC549" i="1"/>
  <c r="DC550" i="1" s="1"/>
  <c r="DC76" i="1" s="1"/>
  <c r="BM37" i="1"/>
  <c r="BM50" i="1" s="1"/>
  <c r="BM64" i="1" s="1"/>
  <c r="BM490" i="1"/>
  <c r="BM489" i="1"/>
  <c r="CS488" i="1"/>
  <c r="BL50" i="1"/>
  <c r="BL64" i="1" s="1"/>
  <c r="DT64" i="1"/>
  <c r="BN495" i="1"/>
  <c r="BO494" i="1"/>
  <c r="BN488" i="1"/>
  <c r="CS43" i="1"/>
  <c r="CB75" i="8"/>
  <c r="CB51" i="7"/>
  <c r="CK73" i="7"/>
  <c r="CL66" i="7"/>
  <c r="BO410" i="1"/>
  <c r="BO411" i="1"/>
  <c r="BO398" i="1"/>
  <c r="DU409" i="1"/>
  <c r="DT438" i="1"/>
  <c r="DT209" i="1"/>
  <c r="DT443" i="1"/>
  <c r="DT444" i="1" s="1"/>
  <c r="CS57" i="1"/>
  <c r="CS525" i="1" s="1"/>
  <c r="DT211" i="1"/>
  <c r="DT458" i="1"/>
  <c r="DT463" i="1"/>
  <c r="DT464" i="1" s="1"/>
  <c r="AX170" i="1"/>
  <c r="AX124" i="8"/>
  <c r="AX155" i="1"/>
  <c r="BB155" i="1"/>
  <c r="DQ114" i="1"/>
  <c r="AY170" i="1"/>
  <c r="DU417" i="1"/>
  <c r="DU422" i="1"/>
  <c r="DU423" i="1" s="1"/>
  <c r="DU207" i="1"/>
  <c r="BN43" i="1"/>
  <c r="BN57" i="1" s="1"/>
  <c r="BK47" i="1"/>
  <c r="BK45" i="1" s="1"/>
  <c r="CY237" i="1"/>
  <c r="CY238" i="1" s="1"/>
  <c r="CY230" i="1"/>
  <c r="AX98" i="1"/>
  <c r="AX67" i="7"/>
  <c r="AX110" i="1"/>
  <c r="AX115" i="1"/>
  <c r="DQ100" i="1"/>
  <c r="CC72" i="1"/>
  <c r="CC138" i="1"/>
  <c r="CC137" i="1"/>
  <c r="CC114" i="8"/>
  <c r="CC152" i="1"/>
  <c r="CC134" i="8"/>
  <c r="CC167" i="1"/>
  <c r="CX23" i="1"/>
  <c r="CL83" i="7"/>
  <c r="CL84" i="7" s="1"/>
  <c r="CL97" i="7" s="1"/>
  <c r="CL85" i="7"/>
  <c r="BL459" i="1"/>
  <c r="BL34" i="1"/>
  <c r="BL458" i="1"/>
  <c r="CB119" i="8"/>
  <c r="CC26" i="8"/>
  <c r="CW39" i="7"/>
  <c r="CC43" i="7"/>
  <c r="CC205" i="7"/>
  <c r="V100" i="8"/>
  <c r="U103" i="8"/>
  <c r="CK102" i="7"/>
  <c r="CK112" i="7"/>
  <c r="BM457" i="1"/>
  <c r="CS457" i="1" s="1"/>
  <c r="BM464" i="1"/>
  <c r="BN463" i="1"/>
  <c r="U56" i="8"/>
  <c r="V53" i="8"/>
  <c r="V55" i="8" s="1"/>
  <c r="BQ261" i="1"/>
  <c r="CT261" i="1" s="1"/>
  <c r="BR267" i="1"/>
  <c r="BQ268" i="1"/>
  <c r="BO431" i="1"/>
  <c r="BO430" i="1"/>
  <c r="AZ100" i="8"/>
  <c r="AY102" i="8"/>
  <c r="BK32" i="1"/>
  <c r="DT32" i="1" s="1"/>
  <c r="BK443" i="1"/>
  <c r="BK439" i="1"/>
  <c r="BK438" i="1"/>
  <c r="CY144" i="1"/>
  <c r="CY17" i="1"/>
  <c r="CY11" i="1"/>
  <c r="AX116" i="1"/>
  <c r="AX111" i="1"/>
  <c r="DQ106" i="1"/>
  <c r="DQ86" i="1"/>
  <c r="DQ154" i="1"/>
  <c r="U71" i="7"/>
  <c r="U72" i="7" s="1"/>
  <c r="DU430" i="1"/>
  <c r="DU219" i="1"/>
  <c r="CW46" i="7"/>
  <c r="CC49" i="7"/>
  <c r="CC28" i="8"/>
  <c r="CW28" i="8" s="1"/>
  <c r="CX32" i="8"/>
  <c r="CX541" i="1"/>
  <c r="CX69" i="1" s="1"/>
  <c r="CX540" i="1"/>
  <c r="CX621" i="1"/>
  <c r="CX633" i="1" s="1"/>
  <c r="CX143" i="1"/>
  <c r="CX187" i="7" s="1"/>
  <c r="CX40" i="7"/>
  <c r="CX623" i="1"/>
  <c r="CX15" i="7"/>
  <c r="CX145" i="7" s="1"/>
  <c r="CX619" i="1"/>
  <c r="CX622" i="1"/>
  <c r="CX634" i="1" s="1"/>
  <c r="CX620" i="1"/>
  <c r="CX632" i="1" s="1"/>
  <c r="CX21" i="7"/>
  <c r="BJ444" i="1"/>
  <c r="BJ445" i="1"/>
  <c r="CR61" i="1"/>
  <c r="CR529" i="1" s="1"/>
  <c r="CZ12" i="1"/>
  <c r="CZ229" i="1"/>
  <c r="CZ242" i="1"/>
  <c r="BJ45" i="1"/>
  <c r="BJ59" i="1" s="1"/>
  <c r="BO418" i="1"/>
  <c r="BO30" i="1"/>
  <c r="BO417" i="1"/>
  <c r="CX238" i="1"/>
  <c r="AQ56" i="8"/>
  <c r="AR53" i="8"/>
  <c r="AR55" i="8" s="1"/>
  <c r="AQ103" i="8"/>
  <c r="CW151" i="1"/>
  <c r="CW135" i="1"/>
  <c r="CW71" i="1"/>
  <c r="BN399" i="1"/>
  <c r="BN400" i="1"/>
  <c r="DB249" i="1"/>
  <c r="DA241" i="1"/>
  <c r="DT34" i="1"/>
  <c r="BP262" i="1"/>
  <c r="BP263" i="1"/>
  <c r="BP210" i="1"/>
  <c r="BP429" i="1"/>
  <c r="BP409" i="1" s="1"/>
  <c r="BP416" i="1"/>
  <c r="BP420" i="1"/>
  <c r="BQ419" i="1"/>
  <c r="CT419" i="1" s="1"/>
  <c r="CT420" i="1" s="1"/>
  <c r="BR349" i="1"/>
  <c r="BQ350" i="1"/>
  <c r="CW535" i="1"/>
  <c r="BL448" i="1" l="1"/>
  <c r="BL33" i="1"/>
  <c r="BL449" i="1"/>
  <c r="BL437" i="1"/>
  <c r="DT60" i="1"/>
  <c r="DT448" i="1"/>
  <c r="DT453" i="1"/>
  <c r="DT454" i="1" s="1"/>
  <c r="DT210" i="1"/>
  <c r="DT33" i="1"/>
  <c r="BN453" i="1"/>
  <c r="BM454" i="1"/>
  <c r="BM447" i="1"/>
  <c r="CS447" i="1" s="1"/>
  <c r="AQ603" i="1"/>
  <c r="AQ594" i="1"/>
  <c r="AQ602" i="1"/>
  <c r="BM339" i="1"/>
  <c r="BM341" i="1" s="1"/>
  <c r="BD55" i="1"/>
  <c r="BM363" i="1"/>
  <c r="BM205" i="1" s="1"/>
  <c r="CS64" i="1"/>
  <c r="BD535" i="1"/>
  <c r="DQ155" i="1"/>
  <c r="CS374" i="1"/>
  <c r="CS254" i="1"/>
  <c r="BF392" i="1"/>
  <c r="BF391" i="1"/>
  <c r="BO272" i="1"/>
  <c r="BO211" i="1"/>
  <c r="BO273" i="1"/>
  <c r="BO209" i="1"/>
  <c r="BO257" i="1"/>
  <c r="BH35" i="1"/>
  <c r="BH470" i="1"/>
  <c r="BH474" i="1"/>
  <c r="BH469" i="1"/>
  <c r="BE130" i="7"/>
  <c r="BE146" i="7"/>
  <c r="BE53" i="1"/>
  <c r="BE134" i="7"/>
  <c r="BE120" i="7"/>
  <c r="BE142" i="7" s="1"/>
  <c r="BJ428" i="1"/>
  <c r="BJ31" i="1"/>
  <c r="BJ427" i="1"/>
  <c r="BJ406" i="1"/>
  <c r="BN368" i="1"/>
  <c r="BN367" i="1"/>
  <c r="BN216" i="1"/>
  <c r="DP116" i="1"/>
  <c r="AR104" i="1"/>
  <c r="DP104" i="1" s="1"/>
  <c r="BI480" i="1"/>
  <c r="BI36" i="1"/>
  <c r="BI468" i="1"/>
  <c r="BI395" i="1" s="1"/>
  <c r="BI479" i="1"/>
  <c r="CN155" i="1"/>
  <c r="CN124" i="8"/>
  <c r="CO155" i="1"/>
  <c r="DS382" i="1"/>
  <c r="BG390" i="1"/>
  <c r="BG384" i="1"/>
  <c r="BG28" i="1"/>
  <c r="DS28" i="1" s="1"/>
  <c r="BG383" i="1"/>
  <c r="BG378" i="1"/>
  <c r="BF537" i="1"/>
  <c r="BF380" i="1"/>
  <c r="BF536" i="1"/>
  <c r="BF535" i="1" s="1"/>
  <c r="BF379" i="1"/>
  <c r="BP271" i="1"/>
  <c r="BP278" i="1"/>
  <c r="BQ277" i="1"/>
  <c r="BI408" i="1"/>
  <c r="BI29" i="1"/>
  <c r="BI407" i="1"/>
  <c r="BI412" i="1"/>
  <c r="BH63" i="1"/>
  <c r="BH48" i="1"/>
  <c r="BH62" i="1" s="1"/>
  <c r="BH530" i="1" s="1"/>
  <c r="BH413" i="1"/>
  <c r="BH414" i="1"/>
  <c r="BB119" i="7"/>
  <c r="BB54" i="1"/>
  <c r="BB148" i="1"/>
  <c r="BB521" i="1"/>
  <c r="BB163" i="1"/>
  <c r="DR53" i="1"/>
  <c r="DR72" i="1"/>
  <c r="DR152" i="1"/>
  <c r="CP138" i="1"/>
  <c r="CP156" i="7"/>
  <c r="CP72" i="1"/>
  <c r="CQ152" i="1"/>
  <c r="CP137" i="1"/>
  <c r="CP114" i="8"/>
  <c r="CP122" i="8" s="1"/>
  <c r="CP123" i="8" s="1"/>
  <c r="CP152" i="1"/>
  <c r="CP78" i="1"/>
  <c r="CP134" i="8"/>
  <c r="CP136" i="8" s="1"/>
  <c r="CP137" i="8" s="1"/>
  <c r="DS35" i="1"/>
  <c r="BG62" i="1"/>
  <c r="BG530" i="1" s="1"/>
  <c r="BC163" i="1"/>
  <c r="DS401" i="1"/>
  <c r="DS402" i="1" s="1"/>
  <c r="DS205" i="1"/>
  <c r="DS396" i="1"/>
  <c r="CS208" i="1"/>
  <c r="CS354" i="1"/>
  <c r="CS359" i="1"/>
  <c r="CS360" i="1" s="1"/>
  <c r="CN116" i="1"/>
  <c r="CN104" i="1" s="1"/>
  <c r="CN111" i="1"/>
  <c r="CR478" i="1"/>
  <c r="BI44" i="1"/>
  <c r="BI42" i="1" s="1"/>
  <c r="CR42" i="1" s="1"/>
  <c r="CR432" i="1"/>
  <c r="CR427" i="1"/>
  <c r="BC141" i="7"/>
  <c r="BC117" i="7"/>
  <c r="BC139" i="7" s="1"/>
  <c r="BH56" i="1"/>
  <c r="BH524" i="1" s="1"/>
  <c r="CS367" i="1"/>
  <c r="CS216" i="1"/>
  <c r="AZ168" i="1"/>
  <c r="AZ153" i="1"/>
  <c r="AZ139" i="1"/>
  <c r="BD153" i="1"/>
  <c r="AZ85" i="1"/>
  <c r="BA169" i="1" s="1"/>
  <c r="AZ82" i="1"/>
  <c r="BG476" i="1"/>
  <c r="BG475" i="1"/>
  <c r="DS469" i="1"/>
  <c r="DS474" i="1"/>
  <c r="DS475" i="1" s="1"/>
  <c r="DS212" i="1"/>
  <c r="BN208" i="1"/>
  <c r="BN354" i="1"/>
  <c r="BN355" i="1"/>
  <c r="BO207" i="1"/>
  <c r="BO344" i="1"/>
  <c r="BO345" i="1"/>
  <c r="BO219" i="1"/>
  <c r="BO353" i="1"/>
  <c r="BO329" i="1" s="1"/>
  <c r="BO357" i="1"/>
  <c r="BO358" i="1"/>
  <c r="BN333" i="1"/>
  <c r="CQ536" i="1"/>
  <c r="CQ379" i="1"/>
  <c r="CQ537" i="1"/>
  <c r="BM340" i="1"/>
  <c r="CR31" i="1"/>
  <c r="BF41" i="1"/>
  <c r="BF40" i="1" s="1"/>
  <c r="BG63" i="1"/>
  <c r="DS63" i="1" s="1"/>
  <c r="BH395" i="1"/>
  <c r="BE55" i="1"/>
  <c r="CQ55" i="1" s="1"/>
  <c r="CQ523" i="1" s="1"/>
  <c r="BB169" i="1"/>
  <c r="BA100" i="1"/>
  <c r="BE154" i="1"/>
  <c r="BA150" i="7"/>
  <c r="BA153" i="7" s="1"/>
  <c r="BA114" i="1"/>
  <c r="BA106" i="1"/>
  <c r="BD157" i="7"/>
  <c r="BA126" i="8"/>
  <c r="BA109" i="1"/>
  <c r="BA154" i="1"/>
  <c r="BA140" i="1"/>
  <c r="BA158" i="7"/>
  <c r="BA86" i="1"/>
  <c r="DR78" i="1"/>
  <c r="CQ40" i="1"/>
  <c r="BL432" i="1"/>
  <c r="BK433" i="1"/>
  <c r="BK426" i="1"/>
  <c r="DT426" i="1" s="1"/>
  <c r="CS363" i="1"/>
  <c r="CS334" i="1"/>
  <c r="CS339" i="1"/>
  <c r="CS340" i="1" s="1"/>
  <c r="CS206" i="1"/>
  <c r="BM254" i="1"/>
  <c r="BM255" i="1"/>
  <c r="BM374" i="1"/>
  <c r="DC234" i="1"/>
  <c r="BO336" i="1"/>
  <c r="BP347" i="1"/>
  <c r="BQ346" i="1"/>
  <c r="BP218" i="1"/>
  <c r="BP356" i="1"/>
  <c r="BP343" i="1"/>
  <c r="CT346" i="1"/>
  <c r="BN329" i="1"/>
  <c r="BJ485" i="1"/>
  <c r="BJ478" i="1"/>
  <c r="BK484" i="1"/>
  <c r="BE535" i="1"/>
  <c r="BN259" i="1"/>
  <c r="BN258" i="1"/>
  <c r="BN253" i="1"/>
  <c r="CN115" i="1"/>
  <c r="CN67" i="7"/>
  <c r="CN110" i="1"/>
  <c r="BF530" i="1"/>
  <c r="BG403" i="1"/>
  <c r="BG402" i="1"/>
  <c r="BH58" i="1"/>
  <c r="BD130" i="7"/>
  <c r="BD134" i="7"/>
  <c r="BD53" i="1"/>
  <c r="BD146" i="7"/>
  <c r="BD120" i="7"/>
  <c r="BD142" i="7" s="1"/>
  <c r="CR407" i="1"/>
  <c r="CR412" i="1"/>
  <c r="CR413" i="1" s="1"/>
  <c r="DQ98" i="1"/>
  <c r="DB68" i="7"/>
  <c r="DC57" i="7"/>
  <c r="DC68" i="7" s="1"/>
  <c r="DB557" i="1"/>
  <c r="DA83" i="1"/>
  <c r="DQ115" i="1"/>
  <c r="DA318" i="1"/>
  <c r="DA14" i="1"/>
  <c r="DB317" i="1"/>
  <c r="DC325" i="1"/>
  <c r="DC317" i="1" s="1"/>
  <c r="CZ19" i="1"/>
  <c r="CZ25" i="1" s="1"/>
  <c r="CZ131" i="1" s="1"/>
  <c r="CZ146" i="1"/>
  <c r="CX37" i="7"/>
  <c r="CX25" i="8" s="1"/>
  <c r="CX72" i="8" s="1"/>
  <c r="CY16" i="1"/>
  <c r="CY37" i="7" s="1"/>
  <c r="CZ145" i="1"/>
  <c r="CZ18" i="1"/>
  <c r="CZ24" i="1" s="1"/>
  <c r="CZ130" i="1" s="1"/>
  <c r="DC299" i="1"/>
  <c r="DC291" i="1" s="1"/>
  <c r="DB291" i="1"/>
  <c r="DA292" i="1"/>
  <c r="DA13" i="1"/>
  <c r="BP214" i="1"/>
  <c r="BP303" i="1"/>
  <c r="BP212" i="1"/>
  <c r="BP308" i="1"/>
  <c r="BP309" i="1"/>
  <c r="BQ307" i="1"/>
  <c r="BR313" i="1"/>
  <c r="BQ314" i="1"/>
  <c r="DB587" i="1"/>
  <c r="DB586" i="1" s="1"/>
  <c r="DB572" i="1" s="1"/>
  <c r="DC606" i="1"/>
  <c r="DC587" i="1" s="1"/>
  <c r="DC586" i="1" s="1"/>
  <c r="DC572" i="1" s="1"/>
  <c r="BK59" i="1"/>
  <c r="BK527" i="1" s="1"/>
  <c r="CS37" i="1"/>
  <c r="CS532" i="1" s="1"/>
  <c r="CS489" i="1"/>
  <c r="CS494" i="1"/>
  <c r="CS495" i="1" s="1"/>
  <c r="CS50" i="1"/>
  <c r="BN490" i="1"/>
  <c r="BN489" i="1"/>
  <c r="BN37" i="1"/>
  <c r="BO495" i="1"/>
  <c r="BO488" i="1"/>
  <c r="BP494" i="1"/>
  <c r="CC51" i="7"/>
  <c r="CY23" i="1"/>
  <c r="CY129" i="1" s="1"/>
  <c r="CC119" i="8"/>
  <c r="BP411" i="1"/>
  <c r="BP410" i="1"/>
  <c r="BP398" i="1"/>
  <c r="BJ527" i="1"/>
  <c r="CT267" i="1"/>
  <c r="CT268" i="1" s="1"/>
  <c r="CT262" i="1"/>
  <c r="CT210" i="1"/>
  <c r="U73" i="7"/>
  <c r="V66" i="7"/>
  <c r="CY623" i="1"/>
  <c r="CY40" i="7"/>
  <c r="CY15" i="7"/>
  <c r="CY23" i="8" s="1"/>
  <c r="CY541" i="1"/>
  <c r="CY69" i="1" s="1"/>
  <c r="CY622" i="1"/>
  <c r="CY634" i="1" s="1"/>
  <c r="CY620" i="1"/>
  <c r="CY632" i="1" s="1"/>
  <c r="CY540" i="1"/>
  <c r="CY32" i="8"/>
  <c r="CY21" i="7"/>
  <c r="CY143" i="1"/>
  <c r="CY187" i="7" s="1"/>
  <c r="CY619" i="1"/>
  <c r="CY621" i="1"/>
  <c r="CY633" i="1" s="1"/>
  <c r="CC75" i="8"/>
  <c r="CW75" i="8" s="1"/>
  <c r="BQ429" i="1"/>
  <c r="CT429" i="1" s="1"/>
  <c r="BR419" i="1"/>
  <c r="BQ416" i="1"/>
  <c r="BQ420" i="1"/>
  <c r="BP418" i="1"/>
  <c r="BP417" i="1"/>
  <c r="BP30" i="1"/>
  <c r="DC249" i="1"/>
  <c r="DC241" i="1" s="1"/>
  <c r="DB241" i="1"/>
  <c r="CX18" i="7"/>
  <c r="CX191" i="7"/>
  <c r="CX19" i="7"/>
  <c r="CX17" i="7"/>
  <c r="CX192" i="7"/>
  <c r="CX24" i="8"/>
  <c r="CX71" i="8" s="1"/>
  <c r="BO43" i="1"/>
  <c r="BO57" i="1" s="1"/>
  <c r="DU57" i="1" s="1"/>
  <c r="DU30" i="1"/>
  <c r="CZ237" i="1"/>
  <c r="CZ238" i="1" s="1"/>
  <c r="CZ230" i="1"/>
  <c r="CX68" i="1"/>
  <c r="CX539" i="1"/>
  <c r="BR268" i="1"/>
  <c r="BR261" i="1"/>
  <c r="BS267" i="1"/>
  <c r="W53" i="8"/>
  <c r="W55" i="8" s="1"/>
  <c r="V56" i="8"/>
  <c r="BM34" i="1"/>
  <c r="BM458" i="1"/>
  <c r="BM459" i="1"/>
  <c r="BM437" i="1"/>
  <c r="CW130" i="7"/>
  <c r="CX130" i="7" s="1"/>
  <c r="CY130" i="7" s="1"/>
  <c r="CZ130" i="7" s="1"/>
  <c r="DA130" i="7" s="1"/>
  <c r="DB130" i="7" s="1"/>
  <c r="DC130" i="7" s="1"/>
  <c r="CW205" i="7"/>
  <c r="CW43" i="7"/>
  <c r="BL47" i="1"/>
  <c r="BL61" i="1" s="1"/>
  <c r="BK61" i="1"/>
  <c r="CC73" i="8"/>
  <c r="CW73" i="8" s="1"/>
  <c r="DU217" i="1"/>
  <c r="DU410" i="1"/>
  <c r="CW138" i="1"/>
  <c r="CW134" i="8"/>
  <c r="CW114" i="8"/>
  <c r="CW72" i="1"/>
  <c r="CW152" i="1"/>
  <c r="AX104" i="1"/>
  <c r="DQ104" i="1" s="1"/>
  <c r="DQ116" i="1"/>
  <c r="BQ262" i="1"/>
  <c r="BQ210" i="1"/>
  <c r="BQ263" i="1"/>
  <c r="V102" i="8"/>
  <c r="V103" i="8" s="1"/>
  <c r="W100" i="8"/>
  <c r="CS463" i="1"/>
  <c r="CS464" i="1" s="1"/>
  <c r="CS458" i="1"/>
  <c r="CL94" i="7"/>
  <c r="CM79" i="7"/>
  <c r="CL71" i="7"/>
  <c r="CL72" i="7" s="1"/>
  <c r="AS53" i="8"/>
  <c r="AS55" i="8" s="1"/>
  <c r="AR56" i="8"/>
  <c r="AR103" i="8"/>
  <c r="CZ11" i="1"/>
  <c r="CZ17" i="1"/>
  <c r="CZ144" i="1"/>
  <c r="CW134" i="7"/>
  <c r="CX134" i="7" s="1"/>
  <c r="CY134" i="7" s="1"/>
  <c r="CZ134" i="7" s="1"/>
  <c r="DA134" i="7" s="1"/>
  <c r="DB134" i="7" s="1"/>
  <c r="DC134" i="7" s="1"/>
  <c r="CW49" i="7"/>
  <c r="CX79" i="8"/>
  <c r="CX121" i="8"/>
  <c r="CX80" i="7"/>
  <c r="BK445" i="1"/>
  <c r="BK444" i="1"/>
  <c r="AZ102" i="8"/>
  <c r="BA100" i="8"/>
  <c r="BA102" i="8" s="1"/>
  <c r="BN457" i="1"/>
  <c r="BO463" i="1"/>
  <c r="BN464" i="1"/>
  <c r="CW26" i="8"/>
  <c r="CW119" i="8" s="1"/>
  <c r="BL32" i="1"/>
  <c r="BL443" i="1"/>
  <c r="BL439" i="1"/>
  <c r="BL438" i="1"/>
  <c r="BO400" i="1"/>
  <c r="BO399" i="1"/>
  <c r="DU398" i="1"/>
  <c r="BP430" i="1"/>
  <c r="BP431" i="1"/>
  <c r="CX134" i="1"/>
  <c r="CX150" i="1"/>
  <c r="BR350" i="1"/>
  <c r="BS349" i="1"/>
  <c r="CX195" i="7"/>
  <c r="CX196" i="7"/>
  <c r="CX20" i="7"/>
  <c r="CX23" i="8"/>
  <c r="DA12" i="1"/>
  <c r="DA229" i="1"/>
  <c r="DA242" i="1"/>
  <c r="CX21" i="1"/>
  <c r="CX129" i="1"/>
  <c r="CS448" i="1" l="1"/>
  <c r="CS453" i="1"/>
  <c r="CS454" i="1" s="1"/>
  <c r="CR44" i="1"/>
  <c r="BM365" i="1"/>
  <c r="BO453" i="1"/>
  <c r="BN447" i="1"/>
  <c r="BN454" i="1"/>
  <c r="BM370" i="1"/>
  <c r="BL46" i="1"/>
  <c r="BL60" i="1"/>
  <c r="BM364" i="1"/>
  <c r="BM448" i="1"/>
  <c r="BM33" i="1"/>
  <c r="BM46" i="1" s="1"/>
  <c r="BM60" i="1" s="1"/>
  <c r="BM449" i="1"/>
  <c r="AQ612" i="1"/>
  <c r="AQ613" i="1" s="1"/>
  <c r="AQ614" i="1" s="1"/>
  <c r="AR590" i="1"/>
  <c r="CQ535" i="1"/>
  <c r="BI58" i="1"/>
  <c r="CR58" i="1" s="1"/>
  <c r="CR526" i="1" s="1"/>
  <c r="BF55" i="1"/>
  <c r="BO333" i="1"/>
  <c r="BO334" i="1" s="1"/>
  <c r="BO330" i="1"/>
  <c r="BO331" i="1"/>
  <c r="DT427" i="1"/>
  <c r="DT208" i="1"/>
  <c r="DT432" i="1"/>
  <c r="DT433" i="1" s="1"/>
  <c r="BI396" i="1"/>
  <c r="BI401" i="1"/>
  <c r="BI382" i="1"/>
  <c r="BI397" i="1"/>
  <c r="BJ468" i="1"/>
  <c r="BJ395" i="1" s="1"/>
  <c r="BJ36" i="1"/>
  <c r="BJ49" i="1" s="1"/>
  <c r="BJ480" i="1"/>
  <c r="BJ479" i="1"/>
  <c r="BO206" i="1"/>
  <c r="BL484" i="1"/>
  <c r="BK478" i="1"/>
  <c r="DT478" i="1" s="1"/>
  <c r="BK485" i="1"/>
  <c r="CT347" i="1"/>
  <c r="CT218" i="1"/>
  <c r="BQ347" i="1"/>
  <c r="BR346" i="1"/>
  <c r="BQ218" i="1"/>
  <c r="BQ356" i="1"/>
  <c r="BQ343" i="1"/>
  <c r="CS364" i="1"/>
  <c r="CS205" i="1"/>
  <c r="CS370" i="1"/>
  <c r="CS371" i="1" s="1"/>
  <c r="CQ146" i="7"/>
  <c r="CQ119" i="7" s="1"/>
  <c r="CQ130" i="7"/>
  <c r="CQ120" i="7"/>
  <c r="CQ142" i="7" s="1"/>
  <c r="CQ134" i="7"/>
  <c r="AZ158" i="7"/>
  <c r="AZ140" i="1"/>
  <c r="AZ154" i="1"/>
  <c r="AZ150" i="7"/>
  <c r="AZ153" i="7" s="1"/>
  <c r="BD154" i="1"/>
  <c r="AZ106" i="1"/>
  <c r="DR106" i="1" s="1"/>
  <c r="AZ86" i="1"/>
  <c r="AZ114" i="1"/>
  <c r="DR114" i="1" s="1"/>
  <c r="DR155" i="1" s="1"/>
  <c r="AZ126" i="8"/>
  <c r="AZ109" i="1"/>
  <c r="AZ100" i="1"/>
  <c r="DR100" i="1" s="1"/>
  <c r="AZ169" i="1"/>
  <c r="BB157" i="7"/>
  <c r="AZ157" i="7"/>
  <c r="BA157" i="7"/>
  <c r="BC157" i="7"/>
  <c r="CR433" i="1"/>
  <c r="BP273" i="1"/>
  <c r="BP211" i="1"/>
  <c r="BP272" i="1"/>
  <c r="BP257" i="1"/>
  <c r="BP209" i="1"/>
  <c r="BG41" i="1"/>
  <c r="BG40" i="1" s="1"/>
  <c r="BJ44" i="1"/>
  <c r="BJ42" i="1" s="1"/>
  <c r="CQ53" i="1"/>
  <c r="BE163" i="1"/>
  <c r="BE521" i="1"/>
  <c r="BE54" i="1"/>
  <c r="BE148" i="1"/>
  <c r="CP98" i="1"/>
  <c r="CP139" i="1"/>
  <c r="CP85" i="1"/>
  <c r="CP153" i="1"/>
  <c r="CQ153" i="1"/>
  <c r="CP82" i="1"/>
  <c r="BE119" i="7"/>
  <c r="BH476" i="1"/>
  <c r="BH475" i="1"/>
  <c r="BO258" i="1"/>
  <c r="BO253" i="1"/>
  <c r="BO259" i="1"/>
  <c r="BD119" i="7"/>
  <c r="DS62" i="1"/>
  <c r="BP336" i="1"/>
  <c r="BP357" i="1"/>
  <c r="BP353" i="1"/>
  <c r="BP333" i="1" s="1"/>
  <c r="BP219" i="1"/>
  <c r="BP358" i="1"/>
  <c r="BO337" i="1"/>
  <c r="BO366" i="1"/>
  <c r="BO217" i="1"/>
  <c r="BO338" i="1"/>
  <c r="BA116" i="1"/>
  <c r="BA104" i="1" s="1"/>
  <c r="BA111" i="1"/>
  <c r="BA67" i="7"/>
  <c r="BA115" i="1"/>
  <c r="BA110" i="1"/>
  <c r="BA98" i="1"/>
  <c r="BM371" i="1"/>
  <c r="BM372" i="1"/>
  <c r="BO355" i="1"/>
  <c r="BO354" i="1"/>
  <c r="BO208" i="1"/>
  <c r="BB141" i="7"/>
  <c r="BB117" i="7"/>
  <c r="BB139" i="7" s="1"/>
  <c r="BR277" i="1"/>
  <c r="BQ271" i="1"/>
  <c r="BQ278" i="1"/>
  <c r="DS378" i="1"/>
  <c r="DS379" i="1" s="1"/>
  <c r="BG380" i="1"/>
  <c r="BG537" i="1"/>
  <c r="BG536" i="1"/>
  <c r="BG379" i="1"/>
  <c r="BG391" i="1"/>
  <c r="BG392" i="1"/>
  <c r="BI49" i="1"/>
  <c r="BI63" i="1" s="1"/>
  <c r="CR63" i="1" s="1"/>
  <c r="CR36" i="1"/>
  <c r="BJ29" i="1"/>
  <c r="BJ407" i="1"/>
  <c r="BJ412" i="1"/>
  <c r="BJ408" i="1"/>
  <c r="BP207" i="1"/>
  <c r="BP344" i="1"/>
  <c r="BP329" i="1"/>
  <c r="BP345" i="1"/>
  <c r="BK31" i="1"/>
  <c r="BK427" i="1"/>
  <c r="BK406" i="1"/>
  <c r="DT406" i="1" s="1"/>
  <c r="BK428" i="1"/>
  <c r="DR82" i="1"/>
  <c r="DR85" i="1"/>
  <c r="DR153" i="1"/>
  <c r="BI413" i="1"/>
  <c r="BI414" i="1"/>
  <c r="CR468" i="1"/>
  <c r="BI35" i="1"/>
  <c r="BI469" i="1"/>
  <c r="BI470" i="1"/>
  <c r="BI474" i="1"/>
  <c r="BD521" i="1"/>
  <c r="BD148" i="1"/>
  <c r="BD163" i="1"/>
  <c r="BD54" i="1"/>
  <c r="BN255" i="1"/>
  <c r="BN374" i="1"/>
  <c r="BN254" i="1"/>
  <c r="BN330" i="1"/>
  <c r="BN331" i="1"/>
  <c r="BL433" i="1"/>
  <c r="BM432" i="1"/>
  <c r="BL426" i="1"/>
  <c r="BA155" i="1"/>
  <c r="BE155" i="1"/>
  <c r="BA124" i="8"/>
  <c r="BB170" i="1"/>
  <c r="BH401" i="1"/>
  <c r="BH397" i="1"/>
  <c r="BH396" i="1"/>
  <c r="BH382" i="1"/>
  <c r="CR395" i="1"/>
  <c r="BF134" i="7"/>
  <c r="BF53" i="1"/>
  <c r="BF146" i="7"/>
  <c r="BF130" i="7"/>
  <c r="BF120" i="7"/>
  <c r="BF142" i="7" s="1"/>
  <c r="BN363" i="1"/>
  <c r="BN335" i="1"/>
  <c r="BN206" i="1"/>
  <c r="BN339" i="1"/>
  <c r="BN334" i="1"/>
  <c r="CR479" i="1"/>
  <c r="CR484" i="1"/>
  <c r="CR485" i="1" s="1"/>
  <c r="DR54" i="1"/>
  <c r="DR128" i="1"/>
  <c r="DR148" i="1"/>
  <c r="DS390" i="1"/>
  <c r="CR29" i="1"/>
  <c r="BI56" i="1"/>
  <c r="DT59" i="1"/>
  <c r="DB83" i="1"/>
  <c r="DC557" i="1"/>
  <c r="DC83" i="1" s="1"/>
  <c r="CZ16" i="1"/>
  <c r="CZ37" i="7" s="1"/>
  <c r="DC318" i="1"/>
  <c r="DC14" i="1"/>
  <c r="DB318" i="1"/>
  <c r="DB14" i="1"/>
  <c r="DA19" i="1"/>
  <c r="DA25" i="1" s="1"/>
  <c r="DA131" i="1" s="1"/>
  <c r="DA146" i="1"/>
  <c r="CY16" i="7"/>
  <c r="CY24" i="8" s="1"/>
  <c r="CY71" i="8" s="1"/>
  <c r="DA145" i="1"/>
  <c r="DA18" i="1"/>
  <c r="DA24" i="1" s="1"/>
  <c r="DA130" i="1" s="1"/>
  <c r="DC292" i="1"/>
  <c r="DC13" i="1"/>
  <c r="DB292" i="1"/>
  <c r="DB13" i="1"/>
  <c r="DV429" i="1"/>
  <c r="DV430" i="1" s="1"/>
  <c r="BR307" i="1"/>
  <c r="BR314" i="1"/>
  <c r="BS313" i="1"/>
  <c r="BQ214" i="1"/>
  <c r="BQ309" i="1"/>
  <c r="BQ303" i="1"/>
  <c r="BQ212" i="1"/>
  <c r="BQ308" i="1"/>
  <c r="CT307" i="1"/>
  <c r="CT303" i="1"/>
  <c r="CT304" i="1" s="1"/>
  <c r="BP495" i="1"/>
  <c r="BP488" i="1"/>
  <c r="BQ494" i="1"/>
  <c r="BN50" i="1"/>
  <c r="BN64" i="1" s="1"/>
  <c r="BO490" i="1"/>
  <c r="BO37" i="1"/>
  <c r="DU37" i="1" s="1"/>
  <c r="BO489" i="1"/>
  <c r="DU488" i="1"/>
  <c r="CY145" i="7"/>
  <c r="CY21" i="1"/>
  <c r="CY22" i="1" s="1"/>
  <c r="CW51" i="7"/>
  <c r="CM66" i="7"/>
  <c r="CL73" i="7"/>
  <c r="AS56" i="8"/>
  <c r="AT53" i="8"/>
  <c r="AT55" i="8" s="1"/>
  <c r="AS103" i="8"/>
  <c r="CX70" i="8"/>
  <c r="BP463" i="1"/>
  <c r="BO464" i="1"/>
  <c r="BO457" i="1"/>
  <c r="DU457" i="1" s="1"/>
  <c r="CX128" i="1"/>
  <c r="CX22" i="1"/>
  <c r="CX515" i="1"/>
  <c r="CX148" i="1"/>
  <c r="DA17" i="1"/>
  <c r="DA144" i="1"/>
  <c r="DA11" i="1"/>
  <c r="CT430" i="1"/>
  <c r="CU430" i="1"/>
  <c r="CX103" i="7"/>
  <c r="DT61" i="1"/>
  <c r="BL45" i="1"/>
  <c r="BL59" i="1" s="1"/>
  <c r="BS350" i="1"/>
  <c r="DU399" i="1"/>
  <c r="DU216" i="1"/>
  <c r="W102" i="8"/>
  <c r="W103" i="8" s="1"/>
  <c r="X100" i="8"/>
  <c r="BM47" i="1"/>
  <c r="BM45" i="1" s="1"/>
  <c r="CS34" i="1"/>
  <c r="DB12" i="1"/>
  <c r="DB229" i="1"/>
  <c r="DB242" i="1"/>
  <c r="CU419" i="1"/>
  <c r="CU420" i="1" s="1"/>
  <c r="BR409" i="1"/>
  <c r="BR416" i="1"/>
  <c r="BR420" i="1"/>
  <c r="DV419" i="1"/>
  <c r="CY79" i="8"/>
  <c r="CY121" i="8"/>
  <c r="CY80" i="7"/>
  <c r="BP399" i="1"/>
  <c r="BP400" i="1"/>
  <c r="BM443" i="1"/>
  <c r="BM32" i="1"/>
  <c r="CS32" i="1" s="1"/>
  <c r="BM438" i="1"/>
  <c r="BM439" i="1"/>
  <c r="BS268" i="1"/>
  <c r="BS261" i="1"/>
  <c r="CU261" i="1" s="1"/>
  <c r="CY25" i="8"/>
  <c r="CY72" i="8" s="1"/>
  <c r="DC229" i="1"/>
  <c r="DC12" i="1"/>
  <c r="DC242" i="1"/>
  <c r="BQ430" i="1"/>
  <c r="BR431" i="1"/>
  <c r="CY68" i="1"/>
  <c r="CY539" i="1"/>
  <c r="CY134" i="1"/>
  <c r="CY150" i="1"/>
  <c r="BL445" i="1"/>
  <c r="BL444" i="1"/>
  <c r="BB100" i="8"/>
  <c r="DA230" i="1"/>
  <c r="DA237" i="1"/>
  <c r="DA238" i="1" s="1"/>
  <c r="CZ621" i="1"/>
  <c r="CZ633" i="1" s="1"/>
  <c r="CZ541" i="1"/>
  <c r="CZ69" i="1" s="1"/>
  <c r="CZ15" i="7"/>
  <c r="CZ145" i="7" s="1"/>
  <c r="CZ143" i="1"/>
  <c r="CZ187" i="7" s="1"/>
  <c r="CZ620" i="1"/>
  <c r="CZ632" i="1" s="1"/>
  <c r="CZ623" i="1"/>
  <c r="CZ40" i="7"/>
  <c r="CZ21" i="7"/>
  <c r="CZ619" i="1"/>
  <c r="CZ32" i="8"/>
  <c r="CZ540" i="1"/>
  <c r="CZ622" i="1"/>
  <c r="CZ634" i="1" s="1"/>
  <c r="CM83" i="7"/>
  <c r="CM84" i="7" s="1"/>
  <c r="CM97" i="7" s="1"/>
  <c r="CM85" i="7"/>
  <c r="W56" i="8"/>
  <c r="X53" i="8"/>
  <c r="X55" i="8" s="1"/>
  <c r="BR262" i="1"/>
  <c r="BR263" i="1"/>
  <c r="BR210" i="1"/>
  <c r="CX67" i="1"/>
  <c r="CX133" i="1"/>
  <c r="CX149" i="1"/>
  <c r="BP43" i="1"/>
  <c r="BP57" i="1" s="1"/>
  <c r="BQ418" i="1"/>
  <c r="BQ417" i="1"/>
  <c r="BQ30" i="1"/>
  <c r="CT30" i="1" s="1"/>
  <c r="CY20" i="7"/>
  <c r="CY195" i="7"/>
  <c r="CY196" i="7"/>
  <c r="V71" i="7"/>
  <c r="V72" i="7" s="1"/>
  <c r="CS437" i="1"/>
  <c r="CY70" i="8"/>
  <c r="CX27" i="8"/>
  <c r="CX74" i="8" s="1"/>
  <c r="BN34" i="1"/>
  <c r="BN458" i="1"/>
  <c r="BN459" i="1"/>
  <c r="BN437" i="1"/>
  <c r="CZ23" i="1"/>
  <c r="CL112" i="7"/>
  <c r="CL102" i="7"/>
  <c r="CT416" i="1"/>
  <c r="BQ409" i="1"/>
  <c r="BO363" i="1" l="1"/>
  <c r="BO364" i="1" s="1"/>
  <c r="CR531" i="1"/>
  <c r="BG535" i="1"/>
  <c r="BO335" i="1"/>
  <c r="CS33" i="1"/>
  <c r="CS60" i="1"/>
  <c r="CS528" i="1" s="1"/>
  <c r="BN33" i="1"/>
  <c r="BN448" i="1"/>
  <c r="BN449" i="1"/>
  <c r="CS46" i="1"/>
  <c r="BO454" i="1"/>
  <c r="BO447" i="1"/>
  <c r="BP453" i="1"/>
  <c r="AR602" i="1"/>
  <c r="AR603" i="1"/>
  <c r="AR594" i="1"/>
  <c r="DV219" i="1"/>
  <c r="BG55" i="1"/>
  <c r="DS55" i="1" s="1"/>
  <c r="BO339" i="1"/>
  <c r="BO340" i="1" s="1"/>
  <c r="DT479" i="1"/>
  <c r="DT484" i="1"/>
  <c r="DT485" i="1" s="1"/>
  <c r="DT213" i="1"/>
  <c r="CR56" i="1"/>
  <c r="CR524" i="1" s="1"/>
  <c r="BI524" i="1"/>
  <c r="BO374" i="1"/>
  <c r="BO254" i="1"/>
  <c r="BO255" i="1"/>
  <c r="BF119" i="7"/>
  <c r="CR401" i="1"/>
  <c r="CR396" i="1"/>
  <c r="BH403" i="1"/>
  <c r="BH402" i="1"/>
  <c r="BI476" i="1"/>
  <c r="BI475" i="1"/>
  <c r="CR469" i="1"/>
  <c r="CR474" i="1"/>
  <c r="DR86" i="1"/>
  <c r="DR154" i="1"/>
  <c r="BP331" i="1"/>
  <c r="BP330" i="1"/>
  <c r="DT412" i="1"/>
  <c r="DT413" i="1" s="1"/>
  <c r="DT407" i="1"/>
  <c r="DT206" i="1"/>
  <c r="BR278" i="1"/>
  <c r="BR271" i="1"/>
  <c r="BS277" i="1"/>
  <c r="BO368" i="1"/>
  <c r="BO216" i="1"/>
  <c r="BO367" i="1"/>
  <c r="BP338" i="1"/>
  <c r="BP217" i="1"/>
  <c r="BT337" i="1"/>
  <c r="BP337" i="1"/>
  <c r="BP366" i="1"/>
  <c r="BP258" i="1"/>
  <c r="BP259" i="1"/>
  <c r="BP253" i="1"/>
  <c r="BS346" i="1"/>
  <c r="CU346" i="1" s="1"/>
  <c r="BR347" i="1"/>
  <c r="BR218" i="1"/>
  <c r="BR356" i="1"/>
  <c r="BR336" i="1" s="1"/>
  <c r="BR343" i="1"/>
  <c r="BJ470" i="1"/>
  <c r="BJ469" i="1"/>
  <c r="BJ474" i="1"/>
  <c r="BJ35" i="1"/>
  <c r="BN370" i="1"/>
  <c r="BN365" i="1"/>
  <c r="BN205" i="1"/>
  <c r="BN364" i="1"/>
  <c r="BF54" i="1"/>
  <c r="BF521" i="1"/>
  <c r="BH383" i="1"/>
  <c r="BH28" i="1"/>
  <c r="BH384" i="1"/>
  <c r="BH390" i="1"/>
  <c r="BH378" i="1"/>
  <c r="CR382" i="1"/>
  <c r="CR383" i="1" s="1"/>
  <c r="BL428" i="1"/>
  <c r="BL406" i="1"/>
  <c r="BL31" i="1"/>
  <c r="BL427" i="1"/>
  <c r="BK44" i="1"/>
  <c r="BK58" i="1" s="1"/>
  <c r="DT31" i="1"/>
  <c r="BJ401" i="1"/>
  <c r="BJ396" i="1"/>
  <c r="BJ382" i="1"/>
  <c r="BJ397" i="1"/>
  <c r="BJ56" i="1"/>
  <c r="BJ524" i="1" s="1"/>
  <c r="CQ117" i="7"/>
  <c r="CQ139" i="7" s="1"/>
  <c r="CQ141" i="7"/>
  <c r="BK480" i="1"/>
  <c r="BK479" i="1"/>
  <c r="BK36" i="1"/>
  <c r="BK468" i="1"/>
  <c r="BN340" i="1"/>
  <c r="BN341" i="1"/>
  <c r="BN432" i="1"/>
  <c r="BM426" i="1"/>
  <c r="BM433" i="1"/>
  <c r="BP339" i="1"/>
  <c r="BP335" i="1"/>
  <c r="BP206" i="1"/>
  <c r="BP363" i="1"/>
  <c r="BP334" i="1"/>
  <c r="BI48" i="1"/>
  <c r="CR48" i="1" s="1"/>
  <c r="CR49" i="1"/>
  <c r="BP355" i="1"/>
  <c r="BP354" i="1"/>
  <c r="BP208" i="1"/>
  <c r="BE141" i="7"/>
  <c r="BE117" i="7"/>
  <c r="BE139" i="7" s="1"/>
  <c r="CP150" i="7"/>
  <c r="CP153" i="7" s="1"/>
  <c r="CP86" i="1"/>
  <c r="CQ154" i="1"/>
  <c r="CP100" i="1"/>
  <c r="CP154" i="1"/>
  <c r="CP140" i="1"/>
  <c r="CP157" i="7"/>
  <c r="CP109" i="1"/>
  <c r="CP114" i="1"/>
  <c r="CP106" i="1"/>
  <c r="CP126" i="8"/>
  <c r="CP158" i="7"/>
  <c r="CQ148" i="1"/>
  <c r="CQ54" i="1"/>
  <c r="BG130" i="7"/>
  <c r="BG120" i="7"/>
  <c r="BG142" i="7" s="1"/>
  <c r="BG53" i="1"/>
  <c r="DS53" i="1" s="1"/>
  <c r="DS54" i="1" s="1"/>
  <c r="BG146" i="7"/>
  <c r="BG134" i="7"/>
  <c r="DS40" i="1"/>
  <c r="AZ115" i="1"/>
  <c r="DR115" i="1" s="1"/>
  <c r="AZ110" i="1"/>
  <c r="AZ67" i="7"/>
  <c r="AZ98" i="1"/>
  <c r="DR98" i="1" s="1"/>
  <c r="BQ336" i="1"/>
  <c r="BQ353" i="1"/>
  <c r="BQ333" i="1" s="1"/>
  <c r="BQ363" i="1" s="1"/>
  <c r="BQ219" i="1"/>
  <c r="BQ357" i="1"/>
  <c r="BL485" i="1"/>
  <c r="BM484" i="1"/>
  <c r="BL478" i="1"/>
  <c r="BI378" i="1"/>
  <c r="BI28" i="1"/>
  <c r="BI384" i="1"/>
  <c r="BI390" i="1"/>
  <c r="BI383" i="1"/>
  <c r="AZ124" i="8"/>
  <c r="BD155" i="1"/>
  <c r="AZ155" i="1"/>
  <c r="AZ170" i="1"/>
  <c r="BQ207" i="1"/>
  <c r="CT343" i="1"/>
  <c r="BQ329" i="1"/>
  <c r="CT329" i="1" s="1"/>
  <c r="CT330" i="1" s="1"/>
  <c r="BQ344" i="1"/>
  <c r="BQ345" i="1"/>
  <c r="BA170" i="1"/>
  <c r="BI62" i="1"/>
  <c r="CR35" i="1"/>
  <c r="BK408" i="1"/>
  <c r="BK412" i="1"/>
  <c r="BK395" i="1"/>
  <c r="BK407" i="1"/>
  <c r="BK29" i="1"/>
  <c r="DT29" i="1" s="1"/>
  <c r="BO370" i="1"/>
  <c r="BO365" i="1"/>
  <c r="BO205" i="1"/>
  <c r="BJ413" i="1"/>
  <c r="BJ414" i="1"/>
  <c r="CT271" i="1"/>
  <c r="BQ211" i="1"/>
  <c r="BQ273" i="1"/>
  <c r="BQ272" i="1"/>
  <c r="BQ257" i="1"/>
  <c r="BQ209" i="1"/>
  <c r="CT356" i="1"/>
  <c r="BD141" i="7"/>
  <c r="BD117" i="7"/>
  <c r="BD139" i="7" s="1"/>
  <c r="BJ58" i="1"/>
  <c r="AZ116" i="1"/>
  <c r="AZ111" i="1"/>
  <c r="BJ63" i="1"/>
  <c r="BJ48" i="1"/>
  <c r="BI402" i="1"/>
  <c r="BI403" i="1"/>
  <c r="DA16" i="1"/>
  <c r="DA37" i="7" s="1"/>
  <c r="CZ16" i="7"/>
  <c r="CZ18" i="7" s="1"/>
  <c r="DC146" i="1"/>
  <c r="DC19" i="1"/>
  <c r="DC25" i="1" s="1"/>
  <c r="DC131" i="1" s="1"/>
  <c r="DB146" i="1"/>
  <c r="DB19" i="1"/>
  <c r="DB25" i="1" s="1"/>
  <c r="DB131" i="1" s="1"/>
  <c r="CY18" i="7"/>
  <c r="CY192" i="7"/>
  <c r="CY17" i="7"/>
  <c r="CY19" i="7"/>
  <c r="CY191" i="7"/>
  <c r="CY146" i="7"/>
  <c r="DB145" i="1"/>
  <c r="DB18" i="1"/>
  <c r="DB24" i="1" s="1"/>
  <c r="DB130" i="1" s="1"/>
  <c r="DC145" i="1"/>
  <c r="DC18" i="1"/>
  <c r="DC24" i="1" s="1"/>
  <c r="DC130" i="1" s="1"/>
  <c r="CT212" i="1"/>
  <c r="CT308" i="1"/>
  <c r="CT313" i="1"/>
  <c r="CT314" i="1" s="1"/>
  <c r="CT214" i="1"/>
  <c r="BS314" i="1"/>
  <c r="BS307" i="1"/>
  <c r="BR214" i="1"/>
  <c r="BR212" i="1"/>
  <c r="BR308" i="1"/>
  <c r="BR309" i="1"/>
  <c r="BR303" i="1"/>
  <c r="CY515" i="1"/>
  <c r="BO50" i="1"/>
  <c r="BO64" i="1" s="1"/>
  <c r="DU64" i="1" s="1"/>
  <c r="BP490" i="1"/>
  <c r="BP489" i="1"/>
  <c r="BP37" i="1"/>
  <c r="DU494" i="1"/>
  <c r="DU495" i="1" s="1"/>
  <c r="DU489" i="1"/>
  <c r="DU214" i="1"/>
  <c r="BQ488" i="1"/>
  <c r="BQ495" i="1"/>
  <c r="BR494" i="1"/>
  <c r="CY148" i="1"/>
  <c r="CY128" i="1"/>
  <c r="CZ23" i="8"/>
  <c r="CZ70" i="8" s="1"/>
  <c r="CU210" i="1"/>
  <c r="CU262" i="1"/>
  <c r="CU267" i="1"/>
  <c r="CU268" i="1" s="1"/>
  <c r="BN438" i="1"/>
  <c r="BN443" i="1"/>
  <c r="BN439" i="1"/>
  <c r="BN32" i="1"/>
  <c r="Y53" i="8"/>
  <c r="Y55" i="8" s="1"/>
  <c r="X56" i="8"/>
  <c r="CZ539" i="1"/>
  <c r="CZ68" i="1"/>
  <c r="BL527" i="1"/>
  <c r="DC144" i="1"/>
  <c r="DC11" i="1"/>
  <c r="DC17" i="1"/>
  <c r="BQ410" i="1"/>
  <c r="BQ398" i="1"/>
  <c r="BQ411" i="1"/>
  <c r="DV409" i="1"/>
  <c r="CT409" i="1"/>
  <c r="CT410" i="1" s="1"/>
  <c r="CX135" i="1"/>
  <c r="CX151" i="1"/>
  <c r="CX46" i="7"/>
  <c r="CX39" i="7"/>
  <c r="CY67" i="1"/>
  <c r="CY149" i="1"/>
  <c r="CY133" i="1"/>
  <c r="DB17" i="1"/>
  <c r="DB144" i="1"/>
  <c r="DB11" i="1"/>
  <c r="BM61" i="1"/>
  <c r="CT422" i="1"/>
  <c r="CT423" i="1" s="1"/>
  <c r="CT417" i="1"/>
  <c r="CZ21" i="1"/>
  <c r="CZ129" i="1"/>
  <c r="CS443" i="1"/>
  <c r="CS444" i="1" s="1"/>
  <c r="CS438" i="1"/>
  <c r="CM94" i="7"/>
  <c r="CN79" i="7"/>
  <c r="CZ121" i="8"/>
  <c r="CZ80" i="7"/>
  <c r="CZ79" i="8"/>
  <c r="CZ150" i="1"/>
  <c r="CZ134" i="1"/>
  <c r="BM59" i="1"/>
  <c r="BM527" i="1" s="1"/>
  <c r="Y100" i="8"/>
  <c r="Y102" i="8" s="1"/>
  <c r="X102" i="8"/>
  <c r="X103" i="8" s="1"/>
  <c r="CS45" i="1"/>
  <c r="BM444" i="1"/>
  <c r="BM445" i="1"/>
  <c r="CZ25" i="8"/>
  <c r="CZ72" i="8" s="1"/>
  <c r="BR417" i="1"/>
  <c r="BR30" i="1"/>
  <c r="DV30" i="1" s="1"/>
  <c r="CU416" i="1"/>
  <c r="BR418" i="1"/>
  <c r="DV416" i="1"/>
  <c r="DA23" i="1"/>
  <c r="BP464" i="1"/>
  <c r="BP457" i="1"/>
  <c r="BQ463" i="1"/>
  <c r="CM71" i="7"/>
  <c r="CM72" i="7" s="1"/>
  <c r="DU458" i="1"/>
  <c r="DU211" i="1"/>
  <c r="DU463" i="1"/>
  <c r="DU464" i="1" s="1"/>
  <c r="W66" i="7"/>
  <c r="V73" i="7"/>
  <c r="BN47" i="1"/>
  <c r="BN61" i="1" s="1"/>
  <c r="BQ43" i="1"/>
  <c r="BQ57" i="1" s="1"/>
  <c r="CT57" i="1" s="1"/>
  <c r="CT525" i="1" s="1"/>
  <c r="CY103" i="7"/>
  <c r="BR411" i="1"/>
  <c r="BR398" i="1"/>
  <c r="BR410" i="1"/>
  <c r="CU409" i="1"/>
  <c r="DB237" i="1"/>
  <c r="DB238" i="1" s="1"/>
  <c r="DB230" i="1"/>
  <c r="CX71" i="1"/>
  <c r="AU53" i="8"/>
  <c r="AU55" i="8" s="1"/>
  <c r="AT56" i="8"/>
  <c r="AT103" i="8"/>
  <c r="CY27" i="8"/>
  <c r="CY74" i="8" s="1"/>
  <c r="BB102" i="8"/>
  <c r="BC100" i="8"/>
  <c r="CZ196" i="7"/>
  <c r="CZ195" i="7"/>
  <c r="CZ20" i="7"/>
  <c r="CZ27" i="8" s="1"/>
  <c r="CZ74" i="8" s="1"/>
  <c r="DC230" i="1"/>
  <c r="DC237" i="1"/>
  <c r="BS263" i="1"/>
  <c r="BS262" i="1"/>
  <c r="BS210" i="1"/>
  <c r="DV218" i="1"/>
  <c r="DV420" i="1"/>
  <c r="CS47" i="1"/>
  <c r="DA540" i="1"/>
  <c r="DA32" i="8"/>
  <c r="DA623" i="1"/>
  <c r="DA622" i="1"/>
  <c r="DA634" i="1" s="1"/>
  <c r="DA619" i="1"/>
  <c r="DA21" i="7"/>
  <c r="DA40" i="7"/>
  <c r="DA621" i="1"/>
  <c r="DA633" i="1" s="1"/>
  <c r="DA541" i="1"/>
  <c r="DA69" i="1" s="1"/>
  <c r="DA143" i="1"/>
  <c r="DA187" i="7" s="1"/>
  <c r="DA620" i="1"/>
  <c r="DA632" i="1" s="1"/>
  <c r="DA15" i="7"/>
  <c r="DA145" i="7" s="1"/>
  <c r="BO459" i="1"/>
  <c r="BO458" i="1"/>
  <c r="BO34" i="1"/>
  <c r="BO437" i="1"/>
  <c r="CT353" i="1" l="1"/>
  <c r="CT354" i="1" s="1"/>
  <c r="BO341" i="1"/>
  <c r="DU447" i="1"/>
  <c r="BO448" i="1"/>
  <c r="BO33" i="1"/>
  <c r="BO46" i="1" s="1"/>
  <c r="BO60" i="1" s="1"/>
  <c r="BO449" i="1"/>
  <c r="BN46" i="1"/>
  <c r="BN60" i="1" s="1"/>
  <c r="DU60" i="1" s="1"/>
  <c r="BP447" i="1"/>
  <c r="BQ453" i="1"/>
  <c r="BP454" i="1"/>
  <c r="AS590" i="1"/>
  <c r="AR612" i="1"/>
  <c r="AR613" i="1" s="1"/>
  <c r="AR614" i="1" s="1"/>
  <c r="BR338" i="1"/>
  <c r="BR366" i="1"/>
  <c r="BR217" i="1"/>
  <c r="BR337" i="1"/>
  <c r="BV337" i="1"/>
  <c r="AZ104" i="1"/>
  <c r="DR104" i="1" s="1"/>
  <c r="DR116" i="1"/>
  <c r="CT357" i="1"/>
  <c r="CT219" i="1"/>
  <c r="BQ253" i="1"/>
  <c r="BQ258" i="1"/>
  <c r="BQ259" i="1"/>
  <c r="CT277" i="1"/>
  <c r="CT278" i="1" s="1"/>
  <c r="CT211" i="1"/>
  <c r="CT272" i="1"/>
  <c r="CT257" i="1"/>
  <c r="CT258" i="1" s="1"/>
  <c r="CT209" i="1"/>
  <c r="CT349" i="1"/>
  <c r="CT350" i="1" s="1"/>
  <c r="CT333" i="1"/>
  <c r="CT344" i="1"/>
  <c r="CT207" i="1"/>
  <c r="BI41" i="1"/>
  <c r="BI40" i="1" s="1"/>
  <c r="BI55" i="1"/>
  <c r="BL36" i="1"/>
  <c r="BL468" i="1"/>
  <c r="BL480" i="1"/>
  <c r="BL479" i="1"/>
  <c r="BG119" i="7"/>
  <c r="CP110" i="1"/>
  <c r="CP115" i="1"/>
  <c r="CP67" i="7"/>
  <c r="BP364" i="1"/>
  <c r="BP365" i="1"/>
  <c r="BP205" i="1"/>
  <c r="BP370" i="1"/>
  <c r="BJ383" i="1"/>
  <c r="BJ390" i="1"/>
  <c r="BJ384" i="1"/>
  <c r="BJ28" i="1"/>
  <c r="BJ41" i="1" s="1"/>
  <c r="BJ378" i="1"/>
  <c r="BL412" i="1"/>
  <c r="BL395" i="1"/>
  <c r="BL29" i="1"/>
  <c r="BL408" i="1"/>
  <c r="BL407" i="1"/>
  <c r="BH391" i="1"/>
  <c r="BH392" i="1"/>
  <c r="CR390" i="1"/>
  <c r="CR391" i="1" s="1"/>
  <c r="BJ475" i="1"/>
  <c r="BJ476" i="1"/>
  <c r="BR345" i="1"/>
  <c r="BR207" i="1"/>
  <c r="BR344" i="1"/>
  <c r="BS278" i="1"/>
  <c r="BS271" i="1"/>
  <c r="BF117" i="7"/>
  <c r="BF139" i="7" s="1"/>
  <c r="BF141" i="7"/>
  <c r="DT58" i="1"/>
  <c r="DT395" i="1"/>
  <c r="BK397" i="1"/>
  <c r="BK401" i="1"/>
  <c r="BK396" i="1"/>
  <c r="BK382" i="1"/>
  <c r="DT382" i="1" s="1"/>
  <c r="BI380" i="1"/>
  <c r="BI379" i="1"/>
  <c r="BI536" i="1"/>
  <c r="BI537" i="1"/>
  <c r="BM478" i="1"/>
  <c r="BN484" i="1"/>
  <c r="BM485" i="1"/>
  <c r="BQ208" i="1"/>
  <c r="BQ355" i="1"/>
  <c r="BQ354" i="1"/>
  <c r="BG54" i="1"/>
  <c r="BG521" i="1"/>
  <c r="CS426" i="1"/>
  <c r="BM406" i="1"/>
  <c r="BM427" i="1"/>
  <c r="BM31" i="1"/>
  <c r="BM428" i="1"/>
  <c r="BK474" i="1"/>
  <c r="BK469" i="1"/>
  <c r="BK35" i="1"/>
  <c r="BK470" i="1"/>
  <c r="BK42" i="1"/>
  <c r="BK56" i="1" s="1"/>
  <c r="BK524" i="1" s="1"/>
  <c r="DT468" i="1"/>
  <c r="BS356" i="1"/>
  <c r="BS336" i="1" s="1"/>
  <c r="BS347" i="1"/>
  <c r="BS218" i="1"/>
  <c r="BS343" i="1"/>
  <c r="BP254" i="1"/>
  <c r="BP374" i="1"/>
  <c r="BP255" i="1"/>
  <c r="BP216" i="1"/>
  <c r="BP368" i="1"/>
  <c r="BP367" i="1"/>
  <c r="BR211" i="1"/>
  <c r="BR273" i="1"/>
  <c r="BR272" i="1"/>
  <c r="BR257" i="1"/>
  <c r="BR209" i="1"/>
  <c r="CT208" i="1"/>
  <c r="CT359" i="1"/>
  <c r="CT360" i="1" s="1"/>
  <c r="BQ205" i="1"/>
  <c r="BQ364" i="1"/>
  <c r="BQ365" i="1"/>
  <c r="BO371" i="1"/>
  <c r="BO372" i="1"/>
  <c r="BK414" i="1"/>
  <c r="BK413" i="1"/>
  <c r="BI530" i="1"/>
  <c r="CR62" i="1"/>
  <c r="CR530" i="1" s="1"/>
  <c r="BQ339" i="1"/>
  <c r="BQ206" i="1"/>
  <c r="BQ334" i="1"/>
  <c r="BQ335" i="1"/>
  <c r="BI391" i="1"/>
  <c r="BI392" i="1"/>
  <c r="CT336" i="1"/>
  <c r="BQ366" i="1"/>
  <c r="BQ338" i="1"/>
  <c r="BU337" i="1"/>
  <c r="BQ217" i="1"/>
  <c r="BQ337" i="1"/>
  <c r="CP116" i="1"/>
  <c r="CP104" i="1" s="1"/>
  <c r="CP111" i="1"/>
  <c r="BN433" i="1"/>
  <c r="BO432" i="1"/>
  <c r="BN426" i="1"/>
  <c r="DT36" i="1"/>
  <c r="BK49" i="1"/>
  <c r="BK63" i="1" s="1"/>
  <c r="DT63" i="1" s="1"/>
  <c r="BJ403" i="1"/>
  <c r="BJ402" i="1"/>
  <c r="BH41" i="1"/>
  <c r="CR28" i="1"/>
  <c r="BR357" i="1"/>
  <c r="BR353" i="1"/>
  <c r="BR329" i="1" s="1"/>
  <c r="CU356" i="1"/>
  <c r="BR219" i="1"/>
  <c r="BR358" i="1"/>
  <c r="BQ331" i="1"/>
  <c r="BQ330" i="1"/>
  <c r="CP124" i="8"/>
  <c r="CP155" i="1"/>
  <c r="CQ155" i="1"/>
  <c r="BP340" i="1"/>
  <c r="BP341" i="1"/>
  <c r="BL44" i="1"/>
  <c r="BL42" i="1" s="1"/>
  <c r="BL56" i="1" s="1"/>
  <c r="BL524" i="1" s="1"/>
  <c r="BH379" i="1"/>
  <c r="BH537" i="1"/>
  <c r="BH536" i="1"/>
  <c r="BH380" i="1"/>
  <c r="CR378" i="1"/>
  <c r="BN371" i="1"/>
  <c r="BN372" i="1"/>
  <c r="BJ62" i="1"/>
  <c r="BJ530" i="1" s="1"/>
  <c r="CU347" i="1"/>
  <c r="CU218" i="1"/>
  <c r="CR475" i="1"/>
  <c r="CR402" i="1"/>
  <c r="DA16" i="7"/>
  <c r="DA19" i="7" s="1"/>
  <c r="CZ19" i="7"/>
  <c r="CZ192" i="7"/>
  <c r="CZ191" i="7"/>
  <c r="CZ17" i="7"/>
  <c r="CZ146" i="7"/>
  <c r="CZ24" i="8"/>
  <c r="CZ71" i="8" s="1"/>
  <c r="DC16" i="1"/>
  <c r="DC16" i="7" s="1"/>
  <c r="DC146" i="7" s="1"/>
  <c r="DB16" i="1"/>
  <c r="DB37" i="7" s="1"/>
  <c r="CU307" i="1"/>
  <c r="BS214" i="1"/>
  <c r="BS309" i="1"/>
  <c r="BS308" i="1"/>
  <c r="BS212" i="1"/>
  <c r="BS303" i="1"/>
  <c r="BR495" i="1"/>
  <c r="BR488" i="1"/>
  <c r="BP50" i="1"/>
  <c r="BP64" i="1" s="1"/>
  <c r="BQ489" i="1"/>
  <c r="BQ37" i="1"/>
  <c r="CT37" i="1" s="1"/>
  <c r="BQ490" i="1"/>
  <c r="CT488" i="1"/>
  <c r="CS59" i="1"/>
  <c r="CS527" i="1" s="1"/>
  <c r="DC238" i="1"/>
  <c r="DB23" i="1"/>
  <c r="DB129" i="1" s="1"/>
  <c r="CN66" i="7"/>
  <c r="CM73" i="7"/>
  <c r="DA195" i="7"/>
  <c r="DA20" i="7"/>
  <c r="DA27" i="8" s="1"/>
  <c r="DA74" i="8" s="1"/>
  <c r="DA196" i="7"/>
  <c r="DA23" i="8"/>
  <c r="BD100" i="8"/>
  <c r="BC102" i="8"/>
  <c r="CZ515" i="1"/>
  <c r="CZ148" i="1"/>
  <c r="CZ22" i="1"/>
  <c r="CZ128" i="1"/>
  <c r="BO32" i="1"/>
  <c r="DU32" i="1" s="1"/>
  <c r="BO438" i="1"/>
  <c r="BO439" i="1"/>
  <c r="BO443" i="1"/>
  <c r="DA134" i="1"/>
  <c r="DA150" i="1"/>
  <c r="DA79" i="8"/>
  <c r="DA121" i="8"/>
  <c r="DA80" i="7"/>
  <c r="DA25" i="8"/>
  <c r="DA72" i="8" s="1"/>
  <c r="DU34" i="1"/>
  <c r="BQ457" i="1"/>
  <c r="BR463" i="1"/>
  <c r="BQ464" i="1"/>
  <c r="CN83" i="7"/>
  <c r="CN84" i="7" s="1"/>
  <c r="CN97" i="7" s="1"/>
  <c r="CN85" i="7"/>
  <c r="DB622" i="1"/>
  <c r="DB634" i="1" s="1"/>
  <c r="DB619" i="1"/>
  <c r="DB623" i="1"/>
  <c r="DB15" i="7"/>
  <c r="DB23" i="8" s="1"/>
  <c r="DB541" i="1"/>
  <c r="DB69" i="1" s="1"/>
  <c r="DB620" i="1"/>
  <c r="DB632" i="1" s="1"/>
  <c r="DB40" i="7"/>
  <c r="DB621" i="1"/>
  <c r="DB633" i="1" s="1"/>
  <c r="DB540" i="1"/>
  <c r="DB32" i="8"/>
  <c r="DB143" i="1"/>
  <c r="DB187" i="7" s="1"/>
  <c r="DB21" i="7"/>
  <c r="DV217" i="1"/>
  <c r="DV410" i="1"/>
  <c r="DA539" i="1"/>
  <c r="DA68" i="1"/>
  <c r="CU410" i="1"/>
  <c r="W71" i="7"/>
  <c r="W72" i="7" s="1"/>
  <c r="BP458" i="1"/>
  <c r="BP34" i="1"/>
  <c r="BP459" i="1"/>
  <c r="BP437" i="1"/>
  <c r="CT457" i="1"/>
  <c r="CZ103" i="7"/>
  <c r="CM102" i="7"/>
  <c r="CM112" i="7"/>
  <c r="CX26" i="8"/>
  <c r="CX205" i="7"/>
  <c r="CX43" i="7"/>
  <c r="CT43" i="1"/>
  <c r="DC540" i="1"/>
  <c r="DC32" i="8"/>
  <c r="DC622" i="1"/>
  <c r="DC620" i="1"/>
  <c r="DC619" i="1"/>
  <c r="DC621" i="1"/>
  <c r="DC21" i="7"/>
  <c r="DC15" i="7"/>
  <c r="DC145" i="7" s="1"/>
  <c r="DC143" i="1"/>
  <c r="DC187" i="7" s="1"/>
  <c r="DC541" i="1"/>
  <c r="DC69" i="1" s="1"/>
  <c r="DC623" i="1"/>
  <c r="DC40" i="7"/>
  <c r="Z53" i="8"/>
  <c r="Z55" i="8" s="1"/>
  <c r="Y56" i="8"/>
  <c r="AV53" i="8"/>
  <c r="AV55" i="8" s="1"/>
  <c r="AU56" i="8"/>
  <c r="AU103" i="8"/>
  <c r="DA129" i="1"/>
  <c r="DA21" i="1"/>
  <c r="CU422" i="1"/>
  <c r="CU423" i="1" s="1"/>
  <c r="CU417" i="1"/>
  <c r="DU437" i="1"/>
  <c r="Z100" i="8"/>
  <c r="Y103" i="8"/>
  <c r="CY135" i="1"/>
  <c r="CY151" i="1"/>
  <c r="CY46" i="7"/>
  <c r="CY39" i="7"/>
  <c r="CY71" i="1"/>
  <c r="CX49" i="7"/>
  <c r="CX28" i="8"/>
  <c r="CX75" i="8" s="1"/>
  <c r="BQ399" i="1"/>
  <c r="BQ400" i="1"/>
  <c r="DV398" i="1"/>
  <c r="CT398" i="1"/>
  <c r="CT399" i="1" s="1"/>
  <c r="DC23" i="1"/>
  <c r="CZ133" i="1"/>
  <c r="CZ149" i="1"/>
  <c r="CZ67" i="1"/>
  <c r="BN444" i="1"/>
  <c r="BN445" i="1"/>
  <c r="BO47" i="1"/>
  <c r="BO45" i="1" s="1"/>
  <c r="CX114" i="8"/>
  <c r="CX72" i="1"/>
  <c r="CX134" i="8"/>
  <c r="CX137" i="1"/>
  <c r="CX138" i="1"/>
  <c r="CX152" i="1"/>
  <c r="BR399" i="1"/>
  <c r="CU398" i="1"/>
  <c r="BR400" i="1"/>
  <c r="DV422" i="1"/>
  <c r="DV423" i="1" s="1"/>
  <c r="DV417" i="1"/>
  <c r="DV207" i="1"/>
  <c r="BR43" i="1"/>
  <c r="CU30" i="1"/>
  <c r="CS61" i="1"/>
  <c r="CS529" i="1" s="1"/>
  <c r="BN45" i="1" l="1"/>
  <c r="BN59" i="1" s="1"/>
  <c r="DU33" i="1"/>
  <c r="DU448" i="1"/>
  <c r="DU453" i="1"/>
  <c r="DU454" i="1" s="1"/>
  <c r="DU210" i="1"/>
  <c r="BR453" i="1"/>
  <c r="BQ454" i="1"/>
  <c r="BQ447" i="1"/>
  <c r="BP449" i="1"/>
  <c r="BP33" i="1"/>
  <c r="BP448" i="1"/>
  <c r="CT447" i="1"/>
  <c r="AS603" i="1"/>
  <c r="AS594" i="1"/>
  <c r="AS602" i="1"/>
  <c r="BR331" i="1"/>
  <c r="BR330" i="1"/>
  <c r="CU219" i="1"/>
  <c r="CU357" i="1"/>
  <c r="DT205" i="1"/>
  <c r="DT396" i="1"/>
  <c r="DT401" i="1"/>
  <c r="DT402" i="1" s="1"/>
  <c r="BH535" i="1"/>
  <c r="BP432" i="1"/>
  <c r="BO426" i="1"/>
  <c r="BO433" i="1"/>
  <c r="BQ340" i="1"/>
  <c r="BQ341" i="1"/>
  <c r="BW337" i="1"/>
  <c r="BS366" i="1"/>
  <c r="BT338" i="1"/>
  <c r="BS217" i="1"/>
  <c r="BS338" i="1"/>
  <c r="BS337" i="1"/>
  <c r="DT469" i="1"/>
  <c r="DT474" i="1"/>
  <c r="DT475" i="1" s="1"/>
  <c r="DT212" i="1"/>
  <c r="BM44" i="1"/>
  <c r="BM58" i="1" s="1"/>
  <c r="CS31" i="1"/>
  <c r="CS478" i="1"/>
  <c r="BM468" i="1"/>
  <c r="BM395" i="1" s="1"/>
  <c r="BM480" i="1"/>
  <c r="BM479" i="1"/>
  <c r="BM36" i="1"/>
  <c r="BL413" i="1"/>
  <c r="BL414" i="1"/>
  <c r="BJ55" i="1"/>
  <c r="BJ40" i="1"/>
  <c r="BP372" i="1"/>
  <c r="BP371" i="1"/>
  <c r="BL49" i="1"/>
  <c r="BL48" i="1" s="1"/>
  <c r="BR216" i="1"/>
  <c r="BR367" i="1"/>
  <c r="BR368" i="1"/>
  <c r="BH55" i="1"/>
  <c r="BH40" i="1"/>
  <c r="CR41" i="1"/>
  <c r="BQ216" i="1"/>
  <c r="BQ367" i="1"/>
  <c r="BQ368" i="1"/>
  <c r="CR55" i="1"/>
  <c r="CR523" i="1" s="1"/>
  <c r="CT206" i="1"/>
  <c r="CT339" i="1"/>
  <c r="CT340" i="1" s="1"/>
  <c r="CT334" i="1"/>
  <c r="CT363" i="1"/>
  <c r="CR537" i="1"/>
  <c r="CR536" i="1"/>
  <c r="CR379" i="1"/>
  <c r="BR355" i="1"/>
  <c r="BR354" i="1"/>
  <c r="BR208" i="1"/>
  <c r="CT217" i="1"/>
  <c r="CT366" i="1"/>
  <c r="CT337" i="1"/>
  <c r="BR258" i="1"/>
  <c r="BR253" i="1"/>
  <c r="BR259" i="1"/>
  <c r="BK475" i="1"/>
  <c r="BK476" i="1"/>
  <c r="BM412" i="1"/>
  <c r="BM407" i="1"/>
  <c r="BM29" i="1"/>
  <c r="BM408" i="1"/>
  <c r="BI535" i="1"/>
  <c r="CU271" i="1"/>
  <c r="BS272" i="1"/>
  <c r="BS211" i="1"/>
  <c r="BS273" i="1"/>
  <c r="BS209" i="1"/>
  <c r="BS257" i="1"/>
  <c r="BJ392" i="1"/>
  <c r="BJ391" i="1"/>
  <c r="BI134" i="7"/>
  <c r="BI120" i="7"/>
  <c r="BI142" i="7" s="1"/>
  <c r="BI146" i="7"/>
  <c r="BI53" i="1"/>
  <c r="BI130" i="7"/>
  <c r="CT253" i="1"/>
  <c r="BQ255" i="1"/>
  <c r="BQ254" i="1"/>
  <c r="BQ374" i="1"/>
  <c r="BK48" i="1"/>
  <c r="BK62" i="1" s="1"/>
  <c r="BK384" i="1"/>
  <c r="BK378" i="1"/>
  <c r="BK383" i="1"/>
  <c r="BK390" i="1"/>
  <c r="BK28" i="1"/>
  <c r="BL58" i="1"/>
  <c r="BN427" i="1"/>
  <c r="BN31" i="1"/>
  <c r="BN428" i="1"/>
  <c r="BN406" i="1"/>
  <c r="DU426" i="1"/>
  <c r="BQ370" i="1"/>
  <c r="CU343" i="1"/>
  <c r="BS207" i="1"/>
  <c r="BS344" i="1"/>
  <c r="BS345" i="1"/>
  <c r="BS353" i="1"/>
  <c r="CU353" i="1" s="1"/>
  <c r="BS357" i="1"/>
  <c r="BS219" i="1"/>
  <c r="BS358" i="1"/>
  <c r="CS432" i="1"/>
  <c r="CS433" i="1" s="1"/>
  <c r="CS427" i="1"/>
  <c r="BN485" i="1"/>
  <c r="BN478" i="1"/>
  <c r="BO484" i="1"/>
  <c r="BK402" i="1"/>
  <c r="BK403" i="1"/>
  <c r="DT56" i="1"/>
  <c r="BR333" i="1"/>
  <c r="CS406" i="1"/>
  <c r="BL382" i="1"/>
  <c r="BL396" i="1"/>
  <c r="BL401" i="1"/>
  <c r="BL397" i="1"/>
  <c r="BJ380" i="1"/>
  <c r="BJ537" i="1"/>
  <c r="BJ536" i="1"/>
  <c r="BJ379" i="1"/>
  <c r="BG117" i="7"/>
  <c r="BG139" i="7" s="1"/>
  <c r="BG141" i="7"/>
  <c r="BL35" i="1"/>
  <c r="BL470" i="1"/>
  <c r="BL469" i="1"/>
  <c r="BL474" i="1"/>
  <c r="CU336" i="1"/>
  <c r="DT35" i="1"/>
  <c r="DA18" i="7"/>
  <c r="DA146" i="7"/>
  <c r="DA191" i="7"/>
  <c r="DA192" i="7"/>
  <c r="DA17" i="7"/>
  <c r="DA24" i="8"/>
  <c r="DA71" i="8" s="1"/>
  <c r="DC37" i="7"/>
  <c r="DC25" i="8" s="1"/>
  <c r="DC72" i="8" s="1"/>
  <c r="DB16" i="7"/>
  <c r="DB146" i="7" s="1"/>
  <c r="CU399" i="1"/>
  <c r="CU313" i="1"/>
  <c r="CU314" i="1" s="1"/>
  <c r="CU214" i="1"/>
  <c r="CU212" i="1"/>
  <c r="CU308" i="1"/>
  <c r="CU303" i="1"/>
  <c r="CU304" i="1" s="1"/>
  <c r="BQ50" i="1"/>
  <c r="CT50" i="1" s="1"/>
  <c r="DV488" i="1"/>
  <c r="CU488" i="1"/>
  <c r="BR489" i="1"/>
  <c r="BR37" i="1"/>
  <c r="BR490" i="1"/>
  <c r="CT489" i="1"/>
  <c r="CT494" i="1"/>
  <c r="CT495" i="1" s="1"/>
  <c r="DB145" i="7"/>
  <c r="DB21" i="1"/>
  <c r="DB22" i="1" s="1"/>
  <c r="DC634" i="1"/>
  <c r="DC633" i="1"/>
  <c r="DB70" i="8"/>
  <c r="CU43" i="1"/>
  <c r="CZ151" i="1"/>
  <c r="CZ135" i="1"/>
  <c r="CZ39" i="7"/>
  <c r="CZ46" i="7"/>
  <c r="DC129" i="1"/>
  <c r="DC21" i="1"/>
  <c r="CY26" i="8"/>
  <c r="CY205" i="7"/>
  <c r="CY43" i="7"/>
  <c r="Z102" i="8"/>
  <c r="Z103" i="8" s="1"/>
  <c r="AA100" i="8"/>
  <c r="BR57" i="1"/>
  <c r="BO61" i="1"/>
  <c r="CY49" i="7"/>
  <c r="CY28" i="8"/>
  <c r="CY75" i="8" s="1"/>
  <c r="DB25" i="8"/>
  <c r="DB72" i="8" s="1"/>
  <c r="DU443" i="1"/>
  <c r="DU444" i="1" s="1"/>
  <c r="DU438" i="1"/>
  <c r="DU209" i="1"/>
  <c r="Z56" i="8"/>
  <c r="AA53" i="8"/>
  <c r="AA55" i="8" s="1"/>
  <c r="DC195" i="7"/>
  <c r="DC196" i="7"/>
  <c r="DC20" i="7"/>
  <c r="DC632" i="1"/>
  <c r="CX51" i="7"/>
  <c r="BP32" i="1"/>
  <c r="BP438" i="1"/>
  <c r="BP443" i="1"/>
  <c r="BP439" i="1"/>
  <c r="DB134" i="1"/>
  <c r="DB150" i="1"/>
  <c r="BO445" i="1"/>
  <c r="BO444" i="1"/>
  <c r="BN527" i="1"/>
  <c r="AV56" i="8"/>
  <c r="AW53" i="8"/>
  <c r="AW55" i="8" s="1"/>
  <c r="AV103" i="8"/>
  <c r="DB79" i="8"/>
  <c r="DB80" i="7"/>
  <c r="DB121" i="8"/>
  <c r="DB195" i="7"/>
  <c r="DC23" i="8"/>
  <c r="DB20" i="7"/>
  <c r="DB27" i="8" s="1"/>
  <c r="DB74" i="8" s="1"/>
  <c r="DB196" i="7"/>
  <c r="CO79" i="7"/>
  <c r="CN94" i="7"/>
  <c r="DA103" i="7"/>
  <c r="CZ71" i="1"/>
  <c r="DV399" i="1"/>
  <c r="DV216" i="1"/>
  <c r="CY72" i="1"/>
  <c r="CY138" i="1"/>
  <c r="CY137" i="1"/>
  <c r="CY114" i="8"/>
  <c r="CY134" i="8"/>
  <c r="CY152" i="1"/>
  <c r="DC121" i="8"/>
  <c r="DC79" i="8"/>
  <c r="DC80" i="7"/>
  <c r="CX73" i="8"/>
  <c r="CX119" i="8"/>
  <c r="DA133" i="1"/>
  <c r="DA67" i="1"/>
  <c r="DA71" i="1" s="1"/>
  <c r="DA149" i="1"/>
  <c r="DC17" i="7"/>
  <c r="DC191" i="7"/>
  <c r="DC18" i="7"/>
  <c r="DC19" i="7"/>
  <c r="DB68" i="1"/>
  <c r="DB539" i="1"/>
  <c r="BR464" i="1"/>
  <c r="BR457" i="1"/>
  <c r="BE100" i="8"/>
  <c r="BE102" i="8" s="1"/>
  <c r="BD102" i="8"/>
  <c r="DA515" i="1"/>
  <c r="DA128" i="1"/>
  <c r="DA148" i="1"/>
  <c r="DA22" i="1"/>
  <c r="DC134" i="1"/>
  <c r="DC150" i="1"/>
  <c r="DC539" i="1"/>
  <c r="DC68" i="1"/>
  <c r="CT458" i="1"/>
  <c r="CT463" i="1"/>
  <c r="CT464" i="1" s="1"/>
  <c r="BP47" i="1"/>
  <c r="BP61" i="1" s="1"/>
  <c r="X66" i="7"/>
  <c r="W73" i="7"/>
  <c r="BQ34" i="1"/>
  <c r="BQ459" i="1"/>
  <c r="BQ458" i="1"/>
  <c r="BQ437" i="1"/>
  <c r="BO59" i="1"/>
  <c r="BO527" i="1" s="1"/>
  <c r="DA70" i="8"/>
  <c r="CN71" i="7"/>
  <c r="CN72" i="7" s="1"/>
  <c r="BP46" i="1" l="1"/>
  <c r="BR447" i="1"/>
  <c r="BR454" i="1"/>
  <c r="CT453" i="1"/>
  <c r="CT454" i="1" s="1"/>
  <c r="CT448" i="1"/>
  <c r="BQ33" i="1"/>
  <c r="BQ449" i="1"/>
  <c r="BQ448" i="1"/>
  <c r="DV447" i="1"/>
  <c r="AS612" i="1"/>
  <c r="AS613" i="1" s="1"/>
  <c r="AS614" i="1" s="1"/>
  <c r="AT590" i="1"/>
  <c r="BL63" i="1"/>
  <c r="BS333" i="1"/>
  <c r="BS335" i="1" s="1"/>
  <c r="BL62" i="1"/>
  <c r="BL530" i="1" s="1"/>
  <c r="CS395" i="1"/>
  <c r="BM397" i="1"/>
  <c r="BM382" i="1"/>
  <c r="CS382" i="1" s="1"/>
  <c r="CS383" i="1" s="1"/>
  <c r="BM401" i="1"/>
  <c r="BM396" i="1"/>
  <c r="BK530" i="1"/>
  <c r="DT62" i="1"/>
  <c r="BL475" i="1"/>
  <c r="BL476" i="1"/>
  <c r="BN36" i="1"/>
  <c r="BN480" i="1"/>
  <c r="BN468" i="1"/>
  <c r="BN395" i="1" s="1"/>
  <c r="BN479" i="1"/>
  <c r="BS334" i="1"/>
  <c r="BN44" i="1"/>
  <c r="BN42" i="1" s="1"/>
  <c r="BK392" i="1"/>
  <c r="BK391" i="1"/>
  <c r="CT254" i="1"/>
  <c r="CT374" i="1"/>
  <c r="CU272" i="1"/>
  <c r="CU277" i="1"/>
  <c r="CU278" i="1" s="1"/>
  <c r="CU211" i="1"/>
  <c r="CU257" i="1"/>
  <c r="CU258" i="1" s="1"/>
  <c r="CU209" i="1"/>
  <c r="CT367" i="1"/>
  <c r="CT216" i="1"/>
  <c r="BO31" i="1"/>
  <c r="DU31" i="1" s="1"/>
  <c r="BO428" i="1"/>
  <c r="BO406" i="1"/>
  <c r="BO427" i="1"/>
  <c r="BL378" i="1"/>
  <c r="BL383" i="1"/>
  <c r="BL28" i="1"/>
  <c r="BL390" i="1"/>
  <c r="BL384" i="1"/>
  <c r="CU349" i="1"/>
  <c r="CU350" i="1" s="1"/>
  <c r="CU344" i="1"/>
  <c r="CU207" i="1"/>
  <c r="BM470" i="1"/>
  <c r="BM474" i="1"/>
  <c r="BM35" i="1"/>
  <c r="BM469" i="1"/>
  <c r="BM42" i="1"/>
  <c r="CS42" i="1" s="1"/>
  <c r="CS44" i="1"/>
  <c r="BQ432" i="1"/>
  <c r="BP433" i="1"/>
  <c r="BP426" i="1"/>
  <c r="CU217" i="1"/>
  <c r="CU337" i="1"/>
  <c r="CU366" i="1"/>
  <c r="CS412" i="1"/>
  <c r="CS413" i="1" s="1"/>
  <c r="CS407" i="1"/>
  <c r="BQ371" i="1"/>
  <c r="BQ372" i="1"/>
  <c r="BN29" i="1"/>
  <c r="BN408" i="1"/>
  <c r="BN407" i="1"/>
  <c r="BN412" i="1"/>
  <c r="CS58" i="1"/>
  <c r="CS526" i="1" s="1"/>
  <c r="DT378" i="1"/>
  <c r="DT379" i="1" s="1"/>
  <c r="BK536" i="1"/>
  <c r="BK379" i="1"/>
  <c r="BK537" i="1"/>
  <c r="BK380" i="1"/>
  <c r="BI54" i="1"/>
  <c r="BI521" i="1"/>
  <c r="BS259" i="1"/>
  <c r="BS258" i="1"/>
  <c r="BS253" i="1"/>
  <c r="CU253" i="1" s="1"/>
  <c r="BM413" i="1"/>
  <c r="BM414" i="1"/>
  <c r="CU333" i="1"/>
  <c r="CU363" i="1" s="1"/>
  <c r="CU354" i="1"/>
  <c r="CU359" i="1"/>
  <c r="CU360" i="1" s="1"/>
  <c r="CU208" i="1"/>
  <c r="BH134" i="7"/>
  <c r="CR40" i="1"/>
  <c r="BH120" i="7"/>
  <c r="BH142" i="7" s="1"/>
  <c r="BH130" i="7"/>
  <c r="BH53" i="1"/>
  <c r="BH146" i="7"/>
  <c r="CS36" i="1"/>
  <c r="BM49" i="1"/>
  <c r="BM63" i="1" s="1"/>
  <c r="CS63" i="1" s="1"/>
  <c r="CS479" i="1"/>
  <c r="CS484" i="1"/>
  <c r="CS485" i="1" s="1"/>
  <c r="DU208" i="1"/>
  <c r="DU427" i="1"/>
  <c r="DU432" i="1"/>
  <c r="DU433" i="1" s="1"/>
  <c r="CS468" i="1"/>
  <c r="BJ535" i="1"/>
  <c r="BL403" i="1"/>
  <c r="BL402" i="1"/>
  <c r="BR339" i="1"/>
  <c r="BR363" i="1"/>
  <c r="BR206" i="1"/>
  <c r="BR335" i="1"/>
  <c r="BR334" i="1"/>
  <c r="BO485" i="1"/>
  <c r="BO478" i="1"/>
  <c r="BP484" i="1"/>
  <c r="BS354" i="1"/>
  <c r="BS208" i="1"/>
  <c r="BS355" i="1"/>
  <c r="BS329" i="1"/>
  <c r="DT28" i="1"/>
  <c r="BK41" i="1"/>
  <c r="BK40" i="1" s="1"/>
  <c r="BI119" i="7"/>
  <c r="DT390" i="1"/>
  <c r="BS363" i="1"/>
  <c r="CS29" i="1"/>
  <c r="BR254" i="1"/>
  <c r="BR374" i="1"/>
  <c r="BR255" i="1"/>
  <c r="CR535" i="1"/>
  <c r="CT370" i="1"/>
  <c r="CT371" i="1" s="1"/>
  <c r="CT364" i="1"/>
  <c r="CT205" i="1"/>
  <c r="BJ53" i="1"/>
  <c r="BJ120" i="7"/>
  <c r="BJ142" i="7" s="1"/>
  <c r="BJ130" i="7"/>
  <c r="BJ134" i="7"/>
  <c r="BJ146" i="7"/>
  <c r="BS368" i="1"/>
  <c r="BS367" i="1"/>
  <c r="BS216" i="1"/>
  <c r="DB17" i="7"/>
  <c r="DB192" i="7"/>
  <c r="DB19" i="7"/>
  <c r="DB18" i="7"/>
  <c r="DC24" i="8"/>
  <c r="DC71" i="8" s="1"/>
  <c r="DC192" i="7"/>
  <c r="DB24" i="8"/>
  <c r="DB71" i="8" s="1"/>
  <c r="DB191" i="7"/>
  <c r="BQ64" i="1"/>
  <c r="CT64" i="1" s="1"/>
  <c r="CT532" i="1" s="1"/>
  <c r="CU494" i="1"/>
  <c r="CU495" i="1" s="1"/>
  <c r="CU489" i="1"/>
  <c r="DV494" i="1"/>
  <c r="DV495" i="1" s="1"/>
  <c r="DV489" i="1"/>
  <c r="DV214" i="1"/>
  <c r="DV37" i="1"/>
  <c r="CU37" i="1"/>
  <c r="BR50" i="1"/>
  <c r="CU50" i="1" s="1"/>
  <c r="DB148" i="1"/>
  <c r="DB515" i="1"/>
  <c r="DB128" i="1"/>
  <c r="DC27" i="8"/>
  <c r="DC74" i="8" s="1"/>
  <c r="DA72" i="1"/>
  <c r="DA114" i="8"/>
  <c r="DA137" i="1"/>
  <c r="DA152" i="1"/>
  <c r="DA138" i="1"/>
  <c r="DA134" i="8"/>
  <c r="BQ47" i="1"/>
  <c r="BR458" i="1"/>
  <c r="BR34" i="1"/>
  <c r="DV34" i="1" s="1"/>
  <c r="CU457" i="1"/>
  <c r="BR459" i="1"/>
  <c r="BR437" i="1"/>
  <c r="DV437" i="1" s="1"/>
  <c r="DV457" i="1"/>
  <c r="BQ32" i="1"/>
  <c r="CT32" i="1" s="1"/>
  <c r="BQ439" i="1"/>
  <c r="BQ443" i="1"/>
  <c r="BQ438" i="1"/>
  <c r="CT437" i="1"/>
  <c r="BF100" i="8"/>
  <c r="DB149" i="1"/>
  <c r="DB133" i="1"/>
  <c r="DB67" i="1"/>
  <c r="DC103" i="7"/>
  <c r="AW56" i="8"/>
  <c r="AX53" i="8"/>
  <c r="AX55" i="8" s="1"/>
  <c r="AW103" i="8"/>
  <c r="CU57" i="1"/>
  <c r="CU525" i="1" s="1"/>
  <c r="DV57" i="1"/>
  <c r="AA102" i="8"/>
  <c r="AA103" i="8" s="1"/>
  <c r="AB100" i="8"/>
  <c r="CZ49" i="7"/>
  <c r="CZ28" i="8"/>
  <c r="CZ75" i="8" s="1"/>
  <c r="CO66" i="7"/>
  <c r="CN73" i="7"/>
  <c r="DC133" i="1"/>
  <c r="DC149" i="1"/>
  <c r="DC67" i="1"/>
  <c r="DC71" i="1" s="1"/>
  <c r="CN112" i="7"/>
  <c r="CN102" i="7"/>
  <c r="DB103" i="7"/>
  <c r="AA56" i="8"/>
  <c r="AB53" i="8"/>
  <c r="AB55" i="8" s="1"/>
  <c r="CY73" i="8"/>
  <c r="CY119" i="8"/>
  <c r="CZ26" i="8"/>
  <c r="CZ43" i="7"/>
  <c r="CZ205" i="7"/>
  <c r="CT34" i="1"/>
  <c r="BP45" i="1"/>
  <c r="DU59" i="1"/>
  <c r="CZ138" i="1"/>
  <c r="CZ72" i="1"/>
  <c r="CZ134" i="8"/>
  <c r="CZ152" i="1"/>
  <c r="CZ114" i="8"/>
  <c r="CZ137" i="1"/>
  <c r="CO85" i="7"/>
  <c r="CO83" i="7"/>
  <c r="CO84" i="7" s="1"/>
  <c r="CO97" i="7" s="1"/>
  <c r="DC70" i="8"/>
  <c r="DC22" i="1"/>
  <c r="DC128" i="1"/>
  <c r="DC515" i="1"/>
  <c r="DC148" i="1"/>
  <c r="X71" i="7"/>
  <c r="X72" i="7" s="1"/>
  <c r="DA151" i="1"/>
  <c r="DA135" i="1"/>
  <c r="DA39" i="7"/>
  <c r="DA46" i="7"/>
  <c r="BP444" i="1"/>
  <c r="BP445" i="1"/>
  <c r="DU61" i="1"/>
  <c r="CY51" i="7"/>
  <c r="BQ46" i="1" l="1"/>
  <c r="BQ60" i="1" s="1"/>
  <c r="BR448" i="1"/>
  <c r="BR33" i="1"/>
  <c r="BR449" i="1"/>
  <c r="CU447" i="1"/>
  <c r="DV453" i="1"/>
  <c r="DV454" i="1" s="1"/>
  <c r="DV448" i="1"/>
  <c r="DV210" i="1"/>
  <c r="CT33" i="1"/>
  <c r="BP60" i="1"/>
  <c r="CT46" i="1"/>
  <c r="AT602" i="1"/>
  <c r="AT603" i="1"/>
  <c r="AT594" i="1"/>
  <c r="BM56" i="1"/>
  <c r="CS56" i="1" s="1"/>
  <c r="CS524" i="1" s="1"/>
  <c r="BS339" i="1"/>
  <c r="BN58" i="1"/>
  <c r="BK55" i="1"/>
  <c r="DT55" i="1" s="1"/>
  <c r="BK535" i="1"/>
  <c r="BS206" i="1"/>
  <c r="CU205" i="1"/>
  <c r="CU370" i="1"/>
  <c r="CU371" i="1" s="1"/>
  <c r="CU364" i="1"/>
  <c r="BI141" i="7"/>
  <c r="BI117" i="7"/>
  <c r="BI139" i="7" s="1"/>
  <c r="BR341" i="1"/>
  <c r="BR340" i="1"/>
  <c r="CS469" i="1"/>
  <c r="CS474" i="1"/>
  <c r="CS475" i="1" s="1"/>
  <c r="BH119" i="7"/>
  <c r="BN396" i="1"/>
  <c r="BN382" i="1"/>
  <c r="BN397" i="1"/>
  <c r="BN401" i="1"/>
  <c r="CS35" i="1"/>
  <c r="BL41" i="1"/>
  <c r="BL55" i="1" s="1"/>
  <c r="BO408" i="1"/>
  <c r="BO412" i="1"/>
  <c r="BO29" i="1"/>
  <c r="DU29" i="1" s="1"/>
  <c r="BO407" i="1"/>
  <c r="BM28" i="1"/>
  <c r="CS28" i="1" s="1"/>
  <c r="BM384" i="1"/>
  <c r="BM390" i="1"/>
  <c r="BM378" i="1"/>
  <c r="BM383" i="1"/>
  <c r="CU329" i="1"/>
  <c r="CU330" i="1" s="1"/>
  <c r="BS331" i="1"/>
  <c r="BS330" i="1"/>
  <c r="BQ484" i="1"/>
  <c r="BP478" i="1"/>
  <c r="BP485" i="1"/>
  <c r="BH521" i="1"/>
  <c r="BH54" i="1"/>
  <c r="CR53" i="1"/>
  <c r="CR134" i="7"/>
  <c r="CR120" i="7"/>
  <c r="CR142" i="7" s="1"/>
  <c r="CR146" i="7"/>
  <c r="CR119" i="7" s="1"/>
  <c r="CR130" i="7"/>
  <c r="BS255" i="1"/>
  <c r="BS254" i="1"/>
  <c r="BS374" i="1"/>
  <c r="BP406" i="1"/>
  <c r="BP427" i="1"/>
  <c r="BP31" i="1"/>
  <c r="BP428" i="1"/>
  <c r="BM475" i="1"/>
  <c r="BM476" i="1"/>
  <c r="BN35" i="1"/>
  <c r="BN474" i="1"/>
  <c r="BN469" i="1"/>
  <c r="BN470" i="1"/>
  <c r="BJ119" i="7"/>
  <c r="BS364" i="1"/>
  <c r="BS205" i="1"/>
  <c r="BS365" i="1"/>
  <c r="BS370" i="1"/>
  <c r="DU478" i="1"/>
  <c r="BO480" i="1"/>
  <c r="BO479" i="1"/>
  <c r="BO468" i="1"/>
  <c r="BO36" i="1"/>
  <c r="CS531" i="1"/>
  <c r="CU339" i="1"/>
  <c r="CU340" i="1" s="1"/>
  <c r="CU334" i="1"/>
  <c r="CU206" i="1"/>
  <c r="CU216" i="1"/>
  <c r="CU367" i="1"/>
  <c r="BL537" i="1"/>
  <c r="BL536" i="1"/>
  <c r="BL380" i="1"/>
  <c r="BL379" i="1"/>
  <c r="BO44" i="1"/>
  <c r="BS341" i="1"/>
  <c r="BS340" i="1"/>
  <c r="CS396" i="1"/>
  <c r="CS401" i="1"/>
  <c r="CS402" i="1" s="1"/>
  <c r="BJ521" i="1"/>
  <c r="BJ54" i="1"/>
  <c r="CU254" i="1"/>
  <c r="BK130" i="7"/>
  <c r="BK120" i="7"/>
  <c r="BK142" i="7" s="1"/>
  <c r="BK134" i="7"/>
  <c r="BK53" i="1"/>
  <c r="BK146" i="7"/>
  <c r="BR370" i="1"/>
  <c r="BR205" i="1"/>
  <c r="BR364" i="1"/>
  <c r="BR365" i="1"/>
  <c r="BM48" i="1"/>
  <c r="CS48" i="1" s="1"/>
  <c r="CS49" i="1"/>
  <c r="DT40" i="1"/>
  <c r="BN413" i="1"/>
  <c r="BN414" i="1"/>
  <c r="BN56" i="1"/>
  <c r="BN524" i="1" s="1"/>
  <c r="BQ433" i="1"/>
  <c r="BR432" i="1"/>
  <c r="BQ426" i="1"/>
  <c r="BL392" i="1"/>
  <c r="BL391" i="1"/>
  <c r="CS390" i="1"/>
  <c r="CS391" i="1" s="1"/>
  <c r="BN49" i="1"/>
  <c r="BN48" i="1" s="1"/>
  <c r="BM402" i="1"/>
  <c r="BM403" i="1"/>
  <c r="DU406" i="1"/>
  <c r="CT47" i="1"/>
  <c r="BR64" i="1"/>
  <c r="DV64" i="1" s="1"/>
  <c r="CZ51" i="7"/>
  <c r="BQ61" i="1"/>
  <c r="CT61" i="1" s="1"/>
  <c r="CT529" i="1" s="1"/>
  <c r="X73" i="7"/>
  <c r="Y66" i="7"/>
  <c r="DC72" i="1"/>
  <c r="DC137" i="1"/>
  <c r="DC134" i="8"/>
  <c r="DC138" i="1"/>
  <c r="DC114" i="8"/>
  <c r="BP59" i="1"/>
  <c r="DA49" i="7"/>
  <c r="DA28" i="8"/>
  <c r="DA75" i="8" s="1"/>
  <c r="AB56" i="8"/>
  <c r="AC53" i="8"/>
  <c r="AC55" i="8" s="1"/>
  <c r="AC56" i="8" s="1"/>
  <c r="DC135" i="1"/>
  <c r="DC151" i="1"/>
  <c r="DC46" i="7"/>
  <c r="DC39" i="7"/>
  <c r="DB151" i="1"/>
  <c r="DB135" i="1"/>
  <c r="DB39" i="7"/>
  <c r="DB46" i="7"/>
  <c r="DB71" i="1"/>
  <c r="BR439" i="1"/>
  <c r="BR32" i="1"/>
  <c r="DV32" i="1" s="1"/>
  <c r="BR438" i="1"/>
  <c r="CU437" i="1"/>
  <c r="BR443" i="1"/>
  <c r="DA26" i="8"/>
  <c r="DA43" i="7"/>
  <c r="DA205" i="7"/>
  <c r="CO71" i="7"/>
  <c r="CO72" i="7" s="1"/>
  <c r="AC100" i="8"/>
  <c r="AC102" i="8" s="1"/>
  <c r="AC103" i="8" s="1"/>
  <c r="AB102" i="8"/>
  <c r="AB103" i="8" s="1"/>
  <c r="BG100" i="8"/>
  <c r="BF102" i="8"/>
  <c r="BQ445" i="1"/>
  <c r="BQ444" i="1"/>
  <c r="DV443" i="1"/>
  <c r="DV444" i="1" s="1"/>
  <c r="DV438" i="1"/>
  <c r="DV209" i="1"/>
  <c r="CO94" i="7"/>
  <c r="CP79" i="7"/>
  <c r="AY53" i="8"/>
  <c r="AY55" i="8" s="1"/>
  <c r="AX56" i="8"/>
  <c r="AX103" i="8"/>
  <c r="CT438" i="1"/>
  <c r="CT443" i="1"/>
  <c r="CT444" i="1" s="1"/>
  <c r="CU463" i="1"/>
  <c r="CU464" i="1" s="1"/>
  <c r="CU458" i="1"/>
  <c r="CZ73" i="8"/>
  <c r="CZ119" i="8"/>
  <c r="DV458" i="1"/>
  <c r="DV211" i="1"/>
  <c r="DV463" i="1"/>
  <c r="DV464" i="1" s="1"/>
  <c r="BR47" i="1"/>
  <c r="BR61" i="1" s="1"/>
  <c r="CU34" i="1"/>
  <c r="CT60" i="1" l="1"/>
  <c r="CT528" i="1" s="1"/>
  <c r="CU33" i="1"/>
  <c r="BR46" i="1"/>
  <c r="CU46" i="1" s="1"/>
  <c r="BM524" i="1"/>
  <c r="BQ45" i="1"/>
  <c r="CU453" i="1"/>
  <c r="CU454" i="1" s="1"/>
  <c r="CU448" i="1"/>
  <c r="DV33" i="1"/>
  <c r="AU590" i="1"/>
  <c r="AT612" i="1"/>
  <c r="AT613" i="1" s="1"/>
  <c r="AT614" i="1" s="1"/>
  <c r="BN63" i="1"/>
  <c r="BN62" i="1"/>
  <c r="BN530" i="1" s="1"/>
  <c r="BQ31" i="1"/>
  <c r="BQ406" i="1"/>
  <c r="CT406" i="1" s="1"/>
  <c r="BQ427" i="1"/>
  <c r="BQ428" i="1"/>
  <c r="BO42" i="1"/>
  <c r="BO56" i="1" s="1"/>
  <c r="DU36" i="1"/>
  <c r="BO49" i="1"/>
  <c r="BO63" i="1" s="1"/>
  <c r="DU213" i="1"/>
  <c r="DU484" i="1"/>
  <c r="DU485" i="1" s="1"/>
  <c r="DU479" i="1"/>
  <c r="CT426" i="1"/>
  <c r="BP412" i="1"/>
  <c r="BP407" i="1"/>
  <c r="BP408" i="1"/>
  <c r="BP29" i="1"/>
  <c r="CR141" i="7"/>
  <c r="CR117" i="7"/>
  <c r="CR139" i="7" s="1"/>
  <c r="CR54" i="1"/>
  <c r="BR484" i="1"/>
  <c r="BQ478" i="1"/>
  <c r="BQ485" i="1"/>
  <c r="DU206" i="1"/>
  <c r="DU407" i="1"/>
  <c r="DU412" i="1"/>
  <c r="DU413" i="1" s="1"/>
  <c r="BR426" i="1"/>
  <c r="BR433" i="1"/>
  <c r="BK54" i="1"/>
  <c r="BK521" i="1"/>
  <c r="CU374" i="1"/>
  <c r="BO470" i="1"/>
  <c r="BO474" i="1"/>
  <c r="BO469" i="1"/>
  <c r="BO35" i="1"/>
  <c r="DU468" i="1"/>
  <c r="BS371" i="1"/>
  <c r="BS372" i="1"/>
  <c r="BJ141" i="7"/>
  <c r="BJ117" i="7"/>
  <c r="BJ139" i="7" s="1"/>
  <c r="BM392" i="1"/>
  <c r="BM391" i="1"/>
  <c r="BN403" i="1"/>
  <c r="BN402" i="1"/>
  <c r="BR372" i="1"/>
  <c r="BR371" i="1"/>
  <c r="BN475" i="1"/>
  <c r="BN476" i="1"/>
  <c r="BP44" i="1"/>
  <c r="BP42" i="1" s="1"/>
  <c r="BO413" i="1"/>
  <c r="BO414" i="1"/>
  <c r="BL40" i="1"/>
  <c r="BK119" i="7"/>
  <c r="BO58" i="1"/>
  <c r="BL535" i="1"/>
  <c r="DT53" i="1"/>
  <c r="DT54" i="1" s="1"/>
  <c r="BP480" i="1"/>
  <c r="BP479" i="1"/>
  <c r="BP468" i="1"/>
  <c r="BP395" i="1" s="1"/>
  <c r="BP36" i="1"/>
  <c r="CS378" i="1"/>
  <c r="BM380" i="1"/>
  <c r="BM379" i="1"/>
  <c r="BM536" i="1"/>
  <c r="BM537" i="1"/>
  <c r="BM41" i="1"/>
  <c r="BM40" i="1" s="1"/>
  <c r="BO395" i="1"/>
  <c r="BM62" i="1"/>
  <c r="BN28" i="1"/>
  <c r="BN41" i="1" s="1"/>
  <c r="BN383" i="1"/>
  <c r="BN384" i="1"/>
  <c r="BN390" i="1"/>
  <c r="BN378" i="1"/>
  <c r="BH117" i="7"/>
  <c r="BH139" i="7" s="1"/>
  <c r="BH141" i="7"/>
  <c r="CU64" i="1"/>
  <c r="CU532" i="1" s="1"/>
  <c r="DA51" i="7"/>
  <c r="CU61" i="1"/>
  <c r="CU529" i="1" s="1"/>
  <c r="DV61" i="1"/>
  <c r="CO73" i="7"/>
  <c r="CP66" i="7"/>
  <c r="CO102" i="7"/>
  <c r="CO112" i="7"/>
  <c r="CU438" i="1"/>
  <c r="CU443" i="1"/>
  <c r="CU444" i="1" s="1"/>
  <c r="DB114" i="8"/>
  <c r="DB137" i="1"/>
  <c r="DB134" i="8"/>
  <c r="DB138" i="1"/>
  <c r="DB152" i="1"/>
  <c r="DB72" i="1"/>
  <c r="DA73" i="8"/>
  <c r="DA119" i="8"/>
  <c r="DB49" i="7"/>
  <c r="DB28" i="8"/>
  <c r="DB75" i="8" s="1"/>
  <c r="BP527" i="1"/>
  <c r="BH100" i="8"/>
  <c r="BG102" i="8"/>
  <c r="CU32" i="1"/>
  <c r="DB26" i="8"/>
  <c r="DB205" i="7"/>
  <c r="DB43" i="7"/>
  <c r="DC26" i="8"/>
  <c r="DC205" i="7"/>
  <c r="DC43" i="7"/>
  <c r="DC152" i="1"/>
  <c r="Y71" i="7"/>
  <c r="Y72" i="7" s="1"/>
  <c r="CU47" i="1"/>
  <c r="BR45" i="1"/>
  <c r="CU45" i="1" s="1"/>
  <c r="AZ53" i="8"/>
  <c r="AZ55" i="8" s="1"/>
  <c r="AY56" i="8"/>
  <c r="AY103" i="8"/>
  <c r="CP85" i="7"/>
  <c r="CP83" i="7"/>
  <c r="CP84" i="7" s="1"/>
  <c r="CP97" i="7" s="1"/>
  <c r="BR444" i="1"/>
  <c r="BR445" i="1"/>
  <c r="DC49" i="7"/>
  <c r="DC28" i="8"/>
  <c r="DC75" i="8" s="1"/>
  <c r="BR60" i="1" l="1"/>
  <c r="BQ59" i="1"/>
  <c r="CT45" i="1"/>
  <c r="BM55" i="1"/>
  <c r="CS55" i="1" s="1"/>
  <c r="CS523" i="1" s="1"/>
  <c r="CS41" i="1"/>
  <c r="AU594" i="1"/>
  <c r="AU603" i="1"/>
  <c r="AU602" i="1"/>
  <c r="DU63" i="1"/>
  <c r="BP58" i="1"/>
  <c r="BP56" i="1"/>
  <c r="BP524" i="1" s="1"/>
  <c r="BO524" i="1"/>
  <c r="DU56" i="1"/>
  <c r="CT407" i="1"/>
  <c r="CT412" i="1"/>
  <c r="CT413" i="1" s="1"/>
  <c r="BP49" i="1"/>
  <c r="BL146" i="7"/>
  <c r="BL120" i="7"/>
  <c r="BL142" i="7" s="1"/>
  <c r="BL134" i="7"/>
  <c r="BL53" i="1"/>
  <c r="BL130" i="7"/>
  <c r="CS40" i="1"/>
  <c r="DU469" i="1"/>
  <c r="DU212" i="1"/>
  <c r="DU474" i="1"/>
  <c r="DU475" i="1" s="1"/>
  <c r="DV426" i="1"/>
  <c r="BR406" i="1"/>
  <c r="BR428" i="1"/>
  <c r="BR31" i="1"/>
  <c r="CU426" i="1"/>
  <c r="BR427" i="1"/>
  <c r="BO48" i="1"/>
  <c r="BO62" i="1" s="1"/>
  <c r="DU62" i="1" s="1"/>
  <c r="BN537" i="1"/>
  <c r="BN536" i="1"/>
  <c r="BN379" i="1"/>
  <c r="BN380" i="1"/>
  <c r="BN55" i="1"/>
  <c r="BN40" i="1"/>
  <c r="BM53" i="1"/>
  <c r="BM134" i="7"/>
  <c r="BM146" i="7"/>
  <c r="BM130" i="7"/>
  <c r="BM120" i="7"/>
  <c r="BM142" i="7" s="1"/>
  <c r="BP474" i="1"/>
  <c r="BP469" i="1"/>
  <c r="BP470" i="1"/>
  <c r="BP35" i="1"/>
  <c r="BK141" i="7"/>
  <c r="BK117" i="7"/>
  <c r="BK139" i="7" s="1"/>
  <c r="DU35" i="1"/>
  <c r="BQ468" i="1"/>
  <c r="BQ395" i="1" s="1"/>
  <c r="BQ36" i="1"/>
  <c r="BQ480" i="1"/>
  <c r="BQ479" i="1"/>
  <c r="CT478" i="1"/>
  <c r="BN391" i="1"/>
  <c r="BN392" i="1"/>
  <c r="BM530" i="1"/>
  <c r="CS62" i="1"/>
  <c r="CS530" i="1" s="1"/>
  <c r="CS536" i="1"/>
  <c r="CS379" i="1"/>
  <c r="CS537" i="1"/>
  <c r="BR485" i="1"/>
  <c r="BR478" i="1"/>
  <c r="BP413" i="1"/>
  <c r="BP414" i="1"/>
  <c r="BQ29" i="1"/>
  <c r="BQ407" i="1"/>
  <c r="BQ412" i="1"/>
  <c r="BQ408" i="1"/>
  <c r="BO401" i="1"/>
  <c r="BO396" i="1"/>
  <c r="BO382" i="1"/>
  <c r="BO397" i="1"/>
  <c r="DU395" i="1"/>
  <c r="BM535" i="1"/>
  <c r="DU58" i="1"/>
  <c r="BO476" i="1"/>
  <c r="BO475" i="1"/>
  <c r="BP397" i="1"/>
  <c r="BP382" i="1"/>
  <c r="BP401" i="1"/>
  <c r="BP396" i="1"/>
  <c r="CT427" i="1"/>
  <c r="CT432" i="1"/>
  <c r="CT433" i="1" s="1"/>
  <c r="BQ44" i="1"/>
  <c r="BQ58" i="1" s="1"/>
  <c r="CT58" i="1" s="1"/>
  <c r="CT31" i="1"/>
  <c r="BR59" i="1"/>
  <c r="DV59" i="1" s="1"/>
  <c r="DB73" i="8"/>
  <c r="DB119" i="8"/>
  <c r="Z66" i="7"/>
  <c r="Y73" i="7"/>
  <c r="AZ56" i="8"/>
  <c r="BA53" i="8"/>
  <c r="BA55" i="8" s="1"/>
  <c r="AZ103" i="8"/>
  <c r="DB51" i="7"/>
  <c r="BH102" i="8"/>
  <c r="BI100" i="8"/>
  <c r="BI102" i="8" s="1"/>
  <c r="DC73" i="8"/>
  <c r="DC119" i="8"/>
  <c r="CQ79" i="7"/>
  <c r="CP94" i="7"/>
  <c r="CP71" i="7"/>
  <c r="CP72" i="7" s="1"/>
  <c r="DC51" i="7"/>
  <c r="BQ527" i="1" l="1"/>
  <c r="CT59" i="1"/>
  <c r="CT527" i="1" s="1"/>
  <c r="CU60" i="1"/>
  <c r="CU528" i="1" s="1"/>
  <c r="DV60" i="1"/>
  <c r="AU612" i="1"/>
  <c r="AU613" i="1" s="1"/>
  <c r="AU614" i="1" s="1"/>
  <c r="AV590" i="1"/>
  <c r="CS535" i="1"/>
  <c r="CT526" i="1"/>
  <c r="BP476" i="1"/>
  <c r="BP475" i="1"/>
  <c r="BL521" i="1"/>
  <c r="BL54" i="1"/>
  <c r="CS53" i="1"/>
  <c r="BL119" i="7"/>
  <c r="BP390" i="1"/>
  <c r="BP383" i="1"/>
  <c r="BP384" i="1"/>
  <c r="BP378" i="1"/>
  <c r="BP28" i="1"/>
  <c r="BP41" i="1" s="1"/>
  <c r="BQ413" i="1"/>
  <c r="BQ414" i="1"/>
  <c r="BR479" i="1"/>
  <c r="BR36" i="1"/>
  <c r="BR468" i="1"/>
  <c r="BR395" i="1" s="1"/>
  <c r="BR480" i="1"/>
  <c r="CU478" i="1"/>
  <c r="DV478" i="1"/>
  <c r="CT36" i="1"/>
  <c r="BQ49" i="1"/>
  <c r="BQ63" i="1" s="1"/>
  <c r="DV406" i="1"/>
  <c r="BR29" i="1"/>
  <c r="BR408" i="1"/>
  <c r="BR407" i="1"/>
  <c r="BR412" i="1"/>
  <c r="CU406" i="1"/>
  <c r="BQ42" i="1"/>
  <c r="CT42" i="1" s="1"/>
  <c r="CT44" i="1"/>
  <c r="BP402" i="1"/>
  <c r="BP403" i="1"/>
  <c r="BO390" i="1"/>
  <c r="BO383" i="1"/>
  <c r="BO378" i="1"/>
  <c r="BO28" i="1"/>
  <c r="BO384" i="1"/>
  <c r="DU382" i="1"/>
  <c r="DU28" i="1" s="1"/>
  <c r="BM119" i="7"/>
  <c r="DU205" i="1"/>
  <c r="DU401" i="1"/>
  <c r="DU402" i="1" s="1"/>
  <c r="DU396" i="1"/>
  <c r="BO402" i="1"/>
  <c r="BO403" i="1"/>
  <c r="CT484" i="1"/>
  <c r="CT485" i="1" s="1"/>
  <c r="CT479" i="1"/>
  <c r="BQ474" i="1"/>
  <c r="BQ469" i="1"/>
  <c r="BQ470" i="1"/>
  <c r="BQ35" i="1"/>
  <c r="CT35" i="1" s="1"/>
  <c r="CT468" i="1"/>
  <c r="CT469" i="1" s="1"/>
  <c r="BM521" i="1"/>
  <c r="BM54" i="1"/>
  <c r="CU427" i="1"/>
  <c r="CU432" i="1"/>
  <c r="CU433" i="1" s="1"/>
  <c r="DV432" i="1"/>
  <c r="DV433" i="1" s="1"/>
  <c r="DV208" i="1"/>
  <c r="DV427" i="1"/>
  <c r="CS134" i="7"/>
  <c r="CS130" i="7"/>
  <c r="CS146" i="7"/>
  <c r="CS119" i="7" s="1"/>
  <c r="CS120" i="7"/>
  <c r="CS142" i="7" s="1"/>
  <c r="BP63" i="1"/>
  <c r="BP48" i="1"/>
  <c r="BP62" i="1" s="1"/>
  <c r="CT395" i="1"/>
  <c r="BQ397" i="1"/>
  <c r="BQ396" i="1"/>
  <c r="BQ401" i="1"/>
  <c r="CT29" i="1"/>
  <c r="BQ56" i="1"/>
  <c r="BO530" i="1"/>
  <c r="BN130" i="7"/>
  <c r="BN120" i="7"/>
  <c r="BN142" i="7" s="1"/>
  <c r="BN146" i="7"/>
  <c r="BN53" i="1"/>
  <c r="BN134" i="7"/>
  <c r="BN535" i="1"/>
  <c r="DV31" i="1"/>
  <c r="CU31" i="1"/>
  <c r="BR44" i="1"/>
  <c r="BR58" i="1" s="1"/>
  <c r="CU58" i="1" s="1"/>
  <c r="CU59" i="1"/>
  <c r="CU527" i="1" s="1"/>
  <c r="BR527" i="1"/>
  <c r="CQ85" i="7"/>
  <c r="CQ83" i="7"/>
  <c r="CQ84" i="7" s="1"/>
  <c r="CQ97" i="7" s="1"/>
  <c r="CP73" i="7"/>
  <c r="CQ66" i="7"/>
  <c r="Z71" i="7"/>
  <c r="Z72" i="7" s="1"/>
  <c r="CP112" i="7"/>
  <c r="CP102" i="7"/>
  <c r="BJ100" i="8"/>
  <c r="BB53" i="8"/>
  <c r="BB55" i="8" s="1"/>
  <c r="BA56" i="8"/>
  <c r="BA103" i="8"/>
  <c r="CU526" i="1" l="1"/>
  <c r="AV594" i="1"/>
  <c r="AV603" i="1"/>
  <c r="AV602" i="1"/>
  <c r="BP530" i="1"/>
  <c r="CU395" i="1"/>
  <c r="BR401" i="1"/>
  <c r="BR396" i="1"/>
  <c r="BR397" i="1"/>
  <c r="DV395" i="1"/>
  <c r="CU44" i="1"/>
  <c r="BR42" i="1"/>
  <c r="CU42" i="1" s="1"/>
  <c r="BR414" i="1"/>
  <c r="BR413" i="1"/>
  <c r="DV29" i="1"/>
  <c r="CU29" i="1"/>
  <c r="BR56" i="1"/>
  <c r="CU36" i="1"/>
  <c r="BR49" i="1"/>
  <c r="BN521" i="1"/>
  <c r="BN54" i="1"/>
  <c r="BQ402" i="1"/>
  <c r="BQ403" i="1"/>
  <c r="CT63" i="1"/>
  <c r="CT531" i="1" s="1"/>
  <c r="CT474" i="1"/>
  <c r="CT475" i="1" s="1"/>
  <c r="BQ476" i="1"/>
  <c r="BQ475" i="1"/>
  <c r="BM141" i="7"/>
  <c r="BM117" i="7"/>
  <c r="BM139" i="7" s="1"/>
  <c r="BO391" i="1"/>
  <c r="BO392" i="1"/>
  <c r="DU390" i="1"/>
  <c r="DV412" i="1"/>
  <c r="DV413" i="1" s="1"/>
  <c r="DV206" i="1"/>
  <c r="DV407" i="1"/>
  <c r="CU484" i="1"/>
  <c r="CU485" i="1" s="1"/>
  <c r="CU479" i="1"/>
  <c r="BL117" i="7"/>
  <c r="BL139" i="7" s="1"/>
  <c r="BL141" i="7"/>
  <c r="CT401" i="1"/>
  <c r="CT402" i="1" s="1"/>
  <c r="CT396" i="1"/>
  <c r="DV484" i="1"/>
  <c r="DV485" i="1" s="1"/>
  <c r="DV213" i="1"/>
  <c r="DV479" i="1"/>
  <c r="BN119" i="7"/>
  <c r="BQ524" i="1"/>
  <c r="CT56" i="1"/>
  <c r="CT524" i="1" s="1"/>
  <c r="DV58" i="1"/>
  <c r="BO41" i="1"/>
  <c r="BO40" i="1" s="1"/>
  <c r="DV36" i="1"/>
  <c r="BQ48" i="1"/>
  <c r="CT48" i="1" s="1"/>
  <c r="CT49" i="1"/>
  <c r="BP55" i="1"/>
  <c r="BP40" i="1"/>
  <c r="BP392" i="1"/>
  <c r="BP391" i="1"/>
  <c r="CS54" i="1"/>
  <c r="CS141" i="7"/>
  <c r="CS117" i="7"/>
  <c r="CS139" i="7" s="1"/>
  <c r="DU378" i="1"/>
  <c r="DU379" i="1" s="1"/>
  <c r="BO380" i="1"/>
  <c r="BO536" i="1"/>
  <c r="BO379" i="1"/>
  <c r="BO537" i="1"/>
  <c r="CU412" i="1"/>
  <c r="CU413" i="1" s="1"/>
  <c r="CU407" i="1"/>
  <c r="BR474" i="1"/>
  <c r="BR470" i="1"/>
  <c r="BR35" i="1"/>
  <c r="DV35" i="1" s="1"/>
  <c r="CU468" i="1"/>
  <c r="CU469" i="1" s="1"/>
  <c r="BR469" i="1"/>
  <c r="DV468" i="1"/>
  <c r="BP537" i="1"/>
  <c r="BP379" i="1"/>
  <c r="BP536" i="1"/>
  <c r="BP380" i="1"/>
  <c r="AA66" i="7"/>
  <c r="Z73" i="7"/>
  <c r="BB56" i="8"/>
  <c r="BC53" i="8"/>
  <c r="BC55" i="8" s="1"/>
  <c r="BB103" i="8"/>
  <c r="BK100" i="8"/>
  <c r="BJ102" i="8"/>
  <c r="CQ71" i="7"/>
  <c r="CQ72" i="7" s="1"/>
  <c r="CR79" i="7"/>
  <c r="CQ94" i="7"/>
  <c r="AW590" i="1" l="1"/>
  <c r="AV612" i="1"/>
  <c r="AV613" i="1" s="1"/>
  <c r="AV614" i="1" s="1"/>
  <c r="BO55" i="1"/>
  <c r="DU55" i="1" s="1"/>
  <c r="BO535" i="1"/>
  <c r="BP535" i="1"/>
  <c r="DV212" i="1"/>
  <c r="DV474" i="1"/>
  <c r="DV475" i="1" s="1"/>
  <c r="DV469" i="1"/>
  <c r="BR63" i="1"/>
  <c r="CU49" i="1"/>
  <c r="BR48" i="1"/>
  <c r="CU48" i="1" s="1"/>
  <c r="BR402" i="1"/>
  <c r="BR403" i="1"/>
  <c r="CU474" i="1"/>
  <c r="CU475" i="1" s="1"/>
  <c r="BR476" i="1"/>
  <c r="BR475" i="1"/>
  <c r="BO134" i="7"/>
  <c r="BO120" i="7"/>
  <c r="BO142" i="7" s="1"/>
  <c r="BO53" i="1"/>
  <c r="BO146" i="7"/>
  <c r="BO130" i="7"/>
  <c r="DU40" i="1"/>
  <c r="BQ62" i="1"/>
  <c r="DV401" i="1"/>
  <c r="DV402" i="1" s="1"/>
  <c r="DV205" i="1"/>
  <c r="DV396" i="1"/>
  <c r="CU396" i="1"/>
  <c r="CU401" i="1"/>
  <c r="CU402" i="1" s="1"/>
  <c r="BN117" i="7"/>
  <c r="BN139" i="7" s="1"/>
  <c r="BN141" i="7"/>
  <c r="CU56" i="1"/>
  <c r="CU524" i="1" s="1"/>
  <c r="BR524" i="1"/>
  <c r="DV56" i="1"/>
  <c r="CU35" i="1"/>
  <c r="BR62" i="1"/>
  <c r="BP130" i="7"/>
  <c r="BP53" i="1"/>
  <c r="BP120" i="7"/>
  <c r="BP142" i="7" s="1"/>
  <c r="BP134" i="7"/>
  <c r="BP146" i="7"/>
  <c r="AA71" i="7"/>
  <c r="AA72" i="7" s="1"/>
  <c r="BD53" i="8"/>
  <c r="BD55" i="8" s="1"/>
  <c r="BC56" i="8"/>
  <c r="BC103" i="8"/>
  <c r="CQ112" i="7"/>
  <c r="CQ102" i="7"/>
  <c r="BK102" i="8"/>
  <c r="BL100" i="8"/>
  <c r="CR66" i="7"/>
  <c r="CQ73" i="7"/>
  <c r="CR83" i="7"/>
  <c r="CR84" i="7" s="1"/>
  <c r="CR97" i="7" s="1"/>
  <c r="CR85" i="7"/>
  <c r="AW602" i="1" l="1"/>
  <c r="AW603" i="1"/>
  <c r="AW594" i="1"/>
  <c r="BO119" i="7"/>
  <c r="BP119" i="7"/>
  <c r="BP54" i="1"/>
  <c r="BP521" i="1"/>
  <c r="BQ530" i="1"/>
  <c r="DV62" i="1"/>
  <c r="CT62" i="1"/>
  <c r="CT530" i="1" s="1"/>
  <c r="BO54" i="1"/>
  <c r="BO521" i="1"/>
  <c r="DU53" i="1"/>
  <c r="DU54" i="1" s="1"/>
  <c r="CU63" i="1"/>
  <c r="CU531" i="1" s="1"/>
  <c r="DV63" i="1"/>
  <c r="BR530" i="1"/>
  <c r="CU62" i="1"/>
  <c r="CU530" i="1" s="1"/>
  <c r="CR71" i="7"/>
  <c r="CR72" i="7" s="1"/>
  <c r="BD56" i="8"/>
  <c r="BE53" i="8"/>
  <c r="BE55" i="8" s="1"/>
  <c r="BD103" i="8"/>
  <c r="CS79" i="7"/>
  <c r="CR94" i="7"/>
  <c r="BL102" i="8"/>
  <c r="BM100" i="8"/>
  <c r="BM102" i="8" s="1"/>
  <c r="AB66" i="7"/>
  <c r="AA73" i="7"/>
  <c r="AX590" i="1" l="1"/>
  <c r="AW612" i="1"/>
  <c r="AW613" i="1" s="1"/>
  <c r="AW614" i="1" s="1"/>
  <c r="BP117" i="7"/>
  <c r="BP139" i="7" s="1"/>
  <c r="BP141" i="7"/>
  <c r="BO141" i="7"/>
  <c r="BO117" i="7"/>
  <c r="BO139" i="7" s="1"/>
  <c r="CS85" i="7"/>
  <c r="CS83" i="7"/>
  <c r="CS84" i="7" s="1"/>
  <c r="CS97" i="7" s="1"/>
  <c r="BF53" i="8"/>
  <c r="BF55" i="8" s="1"/>
  <c r="BE56" i="8"/>
  <c r="BE103" i="8"/>
  <c r="CS66" i="7"/>
  <c r="CR73" i="7"/>
  <c r="AB71" i="7"/>
  <c r="AB72" i="7" s="1"/>
  <c r="BN100" i="8"/>
  <c r="BQ500" i="1"/>
  <c r="BQ504" i="1"/>
  <c r="CT503" i="1"/>
  <c r="CT504" i="1" s="1"/>
  <c r="BQ505" i="1"/>
  <c r="BR500" i="1"/>
  <c r="BR505" i="1"/>
  <c r="CU503" i="1"/>
  <c r="BR504" i="1"/>
  <c r="CR112" i="7"/>
  <c r="CR102" i="7"/>
  <c r="AX594" i="1" l="1"/>
  <c r="AX603" i="1"/>
  <c r="AX602" i="1"/>
  <c r="CU504" i="1"/>
  <c r="AC66" i="7"/>
  <c r="AB73" i="7"/>
  <c r="BR38" i="1"/>
  <c r="BR502" i="1"/>
  <c r="CU500" i="1"/>
  <c r="BR501" i="1"/>
  <c r="BQ38" i="1"/>
  <c r="CT500" i="1"/>
  <c r="CT501" i="1" s="1"/>
  <c r="BQ502" i="1"/>
  <c r="BQ501" i="1"/>
  <c r="BO100" i="8"/>
  <c r="BN102" i="8"/>
  <c r="BG53" i="8"/>
  <c r="BG55" i="8" s="1"/>
  <c r="BF56" i="8"/>
  <c r="BF103" i="8"/>
  <c r="CS71" i="7"/>
  <c r="CS72" i="7" s="1"/>
  <c r="CT79" i="7"/>
  <c r="CS94" i="7"/>
  <c r="AX612" i="1" l="1"/>
  <c r="AX613" i="1" s="1"/>
  <c r="AX614" i="1" s="1"/>
  <c r="AY590" i="1"/>
  <c r="CT66" i="7"/>
  <c r="CS73" i="7"/>
  <c r="CT85" i="7"/>
  <c r="CT83" i="7"/>
  <c r="CT84" i="7" s="1"/>
  <c r="CT97" i="7" s="1"/>
  <c r="BQ51" i="1"/>
  <c r="CT51" i="1" s="1"/>
  <c r="CU38" i="1"/>
  <c r="BR51" i="1"/>
  <c r="CU51" i="1" s="1"/>
  <c r="BR382" i="1"/>
  <c r="AC71" i="7"/>
  <c r="AC72" i="7" s="1"/>
  <c r="BH53" i="8"/>
  <c r="BH55" i="8" s="1"/>
  <c r="BG56" i="8"/>
  <c r="BG103" i="8"/>
  <c r="BO102" i="8"/>
  <c r="BP100" i="8"/>
  <c r="CS102" i="7"/>
  <c r="CS112" i="7"/>
  <c r="CT38" i="1"/>
  <c r="BQ382" i="1"/>
  <c r="CU501" i="1"/>
  <c r="AY602" i="1" l="1"/>
  <c r="AY594" i="1"/>
  <c r="AY603" i="1"/>
  <c r="BQ65" i="1"/>
  <c r="BR65" i="1"/>
  <c r="BP102" i="8"/>
  <c r="BQ100" i="8"/>
  <c r="BQ102" i="8" s="1"/>
  <c r="BR384" i="1"/>
  <c r="BR390" i="1"/>
  <c r="BR383" i="1"/>
  <c r="BR28" i="1"/>
  <c r="CU382" i="1"/>
  <c r="BR378" i="1"/>
  <c r="BQ384" i="1"/>
  <c r="BQ378" i="1"/>
  <c r="BQ383" i="1"/>
  <c r="BQ390" i="1"/>
  <c r="BQ28" i="1"/>
  <c r="CT382" i="1"/>
  <c r="CT383" i="1" s="1"/>
  <c r="DV382" i="1"/>
  <c r="DV28" i="1" s="1"/>
  <c r="BI53" i="8"/>
  <c r="BI55" i="8" s="1"/>
  <c r="BH56" i="8"/>
  <c r="BH103" i="8"/>
  <c r="CU79" i="7"/>
  <c r="CT94" i="7"/>
  <c r="AC73" i="7"/>
  <c r="AD66" i="7"/>
  <c r="CT71" i="7"/>
  <c r="CT72" i="7" s="1"/>
  <c r="AY612" i="1" l="1"/>
  <c r="AY613" i="1" s="1"/>
  <c r="AY614" i="1" s="1"/>
  <c r="AZ590" i="1"/>
  <c r="CT65" i="1"/>
  <c r="CT533" i="1" s="1"/>
  <c r="CU65" i="1"/>
  <c r="CU533" i="1" s="1"/>
  <c r="AD71" i="7"/>
  <c r="AD72" i="7" s="1"/>
  <c r="CT112" i="7"/>
  <c r="CT102" i="7"/>
  <c r="CU383" i="1"/>
  <c r="CT73" i="7"/>
  <c r="CU66" i="7"/>
  <c r="CU378" i="1"/>
  <c r="BR380" i="1"/>
  <c r="BR379" i="1"/>
  <c r="CU83" i="7"/>
  <c r="CU84" i="7" s="1"/>
  <c r="CU97" i="7" s="1"/>
  <c r="CU85" i="7"/>
  <c r="BQ41" i="1"/>
  <c r="CT28" i="1"/>
  <c r="BQ379" i="1"/>
  <c r="BQ380" i="1"/>
  <c r="DV378" i="1"/>
  <c r="DV379" i="1" s="1"/>
  <c r="CT378" i="1"/>
  <c r="CT379" i="1" s="1"/>
  <c r="CU28" i="1"/>
  <c r="BR41" i="1"/>
  <c r="BR55" i="1" s="1"/>
  <c r="CU55" i="1" s="1"/>
  <c r="BI56" i="8"/>
  <c r="BJ53" i="8"/>
  <c r="BJ55" i="8" s="1"/>
  <c r="BI103" i="8"/>
  <c r="BQ392" i="1"/>
  <c r="BQ391" i="1"/>
  <c r="CT390" i="1"/>
  <c r="CT391" i="1" s="1"/>
  <c r="DV390" i="1"/>
  <c r="BR392" i="1"/>
  <c r="CU390" i="1"/>
  <c r="BR391" i="1"/>
  <c r="BR100" i="8"/>
  <c r="AZ603" i="1" l="1"/>
  <c r="AZ594" i="1"/>
  <c r="AZ602" i="1"/>
  <c r="CU523" i="1"/>
  <c r="CU379" i="1"/>
  <c r="AE66" i="7"/>
  <c r="AD73" i="7"/>
  <c r="BR102" i="8"/>
  <c r="BS100" i="8"/>
  <c r="BQ40" i="1"/>
  <c r="CT41" i="1"/>
  <c r="CU94" i="7"/>
  <c r="CV79" i="7"/>
  <c r="CU71" i="7"/>
  <c r="CU72" i="7" s="1"/>
  <c r="BJ56" i="8"/>
  <c r="BK53" i="8"/>
  <c r="BK55" i="8" s="1"/>
  <c r="BJ103" i="8"/>
  <c r="CU391" i="1"/>
  <c r="BR40" i="1"/>
  <c r="CU41" i="1"/>
  <c r="BQ55" i="1"/>
  <c r="BA590" i="1" l="1"/>
  <c r="AZ612" i="1"/>
  <c r="AZ613" i="1" s="1"/>
  <c r="AZ614" i="1" s="1"/>
  <c r="CU40" i="1"/>
  <c r="BR53" i="1"/>
  <c r="BR134" i="7"/>
  <c r="CU112" i="7"/>
  <c r="CU102" i="7"/>
  <c r="CV102" i="7"/>
  <c r="BQ134" i="7"/>
  <c r="BQ120" i="7"/>
  <c r="BQ142" i="7" s="1"/>
  <c r="BQ53" i="1"/>
  <c r="BQ146" i="7"/>
  <c r="BQ130" i="7"/>
  <c r="DV40" i="1"/>
  <c r="CT40" i="1"/>
  <c r="BT100" i="8"/>
  <c r="BS102" i="8"/>
  <c r="CT55" i="1"/>
  <c r="CT523" i="1" s="1"/>
  <c r="DV55" i="1"/>
  <c r="CV66" i="7"/>
  <c r="CU73" i="7"/>
  <c r="BK56" i="8"/>
  <c r="BL53" i="8"/>
  <c r="BL55" i="8" s="1"/>
  <c r="BK103" i="8"/>
  <c r="AE71" i="7"/>
  <c r="AE72" i="7" s="1"/>
  <c r="BA602" i="1" l="1"/>
  <c r="BA594" i="1"/>
  <c r="BA603" i="1"/>
  <c r="AE73" i="7"/>
  <c r="AF66" i="7"/>
  <c r="BR522" i="1"/>
  <c r="BR54" i="1"/>
  <c r="BR521" i="1"/>
  <c r="CU53" i="1"/>
  <c r="BQ522" i="1"/>
  <c r="BQ54" i="1"/>
  <c r="BQ521" i="1"/>
  <c r="DV53" i="1"/>
  <c r="DV54" i="1" s="1"/>
  <c r="CT53" i="1"/>
  <c r="BL56" i="8"/>
  <c r="BM53" i="8"/>
  <c r="BM55" i="8" s="1"/>
  <c r="BL103" i="8"/>
  <c r="BT102" i="8"/>
  <c r="BU100" i="8"/>
  <c r="BU102" i="8" s="1"/>
  <c r="BQ119" i="7"/>
  <c r="BB590" i="1" l="1"/>
  <c r="BA612" i="1"/>
  <c r="BA613" i="1" s="1"/>
  <c r="BA614" i="1" s="1"/>
  <c r="BM56" i="8"/>
  <c r="BN53" i="8"/>
  <c r="BN55" i="8" s="1"/>
  <c r="BM103" i="8"/>
  <c r="AF71" i="7"/>
  <c r="AF72" i="7" s="1"/>
  <c r="BV100" i="8"/>
  <c r="CT54" i="1"/>
  <c r="CT522" i="1"/>
  <c r="BQ141" i="7"/>
  <c r="BQ117" i="7"/>
  <c r="BQ139" i="7" s="1"/>
  <c r="CU54" i="1"/>
  <c r="DZ54" i="1" s="1"/>
  <c r="DZ53" i="1" s="1"/>
  <c r="DZ71" i="1" s="1"/>
  <c r="CU522" i="1"/>
  <c r="BB602" i="1" l="1"/>
  <c r="BB594" i="1"/>
  <c r="BB603" i="1"/>
  <c r="AG66" i="7"/>
  <c r="AF73" i="7"/>
  <c r="DZ78" i="1"/>
  <c r="DZ72" i="1"/>
  <c r="BN56" i="8"/>
  <c r="BO53" i="8"/>
  <c r="BO55" i="8" s="1"/>
  <c r="BN103" i="8"/>
  <c r="BV102" i="8"/>
  <c r="BX100" i="8"/>
  <c r="BY100" i="8" s="1"/>
  <c r="BC590" i="1" l="1"/>
  <c r="BB612" i="1"/>
  <c r="BB613" i="1" s="1"/>
  <c r="BB614" i="1" s="1"/>
  <c r="BO56" i="8"/>
  <c r="BP53" i="8"/>
  <c r="BP55" i="8" s="1"/>
  <c r="BO103" i="8"/>
  <c r="DZ81" i="1"/>
  <c r="DZ85" i="1" s="1"/>
  <c r="AG71" i="7"/>
  <c r="AG72" i="7" s="1"/>
  <c r="BC602" i="1" l="1"/>
  <c r="BC603" i="1"/>
  <c r="BC594" i="1"/>
  <c r="AG73" i="7"/>
  <c r="AH66" i="7"/>
  <c r="DZ86" i="1"/>
  <c r="DZ114" i="1"/>
  <c r="DZ115" i="1" s="1"/>
  <c r="BP56" i="8"/>
  <c r="BQ53" i="8"/>
  <c r="BQ55" i="8" s="1"/>
  <c r="BP103" i="8"/>
  <c r="BC612" i="1" l="1"/>
  <c r="BC613" i="1" s="1"/>
  <c r="BC614" i="1" s="1"/>
  <c r="BD590" i="1"/>
  <c r="BQ56" i="8"/>
  <c r="BR53" i="8"/>
  <c r="BR55" i="8" s="1"/>
  <c r="BQ103" i="8"/>
  <c r="AH71" i="7"/>
  <c r="AH72" i="7" s="1"/>
  <c r="BD602" i="1" l="1"/>
  <c r="BD603" i="1"/>
  <c r="BD594" i="1"/>
  <c r="AI66" i="7"/>
  <c r="AH73" i="7"/>
  <c r="BR56" i="8"/>
  <c r="BS53" i="8"/>
  <c r="BS55" i="8" s="1"/>
  <c r="BR103" i="8"/>
  <c r="BE590" i="1" l="1"/>
  <c r="BD612" i="1"/>
  <c r="BD613" i="1" s="1"/>
  <c r="BD614" i="1" s="1"/>
  <c r="AI71" i="7"/>
  <c r="AI72" i="7" s="1"/>
  <c r="BS56" i="8"/>
  <c r="BT53" i="8"/>
  <c r="BT55" i="8" s="1"/>
  <c r="BS103" i="8"/>
  <c r="BE602" i="1" l="1"/>
  <c r="BE594" i="1"/>
  <c r="BE603" i="1"/>
  <c r="AI73" i="7"/>
  <c r="AJ66" i="7"/>
  <c r="BT56" i="8"/>
  <c r="BU53" i="8"/>
  <c r="BU55" i="8" s="1"/>
  <c r="BT103" i="8"/>
  <c r="BE612" i="1" l="1"/>
  <c r="BE613" i="1" s="1"/>
  <c r="BE614" i="1" s="1"/>
  <c r="BF590" i="1"/>
  <c r="BU56" i="8"/>
  <c r="BV53" i="8"/>
  <c r="BV55" i="8" s="1"/>
  <c r="BU103" i="8"/>
  <c r="AJ71" i="7"/>
  <c r="AJ72" i="7" s="1"/>
  <c r="BF602" i="1" l="1"/>
  <c r="BF594" i="1"/>
  <c r="BF603" i="1"/>
  <c r="AK66" i="7"/>
  <c r="AJ73" i="7"/>
  <c r="BV56" i="8"/>
  <c r="BV103" i="8"/>
  <c r="BG590" i="1" l="1"/>
  <c r="BF612" i="1"/>
  <c r="BF613" i="1" s="1"/>
  <c r="BF614" i="1" s="1"/>
  <c r="AK71" i="7"/>
  <c r="AK72" i="7" s="1"/>
  <c r="BG594" i="1" l="1"/>
  <c r="BG603" i="1"/>
  <c r="BG602" i="1"/>
  <c r="AK73" i="7"/>
  <c r="AL66" i="7"/>
  <c r="BH590" i="1" l="1"/>
  <c r="BG612" i="1"/>
  <c r="BG613" i="1" s="1"/>
  <c r="BG614" i="1" s="1"/>
  <c r="AL71" i="7"/>
  <c r="AL72" i="7" s="1"/>
  <c r="BH602" i="1" l="1"/>
  <c r="BH603" i="1"/>
  <c r="BH594" i="1"/>
  <c r="AL73" i="7"/>
  <c r="AM66" i="7"/>
  <c r="BI590" i="1" l="1"/>
  <c r="BH612" i="1"/>
  <c r="BH613" i="1" s="1"/>
  <c r="BH614" i="1" s="1"/>
  <c r="AM71" i="7"/>
  <c r="AM72" i="7" s="1"/>
  <c r="BI594" i="1" l="1"/>
  <c r="BI603" i="1"/>
  <c r="BI602" i="1"/>
  <c r="AM73" i="7"/>
  <c r="AN66" i="7"/>
  <c r="BI612" i="1" l="1"/>
  <c r="BI613" i="1" s="1"/>
  <c r="BI614" i="1" s="1"/>
  <c r="BJ590" i="1"/>
  <c r="AN71" i="7"/>
  <c r="AN72" i="7" s="1"/>
  <c r="BJ602" i="1" l="1"/>
  <c r="BJ603" i="1"/>
  <c r="BJ594" i="1"/>
  <c r="AO66" i="7"/>
  <c r="AN73" i="7"/>
  <c r="BK590" i="1" l="1"/>
  <c r="BJ612" i="1"/>
  <c r="BJ613" i="1" s="1"/>
  <c r="BJ614" i="1" s="1"/>
  <c r="AO71" i="7"/>
  <c r="AO72" i="7" s="1"/>
  <c r="BK603" i="1" l="1"/>
  <c r="BK594" i="1"/>
  <c r="BK602" i="1"/>
  <c r="AO73" i="7"/>
  <c r="AP66" i="7"/>
  <c r="BL590" i="1" l="1"/>
  <c r="BK612" i="1"/>
  <c r="BK613" i="1" s="1"/>
  <c r="BK614" i="1" s="1"/>
  <c r="AP71" i="7"/>
  <c r="AP72" i="7" s="1"/>
  <c r="BL594" i="1" l="1"/>
  <c r="BL603" i="1"/>
  <c r="BL602" i="1"/>
  <c r="AQ66" i="7"/>
  <c r="AP73" i="7"/>
  <c r="BM590" i="1" l="1"/>
  <c r="BL612" i="1"/>
  <c r="BL613" i="1" s="1"/>
  <c r="BL614" i="1" s="1"/>
  <c r="AQ71" i="7"/>
  <c r="AQ72" i="7" s="1"/>
  <c r="BM594" i="1" l="1"/>
  <c r="BM603" i="1"/>
  <c r="BM602" i="1"/>
  <c r="AR66" i="7"/>
  <c r="AQ73" i="7"/>
  <c r="BM612" i="1" l="1"/>
  <c r="BM613" i="1" s="1"/>
  <c r="BM614" i="1" s="1"/>
  <c r="BN590" i="1"/>
  <c r="BN594" i="1" s="1"/>
  <c r="AR71" i="7"/>
  <c r="AR72" i="7" s="1"/>
  <c r="BO590" i="1" l="1"/>
  <c r="BN612" i="1"/>
  <c r="BN613" i="1" s="1"/>
  <c r="BN614" i="1" s="1"/>
  <c r="AS66" i="7"/>
  <c r="AR73" i="7"/>
  <c r="BO602" i="1" l="1"/>
  <c r="BO594" i="1"/>
  <c r="BO603" i="1"/>
  <c r="AS71" i="7"/>
  <c r="AS72" i="7" s="1"/>
  <c r="BO612" i="1" l="1"/>
  <c r="BO613" i="1" s="1"/>
  <c r="BO614" i="1" s="1"/>
  <c r="BP590" i="1"/>
  <c r="AT66" i="7"/>
  <c r="AS73" i="7"/>
  <c r="BP602" i="1" l="1"/>
  <c r="BP603" i="1"/>
  <c r="BP594" i="1"/>
  <c r="AT71" i="7"/>
  <c r="AT72" i="7" s="1"/>
  <c r="BQ590" i="1" l="1"/>
  <c r="BP612" i="1"/>
  <c r="BP613" i="1" s="1"/>
  <c r="BP614" i="1" s="1"/>
  <c r="AT73" i="7"/>
  <c r="AU66" i="7"/>
  <c r="BQ603" i="1" l="1"/>
  <c r="BQ602" i="1"/>
  <c r="BQ594" i="1"/>
  <c r="AU71" i="7"/>
  <c r="AU72" i="7" s="1"/>
  <c r="BR590" i="1" l="1"/>
  <c r="BR594" i="1" s="1"/>
  <c r="BQ612" i="1"/>
  <c r="BQ613" i="1" s="1"/>
  <c r="BQ614" i="1" s="1"/>
  <c r="AV66" i="7"/>
  <c r="AU73" i="7"/>
  <c r="BS590" i="1" l="1"/>
  <c r="BR612" i="1"/>
  <c r="BR613" i="1" s="1"/>
  <c r="BR614" i="1" s="1"/>
  <c r="AV71" i="7"/>
  <c r="AV72" i="7" s="1"/>
  <c r="BS603" i="1" l="1"/>
  <c r="BS594" i="1"/>
  <c r="BS602" i="1"/>
  <c r="AV73" i="7"/>
  <c r="AW66" i="7"/>
  <c r="BT590" i="1" l="1"/>
  <c r="BS612" i="1"/>
  <c r="BS613" i="1" s="1"/>
  <c r="BS614" i="1" s="1"/>
  <c r="AW71" i="7"/>
  <c r="AW72" i="7" s="1"/>
  <c r="BT602" i="1" l="1"/>
  <c r="BT603" i="1"/>
  <c r="BT594" i="1"/>
  <c r="AX66" i="7"/>
  <c r="AW73" i="7"/>
  <c r="BU590" i="1" l="1"/>
  <c r="BT612" i="1"/>
  <c r="BT613" i="1" s="1"/>
  <c r="BT614" i="1" s="1"/>
  <c r="AX71" i="7"/>
  <c r="AX72" i="7" s="1"/>
  <c r="BU602" i="1" l="1"/>
  <c r="BU594" i="1"/>
  <c r="BU603" i="1"/>
  <c r="AX73" i="7"/>
  <c r="AY66" i="7"/>
  <c r="BV590" i="1" l="1"/>
  <c r="BU612" i="1"/>
  <c r="BU613" i="1" s="1"/>
  <c r="BU614" i="1" s="1"/>
  <c r="AY71" i="7"/>
  <c r="AY72" i="7" s="1"/>
  <c r="BV593" i="1" l="1"/>
  <c r="BV594" i="1" s="1"/>
  <c r="BV592" i="1"/>
  <c r="AY73" i="7"/>
  <c r="AZ66" i="7"/>
  <c r="BW590" i="1" l="1"/>
  <c r="BV612" i="1"/>
  <c r="BV613" i="1" s="1"/>
  <c r="BV614" i="1" s="1"/>
  <c r="BV598" i="1"/>
  <c r="BV570" i="1"/>
  <c r="BV573" i="1" s="1"/>
  <c r="AZ71" i="7"/>
  <c r="AZ72" i="7" s="1"/>
  <c r="BW567" i="1" l="1"/>
  <c r="BW591" i="1" s="1"/>
  <c r="BV121" i="1"/>
  <c r="BW592" i="1"/>
  <c r="BW593" i="1"/>
  <c r="BA66" i="7"/>
  <c r="AZ73" i="7"/>
  <c r="BW109" i="1"/>
  <c r="BW110" i="1"/>
  <c r="DW122" i="1"/>
  <c r="BW598" i="1" l="1"/>
  <c r="BW570" i="1"/>
  <c r="BW573" i="1" s="1"/>
  <c r="BV118" i="1"/>
  <c r="BV210" i="7"/>
  <c r="BV211" i="7" s="1"/>
  <c r="BW594" i="1"/>
  <c r="BA71" i="7"/>
  <c r="BA72" i="7" s="1"/>
  <c r="BW575" i="1" l="1"/>
  <c r="BW121" i="1"/>
  <c r="BX567" i="1"/>
  <c r="BX591" i="1" s="1"/>
  <c r="BW612" i="1"/>
  <c r="BW613" i="1" s="1"/>
  <c r="BW614" i="1" s="1"/>
  <c r="BW576" i="1" s="1"/>
  <c r="BX590" i="1"/>
  <c r="BB66" i="7"/>
  <c r="BA73" i="7"/>
  <c r="BW118" i="1" l="1"/>
  <c r="BW210" i="7"/>
  <c r="DW121" i="1"/>
  <c r="BX593" i="1"/>
  <c r="BX592" i="1"/>
  <c r="BW577" i="1"/>
  <c r="BW578" i="1" s="1"/>
  <c r="BB71" i="7"/>
  <c r="BB72" i="7" s="1"/>
  <c r="BW114" i="1"/>
  <c r="BX570" i="1" l="1"/>
  <c r="BX573" i="1" s="1"/>
  <c r="BY567" i="1" s="1"/>
  <c r="BX598" i="1"/>
  <c r="BX594" i="1"/>
  <c r="BC66" i="7"/>
  <c r="BB73" i="7"/>
  <c r="BX575" i="1"/>
  <c r="BW177" i="7"/>
  <c r="DW124" i="1"/>
  <c r="BW137" i="8"/>
  <c r="BX121" i="1" l="1"/>
  <c r="BX612" i="1"/>
  <c r="BX613" i="1" s="1"/>
  <c r="BX614" i="1" s="1"/>
  <c r="BX576" i="1" s="1"/>
  <c r="BX577" i="1" s="1"/>
  <c r="BY590" i="1"/>
  <c r="BW155" i="1"/>
  <c r="BW170" i="1"/>
  <c r="BX122" i="1"/>
  <c r="BX118" i="1"/>
  <c r="DX118" i="1" s="1"/>
  <c r="BX210" i="7"/>
  <c r="DW114" i="1"/>
  <c r="DW115" i="1"/>
  <c r="BY591" i="1"/>
  <c r="BC71" i="7"/>
  <c r="BC72" i="7" s="1"/>
  <c r="BY592" i="1" l="1"/>
  <c r="BY593" i="1"/>
  <c r="CV593" i="1" s="1"/>
  <c r="CV603" i="1" s="1"/>
  <c r="BC73" i="7"/>
  <c r="BD66" i="7"/>
  <c r="CV591" i="1"/>
  <c r="BX47" i="8"/>
  <c r="BX124" i="1"/>
  <c r="BX578" i="1"/>
  <c r="BY594" i="1" l="1"/>
  <c r="BZ590" i="1" s="1"/>
  <c r="CV592" i="1"/>
  <c r="CV602" i="1" s="1"/>
  <c r="BY598" i="1"/>
  <c r="CV598" i="1" s="1"/>
  <c r="BY570" i="1"/>
  <c r="BX49" i="8"/>
  <c r="BX94" i="8"/>
  <c r="BX123" i="1"/>
  <c r="BX177" i="7"/>
  <c r="CV601" i="1"/>
  <c r="CV594" i="1"/>
  <c r="BD71" i="7"/>
  <c r="BD72" i="7" s="1"/>
  <c r="BY612" i="1" l="1"/>
  <c r="CV596" i="1"/>
  <c r="CV608" i="1" s="1"/>
  <c r="CV609" i="1" s="1"/>
  <c r="CV570" i="1"/>
  <c r="BY573" i="1"/>
  <c r="BE66" i="7"/>
  <c r="BD73" i="7"/>
  <c r="BY613" i="1"/>
  <c r="BY614" i="1" s="1"/>
  <c r="BY576" i="1" s="1"/>
  <c r="CW590" i="1"/>
  <c r="CV612" i="1"/>
  <c r="BX96" i="8"/>
  <c r="BZ592" i="1"/>
  <c r="BZ593" i="1"/>
  <c r="CV613" i="1" l="1"/>
  <c r="CV614" i="1" s="1"/>
  <c r="BY575" i="1"/>
  <c r="BY122" i="1" s="1"/>
  <c r="BZ567" i="1"/>
  <c r="BZ591" i="1" s="1"/>
  <c r="BZ594" i="1" s="1"/>
  <c r="CA590" i="1" s="1"/>
  <c r="BY121" i="1"/>
  <c r="CV573" i="1"/>
  <c r="CV576" i="1"/>
  <c r="BE71" i="7"/>
  <c r="BE72" i="7" s="1"/>
  <c r="BZ598" i="1"/>
  <c r="BZ570" i="1"/>
  <c r="BY577" i="1" l="1"/>
  <c r="BY124" i="1" s="1"/>
  <c r="CV575" i="1"/>
  <c r="CV122" i="1" s="1"/>
  <c r="CW567" i="1"/>
  <c r="CV121" i="1"/>
  <c r="BY210" i="7"/>
  <c r="BY118" i="1"/>
  <c r="BZ612" i="1"/>
  <c r="BZ613" i="1" s="1"/>
  <c r="BZ614" i="1" s="1"/>
  <c r="BZ576" i="1" s="1"/>
  <c r="BF66" i="7"/>
  <c r="BE73" i="7"/>
  <c r="CA592" i="1"/>
  <c r="CA593" i="1"/>
  <c r="BY578" i="1"/>
  <c r="BZ573" i="1"/>
  <c r="CV118" i="1" l="1"/>
  <c r="BY47" i="8"/>
  <c r="CV577" i="1"/>
  <c r="BY177" i="7"/>
  <c r="BY123" i="1"/>
  <c r="CA570" i="1"/>
  <c r="CA598" i="1"/>
  <c r="BF71" i="7"/>
  <c r="BF72" i="7" s="1"/>
  <c r="BZ121" i="1"/>
  <c r="CA567" i="1"/>
  <c r="BZ575" i="1"/>
  <c r="CV578" i="1" l="1"/>
  <c r="CV124" i="1"/>
  <c r="BY94" i="8"/>
  <c r="BY49" i="8"/>
  <c r="CV47" i="8"/>
  <c r="CV49" i="8" s="1"/>
  <c r="CA591" i="1"/>
  <c r="CA573" i="1"/>
  <c r="CA575" i="1" s="1"/>
  <c r="BZ210" i="7"/>
  <c r="BZ118" i="1"/>
  <c r="BG66" i="7"/>
  <c r="BF73" i="7"/>
  <c r="BZ577" i="1"/>
  <c r="BZ122" i="1"/>
  <c r="BY96" i="8" l="1"/>
  <c r="CV94" i="8"/>
  <c r="CV96" i="8" s="1"/>
  <c r="CV177" i="7"/>
  <c r="BG71" i="7"/>
  <c r="BG72" i="7" s="1"/>
  <c r="CA122" i="1"/>
  <c r="DX122" i="1" s="1"/>
  <c r="BZ578" i="1"/>
  <c r="BZ124" i="1"/>
  <c r="CB567" i="1"/>
  <c r="CA121" i="1"/>
  <c r="DX121" i="1" s="1"/>
  <c r="BZ47" i="8"/>
  <c r="CA594" i="1"/>
  <c r="BG73" i="7" l="1"/>
  <c r="BH66" i="7"/>
  <c r="BZ177" i="7"/>
  <c r="BZ123" i="1"/>
  <c r="CA612" i="1"/>
  <c r="CB590" i="1"/>
  <c r="CB591" i="1"/>
  <c r="BZ49" i="8"/>
  <c r="BZ94" i="8"/>
  <c r="CA118" i="1"/>
  <c r="CA210" i="7"/>
  <c r="CA613" i="1" l="1"/>
  <c r="CA614" i="1" s="1"/>
  <c r="CA576" i="1" s="1"/>
  <c r="BZ96" i="8"/>
  <c r="BH71" i="7"/>
  <c r="BH72" i="7" s="1"/>
  <c r="CA47" i="8"/>
  <c r="CB593" i="1"/>
  <c r="CB592" i="1"/>
  <c r="CB594" i="1" l="1"/>
  <c r="CB612" i="1" s="1"/>
  <c r="CA577" i="1"/>
  <c r="BH73" i="7"/>
  <c r="BI66" i="7"/>
  <c r="CA49" i="8"/>
  <c r="CB598" i="1"/>
  <c r="CB570" i="1"/>
  <c r="CA94" i="8"/>
  <c r="CC590" i="1" l="1"/>
  <c r="CC592" i="1" s="1"/>
  <c r="CB613" i="1"/>
  <c r="CB614" i="1" s="1"/>
  <c r="CB576" i="1" s="1"/>
  <c r="BI71" i="7"/>
  <c r="BI72" i="7" s="1"/>
  <c r="CB573" i="1"/>
  <c r="CA578" i="1"/>
  <c r="CA124" i="1"/>
  <c r="DX124" i="1" s="1"/>
  <c r="CA96" i="8"/>
  <c r="CC593" i="1" l="1"/>
  <c r="CW593" i="1" s="1"/>
  <c r="CW603" i="1" s="1"/>
  <c r="CC567" i="1"/>
  <c r="CB121" i="1"/>
  <c r="CB575" i="1"/>
  <c r="BJ66" i="7"/>
  <c r="BI73" i="7"/>
  <c r="CA177" i="7"/>
  <c r="CA123" i="1"/>
  <c r="CC570" i="1"/>
  <c r="CW570" i="1" s="1"/>
  <c r="CC598" i="1"/>
  <c r="CW598" i="1" s="1"/>
  <c r="CW592" i="1"/>
  <c r="CW602" i="1" s="1"/>
  <c r="CC573" i="1" l="1"/>
  <c r="CC591" i="1"/>
  <c r="BJ71" i="7"/>
  <c r="BJ72" i="7" s="1"/>
  <c r="CB577" i="1"/>
  <c r="CB122" i="1"/>
  <c r="CW596" i="1"/>
  <c r="CB118" i="1"/>
  <c r="CB210" i="7"/>
  <c r="BK66" i="7" l="1"/>
  <c r="BJ73" i="7"/>
  <c r="CB47" i="8"/>
  <c r="CW573" i="1"/>
  <c r="CC121" i="1"/>
  <c r="CW608" i="1"/>
  <c r="CW609" i="1" s="1"/>
  <c r="CX596" i="1"/>
  <c r="CY596" i="1" s="1"/>
  <c r="CZ596" i="1" s="1"/>
  <c r="DA596" i="1" s="1"/>
  <c r="DB596" i="1" s="1"/>
  <c r="DC596" i="1" s="1"/>
  <c r="CW591" i="1"/>
  <c r="CC594" i="1"/>
  <c r="CC612" i="1" s="1"/>
  <c r="CB124" i="1"/>
  <c r="CB578" i="1"/>
  <c r="CC575" i="1"/>
  <c r="CB49" i="8" l="1"/>
  <c r="CB94" i="8"/>
  <c r="CB123" i="1"/>
  <c r="CB177" i="7"/>
  <c r="CW601" i="1"/>
  <c r="CW594" i="1"/>
  <c r="CC122" i="1"/>
  <c r="CC613" i="1"/>
  <c r="CC614" i="1" s="1"/>
  <c r="CC576" i="1" s="1"/>
  <c r="CW576" i="1" s="1"/>
  <c r="CC118" i="1"/>
  <c r="CC210" i="7"/>
  <c r="CX567" i="1"/>
  <c r="CW121" i="1"/>
  <c r="CW575" i="1"/>
  <c r="BK71" i="7"/>
  <c r="BK72" i="7" s="1"/>
  <c r="CC577" i="1" l="1"/>
  <c r="CW577" i="1"/>
  <c r="CW122" i="1"/>
  <c r="BK73" i="7"/>
  <c r="BL66" i="7"/>
  <c r="CX591" i="1"/>
  <c r="CC47" i="8"/>
  <c r="CC94" i="8" s="1"/>
  <c r="CW118" i="1"/>
  <c r="CB96" i="8"/>
  <c r="CX590" i="1"/>
  <c r="CW612" i="1"/>
  <c r="CW613" i="1" s="1"/>
  <c r="CW614" i="1" s="1"/>
  <c r="CC49" i="8" l="1"/>
  <c r="CW47" i="8"/>
  <c r="CW49" i="8" s="1"/>
  <c r="BL71" i="7"/>
  <c r="BL72" i="7" s="1"/>
  <c r="CW578" i="1"/>
  <c r="CW124" i="1"/>
  <c r="CX593" i="1"/>
  <c r="CX592" i="1"/>
  <c r="CW94" i="8"/>
  <c r="CW96" i="8" s="1"/>
  <c r="CC96" i="8"/>
  <c r="CC124" i="1"/>
  <c r="CC578" i="1"/>
  <c r="CX594" i="1" l="1"/>
  <c r="CX612" i="1" s="1"/>
  <c r="BM66" i="7"/>
  <c r="BL73" i="7"/>
  <c r="CW177" i="7"/>
  <c r="CC123" i="1"/>
  <c r="CC177" i="7"/>
  <c r="CX598" i="1"/>
  <c r="CX570" i="1"/>
  <c r="CX573" i="1" s="1"/>
  <c r="CY590" i="1" l="1"/>
  <c r="BM71" i="7"/>
  <c r="BM72" i="7" s="1"/>
  <c r="CX613" i="1"/>
  <c r="CX614" i="1" s="1"/>
  <c r="CX576" i="1" s="1"/>
  <c r="CX121" i="1"/>
  <c r="CX118" i="1" s="1"/>
  <c r="CX47" i="8" s="1"/>
  <c r="CY567" i="1"/>
  <c r="CX575" i="1"/>
  <c r="CY593" i="1"/>
  <c r="CY592" i="1"/>
  <c r="CY598" i="1" l="1"/>
  <c r="CY570" i="1"/>
  <c r="CY573" i="1" s="1"/>
  <c r="CY591" i="1"/>
  <c r="CY594" i="1" s="1"/>
  <c r="CX577" i="1"/>
  <c r="CX122" i="1"/>
  <c r="CX94" i="8"/>
  <c r="CX96" i="8" s="1"/>
  <c r="CX49" i="8"/>
  <c r="BM73" i="7"/>
  <c r="BN66" i="7"/>
  <c r="CZ567" i="1" l="1"/>
  <c r="CY121" i="1"/>
  <c r="CY118" i="1" s="1"/>
  <c r="CY47" i="8" s="1"/>
  <c r="CY575" i="1"/>
  <c r="BN71" i="7"/>
  <c r="BN72" i="7" s="1"/>
  <c r="CX124" i="1"/>
  <c r="CX578" i="1"/>
  <c r="CZ590" i="1"/>
  <c r="CY612" i="1"/>
  <c r="BN73" i="7" l="1"/>
  <c r="BO66" i="7"/>
  <c r="CZ591" i="1"/>
  <c r="CX177" i="7"/>
  <c r="CY613" i="1"/>
  <c r="CY614" i="1" s="1"/>
  <c r="CY576" i="1" s="1"/>
  <c r="CY577" i="1" s="1"/>
  <c r="CY122" i="1"/>
  <c r="CZ593" i="1"/>
  <c r="CZ592" i="1"/>
  <c r="CY49" i="8"/>
  <c r="CY94" i="8"/>
  <c r="CY96" i="8" s="1"/>
  <c r="CY578" i="1" l="1"/>
  <c r="CY124" i="1"/>
  <c r="BO71" i="7"/>
  <c r="BO72" i="7" s="1"/>
  <c r="CZ570" i="1"/>
  <c r="CZ573" i="1" s="1"/>
  <c r="CZ598" i="1"/>
  <c r="CZ594" i="1"/>
  <c r="BP66" i="7" l="1"/>
  <c r="BO73" i="7"/>
  <c r="DA567" i="1"/>
  <c r="CZ121" i="1"/>
  <c r="CZ118" i="1" s="1"/>
  <c r="CZ47" i="8" s="1"/>
  <c r="CZ575" i="1"/>
  <c r="DA590" i="1"/>
  <c r="CZ612" i="1"/>
  <c r="CY177" i="7"/>
  <c r="CZ49" i="8" l="1"/>
  <c r="CZ94" i="8"/>
  <c r="CZ96" i="8" s="1"/>
  <c r="BP71" i="7"/>
  <c r="BP72" i="7" s="1"/>
  <c r="CZ613" i="1"/>
  <c r="CZ614" i="1" s="1"/>
  <c r="CZ576" i="1" s="1"/>
  <c r="CZ577" i="1" s="1"/>
  <c r="DA591" i="1"/>
  <c r="CZ122" i="1"/>
  <c r="DA593" i="1"/>
  <c r="DA592" i="1"/>
  <c r="DA594" i="1" l="1"/>
  <c r="DB590" i="1" s="1"/>
  <c r="CZ124" i="1"/>
  <c r="CZ578" i="1"/>
  <c r="DA598" i="1"/>
  <c r="DA570" i="1"/>
  <c r="DA573" i="1" s="1"/>
  <c r="BQ66" i="7"/>
  <c r="BP73" i="7"/>
  <c r="DA612" i="1" l="1"/>
  <c r="DA121" i="1"/>
  <c r="DA118" i="1" s="1"/>
  <c r="DA47" i="8" s="1"/>
  <c r="DB567" i="1"/>
  <c r="DA575" i="1"/>
  <c r="CZ177" i="7"/>
  <c r="DB593" i="1"/>
  <c r="DB592" i="1"/>
  <c r="DA613" i="1"/>
  <c r="DA614" i="1" s="1"/>
  <c r="DA576" i="1" s="1"/>
  <c r="BQ71" i="7"/>
  <c r="BQ72" i="7" s="1"/>
  <c r="BR66" i="7" l="1"/>
  <c r="BQ73" i="7"/>
  <c r="DA49" i="8"/>
  <c r="DA94" i="8"/>
  <c r="DA96" i="8" s="1"/>
  <c r="DB598" i="1"/>
  <c r="DB570" i="1"/>
  <c r="DB573" i="1" s="1"/>
  <c r="DB575" i="1" s="1"/>
  <c r="DA122" i="1"/>
  <c r="DA577" i="1"/>
  <c r="DB591" i="1"/>
  <c r="DB594" i="1" s="1"/>
  <c r="DA578" i="1" l="1"/>
  <c r="DA124" i="1"/>
  <c r="DB121" i="1"/>
  <c r="DB118" i="1" s="1"/>
  <c r="DB47" i="8" s="1"/>
  <c r="DC567" i="1"/>
  <c r="BR71" i="7"/>
  <c r="BR72" i="7" s="1"/>
  <c r="DB122" i="1"/>
  <c r="DC590" i="1"/>
  <c r="DB612" i="1"/>
  <c r="DB49" i="8" l="1"/>
  <c r="DB94" i="8"/>
  <c r="DB96" i="8" s="1"/>
  <c r="DB613" i="1"/>
  <c r="DB614" i="1" s="1"/>
  <c r="DB576" i="1" s="1"/>
  <c r="DB577" i="1" s="1"/>
  <c r="BR73" i="7"/>
  <c r="BS66" i="7"/>
  <c r="DA177" i="7"/>
  <c r="DC593" i="1"/>
  <c r="DC592" i="1"/>
  <c r="DC591" i="1"/>
  <c r="DC594" i="1" l="1"/>
  <c r="DC612" i="1" s="1"/>
  <c r="DC613" i="1" s="1"/>
  <c r="DC614" i="1" s="1"/>
  <c r="DC576" i="1" s="1"/>
  <c r="DB124" i="1"/>
  <c r="DB578" i="1"/>
  <c r="BS71" i="7"/>
  <c r="BS72" i="7" s="1"/>
  <c r="DC570" i="1"/>
  <c r="DC573" i="1" s="1"/>
  <c r="DC598" i="1"/>
  <c r="BT66" i="7" l="1"/>
  <c r="BS73" i="7"/>
  <c r="DC121" i="1"/>
  <c r="DC118" i="1" s="1"/>
  <c r="DC47" i="8" s="1"/>
  <c r="DC575" i="1"/>
  <c r="DB177" i="7"/>
  <c r="DC122" i="1" l="1"/>
  <c r="DC577" i="1"/>
  <c r="DC49" i="8"/>
  <c r="DC94" i="8"/>
  <c r="DC96" i="8" s="1"/>
  <c r="BT71" i="7"/>
  <c r="BT72" i="7" s="1"/>
  <c r="DC124" i="1" l="1"/>
  <c r="DC578" i="1"/>
  <c r="BT73" i="7"/>
  <c r="BU66" i="7"/>
  <c r="DC177" i="7" l="1"/>
  <c r="BU71" i="7"/>
  <c r="BU72" i="7" s="1"/>
  <c r="BU73" i="7" l="1"/>
  <c r="BV66" i="7"/>
  <c r="BV71" i="7" l="1"/>
  <c r="BV72" i="7" s="1"/>
  <c r="BV73" i="7" l="1"/>
  <c r="BW66" i="7"/>
  <c r="BW69" i="7" l="1"/>
  <c r="BW201" i="7" l="1"/>
  <c r="BW71" i="7"/>
  <c r="BW72" i="7" s="1"/>
  <c r="BX66" i="7" s="1"/>
  <c r="BW168" i="7"/>
  <c r="BW199" i="7"/>
  <c r="BW175" i="7" s="1"/>
  <c r="BW200" i="7" l="1"/>
  <c r="BW178" i="7"/>
  <c r="BW163" i="7"/>
  <c r="BW174" i="7"/>
  <c r="BW73" i="7"/>
  <c r="BW169" i="7"/>
  <c r="BW184" i="7"/>
  <c r="BW183" i="7"/>
  <c r="BW182" i="7"/>
  <c r="BW63" i="7"/>
  <c r="BX544" i="1"/>
  <c r="BX545" i="1" s="1"/>
  <c r="BX75" i="1" s="1"/>
  <c r="BX116" i="8" l="1"/>
  <c r="BX74" i="1"/>
  <c r="BX152" i="7"/>
  <c r="BX151" i="7"/>
  <c r="BW171" i="7"/>
  <c r="BW176" i="7"/>
  <c r="BW170" i="7"/>
  <c r="BW164" i="7" s="1"/>
  <c r="BW162" i="7" l="1"/>
  <c r="BW161" i="7"/>
  <c r="BW211" i="7"/>
  <c r="BW179" i="7"/>
  <c r="BX78" i="1"/>
  <c r="BX139" i="1" l="1"/>
  <c r="BX168" i="1"/>
  <c r="BX153" i="1"/>
  <c r="BX80" i="1"/>
  <c r="BX81" i="1" l="1"/>
  <c r="BX118" i="8" l="1"/>
  <c r="BX85" i="1"/>
  <c r="BX154" i="1" l="1"/>
  <c r="BX150" i="7"/>
  <c r="BX153" i="7" s="1"/>
  <c r="BX86" i="1"/>
  <c r="BX157" i="7"/>
  <c r="BX169" i="1"/>
  <c r="BX114" i="1"/>
  <c r="BX140" i="1"/>
  <c r="BX109" i="1"/>
  <c r="BX158" i="7"/>
  <c r="BX100" i="1"/>
  <c r="BX170" i="1" l="1"/>
  <c r="BX155" i="1"/>
  <c r="BX115" i="1"/>
  <c r="BX98" i="1"/>
  <c r="BX67" i="7"/>
  <c r="BX110" i="1"/>
  <c r="BX58" i="7"/>
  <c r="BX13" i="8"/>
  <c r="BX60" i="8" l="1"/>
  <c r="BX70" i="8"/>
  <c r="BY70" i="8" s="1"/>
  <c r="CV70" i="8" s="1"/>
  <c r="BW129" i="8" l="1"/>
  <c r="BW126" i="8"/>
  <c r="CV23" i="8"/>
  <c r="CV119" i="8" s="1"/>
  <c r="BW119" i="8"/>
  <c r="BW122" i="8" s="1"/>
  <c r="BW123" i="8" s="1"/>
  <c r="BW124" i="8" s="1"/>
  <c r="BW131" i="8" l="1"/>
  <c r="BW130" i="8"/>
  <c r="BW56" i="8"/>
  <c r="BW103" i="8"/>
  <c r="BX53" i="8"/>
  <c r="BX79" i="7"/>
  <c r="BX83" i="7" s="1"/>
  <c r="BX84" i="7" s="1"/>
  <c r="BX89" i="7" s="1"/>
  <c r="BX98" i="7" l="1"/>
  <c r="BX15" i="8"/>
  <c r="BY79" i="7"/>
  <c r="BX24" i="7"/>
  <c r="BY81" i="7" l="1"/>
  <c r="BX115" i="8"/>
  <c r="BX122" i="8" s="1"/>
  <c r="BX123" i="8" s="1"/>
  <c r="BX124" i="8" s="1"/>
  <c r="BX135" i="8"/>
  <c r="BX136" i="8" s="1"/>
  <c r="BX137" i="8" s="1"/>
  <c r="BX62" i="8"/>
  <c r="BX25" i="7"/>
  <c r="BX28" i="7"/>
  <c r="BX26" i="7"/>
  <c r="BX27" i="7"/>
  <c r="BY33" i="8" l="1"/>
  <c r="CV81" i="7"/>
  <c r="BY83" i="7"/>
  <c r="BY24" i="7" l="1"/>
  <c r="BZ79" i="7"/>
  <c r="BY84" i="7"/>
  <c r="BY89" i="7" s="1"/>
  <c r="CV85" i="7"/>
  <c r="CV83" i="7"/>
  <c r="BY38" i="8"/>
  <c r="BY80" i="8"/>
  <c r="CV33" i="8"/>
  <c r="CV38" i="8" s="1"/>
  <c r="CV80" i="8" l="1"/>
  <c r="CV85" i="8" s="1"/>
  <c r="BY85" i="8"/>
  <c r="BY98" i="7"/>
  <c r="BY15" i="8"/>
  <c r="BZ81" i="7"/>
  <c r="BZ83" i="7" s="1"/>
  <c r="CV84" i="7"/>
  <c r="CW79" i="7"/>
  <c r="BY26" i="7"/>
  <c r="CV26" i="7" s="1"/>
  <c r="BY27" i="7"/>
  <c r="CV27" i="7" s="1"/>
  <c r="CV24" i="7"/>
  <c r="BY28" i="7"/>
  <c r="CV28" i="7" s="1"/>
  <c r="BY25" i="7"/>
  <c r="CV25" i="7" s="1"/>
  <c r="CV110" i="7" l="1"/>
  <c r="CV108" i="7"/>
  <c r="BZ33" i="8"/>
  <c r="BZ24" i="7"/>
  <c r="CA79" i="7"/>
  <c r="BY135" i="8"/>
  <c r="BY136" i="8" s="1"/>
  <c r="BY137" i="8" s="1"/>
  <c r="BY115" i="8"/>
  <c r="CV15" i="8"/>
  <c r="BY62" i="8"/>
  <c r="CV62" i="8" s="1"/>
  <c r="CV107" i="7"/>
  <c r="CV109" i="7"/>
  <c r="BZ84" i="7"/>
  <c r="BZ89" i="7" s="1"/>
  <c r="BZ98" i="7" l="1"/>
  <c r="BZ15" i="8"/>
  <c r="BZ38" i="8"/>
  <c r="BZ80" i="8"/>
  <c r="CA81" i="7"/>
  <c r="BZ28" i="7"/>
  <c r="BZ25" i="7"/>
  <c r="BZ27" i="7"/>
  <c r="BZ26" i="7"/>
  <c r="CV137" i="1"/>
  <c r="CV135" i="8"/>
  <c r="CV136" i="8" s="1"/>
  <c r="CV137" i="8" s="1"/>
  <c r="CV115" i="8"/>
  <c r="CA33" i="8" l="1"/>
  <c r="CA80" i="8" s="1"/>
  <c r="BZ62" i="8"/>
  <c r="BZ135" i="8"/>
  <c r="BZ136" i="8" s="1"/>
  <c r="BZ137" i="8" s="1"/>
  <c r="BZ115" i="8"/>
  <c r="BZ85" i="8"/>
  <c r="CA83" i="7"/>
  <c r="CA24" i="7" l="1"/>
  <c r="CB79" i="7"/>
  <c r="CA84" i="7"/>
  <c r="CA89" i="7" s="1"/>
  <c r="CA85" i="8"/>
  <c r="CA38" i="8"/>
  <c r="CA98" i="7" l="1"/>
  <c r="CA15" i="8"/>
  <c r="CB81" i="7"/>
  <c r="CA25" i="7"/>
  <c r="CA28" i="7"/>
  <c r="CA26" i="7"/>
  <c r="CA27" i="7"/>
  <c r="CA135" i="8" l="1"/>
  <c r="CA136" i="8" s="1"/>
  <c r="CA137" i="8" s="1"/>
  <c r="CA115" i="8"/>
  <c r="CA62" i="8"/>
  <c r="CB33" i="8"/>
  <c r="CB83" i="7"/>
  <c r="CB24" i="7" l="1"/>
  <c r="CC79" i="7"/>
  <c r="CB84" i="7"/>
  <c r="CB89" i="7" s="1"/>
  <c r="CB38" i="8"/>
  <c r="CB80" i="8"/>
  <c r="CB98" i="7" l="1"/>
  <c r="CB15" i="8"/>
  <c r="CC81" i="7"/>
  <c r="CC83" i="7" s="1"/>
  <c r="CC84" i="7" s="1"/>
  <c r="CC89" i="7" s="1"/>
  <c r="CB85" i="8"/>
  <c r="CB27" i="7"/>
  <c r="CB26" i="7"/>
  <c r="CB25" i="7"/>
  <c r="CB28" i="7"/>
  <c r="CC98" i="7" l="1"/>
  <c r="CC15" i="8"/>
  <c r="CW15" i="8" s="1"/>
  <c r="CW89" i="7"/>
  <c r="CW98" i="7" s="1"/>
  <c r="CB135" i="8"/>
  <c r="CB136" i="8" s="1"/>
  <c r="CB137" i="8" s="1"/>
  <c r="CB115" i="8"/>
  <c r="CB62" i="8"/>
  <c r="CC33" i="8"/>
  <c r="CW81" i="7"/>
  <c r="CC24" i="7"/>
  <c r="CC62" i="8" l="1"/>
  <c r="CW62" i="8" s="1"/>
  <c r="CW137" i="1"/>
  <c r="CW135" i="8"/>
  <c r="CW136" i="8" s="1"/>
  <c r="CW137" i="8" s="1"/>
  <c r="CW115" i="8"/>
  <c r="CW85" i="7"/>
  <c r="CW83" i="7"/>
  <c r="CC135" i="8"/>
  <c r="CC136" i="8" s="1"/>
  <c r="CC137" i="8" s="1"/>
  <c r="CC115" i="8"/>
  <c r="CW24" i="7"/>
  <c r="CC28" i="7"/>
  <c r="CW28" i="7" s="1"/>
  <c r="CC26" i="7"/>
  <c r="CW26" i="7" s="1"/>
  <c r="CC25" i="7"/>
  <c r="CW25" i="7" s="1"/>
  <c r="CC27" i="7"/>
  <c r="CW27" i="7" s="1"/>
  <c r="CW109" i="7" s="1"/>
  <c r="CX109" i="7" s="1"/>
  <c r="CY109" i="7" s="1"/>
  <c r="CZ109" i="7" s="1"/>
  <c r="DA109" i="7" s="1"/>
  <c r="DB109" i="7" s="1"/>
  <c r="DC109" i="7" s="1"/>
  <c r="CC38" i="8"/>
  <c r="CW33" i="8"/>
  <c r="CW38" i="8" s="1"/>
  <c r="CC80" i="8"/>
  <c r="CW110" i="7" l="1"/>
  <c r="CX110" i="7" s="1"/>
  <c r="CY110" i="7" s="1"/>
  <c r="CZ110" i="7" s="1"/>
  <c r="DA110" i="7" s="1"/>
  <c r="DB110" i="7" s="1"/>
  <c r="DC110" i="7" s="1"/>
  <c r="CW107" i="7"/>
  <c r="CX107" i="7" s="1"/>
  <c r="CY107" i="7" s="1"/>
  <c r="CZ107" i="7" s="1"/>
  <c r="DA107" i="7" s="1"/>
  <c r="DB107" i="7" s="1"/>
  <c r="DC107" i="7" s="1"/>
  <c r="CW108" i="7"/>
  <c r="CX108" i="7" s="1"/>
  <c r="CY108" i="7" s="1"/>
  <c r="CZ108" i="7" s="1"/>
  <c r="DA108" i="7" s="1"/>
  <c r="DB108" i="7" s="1"/>
  <c r="DC108" i="7" s="1"/>
  <c r="CX79" i="7"/>
  <c r="CW84" i="7"/>
  <c r="CW97" i="7" s="1"/>
  <c r="CW80" i="8"/>
  <c r="CW85" i="8" s="1"/>
  <c r="CC85" i="8"/>
  <c r="CX81" i="7" l="1"/>
  <c r="CX33" i="8" s="1"/>
  <c r="CX38" i="8" l="1"/>
  <c r="CX80" i="8"/>
  <c r="CX85" i="8" s="1"/>
  <c r="CX83" i="7"/>
  <c r="CX24" i="7" l="1"/>
  <c r="CY79" i="7"/>
  <c r="CX84" i="7"/>
  <c r="CX89" i="7" s="1"/>
  <c r="CX98" i="7" l="1"/>
  <c r="CX15" i="8"/>
  <c r="CY81" i="7"/>
  <c r="CY33" i="8" s="1"/>
  <c r="CX26" i="7"/>
  <c r="CX25" i="7"/>
  <c r="CX28" i="7"/>
  <c r="CX27" i="7"/>
  <c r="CY83" i="7" l="1"/>
  <c r="CY84" i="7" s="1"/>
  <c r="CY89" i="7" s="1"/>
  <c r="CY98" i="7" s="1"/>
  <c r="CX62" i="8"/>
  <c r="CX135" i="8"/>
  <c r="CX136" i="8" s="1"/>
  <c r="CX137" i="8" s="1"/>
  <c r="CX115" i="8"/>
  <c r="CY38" i="8"/>
  <c r="CY80" i="8"/>
  <c r="CY85" i="8" s="1"/>
  <c r="CZ79" i="7" l="1"/>
  <c r="CZ81" i="7" s="1"/>
  <c r="CZ33" i="8" s="1"/>
  <c r="CY24" i="7"/>
  <c r="CY26" i="7" s="1"/>
  <c r="CY15" i="8"/>
  <c r="CY62" i="8" s="1"/>
  <c r="CY28" i="7" l="1"/>
  <c r="CY25" i="7"/>
  <c r="CY27" i="7"/>
  <c r="CZ83" i="7"/>
  <c r="CZ84" i="7" s="1"/>
  <c r="CZ89" i="7" s="1"/>
  <c r="CZ98" i="7" s="1"/>
  <c r="CY115" i="8"/>
  <c r="CY135" i="8"/>
  <c r="CY136" i="8" s="1"/>
  <c r="CY137" i="8" s="1"/>
  <c r="CZ80" i="8"/>
  <c r="CZ85" i="8" s="1"/>
  <c r="CZ38" i="8"/>
  <c r="CZ15" i="8" l="1"/>
  <c r="CZ115" i="8" s="1"/>
  <c r="DA79" i="7"/>
  <c r="DA81" i="7" s="1"/>
  <c r="DA33" i="8" s="1"/>
  <c r="CZ24" i="7"/>
  <c r="CZ28" i="7" s="1"/>
  <c r="CZ26" i="7" l="1"/>
  <c r="CZ27" i="7"/>
  <c r="CZ62" i="8"/>
  <c r="CZ135" i="8"/>
  <c r="CZ136" i="8" s="1"/>
  <c r="CZ137" i="8" s="1"/>
  <c r="CZ25" i="7"/>
  <c r="DA38" i="8"/>
  <c r="DA80" i="8"/>
  <c r="DA85" i="8" s="1"/>
  <c r="DA83" i="7"/>
  <c r="DA24" i="7" l="1"/>
  <c r="DB79" i="7"/>
  <c r="DA84" i="7"/>
  <c r="DA89" i="7" s="1"/>
  <c r="DB81" i="7" l="1"/>
  <c r="DB33" i="8" s="1"/>
  <c r="DA28" i="7"/>
  <c r="DA25" i="7"/>
  <c r="DA26" i="7"/>
  <c r="DA27" i="7"/>
  <c r="DA98" i="7"/>
  <c r="DA15" i="8"/>
  <c r="DB83" i="7" l="1"/>
  <c r="DB84" i="7" s="1"/>
  <c r="DB89" i="7" s="1"/>
  <c r="DB98" i="7" s="1"/>
  <c r="DA62" i="8"/>
  <c r="DA135" i="8"/>
  <c r="DA136" i="8" s="1"/>
  <c r="DA137" i="8" s="1"/>
  <c r="DA115" i="8"/>
  <c r="DB80" i="8"/>
  <c r="DB85" i="8" s="1"/>
  <c r="DB38" i="8"/>
  <c r="DB24" i="7" l="1"/>
  <c r="DB27" i="7" s="1"/>
  <c r="DC79" i="7"/>
  <c r="DC81" i="7" s="1"/>
  <c r="DC33" i="8" s="1"/>
  <c r="DB15" i="8"/>
  <c r="DB115" i="8" s="1"/>
  <c r="DB26" i="7" l="1"/>
  <c r="DB62" i="8"/>
  <c r="DB135" i="8"/>
  <c r="DB136" i="8" s="1"/>
  <c r="DB137" i="8" s="1"/>
  <c r="DB25" i="7"/>
  <c r="DB28" i="7"/>
  <c r="DC38" i="8"/>
  <c r="DC80" i="8"/>
  <c r="DC85" i="8" s="1"/>
  <c r="DC83" i="7"/>
  <c r="DC24" i="7" l="1"/>
  <c r="DC84" i="7"/>
  <c r="DC89" i="7" s="1"/>
  <c r="DC28" i="7" l="1"/>
  <c r="DC27" i="7"/>
  <c r="DC26" i="7"/>
  <c r="DC25" i="7"/>
  <c r="DC98" i="7"/>
  <c r="DC15" i="8"/>
  <c r="DC62" i="8" l="1"/>
  <c r="DC135" i="8"/>
  <c r="DC136" i="8" s="1"/>
  <c r="DC137" i="8" s="1"/>
  <c r="DC115" i="8"/>
  <c r="BX102" i="7" l="1"/>
  <c r="BX88" i="7"/>
  <c r="BX91" i="7" s="1"/>
  <c r="BX29" i="7" l="1"/>
  <c r="BX30" i="7" s="1"/>
  <c r="BX94" i="7"/>
  <c r="BY88" i="7"/>
  <c r="BY91" i="7" s="1"/>
  <c r="BX204" i="7" l="1"/>
  <c r="BX206" i="7" s="1"/>
  <c r="BY94" i="7"/>
  <c r="BY29" i="7"/>
  <c r="BZ88" i="7"/>
  <c r="BZ91" i="7" s="1"/>
  <c r="BX112" i="7"/>
  <c r="BY102" i="7"/>
  <c r="BZ29" i="7" l="1"/>
  <c r="BZ30" i="7" s="1"/>
  <c r="BZ94" i="7"/>
  <c r="CA88" i="7"/>
  <c r="CA91" i="7" s="1"/>
  <c r="CV29" i="7"/>
  <c r="CV91" i="7" s="1"/>
  <c r="BY30" i="7"/>
  <c r="BY112" i="7"/>
  <c r="BZ102" i="7"/>
  <c r="BX147" i="7"/>
  <c r="BY156" i="7"/>
  <c r="CB88" i="7" l="1"/>
  <c r="CB91" i="7" s="1"/>
  <c r="CA94" i="7"/>
  <c r="CA29" i="7"/>
  <c r="CA30" i="7" s="1"/>
  <c r="BZ112" i="7"/>
  <c r="CA102" i="7"/>
  <c r="CW88" i="7"/>
  <c r="CW92" i="7" s="1"/>
  <c r="CV94" i="7"/>
  <c r="BY204" i="7"/>
  <c r="BY206" i="7" s="1"/>
  <c r="CV30" i="7"/>
  <c r="BZ204" i="7"/>
  <c r="BZ206" i="7" s="1"/>
  <c r="CW102" i="7" l="1"/>
  <c r="CA204" i="7"/>
  <c r="CA206" i="7" s="1"/>
  <c r="CV204" i="7"/>
  <c r="CV206" i="7" s="1"/>
  <c r="CB102" i="7"/>
  <c r="CA112" i="7"/>
  <c r="BZ147" i="7"/>
  <c r="CA156" i="7"/>
  <c r="BZ156" i="7"/>
  <c r="BY147" i="7"/>
  <c r="CB94" i="7"/>
  <c r="CB29" i="7"/>
  <c r="CB30" i="7" s="1"/>
  <c r="CC88" i="7"/>
  <c r="CC91" i="7" s="1"/>
  <c r="CB204" i="7" l="1"/>
  <c r="CB206" i="7" s="1"/>
  <c r="CW156" i="7"/>
  <c r="CV147" i="7"/>
  <c r="CC102" i="7"/>
  <c r="CB112" i="7"/>
  <c r="CC94" i="7"/>
  <c r="CC112" i="7" s="1"/>
  <c r="CC29" i="7"/>
  <c r="CA147" i="7"/>
  <c r="CB156" i="7"/>
  <c r="CB147" i="7" l="1"/>
  <c r="CC156" i="7"/>
  <c r="CC30" i="7"/>
  <c r="CW29" i="7"/>
  <c r="CW91" i="7" s="1"/>
  <c r="CX88" i="7" l="1"/>
  <c r="CW94" i="7"/>
  <c r="CC204" i="7"/>
  <c r="CC206" i="7" s="1"/>
  <c r="CC147" i="7" s="1"/>
  <c r="CW30" i="7"/>
  <c r="CX92" i="7" l="1"/>
  <c r="CX91" i="7"/>
  <c r="CW204" i="7"/>
  <c r="CW206" i="7" s="1"/>
  <c r="CW112" i="7"/>
  <c r="CX102" i="7"/>
  <c r="CW147" i="7" l="1"/>
  <c r="CX156" i="7"/>
  <c r="CX29" i="7"/>
  <c r="CX30" i="7" s="1"/>
  <c r="CY88" i="7"/>
  <c r="CX94" i="7"/>
  <c r="CX204" i="7" l="1"/>
  <c r="CX206" i="7" s="1"/>
  <c r="CY92" i="7"/>
  <c r="CY91" i="7"/>
  <c r="CX112" i="7"/>
  <c r="CY102" i="7"/>
  <c r="CY94" i="7" l="1"/>
  <c r="CY29" i="7"/>
  <c r="CY30" i="7" s="1"/>
  <c r="CZ88" i="7"/>
  <c r="CY156" i="7"/>
  <c r="CX147" i="7"/>
  <c r="CZ92" i="7" l="1"/>
  <c r="CZ91" i="7"/>
  <c r="CY112" i="7"/>
  <c r="CZ102" i="7"/>
  <c r="CY204" i="7"/>
  <c r="CY206" i="7" s="1"/>
  <c r="DA88" i="7" l="1"/>
  <c r="CZ94" i="7"/>
  <c r="CZ29" i="7"/>
  <c r="CZ30" i="7" s="1"/>
  <c r="CY147" i="7"/>
  <c r="CZ156" i="7"/>
  <c r="DA102" i="7" l="1"/>
  <c r="CZ112" i="7"/>
  <c r="CZ204" i="7"/>
  <c r="CZ206" i="7" s="1"/>
  <c r="DA92" i="7"/>
  <c r="DA91" i="7"/>
  <c r="DA156" i="7" l="1"/>
  <c r="CZ147" i="7"/>
  <c r="DB88" i="7"/>
  <c r="DA29" i="7"/>
  <c r="DA30" i="7" s="1"/>
  <c r="DA94" i="7"/>
  <c r="DA204" i="7" l="1"/>
  <c r="DA206" i="7" s="1"/>
  <c r="DB92" i="7"/>
  <c r="DB91" i="7"/>
  <c r="DB102" i="7"/>
  <c r="DA112" i="7"/>
  <c r="DB94" i="7" l="1"/>
  <c r="DC88" i="7"/>
  <c r="DB29" i="7"/>
  <c r="DB30" i="7" s="1"/>
  <c r="DB156" i="7"/>
  <c r="DA147" i="7"/>
  <c r="DB204" i="7" l="1"/>
  <c r="DB206" i="7" s="1"/>
  <c r="DC102" i="7"/>
  <c r="DB112" i="7"/>
  <c r="DC91" i="7"/>
  <c r="DC92" i="7"/>
  <c r="DC156" i="7" l="1"/>
  <c r="DB147" i="7"/>
  <c r="DC29" i="7"/>
  <c r="DC30" i="7" s="1"/>
  <c r="DC94" i="7"/>
  <c r="DC112" i="7" s="1"/>
  <c r="DC204" i="7" l="1"/>
  <c r="DC206" i="7" s="1"/>
  <c r="DC147" i="7" s="1"/>
  <c r="CV89" i="7"/>
  <c r="CV98" i="7" s="1"/>
  <c r="CV90" i="7"/>
  <c r="CV92" i="7" s="1"/>
  <c r="CV97" i="7" l="1"/>
  <c r="CV112" i="7"/>
  <c r="DW102" i="1"/>
  <c r="BW106" i="1"/>
  <c r="BW116" i="1" s="1"/>
  <c r="BW104" i="1" s="1"/>
  <c r="DW104" i="1" s="1"/>
  <c r="BW554" i="1"/>
  <c r="BX554" i="1"/>
  <c r="BY554" i="1" s="1"/>
  <c r="BX102" i="1"/>
  <c r="BX19" i="8" s="1"/>
  <c r="BW111" i="1" l="1"/>
  <c r="BX29" i="8"/>
  <c r="BX55" i="7"/>
  <c r="BX66" i="8"/>
  <c r="BX103" i="1"/>
  <c r="BX106" i="1" s="1"/>
  <c r="BY102" i="1"/>
  <c r="BZ554" i="1"/>
  <c r="DW103" i="1"/>
  <c r="DW106" i="1" s="1"/>
  <c r="DW116" i="1" s="1"/>
  <c r="BX111" i="1" l="1"/>
  <c r="BX116" i="1"/>
  <c r="BX104" i="1" s="1"/>
  <c r="BX76" i="8"/>
  <c r="BX98" i="8" s="1"/>
  <c r="BX102" i="8" s="1"/>
  <c r="BX69" i="7"/>
  <c r="BX60" i="7"/>
  <c r="BX126" i="8"/>
  <c r="BX129" i="8"/>
  <c r="BX51" i="8"/>
  <c r="BX55" i="8" s="1"/>
  <c r="CA554" i="1"/>
  <c r="BZ102" i="1"/>
  <c r="BY19" i="8"/>
  <c r="CV19" i="8" s="1"/>
  <c r="BY103" i="1"/>
  <c r="CV103" i="1" s="1"/>
  <c r="CV102" i="1"/>
  <c r="CV554" i="1" s="1"/>
  <c r="BX103" i="8" l="1"/>
  <c r="BX13" i="7"/>
  <c r="BX56" i="8" s="1"/>
  <c r="BY55" i="7"/>
  <c r="BY66" i="8"/>
  <c r="CV66" i="8" s="1"/>
  <c r="BX201" i="7"/>
  <c r="BX71" i="7"/>
  <c r="BX72" i="7" s="1"/>
  <c r="BY66" i="7" s="1"/>
  <c r="BX199" i="7"/>
  <c r="BX175" i="7" s="1"/>
  <c r="BX168" i="7"/>
  <c r="BX62" i="7"/>
  <c r="CA102" i="1"/>
  <c r="DX102" i="1" s="1"/>
  <c r="CB554" i="1"/>
  <c r="BY53" i="8"/>
  <c r="BZ103" i="1"/>
  <c r="BZ19" i="8"/>
  <c r="BX130" i="8"/>
  <c r="BX131" i="8"/>
  <c r="BX200" i="7" l="1"/>
  <c r="BY69" i="7"/>
  <c r="CV55" i="7"/>
  <c r="BZ55" i="7"/>
  <c r="BZ66" i="8"/>
  <c r="CB102" i="1"/>
  <c r="CC554" i="1"/>
  <c r="CC102" i="1" s="1"/>
  <c r="BX163" i="7"/>
  <c r="BX178" i="7"/>
  <c r="BX174" i="7"/>
  <c r="BX73" i="7"/>
  <c r="BX182" i="7"/>
  <c r="BX169" i="7"/>
  <c r="BX170" i="7" s="1"/>
  <c r="BX164" i="7" s="1"/>
  <c r="BX184" i="7"/>
  <c r="BX183" i="7"/>
  <c r="BX22" i="7"/>
  <c r="BX33" i="7" s="1"/>
  <c r="BX63" i="7" s="1"/>
  <c r="BY544" i="1"/>
  <c r="BY545" i="1" s="1"/>
  <c r="BY75" i="1" s="1"/>
  <c r="CA103" i="1"/>
  <c r="DX103" i="1" s="1"/>
  <c r="CA19" i="8"/>
  <c r="CC19" i="8" l="1"/>
  <c r="CC103" i="1"/>
  <c r="CV69" i="7"/>
  <c r="BY116" i="8"/>
  <c r="BY74" i="1"/>
  <c r="CV75" i="1"/>
  <c r="BX171" i="7"/>
  <c r="BX176" i="7"/>
  <c r="CB103" i="1"/>
  <c r="CB19" i="8"/>
  <c r="CW102" i="1"/>
  <c r="CW554" i="1" s="1"/>
  <c r="CX554" i="1" s="1"/>
  <c r="BY151" i="7"/>
  <c r="BY152" i="7"/>
  <c r="CA66" i="8"/>
  <c r="BZ69" i="7"/>
  <c r="CA55" i="7"/>
  <c r="CB66" i="8" l="1"/>
  <c r="CC66" i="8" s="1"/>
  <c r="CW66" i="8" s="1"/>
  <c r="CW19" i="8"/>
  <c r="CW103" i="1"/>
  <c r="BX211" i="7"/>
  <c r="BX161" i="7"/>
  <c r="BX179" i="7"/>
  <c r="BX162" i="7"/>
  <c r="CV545" i="1"/>
  <c r="CV546" i="1" s="1"/>
  <c r="CV116" i="8"/>
  <c r="CV74" i="1"/>
  <c r="CX102" i="1"/>
  <c r="CY554" i="1"/>
  <c r="CA69" i="7"/>
  <c r="CB55" i="7"/>
  <c r="BY78" i="1"/>
  <c r="CV78" i="1" l="1"/>
  <c r="BY153" i="1"/>
  <c r="BY168" i="1"/>
  <c r="BY139" i="1"/>
  <c r="BY80" i="1"/>
  <c r="CY102" i="1"/>
  <c r="CZ554" i="1"/>
  <c r="CB69" i="7"/>
  <c r="CC55" i="7"/>
  <c r="CX19" i="8"/>
  <c r="CX66" i="8" s="1"/>
  <c r="CX103" i="1"/>
  <c r="CZ102" i="1" l="1"/>
  <c r="DA554" i="1"/>
  <c r="CV80" i="1"/>
  <c r="BY81" i="1"/>
  <c r="CY19" i="8"/>
  <c r="CY66" i="8" s="1"/>
  <c r="CY103" i="1"/>
  <c r="CV153" i="1"/>
  <c r="CV139" i="1"/>
  <c r="CC69" i="7"/>
  <c r="CW55" i="7"/>
  <c r="DA102" i="1" l="1"/>
  <c r="DB554" i="1"/>
  <c r="CW69" i="7"/>
  <c r="CX55" i="7"/>
  <c r="CV81" i="1"/>
  <c r="BY118" i="8"/>
  <c r="BY122" i="8" s="1"/>
  <c r="BY123" i="8" s="1"/>
  <c r="BY85" i="1"/>
  <c r="CZ103" i="1"/>
  <c r="CZ19" i="8"/>
  <c r="CZ66" i="8" s="1"/>
  <c r="CV82" i="1" l="1"/>
  <c r="CV118" i="8"/>
  <c r="CV122" i="8" s="1"/>
  <c r="CV123" i="8" s="1"/>
  <c r="CV85" i="1"/>
  <c r="DC554" i="1"/>
  <c r="DC102" i="1" s="1"/>
  <c r="DB102" i="1"/>
  <c r="BY157" i="7"/>
  <c r="BY140" i="1"/>
  <c r="BY169" i="1"/>
  <c r="BY86" i="1"/>
  <c r="BY158" i="7"/>
  <c r="BY154" i="1"/>
  <c r="BY106" i="1"/>
  <c r="BY109" i="1"/>
  <c r="BY114" i="1"/>
  <c r="BY150" i="7"/>
  <c r="BY153" i="7" s="1"/>
  <c r="BY100" i="1"/>
  <c r="CX69" i="7"/>
  <c r="CY55" i="7"/>
  <c r="DA19" i="8"/>
  <c r="DA66" i="8" s="1"/>
  <c r="DA103" i="1"/>
  <c r="BY110" i="1" l="1"/>
  <c r="BY98" i="1"/>
  <c r="BY67" i="7"/>
  <c r="BY115" i="1"/>
  <c r="BY13" i="8"/>
  <c r="BY58" i="7"/>
  <c r="CV109" i="1"/>
  <c r="CV140" i="1"/>
  <c r="CV154" i="1"/>
  <c r="CV114" i="1"/>
  <c r="CV106" i="1"/>
  <c r="CV158" i="7"/>
  <c r="CV150" i="7"/>
  <c r="CV153" i="7" s="1"/>
  <c r="CV86" i="1"/>
  <c r="CV100" i="1"/>
  <c r="BY111" i="1"/>
  <c r="BY116" i="1"/>
  <c r="BY104" i="1" s="1"/>
  <c r="CY69" i="7"/>
  <c r="CZ55" i="7"/>
  <c r="BY170" i="1"/>
  <c r="BY155" i="1"/>
  <c r="BY124" i="8"/>
  <c r="DB19" i="8"/>
  <c r="DB66" i="8" s="1"/>
  <c r="DB103" i="1"/>
  <c r="DC19" i="8"/>
  <c r="DC66" i="8" s="1"/>
  <c r="DC103" i="1"/>
  <c r="CV155" i="1" l="1"/>
  <c r="CV124" i="8"/>
  <c r="CV115" i="1"/>
  <c r="CV98" i="1"/>
  <c r="CV110" i="1"/>
  <c r="CV67" i="7"/>
  <c r="CV58" i="7"/>
  <c r="CV60" i="7" s="1"/>
  <c r="BY60" i="7"/>
  <c r="BY29" i="8"/>
  <c r="CV13" i="8"/>
  <c r="CV29" i="8" s="1"/>
  <c r="BY60" i="8"/>
  <c r="CZ69" i="7"/>
  <c r="DA55" i="7"/>
  <c r="CV111" i="1"/>
  <c r="CV116" i="1"/>
  <c r="CV104" i="1" s="1"/>
  <c r="BY199" i="7" l="1"/>
  <c r="BY175" i="7" s="1"/>
  <c r="BY168" i="7"/>
  <c r="BY71" i="7"/>
  <c r="BY72" i="7" s="1"/>
  <c r="BZ66" i="7" s="1"/>
  <c r="BY201" i="7"/>
  <c r="BY62" i="7"/>
  <c r="DA69" i="7"/>
  <c r="DB55" i="7"/>
  <c r="CV126" i="8"/>
  <c r="CV129" i="8"/>
  <c r="CV51" i="8"/>
  <c r="CV55" i="8" s="1"/>
  <c r="CV60" i="8"/>
  <c r="CV76" i="8" s="1"/>
  <c r="CV98" i="8" s="1"/>
  <c r="CV102" i="8" s="1"/>
  <c r="BY76" i="8"/>
  <c r="BY98" i="8" s="1"/>
  <c r="BY102" i="8" s="1"/>
  <c r="BY126" i="8"/>
  <c r="BY129" i="8"/>
  <c r="BY51" i="8"/>
  <c r="BY55" i="8" s="1"/>
  <c r="CV201" i="7"/>
  <c r="CV168" i="7"/>
  <c r="CV199" i="7"/>
  <c r="CV175" i="7" s="1"/>
  <c r="CV71" i="7"/>
  <c r="CV72" i="7" s="1"/>
  <c r="CV62" i="7"/>
  <c r="BY200" i="7" l="1"/>
  <c r="CW66" i="7"/>
  <c r="CV73" i="7"/>
  <c r="CV200" i="7"/>
  <c r="CV130" i="8"/>
  <c r="CV131" i="8"/>
  <c r="DB69" i="7"/>
  <c r="DC55" i="7"/>
  <c r="BZ100" i="8"/>
  <c r="CA100" i="8" s="1"/>
  <c r="CB100" i="8" s="1"/>
  <c r="CC100" i="8" s="1"/>
  <c r="BY103" i="8"/>
  <c r="BY13" i="7"/>
  <c r="CV103" i="8"/>
  <c r="CW100" i="8"/>
  <c r="BY163" i="7"/>
  <c r="BY178" i="7"/>
  <c r="BY174" i="7"/>
  <c r="BZ53" i="8"/>
  <c r="CV178" i="7"/>
  <c r="CV174" i="7"/>
  <c r="CV163" i="7"/>
  <c r="BY130" i="8"/>
  <c r="BY131" i="8"/>
  <c r="CW53" i="8"/>
  <c r="BY73" i="7"/>
  <c r="BY184" i="7" l="1"/>
  <c r="BY182" i="7"/>
  <c r="BY183" i="7"/>
  <c r="BY169" i="7"/>
  <c r="BY22" i="7"/>
  <c r="BY33" i="7" s="1"/>
  <c r="CV13" i="7"/>
  <c r="BZ544" i="1"/>
  <c r="BZ545" i="1" s="1"/>
  <c r="BZ75" i="1" s="1"/>
  <c r="BY56" i="8"/>
  <c r="DC69" i="7"/>
  <c r="BZ116" i="8" l="1"/>
  <c r="BZ74" i="1"/>
  <c r="BY176" i="7"/>
  <c r="BY171" i="7"/>
  <c r="BY170" i="7"/>
  <c r="BY164" i="7" s="1"/>
  <c r="CV183" i="7"/>
  <c r="CV169" i="7"/>
  <c r="CV182" i="7"/>
  <c r="CV184" i="7"/>
  <c r="CW544" i="1"/>
  <c r="CV22" i="7"/>
  <c r="CV33" i="7" s="1"/>
  <c r="CV56" i="8"/>
  <c r="BZ151" i="7"/>
  <c r="BZ152" i="7"/>
  <c r="BY63" i="7"/>
  <c r="BY161" i="7" l="1"/>
  <c r="BY211" i="7"/>
  <c r="BY162" i="7"/>
  <c r="BY179" i="7"/>
  <c r="BZ78" i="1"/>
  <c r="CW151" i="7"/>
  <c r="CW152" i="7"/>
  <c r="CV157" i="7"/>
  <c r="CV63" i="7"/>
  <c r="CV171" i="7"/>
  <c r="CV176" i="7"/>
  <c r="CV170" i="7"/>
  <c r="CV164" i="7" s="1"/>
  <c r="CV161" i="7" l="1"/>
  <c r="CV162" i="7"/>
  <c r="CV179" i="7"/>
  <c r="BZ139" i="1"/>
  <c r="BZ153" i="1"/>
  <c r="BZ168" i="1"/>
  <c r="BZ80" i="1"/>
  <c r="BZ81" i="1" l="1"/>
  <c r="BZ118" i="8" l="1"/>
  <c r="BZ122" i="8" s="1"/>
  <c r="BZ123" i="8" s="1"/>
  <c r="BZ85" i="1"/>
  <c r="BZ154" i="1" l="1"/>
  <c r="BZ140" i="1"/>
  <c r="BZ158" i="7"/>
  <c r="BZ86" i="1"/>
  <c r="BZ169" i="1"/>
  <c r="BZ114" i="1"/>
  <c r="BZ109" i="1"/>
  <c r="BZ106" i="1"/>
  <c r="BZ100" i="1"/>
  <c r="BZ150" i="7"/>
  <c r="BZ153" i="7" s="1"/>
  <c r="BZ157" i="7"/>
  <c r="BZ170" i="1" l="1"/>
  <c r="BZ124" i="8"/>
  <c r="BZ155" i="1"/>
  <c r="BZ115" i="1"/>
  <c r="BZ110" i="1"/>
  <c r="BZ98" i="1"/>
  <c r="BZ67" i="7"/>
  <c r="BZ13" i="8"/>
  <c r="BZ58" i="7"/>
  <c r="BZ111" i="1"/>
  <c r="BZ116" i="1"/>
  <c r="BZ104" i="1" s="1"/>
  <c r="BZ29" i="8" l="1"/>
  <c r="BZ60" i="8"/>
  <c r="BZ60" i="7"/>
  <c r="BZ76" i="8" l="1"/>
  <c r="BZ98" i="8" s="1"/>
  <c r="BZ102" i="8" s="1"/>
  <c r="BZ129" i="8"/>
  <c r="BZ126" i="8"/>
  <c r="BZ51" i="8"/>
  <c r="BZ55" i="8" s="1"/>
  <c r="BZ199" i="7"/>
  <c r="BZ175" i="7" s="1"/>
  <c r="BZ71" i="7"/>
  <c r="BZ72" i="7" s="1"/>
  <c r="CA66" i="7" s="1"/>
  <c r="BZ201" i="7"/>
  <c r="BZ168" i="7"/>
  <c r="BZ62" i="7"/>
  <c r="BZ200" i="7" l="1"/>
  <c r="BZ131" i="8"/>
  <c r="BZ130" i="8"/>
  <c r="BZ174" i="7"/>
  <c r="BZ178" i="7"/>
  <c r="BZ163" i="7"/>
  <c r="BZ73" i="7"/>
  <c r="CA53" i="8"/>
  <c r="BZ103" i="8"/>
  <c r="BZ13" i="7"/>
  <c r="BZ56" i="8" s="1"/>
  <c r="BZ183" i="7" l="1"/>
  <c r="BZ184" i="7"/>
  <c r="BZ182" i="7"/>
  <c r="BZ169" i="7"/>
  <c r="BZ22" i="7"/>
  <c r="BZ33" i="7" s="1"/>
  <c r="CA544" i="1"/>
  <c r="CA545" i="1" s="1"/>
  <c r="CA75" i="1" s="1"/>
  <c r="CA151" i="7" l="1"/>
  <c r="CA152" i="7"/>
  <c r="BZ63" i="7"/>
  <c r="CA116" i="8"/>
  <c r="CA74" i="1"/>
  <c r="DX75" i="1"/>
  <c r="BZ171" i="7"/>
  <c r="BZ176" i="7"/>
  <c r="BZ170" i="7"/>
  <c r="BZ164" i="7" s="1"/>
  <c r="BZ211" i="7" l="1"/>
  <c r="BZ161" i="7"/>
  <c r="BZ179" i="7"/>
  <c r="BZ162" i="7"/>
  <c r="CA78" i="1"/>
  <c r="DX74" i="1"/>
  <c r="CA153" i="1" l="1"/>
  <c r="CA168" i="1"/>
  <c r="CA139" i="1"/>
  <c r="CA80" i="1"/>
  <c r="DX78" i="1"/>
  <c r="CA81" i="1" l="1"/>
  <c r="DX80" i="1"/>
  <c r="CA118" i="8" l="1"/>
  <c r="CA122" i="8" s="1"/>
  <c r="CA123" i="8" s="1"/>
  <c r="DX81" i="1"/>
  <c r="CA85" i="1"/>
  <c r="CA140" i="1" l="1"/>
  <c r="CA86" i="1"/>
  <c r="CA109" i="1"/>
  <c r="CA158" i="7"/>
  <c r="CA169" i="1"/>
  <c r="CA154" i="1"/>
  <c r="CA114" i="1"/>
  <c r="CA106" i="1"/>
  <c r="CA100" i="1"/>
  <c r="CA150" i="7"/>
  <c r="CA153" i="7" s="1"/>
  <c r="CA157" i="7"/>
  <c r="DX82" i="1"/>
  <c r="DX85" i="1"/>
  <c r="CA111" i="1" l="1"/>
  <c r="CA116" i="1"/>
  <c r="CA104" i="1" s="1"/>
  <c r="DX104" i="1" s="1"/>
  <c r="CA170" i="1"/>
  <c r="CA155" i="1"/>
  <c r="CA124" i="8"/>
  <c r="DX114" i="1"/>
  <c r="DX86" i="1"/>
  <c r="DX106" i="1"/>
  <c r="DX116" i="1" s="1"/>
  <c r="CA98" i="1"/>
  <c r="CA67" i="7"/>
  <c r="CA110" i="1"/>
  <c r="CA115" i="1"/>
  <c r="CA13" i="8"/>
  <c r="DX100" i="1"/>
  <c r="DX115" i="1" s="1"/>
  <c r="CA58" i="7"/>
  <c r="CA29" i="8" l="1"/>
  <c r="CA60" i="8"/>
  <c r="CA60" i="7"/>
  <c r="CA76" i="8" l="1"/>
  <c r="CA98" i="8" s="1"/>
  <c r="CA102" i="8" s="1"/>
  <c r="CA199" i="7"/>
  <c r="CA175" i="7" s="1"/>
  <c r="CA71" i="7"/>
  <c r="CA72" i="7" s="1"/>
  <c r="CB66" i="7" s="1"/>
  <c r="CA201" i="7"/>
  <c r="CA168" i="7"/>
  <c r="CA62" i="7"/>
  <c r="CA126" i="8"/>
  <c r="CA129" i="8"/>
  <c r="CA51" i="8"/>
  <c r="CA55" i="8" s="1"/>
  <c r="CA73" i="7" l="1"/>
  <c r="CA103" i="8"/>
  <c r="CA13" i="7"/>
  <c r="CA56" i="8" s="1"/>
  <c r="CB53" i="8"/>
  <c r="CA130" i="8"/>
  <c r="CA131" i="8"/>
  <c r="CA163" i="7"/>
  <c r="CA174" i="7"/>
  <c r="CA178" i="7"/>
  <c r="CA200" i="7"/>
  <c r="CA184" i="7" l="1"/>
  <c r="CA169" i="7"/>
  <c r="CA183" i="7"/>
  <c r="CA182" i="7"/>
  <c r="CB544" i="1"/>
  <c r="CB545" i="1" s="1"/>
  <c r="CB75" i="1" s="1"/>
  <c r="CA22" i="7"/>
  <c r="CA33" i="7" s="1"/>
  <c r="CA176" i="7" l="1"/>
  <c r="CA171" i="7"/>
  <c r="CA170" i="7"/>
  <c r="CA164" i="7" s="1"/>
  <c r="CB116" i="8"/>
  <c r="CB74" i="1"/>
  <c r="CB78" i="1" s="1"/>
  <c r="CB152" i="7"/>
  <c r="CB151" i="7"/>
  <c r="CA63" i="7"/>
  <c r="CA211" i="7" l="1"/>
  <c r="CA162" i="7"/>
  <c r="CA161" i="7"/>
  <c r="CA179" i="7"/>
  <c r="CB139" i="1"/>
  <c r="CB80" i="1"/>
  <c r="CB168" i="1"/>
  <c r="CB153" i="1"/>
  <c r="CB81" i="1" l="1"/>
  <c r="CB118" i="8" l="1"/>
  <c r="CB122" i="8" s="1"/>
  <c r="CB123" i="8" s="1"/>
  <c r="CB85" i="1"/>
  <c r="CB154" i="1" l="1"/>
  <c r="CB86" i="1"/>
  <c r="CB109" i="1"/>
  <c r="CB158" i="7"/>
  <c r="CB100" i="1"/>
  <c r="CB106" i="1"/>
  <c r="CB169" i="1"/>
  <c r="CB140" i="1"/>
  <c r="CB114" i="1"/>
  <c r="CB150" i="7"/>
  <c r="CB153" i="7" s="1"/>
  <c r="CB157" i="7"/>
  <c r="CB111" i="1" l="1"/>
  <c r="CB116" i="1"/>
  <c r="CB104" i="1" s="1"/>
  <c r="CB155" i="1"/>
  <c r="CB124" i="8"/>
  <c r="CB170" i="1"/>
  <c r="CB110" i="1"/>
  <c r="CB115" i="1"/>
  <c r="CB98" i="1"/>
  <c r="CB67" i="7"/>
  <c r="CB13" i="8"/>
  <c r="CB58" i="7"/>
  <c r="CB60" i="7" l="1"/>
  <c r="CB29" i="8"/>
  <c r="CB60" i="8"/>
  <c r="CB51" i="8" l="1"/>
  <c r="CB55" i="8" s="1"/>
  <c r="CB129" i="8"/>
  <c r="CB126" i="8"/>
  <c r="CB71" i="7"/>
  <c r="CB72" i="7" s="1"/>
  <c r="CC66" i="7" s="1"/>
  <c r="CB201" i="7"/>
  <c r="CB199" i="7"/>
  <c r="CB175" i="7" s="1"/>
  <c r="CB168" i="7"/>
  <c r="CB62" i="7"/>
  <c r="CB76" i="8"/>
  <c r="CB98" i="8" s="1"/>
  <c r="CB102" i="8" s="1"/>
  <c r="CB163" i="7" l="1"/>
  <c r="CB174" i="7"/>
  <c r="CB178" i="7"/>
  <c r="CB73" i="7"/>
  <c r="CB130" i="8"/>
  <c r="CB131" i="8"/>
  <c r="CB103" i="8"/>
  <c r="CB13" i="7"/>
  <c r="CB200" i="7"/>
  <c r="CC53" i="8"/>
  <c r="CB183" i="7" l="1"/>
  <c r="CB184" i="7"/>
  <c r="CB169" i="7"/>
  <c r="CB182" i="7"/>
  <c r="CB22" i="7"/>
  <c r="CB33" i="7" s="1"/>
  <c r="CC544" i="1"/>
  <c r="CC545" i="1" s="1"/>
  <c r="CC75" i="1" s="1"/>
  <c r="CB56" i="8"/>
  <c r="CB176" i="7" l="1"/>
  <c r="CB171" i="7"/>
  <c r="CB170" i="7"/>
  <c r="CB164" i="7" s="1"/>
  <c r="CC116" i="8"/>
  <c r="CC74" i="1"/>
  <c r="CC78" i="1" s="1"/>
  <c r="CW75" i="1"/>
  <c r="CC151" i="7"/>
  <c r="CC152" i="7"/>
  <c r="CB63" i="7"/>
  <c r="CW545" i="1" l="1"/>
  <c r="CW546" i="1" s="1"/>
  <c r="CW116" i="8"/>
  <c r="CW74" i="1"/>
  <c r="CB179" i="7"/>
  <c r="CB161" i="7"/>
  <c r="CB162" i="7"/>
  <c r="CB211" i="7"/>
  <c r="CC153" i="1"/>
  <c r="CC139" i="1"/>
  <c r="CC80" i="1"/>
  <c r="CC168" i="1"/>
  <c r="CW78" i="1" l="1"/>
  <c r="CC81" i="1"/>
  <c r="CW80" i="1"/>
  <c r="CW153" i="1" l="1"/>
  <c r="CW139" i="1"/>
  <c r="CC118" i="8"/>
  <c r="CC122" i="8" s="1"/>
  <c r="CC123" i="8" s="1"/>
  <c r="CW81" i="1"/>
  <c r="CW85" i="1" s="1"/>
  <c r="CC85" i="1"/>
  <c r="CW154" i="1" l="1"/>
  <c r="CW86" i="1"/>
  <c r="CW109" i="1"/>
  <c r="CW106" i="1"/>
  <c r="CW158" i="7"/>
  <c r="CW140" i="1"/>
  <c r="CW100" i="1"/>
  <c r="CW114" i="1"/>
  <c r="CW150" i="7"/>
  <c r="CW153" i="7" s="1"/>
  <c r="CC140" i="1"/>
  <c r="CC169" i="1"/>
  <c r="CC158" i="7"/>
  <c r="CC106" i="1"/>
  <c r="CC109" i="1"/>
  <c r="CC114" i="1"/>
  <c r="CC86" i="1"/>
  <c r="CC154" i="1"/>
  <c r="CC100" i="1"/>
  <c r="CC150" i="7"/>
  <c r="CC153" i="7" s="1"/>
  <c r="CC157" i="7"/>
  <c r="CW118" i="8"/>
  <c r="CW122" i="8" s="1"/>
  <c r="CW123" i="8" s="1"/>
  <c r="CW82" i="1"/>
  <c r="CX82" i="1" s="1"/>
  <c r="CY82" i="1" s="1"/>
  <c r="CZ82" i="1" s="1"/>
  <c r="CC155" i="1" l="1"/>
  <c r="CC124" i="8"/>
  <c r="CC170" i="1"/>
  <c r="CW155" i="1"/>
  <c r="CW124" i="8"/>
  <c r="CW111" i="1"/>
  <c r="CW116" i="1"/>
  <c r="CW104" i="1" s="1"/>
  <c r="CC115" i="1"/>
  <c r="CC110" i="1"/>
  <c r="CC98" i="1"/>
  <c r="CC67" i="7"/>
  <c r="CC13" i="8"/>
  <c r="CC58" i="7"/>
  <c r="CC111" i="1"/>
  <c r="CC116" i="1"/>
  <c r="CC104" i="1" s="1"/>
  <c r="CW98" i="1"/>
  <c r="CW115" i="1"/>
  <c r="CW110" i="1"/>
  <c r="CW67" i="7"/>
  <c r="CW58" i="7" l="1"/>
  <c r="CC60" i="7"/>
  <c r="CC29" i="8"/>
  <c r="CW13" i="8"/>
  <c r="CW29" i="8" s="1"/>
  <c r="CC60" i="8"/>
  <c r="CW60" i="8" l="1"/>
  <c r="CW76" i="8" s="1"/>
  <c r="CW98" i="8" s="1"/>
  <c r="CW102" i="8" s="1"/>
  <c r="CC76" i="8"/>
  <c r="CC98" i="8" s="1"/>
  <c r="CC102" i="8" s="1"/>
  <c r="CW60" i="7"/>
  <c r="CW126" i="8"/>
  <c r="CW51" i="8"/>
  <c r="CW55" i="8" s="1"/>
  <c r="CW129" i="8"/>
  <c r="CC126" i="8"/>
  <c r="CC51" i="8"/>
  <c r="CC55" i="8" s="1"/>
  <c r="CC129" i="8"/>
  <c r="CC71" i="7"/>
  <c r="CC72" i="7" s="1"/>
  <c r="CC73" i="7" s="1"/>
  <c r="CC168" i="7"/>
  <c r="CC199" i="7"/>
  <c r="CC175" i="7" s="1"/>
  <c r="CC201" i="7"/>
  <c r="CC62" i="7"/>
  <c r="CW71" i="7" l="1"/>
  <c r="CW72" i="7" s="1"/>
  <c r="CX66" i="7" s="1"/>
  <c r="CW201" i="7"/>
  <c r="CW168" i="7"/>
  <c r="CW199" i="7"/>
  <c r="CW175" i="7" s="1"/>
  <c r="CW62" i="7"/>
  <c r="CC200" i="7"/>
  <c r="CW131" i="8"/>
  <c r="CW130" i="8"/>
  <c r="CC131" i="8"/>
  <c r="CC130" i="8"/>
  <c r="CX53" i="8"/>
  <c r="CC103" i="8"/>
  <c r="CC13" i="7"/>
  <c r="CC174" i="7"/>
  <c r="CC178" i="7"/>
  <c r="CC163" i="7"/>
  <c r="CX100" i="8"/>
  <c r="CW103" i="8"/>
  <c r="CW200" i="7" l="1"/>
  <c r="CC182" i="7"/>
  <c r="CC183" i="7"/>
  <c r="CC169" i="7"/>
  <c r="CC184" i="7"/>
  <c r="CW13" i="7"/>
  <c r="CC22" i="7"/>
  <c r="CC33" i="7" s="1"/>
  <c r="CC63" i="7" s="1"/>
  <c r="CW73" i="7"/>
  <c r="CC56" i="8"/>
  <c r="CW163" i="7"/>
  <c r="CW178" i="7"/>
  <c r="CW174" i="7"/>
  <c r="CW184" i="7" l="1"/>
  <c r="CW183" i="7"/>
  <c r="CW182" i="7"/>
  <c r="CW169" i="7"/>
  <c r="CW22" i="7"/>
  <c r="CW33" i="7" s="1"/>
  <c r="CX544" i="1"/>
  <c r="CX545" i="1" s="1"/>
  <c r="CX75" i="1" s="1"/>
  <c r="CW56" i="8"/>
  <c r="CC176" i="7"/>
  <c r="CC171" i="7"/>
  <c r="CC170" i="7"/>
  <c r="CC164" i="7" s="1"/>
  <c r="CW176" i="7" l="1"/>
  <c r="CW171" i="7"/>
  <c r="CW170" i="7"/>
  <c r="CW164" i="7" s="1"/>
  <c r="CX116" i="8"/>
  <c r="CX74" i="1"/>
  <c r="CX78" i="1" s="1"/>
  <c r="CC162" i="7"/>
  <c r="CC161" i="7"/>
  <c r="CC179" i="7"/>
  <c r="CC211" i="7"/>
  <c r="CX152" i="7"/>
  <c r="CX151" i="7"/>
  <c r="CW157" i="7"/>
  <c r="CW63" i="7"/>
  <c r="CW162" i="7" l="1"/>
  <c r="CW179" i="7"/>
  <c r="CW161" i="7"/>
  <c r="CX80" i="1"/>
  <c r="CX81" i="1" s="1"/>
  <c r="CX118" i="8" s="1"/>
  <c r="CX122" i="8" s="1"/>
  <c r="CX123" i="8" s="1"/>
  <c r="CX153" i="1"/>
  <c r="CX139" i="1"/>
  <c r="CX85" i="1" l="1"/>
  <c r="CX154" i="1" s="1"/>
  <c r="CX100" i="1" l="1"/>
  <c r="CX98" i="1" s="1"/>
  <c r="CX150" i="7"/>
  <c r="CX153" i="7" s="1"/>
  <c r="CX86" i="1"/>
  <c r="CX106" i="1"/>
  <c r="CX111" i="1" s="1"/>
  <c r="CX158" i="7"/>
  <c r="CX109" i="1"/>
  <c r="CX157" i="7"/>
  <c r="CX114" i="1"/>
  <c r="CX124" i="8" s="1"/>
  <c r="CX140" i="1"/>
  <c r="CX115" i="1" l="1"/>
  <c r="CX110" i="1"/>
  <c r="CX58" i="7"/>
  <c r="CX60" i="7" s="1"/>
  <c r="CX67" i="7"/>
  <c r="CX13" i="8"/>
  <c r="CX60" i="8" s="1"/>
  <c r="CX76" i="8" s="1"/>
  <c r="CX98" i="8" s="1"/>
  <c r="CX102" i="8" s="1"/>
  <c r="CX155" i="1"/>
  <c r="CX116" i="1"/>
  <c r="CX104" i="1" s="1"/>
  <c r="CX29" i="8" l="1"/>
  <c r="CX51" i="8" s="1"/>
  <c r="CX55" i="8" s="1"/>
  <c r="CX103" i="8" s="1"/>
  <c r="CX71" i="7"/>
  <c r="CX72" i="7" s="1"/>
  <c r="CY66" i="7" s="1"/>
  <c r="CX201" i="7"/>
  <c r="CX199" i="7"/>
  <c r="CX175" i="7" s="1"/>
  <c r="CX168" i="7"/>
  <c r="CX62" i="7"/>
  <c r="CY100" i="8"/>
  <c r="CX13" i="7"/>
  <c r="CX129" i="8" l="1"/>
  <c r="CX130" i="8" s="1"/>
  <c r="CX126" i="8"/>
  <c r="CX73" i="7"/>
  <c r="CX183" i="7"/>
  <c r="CX182" i="7"/>
  <c r="CX184" i="7"/>
  <c r="CX169" i="7"/>
  <c r="CX170" i="7" s="1"/>
  <c r="CX164" i="7" s="1"/>
  <c r="CY544" i="1"/>
  <c r="CY545" i="1" s="1"/>
  <c r="CY75" i="1" s="1"/>
  <c r="CX22" i="7"/>
  <c r="CX33" i="7" s="1"/>
  <c r="CX63" i="7" s="1"/>
  <c r="CX200" i="7"/>
  <c r="CX174" i="7"/>
  <c r="CX178" i="7"/>
  <c r="CX163" i="7"/>
  <c r="CX56" i="8"/>
  <c r="CY53" i="8"/>
  <c r="CX131" i="8" l="1"/>
  <c r="CX176" i="7"/>
  <c r="CX171" i="7"/>
  <c r="CY152" i="7"/>
  <c r="CY151" i="7"/>
  <c r="CY116" i="8"/>
  <c r="CY74" i="1"/>
  <c r="CY78" i="1" s="1"/>
  <c r="CY139" i="1" l="1"/>
  <c r="CY153" i="1"/>
  <c r="CY80" i="1"/>
  <c r="CY81" i="1" s="1"/>
  <c r="CY118" i="8" s="1"/>
  <c r="CY122" i="8" s="1"/>
  <c r="CY123" i="8" s="1"/>
  <c r="CX179" i="7"/>
  <c r="CX162" i="7"/>
  <c r="CX161" i="7"/>
  <c r="CY85" i="1" l="1"/>
  <c r="CY109" i="1" l="1"/>
  <c r="CY154" i="1"/>
  <c r="CY114" i="1"/>
  <c r="CY158" i="7"/>
  <c r="CY86" i="1"/>
  <c r="CY106" i="1"/>
  <c r="CY140" i="1"/>
  <c r="CY150" i="7"/>
  <c r="CY153" i="7" s="1"/>
  <c r="CY100" i="1"/>
  <c r="CY157" i="7"/>
  <c r="CY155" i="1" l="1"/>
  <c r="CY124" i="8"/>
  <c r="CY116" i="1"/>
  <c r="CY104" i="1" s="1"/>
  <c r="CY111" i="1"/>
  <c r="CY67" i="7"/>
  <c r="CY110" i="1"/>
  <c r="CY98" i="1"/>
  <c r="CY115" i="1"/>
  <c r="CY13" i="8"/>
  <c r="CY58" i="7"/>
  <c r="CY60" i="7" l="1"/>
  <c r="CY29" i="8"/>
  <c r="CY60" i="8"/>
  <c r="CY76" i="8" s="1"/>
  <c r="CY98" i="8" s="1"/>
  <c r="CY102" i="8" s="1"/>
  <c r="CZ100" i="8" l="1"/>
  <c r="CY13" i="7"/>
  <c r="CY71" i="7"/>
  <c r="CY72" i="7" s="1"/>
  <c r="CZ66" i="7" s="1"/>
  <c r="CY168" i="7"/>
  <c r="CY201" i="7"/>
  <c r="CY199" i="7"/>
  <c r="CY175" i="7" s="1"/>
  <c r="CY62" i="7"/>
  <c r="CY51" i="8"/>
  <c r="CY55" i="8" s="1"/>
  <c r="CY126" i="8"/>
  <c r="CY129" i="8"/>
  <c r="CY73" i="7" l="1"/>
  <c r="CY131" i="8"/>
  <c r="CY130" i="8"/>
  <c r="CY182" i="7"/>
  <c r="CY184" i="7"/>
  <c r="CY183" i="7"/>
  <c r="CY169" i="7"/>
  <c r="CY170" i="7" s="1"/>
  <c r="CY164" i="7" s="1"/>
  <c r="CY22" i="7"/>
  <c r="CY33" i="7" s="1"/>
  <c r="CY63" i="7" s="1"/>
  <c r="CZ544" i="1"/>
  <c r="CZ545" i="1" s="1"/>
  <c r="CZ75" i="1" s="1"/>
  <c r="CY56" i="8"/>
  <c r="CZ53" i="8"/>
  <c r="CY103" i="8"/>
  <c r="CY200" i="7"/>
  <c r="CY178" i="7"/>
  <c r="CY163" i="7"/>
  <c r="CY174" i="7"/>
  <c r="CZ151" i="7" l="1"/>
  <c r="CZ152" i="7"/>
  <c r="CY176" i="7"/>
  <c r="CY171" i="7"/>
  <c r="CZ116" i="8"/>
  <c r="CZ74" i="1"/>
  <c r="CZ78" i="1" s="1"/>
  <c r="CZ139" i="1" l="1"/>
  <c r="CZ153" i="1"/>
  <c r="CZ80" i="1"/>
  <c r="CZ81" i="1" s="1"/>
  <c r="CZ118" i="8" s="1"/>
  <c r="CZ122" i="8" s="1"/>
  <c r="CZ123" i="8" s="1"/>
  <c r="CY179" i="7"/>
  <c r="CY162" i="7"/>
  <c r="CY161" i="7"/>
  <c r="CZ85" i="1" l="1"/>
  <c r="CZ140" i="1" l="1"/>
  <c r="CZ109" i="1"/>
  <c r="CZ86" i="1"/>
  <c r="CZ158" i="7"/>
  <c r="CZ106" i="1"/>
  <c r="CZ154" i="1"/>
  <c r="CZ114" i="1"/>
  <c r="CZ150" i="7"/>
  <c r="CZ153" i="7" s="1"/>
  <c r="CZ100" i="1"/>
  <c r="CZ157" i="7"/>
  <c r="CZ124" i="8" l="1"/>
  <c r="CZ155" i="1"/>
  <c r="CZ98" i="1"/>
  <c r="CZ67" i="7"/>
  <c r="CZ110" i="1"/>
  <c r="CZ115" i="1"/>
  <c r="CZ13" i="8"/>
  <c r="CZ58" i="7"/>
  <c r="CZ116" i="1"/>
  <c r="CZ104" i="1" s="1"/>
  <c r="CZ111" i="1"/>
  <c r="CZ60" i="7" l="1"/>
  <c r="CZ29" i="8"/>
  <c r="CZ60" i="8"/>
  <c r="CZ76" i="8" s="1"/>
  <c r="CZ98" i="8" s="1"/>
  <c r="CZ102" i="8" s="1"/>
  <c r="CZ126" i="8" l="1"/>
  <c r="CZ51" i="8"/>
  <c r="CZ55" i="8" s="1"/>
  <c r="CZ103" i="8" s="1"/>
  <c r="CZ129" i="8"/>
  <c r="CZ199" i="7"/>
  <c r="CZ175" i="7" s="1"/>
  <c r="CZ201" i="7"/>
  <c r="CZ71" i="7"/>
  <c r="CZ72" i="7" s="1"/>
  <c r="DA66" i="7" s="1"/>
  <c r="CZ62" i="7"/>
  <c r="CZ168" i="7"/>
  <c r="DA100" i="8"/>
  <c r="CZ13" i="7"/>
  <c r="CZ73" i="7" l="1"/>
  <c r="CZ130" i="8"/>
  <c r="CZ131" i="8"/>
  <c r="CZ56" i="8"/>
  <c r="DA53" i="8"/>
  <c r="CZ184" i="7"/>
  <c r="CZ182" i="7"/>
  <c r="CZ169" i="7"/>
  <c r="CZ170" i="7" s="1"/>
  <c r="CZ164" i="7" s="1"/>
  <c r="CZ183" i="7"/>
  <c r="CZ22" i="7"/>
  <c r="CZ33" i="7" s="1"/>
  <c r="DA544" i="1"/>
  <c r="DA545" i="1" s="1"/>
  <c r="DA75" i="1" s="1"/>
  <c r="CZ174" i="7"/>
  <c r="CZ163" i="7"/>
  <c r="CZ178" i="7"/>
  <c r="CZ200" i="7"/>
  <c r="CZ176" i="7" l="1"/>
  <c r="CZ171" i="7"/>
  <c r="DA116" i="8"/>
  <c r="DA74" i="1"/>
  <c r="DA78" i="1" s="1"/>
  <c r="DA152" i="7"/>
  <c r="DA151" i="7"/>
  <c r="CZ63" i="7"/>
  <c r="DA139" i="1" l="1"/>
  <c r="DA153" i="1"/>
  <c r="DA80" i="1"/>
  <c r="DA81" i="1" s="1"/>
  <c r="DA118" i="8" s="1"/>
  <c r="DA122" i="8" s="1"/>
  <c r="DA123" i="8" s="1"/>
  <c r="CZ161" i="7"/>
  <c r="CZ179" i="7"/>
  <c r="CZ162" i="7"/>
  <c r="DA85" i="1" l="1"/>
  <c r="DA86" i="1" l="1"/>
  <c r="DA154" i="1"/>
  <c r="DA140" i="1"/>
  <c r="DA109" i="1"/>
  <c r="DA114" i="1"/>
  <c r="DA106" i="1"/>
  <c r="DA158" i="7"/>
  <c r="DA100" i="1"/>
  <c r="DA150" i="7"/>
  <c r="DA153" i="7" s="1"/>
  <c r="DA157" i="7"/>
  <c r="DA67" i="7" l="1"/>
  <c r="DA98" i="1"/>
  <c r="DA115" i="1"/>
  <c r="DA110" i="1"/>
  <c r="DA13" i="8"/>
  <c r="DA58" i="7"/>
  <c r="DA116" i="1"/>
  <c r="DA104" i="1" s="1"/>
  <c r="DA111" i="1"/>
  <c r="DA124" i="8"/>
  <c r="DA155" i="1"/>
  <c r="DA60" i="7" l="1"/>
  <c r="DA29" i="8"/>
  <c r="DA60" i="8"/>
  <c r="DA76" i="8" s="1"/>
  <c r="DA98" i="8" s="1"/>
  <c r="DA102" i="8" s="1"/>
  <c r="DB100" i="8" l="1"/>
  <c r="DA13" i="7"/>
  <c r="DA71" i="7"/>
  <c r="DA72" i="7" s="1"/>
  <c r="DB66" i="7" s="1"/>
  <c r="DA199" i="7"/>
  <c r="DA175" i="7" s="1"/>
  <c r="DA201" i="7"/>
  <c r="DA168" i="7"/>
  <c r="DA62" i="7"/>
  <c r="DA129" i="8"/>
  <c r="DA51" i="8"/>
  <c r="DA55" i="8" s="1"/>
  <c r="DA126" i="8"/>
  <c r="DA200" i="7" l="1"/>
  <c r="DA184" i="7"/>
  <c r="DA182" i="7"/>
  <c r="DA169" i="7"/>
  <c r="DA170" i="7" s="1"/>
  <c r="DA164" i="7" s="1"/>
  <c r="DA183" i="7"/>
  <c r="DA22" i="7"/>
  <c r="DA33" i="7" s="1"/>
  <c r="DB544" i="1"/>
  <c r="DB545" i="1" s="1"/>
  <c r="DB75" i="1" s="1"/>
  <c r="DA56" i="8"/>
  <c r="DB53" i="8"/>
  <c r="DA131" i="8"/>
  <c r="DA130" i="8"/>
  <c r="DA73" i="7"/>
  <c r="DA163" i="7"/>
  <c r="DA174" i="7"/>
  <c r="DA178" i="7"/>
  <c r="DA103" i="8"/>
  <c r="DA176" i="7" l="1"/>
  <c r="DA171" i="7"/>
  <c r="DB116" i="8"/>
  <c r="DB74" i="1"/>
  <c r="DB78" i="1" s="1"/>
  <c r="DB152" i="7"/>
  <c r="DB151" i="7"/>
  <c r="DA63" i="7"/>
  <c r="DB153" i="1" l="1"/>
  <c r="DB139" i="1"/>
  <c r="DB80" i="1"/>
  <c r="DB81" i="1" s="1"/>
  <c r="DB118" i="8" s="1"/>
  <c r="DB122" i="8" s="1"/>
  <c r="DB123" i="8" s="1"/>
  <c r="DA179" i="7"/>
  <c r="DA162" i="7"/>
  <c r="DA161" i="7"/>
  <c r="DB85" i="1" l="1"/>
  <c r="DB140" i="1" l="1"/>
  <c r="DB109" i="1"/>
  <c r="DB158" i="7"/>
  <c r="DB154" i="1"/>
  <c r="DB86" i="1"/>
  <c r="DB106" i="1"/>
  <c r="DB114" i="1"/>
  <c r="DB150" i="7"/>
  <c r="DB153" i="7" s="1"/>
  <c r="DB100" i="1"/>
  <c r="DB157" i="7"/>
  <c r="DB111" i="1" l="1"/>
  <c r="DB116" i="1"/>
  <c r="DB104" i="1" s="1"/>
  <c r="DB155" i="1"/>
  <c r="DB124" i="8"/>
  <c r="DB67" i="7"/>
  <c r="DB115" i="1"/>
  <c r="DB110" i="1"/>
  <c r="DB98" i="1"/>
  <c r="DB13" i="8"/>
  <c r="DB58" i="7"/>
  <c r="DB60" i="7" l="1"/>
  <c r="DB29" i="8"/>
  <c r="DB60" i="8"/>
  <c r="DB76" i="8" s="1"/>
  <c r="DB98" i="8" s="1"/>
  <c r="DB102" i="8" s="1"/>
  <c r="DB51" i="8" l="1"/>
  <c r="DB55" i="8" s="1"/>
  <c r="DB103" i="8" s="1"/>
  <c r="DB126" i="8"/>
  <c r="DB129" i="8"/>
  <c r="DB71" i="7"/>
  <c r="DB72" i="7" s="1"/>
  <c r="DC66" i="7" s="1"/>
  <c r="DB201" i="7"/>
  <c r="DB168" i="7"/>
  <c r="DB62" i="7"/>
  <c r="DB199" i="7"/>
  <c r="DB175" i="7" s="1"/>
  <c r="DC100" i="8"/>
  <c r="DB13" i="7"/>
  <c r="DB200" i="7" l="1"/>
  <c r="DB163" i="7"/>
  <c r="DB174" i="7"/>
  <c r="DB178" i="7"/>
  <c r="DB131" i="8"/>
  <c r="DB130" i="8"/>
  <c r="DB183" i="7"/>
  <c r="DB182" i="7"/>
  <c r="DB184" i="7"/>
  <c r="DB169" i="7"/>
  <c r="DB22" i="7"/>
  <c r="DB33" i="7" s="1"/>
  <c r="DC544" i="1"/>
  <c r="DC545" i="1" s="1"/>
  <c r="DC75" i="1" s="1"/>
  <c r="DB73" i="7"/>
  <c r="DB56" i="8"/>
  <c r="DC53" i="8"/>
  <c r="DC152" i="7" l="1"/>
  <c r="DC151" i="7"/>
  <c r="DB176" i="7"/>
  <c r="DB171" i="7"/>
  <c r="DB63" i="7"/>
  <c r="DC116" i="8"/>
  <c r="DC74" i="1"/>
  <c r="DC78" i="1" s="1"/>
  <c r="DB170" i="7"/>
  <c r="DB164" i="7" s="1"/>
  <c r="DC80" i="1" l="1"/>
  <c r="DC81" i="1" s="1"/>
  <c r="DC118" i="8" s="1"/>
  <c r="DC122" i="8" s="1"/>
  <c r="DC123" i="8" s="1"/>
  <c r="DC139" i="1"/>
  <c r="DC153" i="1"/>
  <c r="DB162" i="7"/>
  <c r="DB179" i="7"/>
  <c r="DB161" i="7"/>
  <c r="DC85" i="1" l="1"/>
  <c r="DC158" i="7" l="1"/>
  <c r="DC86" i="1"/>
  <c r="DC109" i="1"/>
  <c r="DC106" i="1"/>
  <c r="DC114" i="1"/>
  <c r="DC140" i="1"/>
  <c r="DC154" i="1"/>
  <c r="DC150" i="7"/>
  <c r="DC153" i="7" s="1"/>
  <c r="DC100" i="1"/>
  <c r="DC157" i="7"/>
  <c r="DC116" i="1" l="1"/>
  <c r="DC104" i="1" s="1"/>
  <c r="DC111" i="1"/>
  <c r="DC98" i="1"/>
  <c r="DC110" i="1"/>
  <c r="DC67" i="7"/>
  <c r="DC115" i="1"/>
  <c r="DC13" i="8"/>
  <c r="DC58" i="7"/>
  <c r="DC60" i="7" s="1"/>
  <c r="DC124" i="8"/>
  <c r="DC155" i="1"/>
  <c r="DC201" i="7" l="1"/>
  <c r="DC168" i="7"/>
  <c r="DC199" i="7"/>
  <c r="DC175" i="7" s="1"/>
  <c r="DC71" i="7"/>
  <c r="DC72" i="7" s="1"/>
  <c r="DC73" i="7" s="1"/>
  <c r="DC62" i="7"/>
  <c r="DC60" i="8"/>
  <c r="DC76" i="8" s="1"/>
  <c r="DC98" i="8" s="1"/>
  <c r="DC102" i="8" s="1"/>
  <c r="DC29" i="8"/>
  <c r="DC178" i="7" l="1"/>
  <c r="DC174" i="7"/>
  <c r="DC163" i="7"/>
  <c r="DC129" i="8"/>
  <c r="DC126" i="8"/>
  <c r="DC51" i="8"/>
  <c r="DC55" i="8" s="1"/>
  <c r="DC200" i="7"/>
  <c r="DC13" i="7"/>
  <c r="DC56" i="8" l="1"/>
  <c r="DC103" i="8"/>
  <c r="DC183" i="7"/>
  <c r="DC182" i="7"/>
  <c r="DC169" i="7"/>
  <c r="DC184" i="7"/>
  <c r="DC22" i="7"/>
  <c r="DC33" i="7" s="1"/>
  <c r="DC63" i="7" s="1"/>
  <c r="DC130" i="8"/>
  <c r="DC131" i="8"/>
  <c r="DC171" i="7" l="1"/>
  <c r="DC176" i="7"/>
  <c r="DC170" i="7"/>
  <c r="DC164" i="7" s="1"/>
  <c r="DC162" i="7" l="1"/>
  <c r="DC161" i="7"/>
  <c r="DC179" i="7"/>
</calcChain>
</file>

<file path=xl/comments1.xml><?xml version="1.0" encoding="utf-8"?>
<comments xmlns="http://schemas.openxmlformats.org/spreadsheetml/2006/main">
  <authors>
    <author>schmitzs</author>
  </authors>
  <commentList>
    <comment ref="A1" authorId="0">
      <text>
        <r>
          <rPr>
            <b/>
            <sz val="8"/>
            <color indexed="81"/>
            <rFont val="Tahoma"/>
            <family val="2"/>
          </rPr>
          <t>卟䙄_x0001_＀＀췿䪉'䑗幃䉉彇䅐䝖㍟⡍⼱⼱〲㤰〬⼳ㄳ㈯〰ⰹ元착_x0018_＀＀_x0018_＀＀_x0008_＀＀_x0001_＀＀_x0001_＀＀䎁动鞳䀮췿䪉(䑗幃䉉彇䅐䝖㍟⡍㐰ㄯ㈯〰ⰹ㘰㌯⼰〲㤰䌬⥑_x0018_＀＀_x0018_＀＀_x0008_＀＀_x0001_＀＀_x0001_＀＀쎌徙凍䀷䝜(呓幘䉉彇䅐䝖㍟⡍〱ㄯ㈯〰ⰲ㈱㌯⼱〲㈰䌬⥑_x0018_＀＀_x0018_＀＀_x0008_＀＀_x0001_＀＀_x0001_＀＀畬┹똠䀥㇆䞼&amp;䑗幃䉉彇䅐䝖㍟⡍⼷⼱〲㐰㤬㌯⼰〲㐰䌬⥑_x0018_＀＀_x0018_＀＀_x0008_＀＀_x0001_＀＀_x0001_＀＀뙆ﷳ磔䀟_xD9EE_䝓'䅊䅖䥞䝂偟噁彇䴳ㄨㄯ㈯〰ⰵ⼳ㄳ㈯〰ⰵ元착_x0018_＀＀_x0018_＀＀_x0008_＀＀_x0001_＀＀_x0001_＀＀眝݊㿫䀱㇆䞼(䑗幃䉉彇䅐䝖㍟⡍〱ㄯ㈯〰ⰴ㈱㌯⼱〲㐰䌬⥑_x0018_＀＀_x0018_＀＀_x0008_＀＀_x0001_＀＀_x0001_＀＀䱪릈瘝䀢_xD9EE_䝓'䅊䅖䥞䝂偟噁彇䴳㐨ㄯ㈯〰ⰱ⼶〳㈯〰ⰱ元착_x0018_＀＀_x0018_＀＀_x0008_＀＀_x0001_＀＀_x0001_＀＀㔁沵⮭䁑䝜&amp;呓幘䉉彇䅐䝖㍟⡍⼷⼱〲㈰㤬㌯⼰〲㈰䌬⥑_x0018_＀＀_x0018_＀＀_x0008_＀＀_x0001_＀＀_x0001_＀＀豀碵꼝쐕उ䜏_x001C_䅊䅖䙞彇剐䍉⡅㘰㌯⼰〲㤰Ⱜ⥄_x0018_＀＀_x0018_＀＀_x0008_＀＀_x0001_＀＀_x0001_＀＀馚香香䀘_xD9EE_䝓)䅊䅖䥞䝂偟噁彇䴳ㄨ⼰⼱〲㌰ㄬ⼲ㄳ㈯〰ⰳ元착_x0018_＀＀_x0018_＀＀_x0008_＀＀_x0001_＀＀_x0001_＀＀숧Ꞇ䀯_xD9EE_䝓'䅊䅖䥞䝂偟噁彇䴳ㄨㄯ㈯〰ⰴ⼳ㄳ㈯〰ⰴ元착_x0018_＀＀_x0018_＀＀_x0008_＀＀_x0001_＀＀_x0001_＀＀_xD9FE_ᒏᦑ䀴㇆䞼(䑗幃䉉彇䅐䝖㍟⡍〱ㄯ㈯〰ⰶ㈱㌯⼱〲㘰䌬⥑_x0018_＀＀_x0018_＀＀_x0008_＀＀_x0001_＀＀_x0001_＀＀ఠ昞䀳᯷䝝_x001B_呓幘䝆偟䥒䕃〨⼶〳㈯〰ⰸ䐬착_x0018_＀＀_x0018_＀＀_x0008_＀＀_x0001_＀＀_x0001_＀＀蔟凫_xDEB8_䀻䝜&amp;呓幘䉉彇䅐䝖㍟⡍⼷⼱〲㄰㤬㌯⼰〲㄰䌬⥑_x0018_＀＀_x0018_＀＀_x0008_＀＀_x0001_＀＀_x0001_＀＀豀碵꼝쐕_xD9EE_䝓'䅊䅖䥞䝂偟噁彇䴳㐨ㄯㄯ㤹ⰸ⼶〳ㄯ㤹ⰸ元착_x0018_＀＀_x0018_＀＀_x0008_＀＀_x0001_＀＀_x0001_＀＀營躊䀴잯䝓'䅊䅖䥞䝂偟噁彇䴳㜨ㄯ㈯〰ⰷ⼹〳㈯〰ⰷ元착_x0018_＀＀_x0018_＀＀_x0008_＀＀_x0001_＀＀_x0001_＀＀싹ꩤﱠ䀴䝜(呓幘䉉彇䅐䝖㍟⡍〱ㄯ㈯〰ⰴ㈱㌯⼱〲㐰䌬⥑_x0018_＀＀_x0018_＀＀_x0008_＀＀_x0001_＀＀_x0001_＀＀䀱ঢ椔䀭᯷䝝_x001B_呓幘䝆偟䥒䕃〨⼳ㄳ㈯㄰ⰰ䐬착_x0018_＀＀_x0018_＀＀_x0008_＀＀_x0001_＀＀_x0001_＀＀蔟凫_xDEB8_䀻®䣥_x001B_䑗幃䝆偟䥒䕃〨⼶〳㈯〰ⰹ䐬착_x0018_＀＀_x0018_＀＀_x0008_＀＀_x0001_＀＀_x0001_＀＀롒蔞ᇫ䀴᯷䝝_x001B_呓幘䝆偟䥒䕃ㄨ⼲ㄳ㈯〰ⰹ䐬착_x0018_＀＀_x0018_＀＀_x0008_＀＀_x0001_＀＀_x0001_＀＀蔟凫_xDEB8_䀻잯䝓'䅊䅖䥞䝂偟噁彇䴳㜨ㄯ㈯〰ⰶ⼹〳㈯〰ⰶ元착_x0018_＀＀_x0018_＀＀_x0008_＀＀_x0001_＀＀_x0001_＀＀ດ䟖䀲㇆䞼&amp;䑗幃䉉彇䅐䝖㍟⡍⼷⼱〲㌰㤬㌯⼰〲㌰䌬⥑_x0018_＀＀_x0018_＀＀_x0008_＀＀_x0001_＀＀_x0001_＀＀䨧≂䍭䀦_xDF11_䢭)䑗幃䉉彇䅐䝖㍟⡍㌰㌯⼱〲㠰〬⼶〳㈯〰ⰸ元착 ＀＀_x0018_＀＀_x0010_＀＀_x0002_＀＀_x0001_＀＀訲蛥䀼哟스盘䁀_xD9EE_䝓)䅊䅖䥞䝂偟噁彇䴳ㄨ⼰⼱〲㔰ㄬ⼲ㄳ㈯〰ⰵ元착_x0018_＀＀_x0018_＀＀_x0008_＀＀_x0001_＀＀_x0001_＀＀筴捉ິ䀰_xD9EE_䝓'䅊䅖䥞䝂偟噁彇䴳㐨ㄯ㈯〰ⰰ⼶〳㈯〰ⰰ元착_x0018_＀＀_x0018_＀＀_x0008_＀＀_x0001_＀＀_x0001_＀＀鄀ﭾ눺䁥修䩧(䑗幃䉉彇䅐䝖㍟⡍〱ㄯ㈯〰ⰸ㈱㌯⼱〲㠰䌬⥑_x0018_＀＀_x0018_＀＀_x0008_＀＀_x0001_＀＀_x0001_＀＀❧ꎃ_xDDE4_䀫᯷䝝_x001B_呓幘䝆偟䥒䕃〨⼹〳㈯〰ⰹ䐬착_x0018_＀＀_x0018_＀＀_x0008_＀＀_x0001_＀＀_x0001_＀＀蔟凫_xDEB8_䀻_xD9EE_䝓'䅊䅖䥞䝂偟噁彇䴳ㄨㄯ㈯〰ⰳ⼳ㄳ㈯〰ⰳ元착_x0018_＀＀_x0018_＀＀_x0008_＀＀_x0001_＀＀_x0001_＀＀뾾筁䧵䀫മ䛂_x001C_卉乌䙞彇剐䍉⡅㘰㌯⼰〲㠰Ⱜ⥄_x0018_＀＀_x0018_＀＀_x0008_＀＀_x0001_＀＀_x0001_＀＀㌳㌳댳䀢_xD9EE_䝓)䅊䅖䥞䝂偟噁彇䴳ㄨ⼰⼱㤱㘹ㄬ⼲ㄳㄯ㤹ⰶ元착_x0018_＀＀_x0018_＀＀_x0008_＀＀_x0001_＀＀_x0001_＀＀Ժ_xD9F9_ⷈ䀮䝜&amp;呓幘䉉彇䅐䝖㍟⡍⼷⼱〲〰㤬㌯⼰〲〰䌬⥑_x0018_＀＀_x0018_＀＀_x0008_＀＀_x0001_＀＀_x0001_＀＀豀碵꼝쐕_xD9EE_䝓'䅊䅖䥞䝂偟噁彇䴳㐨ㄯㄯ㤹ⰷ⼶〳ㄯ㤹ⰷ元착_x0018_＀＀_x0018_＀＀_x0008_＀＀_x0001_＀＀_x0001_＀＀卩轵Ꙭ䀯䝜(呓幘䉉彇䅐䝖㍟⡍〱ㄯ㈯〰ⰶ㈱㌯⼱〲㘰䌬⥑_x0018_＀＀_x0018_＀＀_x0008_＀＀_x0001_＀＀_x0001_＀＀휋炣㈽䀸_xDF11_䢭)䑗幃䉉彇䅐䝖㍟⡍㈱㌯⼱〲㜰〬⼳ㄳ㈯〰ⰸ元착 ＀＀_x0018_＀＀_x0010_＀＀_x0002_＀＀_x0001_＀＀셪뺋⒂䀻訲蛥䀼മ䛂_x001C_卉乌䙞彇剐䍉⡅㈱㌯⼱〲㤰Ⱜ⥄_x0018_＀＀_x0018_＀＀_x0008_＀＀_x0001_＀＀_x0001_＀＀㌳㌳댳䀢_xD9EE_䝓'䅊䅖䥞䝂偟噁彇䴳㜨ㄯ㈯〰ⰵ⼹〳㈯〰ⰵ元착_x0018_＀＀_x0018_＀＀_x0008_＀＀_x0001_＀＀_x0001_＀＀姡撂䀮䝜&amp;呓幘䉉彇䅐䝖㍟⡍⼴⼱〲㜰㘬㌯⼰〲㜰䌬⥑_x0018_＀＀_x0018_＀＀_x0008_＀＀_x0001_＀＀_x0001_＀＀ⴎ鶲꟯䀵उ䜏_x001C_䅊䅖䙞彇剐䍉⡅㌰㌯⼱〲〱Ⱜ⥄_x0018_＀＀_x0018_＀＀_x0008_＀＀_x0001_＀＀_x0001_＀＀馚香香䀘മ䛂_x001C_卉乌䙞彇剐䍉⡅㤰㌯⼰〲㤰Ⱜ⥄_x0018_＀＀_x0018_＀＀_x0008_＀＀_x0001_＀＀_x0001_＀＀㌳㌳댳䀢_xD9EE_䝓'䅊䅖䥞䝂偟噁彇䴳ㄨㄯ㈯〰ⰲ⼳ㄳ㈯〰ⰲ元착_x0018_＀＀_x0018_＀＀_x0008_＀＀_x0001_＀＀_x0001_＀＀☘Փ麣䁄_xD9EE_䝓)䅊䅖䥞䝂偟噁彇䴳ㄨ⼰⼱㤱㠹ㄬ⼲ㄳㄯ㤹ⰸ元착_x0018_＀＀_x0018_＀＀_x0008_＀＀_x0001_＀＀_x0001_＀＀肉ꡃὒ䁀䝜&amp;呓幘䉉彇䅐䝖㍟⡍⼴⼱〲㘰㘬㌯⼰〲㘰䌬⥑_x0018_＀＀_x0018_＀＀_x0008_＀＀_x0001_＀＀_x0001_＀＀҂迅弱䀸उ䜏_x001C_䅊䅖䙞彇剐䍉⡅㘰㌯⼰〲㠰Ⱜ⥄_x0018_＀＀_x0018_＀＀_x0008_＀＀_x0001_＀＀_x0001_＀＀馚香香䀘᯷䝝_x001B_呓幘䝆偟䥒䕃〨⼳ㄳ㈯〰ⰹ䐬착_x0018_＀＀_x0018_＀＀_x0008_＀＀_x0001_＀＀_x0001_＀＀蔟凫_xDEB8_䀻᯷䝝_x001B_呓幘䝆偟䥒䕃〨⼶〳㈯〰ⰷ䐬착_x0018_＀＀_x0018_＀＀_x0008_＀＀_x0001_＀＀_x0001_＀＀롑씞䀵_xD9EE_䝓'䅊䅖䥞䝂偟噁彇䴳ㄨㄯ㈯〰ⰱ⼳ㄳ㈯〰ⰱ元착_x0018_＀＀_x0018_＀＀_x0008_＀＀_x0001_＀＀_x0001_＀＀醽鈏䁘_xD9EE_䝓'䅊䅖䥞䝂偟噁彇䴳ㄨㄯㄯ㤹ⰹ⼳ㄳㄯ㤹ⰹ元착_x0018_＀＀_x0018_＀＀_x0008_＀＀_x0001_＀＀_x0001_＀＀틲才䁉®䣥_x001B_䑗幃䝆偟䥒䕃〨⼳ㄳ㈯㄰ⰰ䐬착_x0018_＀＀_x0018_＀＀_x0008_＀＀_x0001_＀＀_x0001_＀＀롒蔞ᇫ䀴_xD9EE_䝓'䅊䅖䥞䝂偟噁彇䴳㜨ㄯ㈯〰ⰴ⼹〳㈯〰ⰴ元착_x0018_＀＀_x0018_＀＀_x0008_＀＀_x0001_＀＀_x0001_＀＀佡ﰻ턵䀮௡䛂_x0017_卉乌䙞彇剐䍉⡅㤳〳ⰰ䐬착_x0018_＀＀_x0018_＀＀_x0008_＀＀_x0001_＀＀_x0001_＀＀롑蔞䀢उ䜏_x001C_䅊䅖䙞彇剐䍉⡅㈱㌯⼱〲㤰Ⱜ⥄_x0018_＀＀_x0018_＀＀_x0008_＀＀_x0001_＀＀_x0001_＀＀馚香香䀘_xD9EE_䝓'䅊䅖䥞䝂偟噁彇䴳ㄨㄯㄯ㤹ⰸ⼳ㄳㄯ㤹ⰸ元착_x0018_＀＀_x0018_＀＀_x0008_＀＀_x0001_＀＀_x0001_＀＀_xDF27_獬剣䀶®䣥_x001B_䑗幃䝆偟䥒䕃〨⼶〳㈯〰ⰸ䐬착_x0018_＀＀_x0018_＀＀_x0008_＀＀_x0001_＀＀_x0001_＀＀炤਽䏗䁁᯷䝝_x001B_呓幘䝆偟䥒䕃ㄨ⼲ㄳ㈯〰ⰸ䐬착_x0018_＀＀_x0018_＀＀_x0008_＀＀_x0001_＀＀_x0001_＀＀蔟凫_xDEB8_䀻_xD9EE_䝓'䅊䅖䥞䝂偟噁彇䴳㜨ㄯ㈯〰ⰳ⼹〳㈯〰ⰳ元착_x0018_＀＀_x0018_＀＀_x0008_＀＀_x0001_＀＀_x0001_＀＀↬轱徥䀰उ䜏_x001C_䅊䅖䙞彇剐䍉⡅㤰㌯⼰〲㤰Ⱜ⥄_x0018_＀＀_x0018_＀＀_x0008_＀＀_x0001_＀＀_x0001_＀＀馚香香䀘䝜&amp;呓幘䉉彇䅐䝖㍟⡍⼴⼱〲㔰㘬㌯⼰〲㔰䌬⥑_x0018_＀＀_x0018_＀＀_x0008_＀＀_x0001_＀＀_x0001_＀＀㌳㌳ጳ䀳᯷䝝_x001B_呓幘䝆偟䥒䕃〨⼹〳㈯〰ⰸ䐬착_x0018_＀＀_x0018_＀＀_x0008_＀＀_x0001_＀＀_x0001_＀＀蔟凫_xDEB8_䀻®䣥_x001B_䑗幃䝆偟䥒䕃ㄨ⼲ㄳ㈯〰ⰹ䐬착_x0018_＀＀_x0018_＀＀_x0008_＀＀_x0001_＀＀_x0001_＀＀롒蔞ᇫ䀴മ䛂_x001C_卉乌䙞彇剐䍉⡅㌰㌯⼱〲㤰Ⱜ⥄_x0018_＀＀_x0018_＀＀_x0008_＀＀_x0001_＀＀_x0001_＀＀㌳㌳댳䀢_xD9EE_䝓'䅊䅖䥞䝂偟噁彇䴳ㄨㄯ㈯〰ⰰ⼳ㄳ㈯〰ⰰ元착_x0018_＀＀_x0018_＀＀_x0008_＀＀_x0001_＀＀_x0001_＀＀蒶큼ள䁦മ䛂_x001C_卉乌䙞彇剐䍉⡅㘰㌯⼰〲㜰Ⱜ⥄_x0018_＀＀_x0018_＀＀_x0008_＀＀_x0001_＀＀_x0001_＀＀ꏗ㵰휊䀮㇆䞼&amp;䑗幃䉉彇䅐䝖㍟⡍⼴⼱〲㜰㘬㌯⼰〲㜰䌬⥑_x0018_＀＀_x0018_＀＀_x0008_＀＀_x0001_＀＀_x0001_＀＀呡❒ㆠ䀲®䣥_x001B_䑗幃䝆偟䥒䕃〨⼹〳㈯〰ⰹ䐬착_x0018_＀＀_x0018_＀＀_x0008_＀＀_x0001_＀＀_x0001_＀＀롒蔞ᇫ䀴_xD9EE_䝓'䅊䅖䥞䝂偟噁彇䴳ㄨㄯㄯ㤹ⰷ⼳ㄳㄯ㤹ⰷ元착_x0018_＀＀_x0018_＀＀_x0008_＀＀_x0001_＀＀_x0001_＀＀䚙讓쀱䀮उ䜏_x001C_䅊䅖䙞彇剐䍉⡅㌰㌯⼱〲㤰Ⱜ⥄_x0018_＀＀_x0018_＀＀_x0008_＀＀_x0001_＀＀_x0001_＀＀馚香香䀘മ䛂_x001C_卉乌䙞彇剐䍉⡅㈱㌯⼱〲㠰Ⱜ⥄_x0018_＀＀_x0018_＀＀_x0008_＀＀_x0001_＀＀_x0001_＀＀㌳㌳댳䀢㇆䞼&amp;䑗幃䉉彇䅐䝖㍟⡍⼴⼱〲㘰㘬㌯⼰〲㘰䌬⥑_x0018_＀＀_x0018_＀＀_x0008_＀＀_x0001_＀＀_x0001_＀＀믭싟䀳_xD9EE_䝓)䅊䅖䥞䝂偟噁彇䴳ㄨ⼰⼱〲〰ㄬ⼲ㄳ㈯〰ⰰ元착_x0018_＀＀_x0018_＀＀_x0008_＀＀_x0001_＀＀_x0001_＀＀_xDD97_뎓䁦_xD9EE_䝓'䅊䅖䥞䝂偟噁彇䴳㜨ㄯ㈯〰ⰲ⼹〳㈯〰ⰲ元착_x0018_＀＀_x0018_＀＀_x0008_＀＀_x0001_＀＀_x0001_＀＀㸇⬆﵎䀯䝜&amp;呓幘䉉彇䅐䝖㍟⡍⼴⼱〲㐰㘬㌯⼰〲㐰䌬⥑_x0018_＀＀_x0018_＀＀_x0008_＀＀_x0001_＀＀_x0001_＀＀혛ᙔօ䀫䍏䶯'䑗幃䉉彇䅐䝖㍟⡍⼱⼱〲ㄱ〬⼳ㄳ㈯㄰ⰱ元착_x0018_＀＀_x0018_＀＀_x0008_＀＀_x0001_＀＀_x0001_＀＀렼䁀헃严(䑗幃䉉彇䅐䝖㍟⡍㐰ㄯ㈯㄰ⰱ㘰㌯⼰〲ㄱ䌬⥑_x0018_＀＀_x0018_＀＀_x0008_＀＀_x0001_＀＀_x0001_＀＀鄪⽄璣䁂䝜&amp;呓幘䉉彇䅐䝖㍟⡍⼱⼱〲㜰㌬㌯⼱〲㜰䌬⥑_x0018_＀＀_x0018_＀＀_x0008_＀＀_x0001_＀＀_x0001_＀＀Ꞝ䀹മ䛂_x001C_卉乌䙞彇剐䍉⡅㤰㌯⼰〲㠰Ⱜ⥄_x0018_＀＀_x0018_＀＀_x0008_＀＀_x0001_＀＀_x0001_＀＀㌳㌳댳䀢®䣥_x001B_䑗幃䝆偟䥒䕃〨⼳ㄳ㈯〰ⰹ䐬착_x0018_＀＀_x0018_＀＀_x0008_＀＀_x0001_＀＀_x0001_＀＀롒蔞ᇫ䀴_xD9EE_䝓'䅊䅖䥞䝂偟噁彇䴳㜨ㄯㄯ㤹ⰹ⼹〳ㄯ㤹ⰹ元착_x0018_＀＀_x0018_＀＀_x0008_＀＀_x0001_＀＀_x0001_＀＀老魦䤛䁓䝜&amp;呓幘䉉彇䅐䝖㍟⡍⼴⼱〲㌰㘬㌯⼰〲㌰䌬⥑_x0018_＀＀_x0018_＀＀_x0008_＀＀_x0001_＀＀_x0001_＀＀쩓╫㝴䀫䝜(呓幘䉉彇䅐䝖㍟⡍〱ㄯ㈯〰ⰱ㈱㌯⼱〲㄰䌬⥑_x0018_＀＀_x0018_＀＀_x0008_＀＀_x0001_＀＀_x0001_＀＀豀碵꼝쐕᯷䝝_x001B_呓幘䝆偟䥒䕃〨⼳ㄳ㈯〰ⰸ䐬착_x0018_＀＀_x0018_＀＀_x0008_＀＀_x0001_＀＀_x0001_＀＀蔟凫_xDEB8_䀻㇆䞼(䑗幃䉉彇䅐䝖㍟⡍〱ㄯ㈯〰ⰳ㈱㌯⼱〲㌰䌬⥑_x0018_＀＀_x0018_＀＀_x0008_＀＀_x0001_＀＀_x0001_＀＀濉집⭒䀩_xD9EE_䝓)䅊䅖䥞䝂偟噁彇䴳ㄨ⼰⼱〲㈰ㄬ⼲ㄳ㈯〰ⰲ元착_x0018_＀＀_x0018_＀＀_x0008_＀＀_x0001_＀＀_x0001_＀＀舎嚎貵䀩௠䛂'卉乌䥞䝂偟噁彇䴳㐨ㄯ㈯〰ⰷ⼶〳㈯〰ⰷ元착_x0018_＀＀_x0018_＀＀_x0008_＀＀_x0001_＀＀_x0001_＀＀꛵ᔢۆ䀮㇆䞼&amp;䑗幃䉉彇䅐䝖㍟⡍⼴⼱〲㔰㘬㌯⼰〲㔰䌬⥑_x0018_＀＀_x0018_＀＀_x0008_＀＀_x0001_＀＀_x0001_＀＀ꧦ夎䀫㇆䞼(䑗幃䉉彇䅐䝖㍟⡍〱ㄯ㈯〰ⰵ㈱㌯⼱〲㔰䌬⥑_x0018_＀＀_x0018_＀＀_x0008_＀＀_x0001_＀＀_x0001_＀＀뙷ꝇ䀫उ䜏_x001C_䅊䅖䙞彇剐䍉⡅㈱㌯⼱〲㠰Ⱜ⥄_x0018_＀＀_x0018_＀＀_x0008_＀＀_x0001_＀＀_x0001_＀＀馚香香䀘_xD9EE_䝓'䅊䅖䥞䝂偟噁彇䴳㜨ㄯ㈯〰ⰱ⼹〳㈯〰ⰱ元착_x0018_＀＀_x0018_＀＀_x0008_＀＀_x0001_＀＀_x0001_＀＀鄪⽄撣䁋®䣥_x001B_䑗幃䝆偟䥒䕃〨⼶〳㈯〰ⰷ䐬착_x0018_＀＀_x0018_＀＀_x0008_＀＀_x0001_＀＀_x0001_＀＀馚香妙䀳᯷䝝_x001B_呓幘䝆偟䥒䕃ㄨ⼲ㄳ㈯〰ⰷ䐬착_x0018_＀＀_x0018_＀＀_x0008_＀＀_x0001_＀＀_x0001_＀＀蔟凫_xDEB8_䀻䝜&amp;呓幘䉉彇䅐䝖㍟⡍⼱⼱〲㘰㌬㌯⼱〲㘰䌬⥑_x0018_＀＀_x0018_＀＀_x0008_＀＀_x0001_＀＀_x0001_＀＀봓抌ﶹ䀸䝜(呓幘䉉彇䅐䝖㍟⡍〱ㄯ㈯〰ⰳ㈱㌯⼱〲㌰䌬⥑_x0018_＀＀_x0018_＀＀_x0008_＀＀_x0001_＀＀_x0001_＀＀⾙쀯䈾䀶_xD9EE_䝓'䅊䅖䥞䝂偟噁彇䴳㜨ㄯ㈯〰ⰰ⼹〳㈯〰ⰰ元착_x0018_＀＀_x0018_＀＀_x0008_＀＀_x0001_＀＀_x0001_＀＀꫎헏꩖䁫_xD9EE_䝓'䅊䅖䥞䝂偟噁彇䴳㜨ㄯㄯ㤹ⰸ⼹〳ㄯ㤹ⰸ元착_x0018_＀＀_x0018_＀＀_x0008_＀＀_x0001_＀＀_x0001_＀＀ㄒ鈥귨䀷उ䜏_x001C_䅊䅖䙞彇剐䍉⡅㤰㌯⼰〲㠰Ⱜ⥄_x0018_＀＀_x0018_＀＀_x0008_＀＀_x0001_＀＀_x0001_＀＀馚香香䀘䝜&amp;呓幘䉉彇䅐䝖㍟⡍⼴⼱〲㈰㘬㌯⼰〲㈰䌬⥑_x0018_＀＀_x0018_＀＀_x0008_＀＀_x0001_＀＀_x0001_＀＀豀碵꼝쐕᯷䝝_x001B_呓幘䝆偟䥒䕃〨⼹〳㈯〰ⰷ䐬착_x0018_＀＀_x0018_＀＀_x0008_＀＀_x0001_＀＀_x0001_＀＀긕鑺䀹®䣥_x001B_䑗幃䝆偟䥒䕃ㄨ⼲ㄳ㈯〰ⰸ䐬착_x0018_＀＀_x0018_＀＀_x0008_＀＀_x0001_＀＀_x0001_＀＀롒蔞ᇫ䀴䝜&amp;呓幘䉉彇䅐䝖㍟⡍⼱⼱〲㔰㌬㌯⼱〲㔰䌬⥑_x0018_＀＀_x0018_＀＀_x0008_＀＀_x0001_＀＀_x0001_＀＀嬄堥䀱മ䛂_x001C_卉乌䙞彇剐䍉⡅㌰㌯⼱〲㠰Ⱜ⥄_x0018_＀＀_x0018_＀＀_x0008_＀＀_x0001_＀＀_x0001_＀＀㌳㌳댳䀢୒䴶(䑗幃䉉彇䅐䝖㍟⡍〱ㄯ㈯㄰ⰰ㈱㌯⼱〲〱䌬⥑_x0018_＀＀_x0018_＀＀_x0008_＀＀_x0001_＀＀_x0001_＀＀䘠輈㘶䁀_xD9EE_䝓'䅊䅖䥞䝂偟噁彇䴳㜨ㄯㄯ㤹ⰷ⼹〳ㄯ㤹ⰷ元착_x0018_＀＀_x0018_＀＀_x0008_＀＀_x0001_＀＀_x0001_＀＀㺬字枱䀷_xD9EE_䝓)䅊䅖䥞䝂偟噁彇䴳ㄨ⼰⼱〲㐰ㄬ⼲ㄳ㈯〰ⰴ元착_x0018_＀＀_x0018_＀＀_x0008_＀＀_x0001_＀＀_x0001_＀＀书얗仄䀳㇑䞼(䑗幃䉉彇䅐䝖㍟⡍〱ㄯ㈯〰ⰷ㈱㌯⼱〲㜰䌬⥑_x0018_＀＀_x0018_＀＀_x0008_＀＀_x0001_＀＀_x0001_＀＀셪뺋⒂䀻잯䝓'䅊䅖䥞䝂偟噁彇䴳㐨ㄯ㈯〰ⰷ⼶〳㈯〰ⰷ元착_x0018_＀＀_x0018_＀＀_x0008_＀＀_x0001_＀＀_x0001_＀＀큓◭榍䀵㇆䞼&amp;䑗幃䉉彇䅐䝖㍟⡍⼴⼱〲㐰㘬㌯⼰〲㐰䌬⥑_x0018_＀＀_x0018_＀＀_x0008_＀＀_x0001_＀＀_x0001_＀＀ﴳ釖䀢®䣥_x001B_䑗幃䝆偟䥒䕃〨⼹〳㈯〰ⰸ䐬착_x0018_＀＀_x0018_＀＀_x0008_＀＀_x0001_＀＀_x0001_＀＀롒蔞凫䀵उ䜏_x001C_䅊䅖䙞彇剐䍉⡅㌰㌯⼱〲㠰Ⱜ⥄_x0018_＀＀_x0018_＀＀_x0008_＀＀_x0001_＀＀_x0001_＀＀馚香香䀘㇆䞼&amp;䑗幃䉉彇䅐䝖㍟⡍⼱⼱〲㜰㌬㌯⼱〲㜰䌬⥑_x0018_＀＀_x0018_＀＀_x0008_＀＀_x0001_＀＀_x0001_＀＀旾ᅡ䀳䝜(呓幘䉉彇䅐䝖㍟⡍〱ㄯ㈯〰ⰵ㈱㌯⼱〲㔰䌬⥑_x0018_＀＀_x0018_＀＀_x0008_＀＀_x0001_＀＀_x0001_＀＀䗌❼ﵦ䀰മ䛂_x001C_卉乌䙞彇剐䍉⡅㈱㌯⼱〲㜰Ⱜ⥄_x0018_＀＀_x0018_＀＀_x0008_＀＀_x0001_＀＀_x0001_＀＀㌳㌳댳䀢䝜&amp;呓幘䉉彇䅐䝖㍟⡍⼷⼱〲㜰㤬㌯⼰〲㜰䌬⥑_x0018_＀＀_x0018_＀＀_x0008_＀＀_x0001_＀＀_x0001_＀＀没ᗊ䗞䀸㇆䞼&amp;䑗幃䉉彇䅐䝖㍟⡍⼴⼱〲㌰㘬㌯⼰〲㌰䌬⥑_x0018_＀＀_x0018_＀＀_x0008_＀＀_x0001_＀＀_x0001_＀＀蜫_xD916_䀤䝜&amp;呓幘䉉彇䅐䝖㍟⡍⼴⼱〲㄰㘬㌯⼰〲㄰䌬⥑_x0018_＀＀_x0018_＀＀_x0008_＀＀_x0001_＀＀_x0001_＀＀豀碵꼝쐕잯䝓)䅊䅖䥞䝂偟噁彇䴳ㄨ⼰⼱〲㘰ㄬ⼲ㄳ㈯〰ⰶ元착_x0018_＀＀_x0018_＀＀_x0008_＀＀_x0001_＀＀_x0001_＀＀勓㭹秂䀵മ䛂_x001C_卉乌䙞彇剐䍉⡅㤰㌯⼰〲㜰Ⱜ⥄_x0018_＀＀_x0018_＀＀_x0008_＀＀_x0001_＀＀_x0001_＀＀㌳㌳댳䀢®䣥_x001B_䑗幃䝆偟䥒䕃〨⼳ㄳ㈯〰ⰸ䐬착_x0018_＀＀_x0018_＀＀_x0008_＀＀_x0001_＀＀_x0001_＀＀휊炣਽䀻䝜&amp;呓幘䉉彇䅐䝖㍟⡍⼱⼱〲㐰㌬㌯⼱〲㐰䌬⥑_x0018_＀＀_x0018_＀＀_x0008_＀＀_x0001_＀＀_x0001_＀＀ﺇ⸉㑖䀱᯷䝝_x001B_呓幘䝆偟䥒䕃〨⼶〳㈯㄰ⰰ䐬착_x0018_＀＀_x0018_＀＀_x0008_＀＀_x0001_＀＀_x0001_＀＀蔟凫_xDEB8_䀻뛿䯐(䑗幃䉉彇䅐䝖㍟⡍〱ㄯ㈯〰ⰹ㈱㌯⼱〲㤰䌬⥑_x0018_＀＀_x0018_＀＀_x0008_＀＀_x0001_＀＀_x0001_＀＀ⴤ랕ᰣ䁃쫧䭘&amp;䑗幃䉉彇䅐䝖㍟⡍⼷⼱〲㤰㤬㌯⼰〲㤰䌬⥑_x0018_＀＀_x0018_＀＀_x0008_＀＀_x0001_＀＀_x0001_＀＀塺㖨䀿_xD9EE_䝓'䅊䅖䥞䝂偟噁彇䴳㜨ㄯㄯ㤹ⰶ⼹〳ㄯ㤹ⰶ元착_x0018_＀＀_x0018_＀＀_x0008_＀＀_x0001_＀＀_x0001_＀＀ᴔ엉䀫_xD9EE_䝓'䅊䅖䥞䝂偟噁彇䴳㐨ㄯ㈯〰ⰶ⼶〳㈯〰ⰶ元착_x0018_＀＀_x0018_＀＀_x0008_＀＀_x0001_＀＀_x0001_＀＀䊅ᰄꕂ䀲_xD9EE_䝓)䅊䅖䥞䝂偟噁彇䴳ㄨ⼰⼱㤱㜹ㄬ⼲ㄳㄯ㤹ⰷ元착_x0018_＀＀_x0018_＀＀_x0008_＀＀_x0001_＀＀_x0001_＀＀㈣岍䀳展䞬(呓幘䉉彇䅐䝖㍟⡍〱ㄯ㈯〰ⰷ㈱㌯⼱〲㜰䌬⥑_x0018_＀＀_x0018_＀＀_x0008_＀＀_x0001_＀＀_x0001_＀＀荼䰯늦䀺㇆䞼&amp;䑗幃䉉彇䅐䝖㍟⡍⼱⼱〲㘰㌬㌯⼱〲㘰䌬⥑_x0018_＀＀_x0018_＀＀_x0008_＀＀_x0001_＀＀_x0001_＀＀퍰ﶟ⥈䀵_xD9EE_䝓'䅊䅖䥞䝂偟噁彇䴳㐨ㄯ㈯〰ⰵ⼶〳㈯〰ⰵ元착_x0018_＀＀_x0018_＀＀_x0008_＀＀_x0001_＀＀_x0001_＀＀ỻퟵ氫䀮䝜&amp;呓幘䉉彇䅐䝖㍟⡍⼷⼱〲㘰㤬㌯⼰〲㘰䌬⥑_x0018_＀＀_x0018_＀＀_x0008_＀＀_x0001_＀＀_x0001_＀＀▄_x001E_䀶उ䜏_x001C_䅊䅖䙞彇剐䍉⡅㈱㌯⼱〲㜰Ⱜ⥄_x0018_＀＀_x0018_＀＀_x0008_＀＀_x0001_＀＀_x0001_＀＀馚香香䀘䧰)䑗幃䉉彇䅐䝖㍟⡍㈱㌯⼱〲㠰〬⼳ㄳ㈯〰ⰹ元착 ＀＀_x0018_＀＀_x0010_＀＀_x0002_＀＀_x0001_＀＀❧ꎃ_xDDE4_䀫䎁动鞳䀮௠䛂'卉乌䥞䝂偟噁彇䴳ㄨㄯ㈯〰ⰷ⼳ㄳ㈯〰ⰷ元착_x0018_＀＀_x0018_＀＀_x0008_＀＀_x0001_＀＀_x0001_＀＀ފ䶔芹䀵㇆䞼&amp;䑗幃䉉彇䅐䝖㍟⡍⼱⼱〲㔰㌬㌯⼱〲㔰䌬⥑_x0018_＀＀_x0018_＀＀_x0008_＀＀_x0001_＀＀_x0001_＀＀쿺ᾚ䥿䀦䝜&amp;呓幘䉉彇䅐䝖㍟⡍⼱⼱〲㌰㌬㌯⼱〲㌰䌬⥑_x0018_＀＀_x0018_＀＀_x0008_＀＀_x0001_＀＀_x0001_＀＀늍㍾紱䀣उ䜏_x001C_䅊䅖䙞彇剐䍉⡅㤰㌯⼰〲㜰Ⱜ⥄_x0018_＀＀_x0018_＀＀_x0008_＀＀_x0001_＀＀_x0001_＀＀ᑻ䞮竡䀖䤀&amp;䑗幃䉉彇䅐䝖㍟⡍⼷⼱〲㠰㤬㌯⼰〲㠰䌬⥑_x0018_＀＀_x0018_＀＀_x0008_＀＀_x0001_＀＀_x0001_＀＀㭥俟垍䀼_xD9EE_䝓)䅊䅖䥞䝂偟噁彇䴳ㄨ⼰⼱㤱㤹ㄬ⼲ㄳㄯ㤹ⰹ元착_x0018_＀＀_x0018_＀＀_x0008_＀＀_x0001_＀＀_x0001_＀＀윑뢺悍䁞࿓䜎&amp;䅊䅖䥞䝂偟噁彇䴳㐨ㄯ㈯〰㘬㌯⼰〲㜰䌬⥑ர＀＀_x0018_＀＀஠＀＀Ŵ＀＀_x0001_＀＀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㢨밎乚䀕눹쯲ﱠ䀔뾔䝻榍䀕®䣥_x001B_䑗幃䝆偟䥒䕃ㄨ⼲ㄳ㈯〰ⰷ䐬착_x0018_＀＀_x0018_＀＀_x0008_＀＀_x0001_＀＀_x0001_＀＀⣶轜㗂䀾മ䛂_x001C_卉乌䙞彇剐䍉⡅㌰㌯⼱〲㜰Ⱜ⥄_x0018_＀＀_x0018_＀＀_x0008_＀＀_x0001_＀＀_x0001_＀＀凬Ẹ⮅䀰䝜&amp;呓幘䉉彇䅐䝖㍟⡍⼱⼱〲㈰㌬㌯⼱〲㈰䌬⥑_x0018_＀＀_x0018_＀＀_x0008_＀＀_x0001_＀＀_x0001_＀＀豀碵꼝쐕㇑䞼&amp;䑗幃䉉彇䅐䝖㍟⡍⼷⼱〲㜰㤬㌯⼰〲㜰䌬⥑_x0018_＀＀_x0018_＀＀_x0008_＀＀_x0001_＀＀_x0001_＀＀癋Ѭ䀵_xD9EE_䝓'䅊䅖䥞䝂偟噁彇䴳㐨ㄯ㈯〰ⰴ⼶〳㈯〰ⰴ元착_x0018_＀＀_x0018_＀＀_x0008_＀＀_x0001_＀＀_x0001_＀＀瀑唈왪䀰®䣥_x001B_䑗幃䝆偟䥒䕃〨⼹〳㈯〰ⰷ䐬착_x0018_＀＀_x0018_＀＀_x0008_＀＀_x0001_＀＀_x0001_＀＀롒蔞凫䀹䝜&amp;呓幘䉉彇䅐䝖㍟⡍⼷⼱〲㔰㤬㌯⼰〲㔰䌬⥑_x0018_＀＀_x0018_＀＀_x0008_＀＀_x0001_＀＀_x0001_＀＀岼矄繢䀱उ䜏_x001C_慪慶䙞彇剐䍉⡅㘰㌯⼰〲㜰Ⱜ⥄_x0018_＀＀_x0018_＀＀_x0008_＀＀_x0001_＀＀_x0001_＀＀휊炣਽䀕잯䝓'䅊䅖䥞䝂偟噁彇䴳ㄨㄯ㈯〰ⰷ⼳ㄳ㈯〰ⰷ元착_x0018_＀＀_x0018_＀＀_x0008_＀＀_x0001_＀＀_x0001_＀＀만圔궕䀸㇆䞼&amp;䑗幃䉉彇䅐䝖㍟⡍⼱⼱〲㐰㌬㌯⼱〲㐰䌬⥑_x0018_＀＀_x0018_＀＀_x0008_＀＀_x0001_＀＀_x0001_＀＀쉶灋寪䀦᯷䝝_x001B_呓幘䝆偟䥒䕃〨⼶〳㈯〰ⰹ䐬착_x0018_＀＀_x0018_＀＀_x0008_＀＀_x0001_＀＀_x0001_＀＀蔟凫_xDEB8_䀻മ䛂_x001C_卉乌䙞彇剐䍉⡅㈱㌯⼱〲㘰Ⱜ⥄_x0018_＀＀_x0018_＀＀_x0008_＀＀_x0001_＀＀_x0001_＀＀蔟凫庸䀻䝜&amp;呓幘䉉彇䅐䝖㍟⡍⼷⼱〲㐰㤬㌯⼰〲㐰䌬⥑_x0018_＀＀_x0018_＀＀_x0008_＀＀_x0001_＀＀_x0001_＀＀ꘪ俒錸䀨㇆䞼&amp;䑗幃䉉彇䅐䝖㍟⡍⼱⼱〲㌰㌬㌯⼱〲㌰䌬⥑_x0018_＀＀_x0018_＀＀_x0008_＀＀_x0001_＀＀_x0001_＀＀豺쳲䀞उ䜏_x001C_䅊䅖䙞彇剐䍉⡅㘰㌯⼰〲〱Ⱜ⥄_x0018_＀＀_x0018_＀＀_x0008_＀＀_x0001_＀＀_x0001_＀＀馚香香䀘䝜&amp;呓幘䉉彇䅐䝖㍟⡍⼱⼱〲㄰㌬㌯⼱〲㄰䌬⥑_x0018_＀＀_x0018_＀＀_x0008_＀＀_x0001_＀＀_x0001_＀＀豀碵꼝쐕찏争&amp;䑗幃䉉彇䅐䝖㍟⡍⼷⼱〲ㄱ㤬㌯⼰〲ㄱ䌬⥑_x0018_＀＀_x0018_＀＀_x0008_＀＀_x0001_＀＀_x0001_＀＀ꗹ_xDE7E_葔䀿㇆䞼&amp;䑗幃䉉彇䅐䝖㍟⡍⼷⼱〲㘰㤬㌯⼰〲㘰䌬⥑_x0018_＀＀_x0018_＀＀_x0008_＀＀_x0001_＀＀_x0001_＀＀늖焌뎬䀱뛿䯐'䑗幃䉉彇䅐䝖㍟⡍⼱⼱〲〱〬⼳ㄳ㈯㄰ⰰ元착_x0018_＀＀_x0018_＀＀_x0008_＀＀_x0001_＀＀_x0001_＀＀䆟_xFFFF_ｃ霄䁄屗䱇(䑗幃䉉彇䅐䝖㍟⡍㐰ㄯ㈯㄰ⰰ㘰㌯⼰〲〱䌬⥑_x0018_＀＀_x0018_＀＀_x0008_＀＀_x0001_＀＀_x0001_＀＀ៗ洉쬹䁂_xD9EE_䝓'䅊䅖䥞䝂偟噁彇䴳㐨ㄯ㈯〰ⰳ⼶〳㈯〰ⰳ元착_x0018_＀＀_x0018_＀＀_x0008_＀＀_x0001_＀＀_x0001_＀＀걇Ʂ栀䀰䝜(呓幘䉉彇䅐䝖㍟⡍〱ㄯ㈯〰ⰰ㈱㌯⼱〲〰䌬⥑_x0018_＀＀_x0018_＀＀_x0008_＀＀_x0001_＀＀_x0001_＀＀豀碵꼝쐕_xD9EE_䝓'䅊䅖䥞䝂偟噁彇䴳ㄨㄯ㈯〰ⰶ⼳ㄳ㈯〰ⰶ元착_x0018_＀＀_x0018_＀＀_x0008_＀＀_x0001_＀＀_x0001_＀＀Λ猄⃴䀲®䣥_x001B_䑗幃䝆偟䥒䕃〨⼶〳㈯㄰ⰰ䐬착_x0018_＀＀_x0018_＀＀_x0008_＀＀_x0001_＀＀_x0001_＀＀롒蔞ᇫ䀴മ䛂_x001C_卉乌䙞彇剐䍉⡅㘰㌯⼰〲㤰Ⱜ⥄_x0018_＀＀_x0018_＀＀_x0008_＀＀_x0001_＀＀_x0001_＀＀㌳㌳댳䀢_xD9EE_䝓'䅊䅖䥞䝂偟噁彇䴳㐨ㄯ㈯〰ⰲ⼶〳㈯〰ⰲ元착_x0018_＀＀_x0018_＀＀_x0008_＀＀_x0001_＀＀_x0001_＀＀藱哉냁䀼䝜&amp;呓幘䉉彇䅐䝖㍟⡍⼷⼱〲㌰㤬㌯⼰〲㌰䌬⥑_x0018_＀＀_x0018_＀＀_x0008_＀＀_x0001_＀＀_x0001_＀＀㈣岍䀶㇆䞼(䑗幃䉉彇䅐䝖㍟⡍〱ㄯ㈯〰ⰲ㈱㌯⼱〲㈰䌬⥑_x0018_＀＀_x0018_＀＀_x0008_＀＀_x0001_＀＀_x0001_＀＀躗켹럘䀚_xD9EE_䝓)䅊䅖䥞䝂偟噁彇䴳ㄨ⼰⼱〲㄰ㄬ⼲ㄳ㈯〰ⰱ元착_x0018_＀＀_x0018_＀＀_x0008_＀＀_x0001_＀＀_x0001_＀＀읥⁆⍞䁇_xD9EE_䝓'䅊䅖䥞䝂偟噁彇䴳㐨ㄯㄯ㤹ⰹ⼶〳ㄯ㤹ⰹ元착_x0018_＀＀_x0018_＀＀_x0008_＀＀_x0001_＀＀_x0001_＀＀ᨣ䇝䁎ݎ䲾&amp;䑗幃䉉彇䅐䝖㍟⡍⼷⼱〲〱㤬㌯⼰〲〱䌬⥑_x0018_＀＀_x0018_＀＀_x0008_＀＀_x0001_＀＀_x0001_＀＀듍⯽攫䀻㇆䞼&amp;䑗幃䉉彇䅐䝖㍟⡍⼷⼱〲㔰㤬㌯⼰〲㔰䌬⥑_x0018_＀＀_x0018_＀＀_x0008_＀＀_x0001_＀＀_x0001_＀＀ﶢ䀫</t>
        </r>
      </text>
    </comment>
    <comment ref="B1" authorId="0">
      <text>
        <r>
          <rPr>
            <b/>
            <sz val="8"/>
            <color indexed="81"/>
            <rFont val="Tahoma"/>
            <family val="2"/>
          </rPr>
          <t>8210</t>
        </r>
      </text>
    </comment>
  </commentList>
</comments>
</file>

<file path=xl/comments2.xml><?xml version="1.0" encoding="utf-8"?>
<comments xmlns="http://schemas.openxmlformats.org/spreadsheetml/2006/main">
  <authors>
    <author>schmitzs</author>
    <author>Schmitz, Scott (Research)</author>
    <author>Elliott, Elizabeth (Research)</author>
    <author>kogay</author>
    <author>chenfei</author>
    <author>Huberty, Katy L (Research)</author>
  </authors>
  <commentList>
    <comment ref="AO11" authorId="0">
      <text>
        <r>
          <rPr>
            <b/>
            <sz val="8"/>
            <color indexed="81"/>
            <rFont val="Tahoma"/>
            <family val="2"/>
          </rPr>
          <t>schmitzs:</t>
        </r>
        <r>
          <rPr>
            <sz val="8"/>
            <color indexed="81"/>
            <rFont val="Tahoma"/>
            <family val="2"/>
          </rPr>
          <t xml:space="preserve">
14 week qtr</t>
        </r>
      </text>
    </comment>
    <comment ref="BJ11" authorId="1">
      <text>
        <r>
          <rPr>
            <b/>
            <sz val="9"/>
            <color indexed="81"/>
            <rFont val="Tahoma"/>
            <family val="2"/>
          </rPr>
          <t>14 week qtr</t>
        </r>
      </text>
    </comment>
    <comment ref="BL11" authorId="2">
      <text>
        <r>
          <rPr>
            <b/>
            <sz val="9"/>
            <color indexed="81"/>
            <rFont val="Tahoma"/>
            <family val="2"/>
          </rPr>
          <t>Elliott, Elizabeth (Research):</t>
        </r>
        <r>
          <rPr>
            <sz val="9"/>
            <color indexed="81"/>
            <rFont val="Tahoma"/>
            <family val="2"/>
          </rPr>
          <t xml:space="preserve">
Prior guidance $3.6-3.7M</t>
        </r>
      </text>
    </comment>
    <comment ref="BM11" authorId="2">
      <text>
        <r>
          <rPr>
            <b/>
            <sz val="9"/>
            <color indexed="81"/>
            <rFont val="Tahoma"/>
            <family val="2"/>
          </rPr>
          <t>Elliott, Elizabeth (Research):</t>
        </r>
        <r>
          <rPr>
            <sz val="9"/>
            <color indexed="81"/>
            <rFont val="Tahoma"/>
            <family val="2"/>
          </rPr>
          <t xml:space="preserve">
Prior guidance $3.3B-3.4B</t>
        </r>
      </text>
    </comment>
    <comment ref="BN11" authorId="2">
      <text>
        <r>
          <rPr>
            <b/>
            <sz val="9"/>
            <color indexed="81"/>
            <rFont val="Tahoma"/>
            <family val="2"/>
          </rPr>
          <t>Elliott, Elizabeth (Research):</t>
        </r>
        <r>
          <rPr>
            <sz val="9"/>
            <color indexed="81"/>
            <rFont val="Tahoma"/>
            <family val="2"/>
          </rPr>
          <t xml:space="preserve">
Preannounced $3.4B
Guided for $3.2-3.3B</t>
        </r>
      </text>
    </comment>
    <comment ref="BO11" authorId="2">
      <text>
        <r>
          <rPr>
            <b/>
            <sz val="9"/>
            <color indexed="81"/>
            <rFont val="Tahoma"/>
            <family val="2"/>
          </rPr>
          <t>Elliott, Elizabeth (Research):</t>
        </r>
        <r>
          <rPr>
            <sz val="9"/>
            <color indexed="81"/>
            <rFont val="Tahoma"/>
            <family val="2"/>
          </rPr>
          <t xml:space="preserve">
Guided $3.3B-$3.4B</t>
        </r>
      </text>
    </comment>
    <comment ref="BP11" authorId="2">
      <text>
        <r>
          <rPr>
            <b/>
            <sz val="9"/>
            <color indexed="81"/>
            <rFont val="Tahoma"/>
            <family val="2"/>
          </rPr>
          <t>Elliott, Elizabeth (Research):</t>
        </r>
        <r>
          <rPr>
            <sz val="9"/>
            <color indexed="81"/>
            <rFont val="Tahoma"/>
            <family val="2"/>
          </rPr>
          <t xml:space="preserve">
Guided $2.8-2.9</t>
        </r>
      </text>
    </comment>
    <comment ref="BQ11" authorId="2">
      <text>
        <r>
          <rPr>
            <b/>
            <sz val="9"/>
            <color indexed="81"/>
            <rFont val="Tahoma"/>
            <family val="2"/>
          </rPr>
          <t xml:space="preserve">Elliott, Elizabeth (Research):
</t>
        </r>
        <r>
          <rPr>
            <sz val="9"/>
            <color indexed="81"/>
            <rFont val="Tahoma"/>
            <family val="2"/>
          </rPr>
          <t>Pre announced $3.46</t>
        </r>
        <r>
          <rPr>
            <b/>
            <sz val="9"/>
            <color indexed="81"/>
            <rFont val="Tahoma"/>
            <family val="2"/>
          </rPr>
          <t xml:space="preserve">
</t>
        </r>
        <r>
          <rPr>
            <sz val="9"/>
            <color indexed="81"/>
            <rFont val="Tahoma"/>
            <family val="2"/>
          </rPr>
          <t>Guidance WD + SNDK $3.35B-$3.45B</t>
        </r>
      </text>
    </comment>
    <comment ref="BR11" authorId="2">
      <text>
        <r>
          <rPr>
            <b/>
            <sz val="9"/>
            <color indexed="81"/>
            <rFont val="Tahoma"/>
            <family val="2"/>
          </rPr>
          <t>Elliott, Elizabeth (Research):</t>
        </r>
        <r>
          <rPr>
            <sz val="9"/>
            <color indexed="81"/>
            <rFont val="Tahoma"/>
            <family val="2"/>
          </rPr>
          <t xml:space="preserve">
Guidance increased to $4.45-$4.55, from $4.4-$4.5 prior</t>
        </r>
      </text>
    </comment>
    <comment ref="BS11" authorId="2">
      <text>
        <r>
          <rPr>
            <b/>
            <sz val="9"/>
            <color indexed="81"/>
            <rFont val="Tahoma"/>
            <family val="2"/>
          </rPr>
          <t>Elliott, Elizabeth (Research):</t>
        </r>
        <r>
          <rPr>
            <sz val="9"/>
            <color indexed="81"/>
            <rFont val="Tahoma"/>
            <family val="2"/>
          </rPr>
          <t xml:space="preserve">
Updated guidance $4.75, up from prior guidance for roughly flat Q/Q</t>
        </r>
      </text>
    </comment>
    <comment ref="BT11" authorId="2">
      <text>
        <r>
          <rPr>
            <b/>
            <sz val="9"/>
            <color indexed="81"/>
            <rFont val="Tahoma"/>
            <family val="2"/>
          </rPr>
          <t>Elliott, Elizabeth (Research):</t>
        </r>
        <r>
          <rPr>
            <sz val="9"/>
            <color indexed="81"/>
            <rFont val="Tahoma"/>
            <family val="2"/>
          </rPr>
          <t xml:space="preserve">
Guided $4.55</t>
        </r>
      </text>
    </comment>
    <comment ref="BU11" authorId="2">
      <text>
        <r>
          <rPr>
            <b/>
            <sz val="9"/>
            <color indexed="81"/>
            <rFont val="Tahoma"/>
            <family val="2"/>
          </rPr>
          <t>Elliott, Elizabeth (Research):</t>
        </r>
        <r>
          <rPr>
            <sz val="9"/>
            <color indexed="81"/>
            <rFont val="Tahoma"/>
            <family val="2"/>
          </rPr>
          <t xml:space="preserve">
Pre announced 6/26, in line with guidance $4.8B</t>
        </r>
      </text>
    </comment>
    <comment ref="BV11" authorId="2">
      <text>
        <r>
          <rPr>
            <b/>
            <sz val="9"/>
            <color indexed="81"/>
            <rFont val="Tahoma"/>
            <family val="2"/>
          </rPr>
          <t>Elliott, Elizabeth (Research):</t>
        </r>
        <r>
          <rPr>
            <sz val="9"/>
            <color indexed="81"/>
            <rFont val="Tahoma"/>
            <family val="2"/>
          </rPr>
          <t xml:space="preserve">
Guidance $5.1B</t>
        </r>
      </text>
    </comment>
    <comment ref="BW11" authorId="2">
      <text>
        <r>
          <rPr>
            <b/>
            <sz val="9"/>
            <color indexed="81"/>
            <rFont val="Tahoma"/>
            <family val="2"/>
          </rPr>
          <t>Elliott, Elizabeth (Research):</t>
        </r>
        <r>
          <rPr>
            <sz val="9"/>
            <color indexed="81"/>
            <rFont val="Tahoma"/>
            <family val="2"/>
          </rPr>
          <t xml:space="preserve">
Pre announced $5.3B, prior guidance $5.2-5.3</t>
        </r>
      </text>
    </comment>
    <comment ref="BX11" authorId="2">
      <text>
        <r>
          <rPr>
            <b/>
            <sz val="9"/>
            <color indexed="81"/>
            <rFont val="Tahoma"/>
            <family val="2"/>
          </rPr>
          <t>Elliott, Elizabeth (Research):</t>
        </r>
        <r>
          <rPr>
            <sz val="9"/>
            <color indexed="81"/>
            <rFont val="Tahoma"/>
            <family val="2"/>
          </rPr>
          <t xml:space="preserve">
normal seasonal decline in 2H18</t>
        </r>
      </text>
    </comment>
    <comment ref="CV11" authorId="2">
      <text>
        <r>
          <rPr>
            <b/>
            <sz val="9"/>
            <color indexed="81"/>
            <rFont val="Tahoma"/>
            <family val="2"/>
          </rPr>
          <t>Elliott, Elizabeth (Research):</t>
        </r>
        <r>
          <rPr>
            <sz val="9"/>
            <color indexed="81"/>
            <rFont val="Tahoma"/>
            <family val="2"/>
          </rPr>
          <t xml:space="preserve">
High end of long term model of 4-8%</t>
        </r>
      </text>
    </comment>
    <comment ref="DX11" authorId="2">
      <text>
        <r>
          <rPr>
            <b/>
            <sz val="9"/>
            <color indexed="81"/>
            <rFont val="Tahoma"/>
            <family val="2"/>
          </rPr>
          <t>Elliott, Elizabeth (Research):</t>
        </r>
        <r>
          <rPr>
            <sz val="9"/>
            <color indexed="81"/>
            <rFont val="Tahoma"/>
            <family val="2"/>
          </rPr>
          <t xml:space="preserve">
High end of long term model of 4-8%</t>
        </r>
      </text>
    </comment>
    <comment ref="DV16"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DW16"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DX16"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D22" authorId="0">
      <text>
        <r>
          <rPr>
            <b/>
            <sz val="8"/>
            <color indexed="81"/>
            <rFont val="Tahoma"/>
            <family val="2"/>
          </rPr>
          <t>schmitzs:</t>
        </r>
        <r>
          <rPr>
            <sz val="8"/>
            <color indexed="81"/>
            <rFont val="Tahoma"/>
            <family val="2"/>
          </rPr>
          <t xml:space="preserve">
MS estimate</t>
        </r>
      </text>
    </comment>
    <comment ref="BS22" authorId="2">
      <text>
        <r>
          <rPr>
            <b/>
            <sz val="9"/>
            <color indexed="81"/>
            <rFont val="Tahoma"/>
            <family val="2"/>
          </rPr>
          <t>Elliott, Elizabeth (Research):</t>
        </r>
        <r>
          <rPr>
            <sz val="9"/>
            <color indexed="81"/>
            <rFont val="Tahoma"/>
            <family val="2"/>
          </rPr>
          <t xml:space="preserve">
Updated guidance 36%</t>
        </r>
      </text>
    </comment>
    <comment ref="BT22" authorId="2">
      <text>
        <r>
          <rPr>
            <b/>
            <sz val="9"/>
            <color indexed="81"/>
            <rFont val="Tahoma"/>
            <family val="2"/>
          </rPr>
          <t>Elliott, Elizabeth (Research):</t>
        </r>
        <r>
          <rPr>
            <sz val="9"/>
            <color indexed="81"/>
            <rFont val="Tahoma"/>
            <family val="2"/>
          </rPr>
          <t xml:space="preserve">
Guided 38%</t>
        </r>
      </text>
    </comment>
    <comment ref="BU22" authorId="2">
      <text>
        <r>
          <rPr>
            <b/>
            <sz val="9"/>
            <color indexed="81"/>
            <rFont val="Tahoma"/>
            <family val="2"/>
          </rPr>
          <t>Elliott, Elizabeth (Research):</t>
        </r>
        <r>
          <rPr>
            <sz val="9"/>
            <color indexed="81"/>
            <rFont val="Tahoma"/>
            <family val="2"/>
          </rPr>
          <t xml:space="preserve">
Pre announced 6/26 for 41%, ahead of guidance 40%</t>
        </r>
      </text>
    </comment>
    <comment ref="BV22" authorId="2">
      <text>
        <r>
          <rPr>
            <b/>
            <sz val="9"/>
            <color indexed="81"/>
            <rFont val="Tahoma"/>
            <family val="2"/>
          </rPr>
          <t>Elliott, Elizabeth (Research):</t>
        </r>
        <r>
          <rPr>
            <sz val="9"/>
            <color indexed="81"/>
            <rFont val="Tahoma"/>
            <family val="2"/>
          </rPr>
          <t xml:space="preserve">
Guidance 41%</t>
        </r>
      </text>
    </comment>
    <comment ref="BW22" authorId="2">
      <text>
        <r>
          <rPr>
            <b/>
            <sz val="9"/>
            <color indexed="81"/>
            <rFont val="Tahoma"/>
            <family val="2"/>
          </rPr>
          <t>Elliott, Elizabeth (Research):</t>
        </r>
        <r>
          <rPr>
            <sz val="9"/>
            <color indexed="81"/>
            <rFont val="Tahoma"/>
            <family val="2"/>
          </rPr>
          <t xml:space="preserve">
Pre announced 43-44%, slightly higher Q/Q</t>
        </r>
      </text>
    </comment>
    <comment ref="BY22" authorId="2">
      <text>
        <r>
          <rPr>
            <b/>
            <sz val="9"/>
            <color indexed="81"/>
            <rFont val="Tahoma"/>
            <family val="2"/>
          </rPr>
          <t>Elliott, Elizabeth (Research):</t>
        </r>
        <r>
          <rPr>
            <sz val="9"/>
            <color indexed="81"/>
            <rFont val="Tahoma"/>
            <family val="2"/>
          </rPr>
          <t xml:space="preserve">
LT model 33%-38%</t>
        </r>
      </text>
    </comment>
    <comment ref="CC22" authorId="2">
      <text>
        <r>
          <rPr>
            <b/>
            <sz val="9"/>
            <color indexed="81"/>
            <rFont val="Tahoma"/>
            <family val="2"/>
          </rPr>
          <t>Elliott, Elizabeth (Research):</t>
        </r>
        <r>
          <rPr>
            <sz val="9"/>
            <color indexed="81"/>
            <rFont val="Tahoma"/>
            <family val="2"/>
          </rPr>
          <t xml:space="preserve">
LT range 33%-38%</t>
        </r>
      </text>
    </comment>
    <comment ref="DA22" authorId="2">
      <text>
        <r>
          <rPr>
            <b/>
            <sz val="9"/>
            <color indexed="81"/>
            <rFont val="Tahoma"/>
            <family val="2"/>
          </rPr>
          <t>Elliott, Elizabeth (Research):</t>
        </r>
        <r>
          <rPr>
            <sz val="9"/>
            <color indexed="81"/>
            <rFont val="Tahoma"/>
            <family val="2"/>
          </rPr>
          <t xml:space="preserve">
LT model 33%-38%</t>
        </r>
      </text>
    </comment>
    <comment ref="DX22" authorId="2">
      <text>
        <r>
          <rPr>
            <b/>
            <sz val="9"/>
            <color indexed="81"/>
            <rFont val="Tahoma"/>
            <family val="2"/>
          </rPr>
          <t>Elliott, Elizabeth (Research):</t>
        </r>
        <r>
          <rPr>
            <sz val="9"/>
            <color indexed="81"/>
            <rFont val="Tahoma"/>
            <family val="2"/>
          </rPr>
          <t xml:space="preserve">
Guidance above LT model of 33-38%</t>
        </r>
      </text>
    </comment>
    <comment ref="BQ38" authorId="2">
      <text>
        <r>
          <rPr>
            <b/>
            <sz val="9"/>
            <color indexed="81"/>
            <rFont val="Tahoma"/>
            <family val="2"/>
          </rPr>
          <t>Elliott, Elizabeth (Research):</t>
        </r>
        <r>
          <rPr>
            <sz val="9"/>
            <color indexed="81"/>
            <rFont val="Tahoma"/>
            <family val="2"/>
          </rPr>
          <t xml:space="preserve">
adjusted for outstanding ownership period</t>
        </r>
      </text>
    </comment>
    <comment ref="AZ40" authorId="0">
      <text>
        <r>
          <rPr>
            <b/>
            <sz val="8"/>
            <color indexed="81"/>
            <rFont val="Tahoma"/>
            <family val="2"/>
          </rPr>
          <t>schmitzs:</t>
        </r>
        <r>
          <rPr>
            <sz val="8"/>
            <color indexed="81"/>
            <rFont val="Tahoma"/>
            <family val="2"/>
          </rPr>
          <t xml:space="preserve">
Less $100 for inventory written up to fair value</t>
        </r>
      </text>
    </comment>
    <comment ref="BA40" authorId="3">
      <text>
        <r>
          <rPr>
            <b/>
            <sz val="8"/>
            <color indexed="81"/>
            <rFont val="Tahoma"/>
            <family val="2"/>
          </rPr>
          <t>kogay:</t>
        </r>
        <r>
          <rPr>
            <sz val="8"/>
            <color indexed="81"/>
            <rFont val="Tahoma"/>
            <family val="2"/>
          </rPr>
          <t xml:space="preserve">
Excludes $39M for amortization of intangibles related to the acquisition</t>
        </r>
      </text>
    </comment>
    <comment ref="DV40"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DW40"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DX40" authorId="2">
      <text>
        <r>
          <rPr>
            <b/>
            <sz val="9"/>
            <color indexed="81"/>
            <rFont val="Tahoma"/>
            <family val="2"/>
          </rPr>
          <t>Elliott, Elizabeth (Research):</t>
        </r>
        <r>
          <rPr>
            <sz val="9"/>
            <color indexed="81"/>
            <rFont val="Tahoma"/>
            <family val="2"/>
          </rPr>
          <t xml:space="preserve">
Guided $350M annualized savings exiting CY17, 50% benefits in CY16</t>
        </r>
      </text>
    </comment>
    <comment ref="E54" authorId="0">
      <text>
        <r>
          <rPr>
            <b/>
            <sz val="8"/>
            <color indexed="81"/>
            <rFont val="Tahoma"/>
            <family val="2"/>
          </rPr>
          <t>schmitzs:</t>
        </r>
        <r>
          <rPr>
            <sz val="8"/>
            <color indexed="81"/>
            <rFont val="Tahoma"/>
            <family val="2"/>
          </rPr>
          <t xml:space="preserve">
MS estimate</t>
        </r>
      </text>
    </comment>
    <comment ref="BM54" authorId="2">
      <text>
        <r>
          <rPr>
            <b/>
            <sz val="9"/>
            <color indexed="81"/>
            <rFont val="Tahoma"/>
            <family val="2"/>
          </rPr>
          <t>Elliott, Elizabeth (Research):</t>
        </r>
        <r>
          <rPr>
            <sz val="9"/>
            <color indexed="81"/>
            <rFont val="Tahoma"/>
            <family val="2"/>
          </rPr>
          <t xml:space="preserve">
Prior guidance for mid point of business model (27-32%), better mgmt of cost base &amp; mix</t>
        </r>
      </text>
    </comment>
    <comment ref="BN54" authorId="2">
      <text>
        <r>
          <rPr>
            <b/>
            <sz val="9"/>
            <color indexed="81"/>
            <rFont val="Tahoma"/>
            <family val="2"/>
          </rPr>
          <t>Elliott, Elizabeth (Research):</t>
        </r>
        <r>
          <rPr>
            <sz val="9"/>
            <color indexed="81"/>
            <rFont val="Tahoma"/>
            <family val="2"/>
          </rPr>
          <t xml:space="preserve">
Preannounced 28.4%
Guided for flat from June qtr - higher mix of gaming and NB</t>
        </r>
      </text>
    </comment>
    <comment ref="BO54" authorId="2">
      <text>
        <r>
          <rPr>
            <b/>
            <sz val="9"/>
            <color indexed="81"/>
            <rFont val="Tahoma"/>
            <family val="2"/>
          </rPr>
          <t>Elliott, Elizabeth (Research):</t>
        </r>
        <r>
          <rPr>
            <sz val="9"/>
            <color indexed="81"/>
            <rFont val="Tahoma"/>
            <family val="2"/>
          </rPr>
          <t xml:space="preserve">
Guided slightly up Q/Q. Shortfall due to product mix and lower volume impacting cost absorbtion </t>
        </r>
      </text>
    </comment>
    <comment ref="BP54" authorId="2">
      <text>
        <r>
          <rPr>
            <b/>
            <sz val="9"/>
            <color indexed="81"/>
            <rFont val="Tahoma"/>
            <family val="2"/>
          </rPr>
          <t>Elliott, Elizabeth (Research):</t>
        </r>
        <r>
          <rPr>
            <sz val="9"/>
            <color indexed="81"/>
            <rFont val="Tahoma"/>
            <family val="2"/>
          </rPr>
          <t xml:space="preserve">
Guided up Q/Q</t>
        </r>
      </text>
    </comment>
    <comment ref="BQ54" authorId="2">
      <text>
        <r>
          <rPr>
            <b/>
            <sz val="9"/>
            <color indexed="81"/>
            <rFont val="Tahoma"/>
            <family val="2"/>
          </rPr>
          <t>Elliott, Elizabeth (Research):</t>
        </r>
        <r>
          <rPr>
            <sz val="9"/>
            <color indexed="81"/>
            <rFont val="Tahoma"/>
            <family val="2"/>
          </rPr>
          <t xml:space="preserve">
Pre announced 31%
Guidance WD + SNDK 31%</t>
        </r>
      </text>
    </comment>
    <comment ref="BR54" authorId="2">
      <text>
        <r>
          <rPr>
            <b/>
            <sz val="9"/>
            <color indexed="81"/>
            <rFont val="Tahoma"/>
            <family val="2"/>
          </rPr>
          <t>Elliott, Elizabeth (Research):</t>
        </r>
        <r>
          <rPr>
            <sz val="9"/>
            <color indexed="81"/>
            <rFont val="Tahoma"/>
            <family val="2"/>
          </rPr>
          <t xml:space="preserve">
Guidance increased to 33%, from 32% prior</t>
        </r>
      </text>
    </comment>
    <comment ref="BS54" authorId="2">
      <text>
        <r>
          <rPr>
            <b/>
            <sz val="9"/>
            <color indexed="81"/>
            <rFont val="Tahoma"/>
            <family val="2"/>
          </rPr>
          <t>Elliott, Elizabeth (Research):</t>
        </r>
        <r>
          <rPr>
            <sz val="9"/>
            <color indexed="81"/>
            <rFont val="Tahoma"/>
            <family val="2"/>
          </rPr>
          <t xml:space="preserve">
Guidance 35%</t>
        </r>
      </text>
    </comment>
    <comment ref="AS67" authorId="0">
      <text>
        <r>
          <rPr>
            <b/>
            <sz val="8"/>
            <color indexed="81"/>
            <rFont val="Tahoma"/>
            <family val="2"/>
          </rPr>
          <t>schmitzs:</t>
        </r>
        <r>
          <rPr>
            <sz val="8"/>
            <color indexed="81"/>
            <rFont val="Tahoma"/>
            <family val="2"/>
          </rPr>
          <t xml:space="preserve">
Guide $230M</t>
        </r>
      </text>
    </comment>
    <comment ref="BL67" authorId="2">
      <text>
        <r>
          <rPr>
            <b/>
            <sz val="9"/>
            <color indexed="81"/>
            <rFont val="Tahoma"/>
            <family val="2"/>
          </rPr>
          <t>Elliott, Elizabeth (Research):</t>
        </r>
        <r>
          <rPr>
            <sz val="9"/>
            <color indexed="81"/>
            <rFont val="Tahoma"/>
            <family val="2"/>
          </rPr>
          <t xml:space="preserve">
Prior guidance for $610</t>
        </r>
      </text>
    </comment>
    <comment ref="BM67" authorId="2">
      <text>
        <r>
          <rPr>
            <b/>
            <sz val="9"/>
            <color indexed="81"/>
            <rFont val="Tahoma"/>
            <family val="2"/>
          </rPr>
          <t>Elliott, Elizabeth (Research):</t>
        </r>
        <r>
          <rPr>
            <sz val="9"/>
            <color indexed="81"/>
            <rFont val="Tahoma"/>
            <family val="2"/>
          </rPr>
          <t xml:space="preserve">
Prior guidance $590M</t>
        </r>
      </text>
    </comment>
    <comment ref="BN67" authorId="2">
      <text>
        <r>
          <rPr>
            <b/>
            <sz val="9"/>
            <color indexed="81"/>
            <rFont val="Tahoma"/>
            <family val="2"/>
          </rPr>
          <t>Elliott, Elizabeth (Research):</t>
        </r>
        <r>
          <rPr>
            <sz val="9"/>
            <color indexed="81"/>
            <rFont val="Tahoma"/>
            <family val="2"/>
          </rPr>
          <t xml:space="preserve">
Guided $575M</t>
        </r>
      </text>
    </comment>
    <comment ref="BO67" authorId="2">
      <text>
        <r>
          <rPr>
            <b/>
            <sz val="9"/>
            <color indexed="81"/>
            <rFont val="Tahoma"/>
            <family val="2"/>
          </rPr>
          <t>Elliott, Elizabeth (Research):</t>
        </r>
        <r>
          <rPr>
            <sz val="9"/>
            <color indexed="81"/>
            <rFont val="Tahoma"/>
            <family val="2"/>
          </rPr>
          <t xml:space="preserve">
Guided $585, higher due to incentive comp</t>
        </r>
      </text>
    </comment>
    <comment ref="BP67" authorId="2">
      <text>
        <r>
          <rPr>
            <b/>
            <sz val="9"/>
            <color indexed="81"/>
            <rFont val="Tahoma"/>
            <family val="2"/>
          </rPr>
          <t>Elliott, Elizabeth (Research):</t>
        </r>
        <r>
          <rPr>
            <sz val="9"/>
            <color indexed="81"/>
            <rFont val="Tahoma"/>
            <family val="2"/>
          </rPr>
          <t xml:space="preserve">
Guided $500M
Guided $570 run rate BEFORE MOFCOM synergies - $400M op ex reduction per year on the run rate basis by end of CY17, 50% of syngergies by CY16</t>
        </r>
      </text>
    </comment>
    <comment ref="BQ67" authorId="2">
      <text>
        <r>
          <rPr>
            <b/>
            <sz val="9"/>
            <color indexed="81"/>
            <rFont val="Tahoma"/>
            <family val="2"/>
          </rPr>
          <t>Elliott, Elizabeth (Research):</t>
        </r>
        <r>
          <rPr>
            <sz val="9"/>
            <color indexed="81"/>
            <rFont val="Tahoma"/>
            <family val="2"/>
          </rPr>
          <t xml:space="preserve">
Guidance WD + SNDK $680</t>
        </r>
      </text>
    </comment>
    <comment ref="BR67" authorId="2">
      <text>
        <r>
          <rPr>
            <b/>
            <sz val="9"/>
            <color indexed="81"/>
            <rFont val="Tahoma"/>
            <family val="2"/>
          </rPr>
          <t>Elliott, Elizabeth (Research):</t>
        </r>
        <r>
          <rPr>
            <sz val="9"/>
            <color indexed="81"/>
            <rFont val="Tahoma"/>
            <family val="2"/>
          </rPr>
          <t xml:space="preserve">
Guidance increased to $905, from $875 prior, on higher level of incentive comp</t>
        </r>
      </text>
    </comment>
    <comment ref="BS67" authorId="2">
      <text>
        <r>
          <rPr>
            <b/>
            <sz val="9"/>
            <color indexed="81"/>
            <rFont val="Tahoma"/>
            <family val="2"/>
          </rPr>
          <t>Elliott, Elizabeth (Research):</t>
        </r>
        <r>
          <rPr>
            <sz val="9"/>
            <color indexed="81"/>
            <rFont val="Tahoma"/>
            <family val="2"/>
          </rPr>
          <t xml:space="preserve">
Guidance $805</t>
        </r>
      </text>
    </comment>
    <comment ref="BT67" authorId="2">
      <text>
        <r>
          <rPr>
            <b/>
            <sz val="9"/>
            <color indexed="81"/>
            <rFont val="Tahoma"/>
            <family val="2"/>
          </rPr>
          <t>Elliott, Elizabeth (Research):</t>
        </r>
        <r>
          <rPr>
            <sz val="9"/>
            <color indexed="81"/>
            <rFont val="Tahoma"/>
            <family val="2"/>
          </rPr>
          <t xml:space="preserve">
Guided $800M</t>
        </r>
      </text>
    </comment>
    <comment ref="BU67" authorId="2">
      <text>
        <r>
          <rPr>
            <b/>
            <sz val="9"/>
            <color indexed="81"/>
            <rFont val="Tahoma"/>
            <family val="2"/>
          </rPr>
          <t>Elliott, Elizabeth (Research):</t>
        </r>
        <r>
          <rPr>
            <sz val="9"/>
            <color indexed="81"/>
            <rFont val="Tahoma"/>
            <family val="2"/>
          </rPr>
          <t xml:space="preserve">
Guidance similar to 3Q</t>
        </r>
      </text>
    </comment>
    <comment ref="BV67" authorId="2">
      <text>
        <r>
          <rPr>
            <b/>
            <sz val="9"/>
            <color indexed="81"/>
            <rFont val="Tahoma"/>
            <family val="2"/>
          </rPr>
          <t>Elliott, Elizabeth (Research):</t>
        </r>
        <r>
          <rPr>
            <sz val="9"/>
            <color indexed="81"/>
            <rFont val="Tahoma"/>
            <family val="2"/>
          </rPr>
          <t xml:space="preserve">
Guidance flat Q/Q</t>
        </r>
      </text>
    </comment>
    <comment ref="BW67" authorId="2">
      <text>
        <r>
          <rPr>
            <b/>
            <sz val="9"/>
            <color indexed="81"/>
            <rFont val="Tahoma"/>
            <family val="2"/>
          </rPr>
          <t>Elliott, Elizabeth (Research):</t>
        </r>
        <r>
          <rPr>
            <sz val="9"/>
            <color indexed="81"/>
            <rFont val="Tahoma"/>
            <family val="2"/>
          </rPr>
          <t xml:space="preserve">
Pre announced $850-860, prior guidance $830</t>
        </r>
      </text>
    </comment>
    <comment ref="CV67" authorId="2">
      <text>
        <r>
          <rPr>
            <b/>
            <sz val="9"/>
            <color indexed="81"/>
            <rFont val="Tahoma"/>
            <family val="2"/>
          </rPr>
          <t>Elliott, Elizabeth (Research):</t>
        </r>
        <r>
          <rPr>
            <sz val="9"/>
            <color indexed="81"/>
            <rFont val="Tahoma"/>
            <family val="2"/>
          </rPr>
          <t xml:space="preserve">
Within LT guide of 14-16% of revenue</t>
        </r>
      </text>
    </comment>
    <comment ref="AM68" authorId="0">
      <text>
        <r>
          <rPr>
            <b/>
            <sz val="8"/>
            <color indexed="81"/>
            <rFont val="Tahoma"/>
            <family val="2"/>
          </rPr>
          <t>schmitzs:</t>
        </r>
        <r>
          <rPr>
            <sz val="8"/>
            <color indexed="81"/>
            <rFont val="Tahoma"/>
            <family val="2"/>
          </rPr>
          <t xml:space="preserve">
add back accrual of company saving incentives</t>
        </r>
      </text>
    </comment>
    <comment ref="BP68" authorId="2">
      <text>
        <r>
          <rPr>
            <b/>
            <sz val="9"/>
            <color indexed="81"/>
            <rFont val="Tahoma"/>
            <family val="2"/>
          </rPr>
          <t>Elliott, Elizabeth (Research):</t>
        </r>
        <r>
          <rPr>
            <sz val="9"/>
            <color indexed="81"/>
            <rFont val="Tahoma"/>
            <family val="2"/>
          </rPr>
          <t xml:space="preserve">
OpEx cuts more in R&amp;D since sales kept separate for 1 year post approval</t>
        </r>
      </text>
    </comment>
    <comment ref="AM69" authorId="0">
      <text>
        <r>
          <rPr>
            <b/>
            <sz val="8"/>
            <color indexed="81"/>
            <rFont val="Tahoma"/>
            <family val="2"/>
          </rPr>
          <t>schmitzs:</t>
        </r>
        <r>
          <rPr>
            <sz val="8"/>
            <color indexed="81"/>
            <rFont val="Tahoma"/>
            <family val="2"/>
          </rPr>
          <t xml:space="preserve">
add back insurance recovery
</t>
        </r>
      </text>
    </comment>
    <comment ref="AW69" authorId="0">
      <text>
        <r>
          <rPr>
            <b/>
            <sz val="8"/>
            <color indexed="81"/>
            <rFont val="Tahoma"/>
            <family val="2"/>
          </rPr>
          <t>schmitzs:</t>
        </r>
        <r>
          <rPr>
            <sz val="8"/>
            <color indexed="81"/>
            <rFont val="Tahoma"/>
            <family val="2"/>
          </rPr>
          <t xml:space="preserve">
backs out $35M for HGST and unrelated litigation accruals</t>
        </r>
      </text>
    </comment>
    <comment ref="AX69" authorId="0">
      <text>
        <r>
          <rPr>
            <b/>
            <sz val="8"/>
            <color indexed="81"/>
            <rFont val="Tahoma"/>
            <family val="2"/>
          </rPr>
          <t>schmitzs:</t>
        </r>
        <r>
          <rPr>
            <sz val="8"/>
            <color indexed="81"/>
            <rFont val="Tahoma"/>
            <family val="2"/>
          </rPr>
          <t xml:space="preserve">
backs out $21M related to HGST</t>
        </r>
      </text>
    </comment>
    <comment ref="AY69" authorId="0">
      <text>
        <r>
          <rPr>
            <b/>
            <sz val="8"/>
            <color indexed="81"/>
            <rFont val="Tahoma"/>
            <family val="2"/>
          </rPr>
          <t>schmitzs:</t>
        </r>
        <r>
          <rPr>
            <sz val="8"/>
            <color indexed="81"/>
            <rFont val="Tahoma"/>
            <family val="2"/>
          </rPr>
          <t xml:space="preserve">
Backed out $14M from HGST acq </t>
        </r>
      </text>
    </comment>
    <comment ref="AZ69" authorId="0">
      <text>
        <r>
          <rPr>
            <b/>
            <sz val="8"/>
            <color indexed="81"/>
            <rFont val="Tahoma"/>
            <family val="2"/>
          </rPr>
          <t>schmitzs:</t>
        </r>
        <r>
          <rPr>
            <sz val="8"/>
            <color indexed="81"/>
            <rFont val="Tahoma"/>
            <family val="2"/>
          </rPr>
          <t xml:space="preserve">
amortization $3M and acq. Exp of $34M</t>
        </r>
      </text>
    </comment>
    <comment ref="BA69" authorId="3">
      <text>
        <r>
          <rPr>
            <b/>
            <sz val="8"/>
            <color indexed="81"/>
            <rFont val="Tahoma"/>
            <family val="2"/>
          </rPr>
          <t>kogay:</t>
        </r>
        <r>
          <rPr>
            <sz val="8"/>
            <color indexed="81"/>
            <rFont val="Tahoma"/>
            <family val="2"/>
          </rPr>
          <t xml:space="preserve">
$12M for amortization of intangibles related to the acquisition</t>
        </r>
      </text>
    </comment>
    <comment ref="BF69" authorId="0">
      <text>
        <r>
          <rPr>
            <b/>
            <sz val="8"/>
            <color indexed="81"/>
            <rFont val="Tahoma"/>
            <family val="2"/>
          </rPr>
          <t>schmitzs:</t>
        </r>
        <r>
          <rPr>
            <sz val="8"/>
            <color indexed="81"/>
            <rFont val="Tahoma"/>
            <family val="2"/>
          </rPr>
          <t xml:space="preserve">
adds back insurance recovery and backs out litigation and amortization expenses
</t>
        </r>
      </text>
    </comment>
    <comment ref="BK69" authorId="2">
      <text>
        <r>
          <rPr>
            <b/>
            <sz val="9"/>
            <color indexed="81"/>
            <rFont val="Tahoma"/>
            <family val="2"/>
          </rPr>
          <t>Elliott, Elizabeth (Research):</t>
        </r>
        <r>
          <rPr>
            <sz val="9"/>
            <color indexed="81"/>
            <rFont val="Tahoma"/>
            <family val="2"/>
          </rPr>
          <t xml:space="preserve">
adds back insurance recoveries related to flood + backs out amoritization related to COGS</t>
        </r>
      </text>
    </comment>
    <comment ref="BL69" authorId="2">
      <text>
        <r>
          <rPr>
            <b/>
            <sz val="9"/>
            <color indexed="81"/>
            <rFont val="Tahoma"/>
            <family val="2"/>
          </rPr>
          <t>Elliott, Elizabeth (Research):</t>
        </r>
        <r>
          <rPr>
            <sz val="9"/>
            <color indexed="81"/>
            <rFont val="Tahoma"/>
            <family val="2"/>
          </rPr>
          <t xml:space="preserve">
backs out amoritization related to COGS &amp; litigation</t>
        </r>
      </text>
    </comment>
    <comment ref="BM69" authorId="2">
      <text>
        <r>
          <rPr>
            <b/>
            <sz val="9"/>
            <color indexed="81"/>
            <rFont val="Tahoma"/>
            <family val="2"/>
          </rPr>
          <t>Elliott, Elizabeth (Research):</t>
        </r>
        <r>
          <rPr>
            <sz val="9"/>
            <color indexed="81"/>
            <rFont val="Tahoma"/>
            <family val="2"/>
          </rPr>
          <t xml:space="preserve">
backs out amoritization related to COGS &amp; other</t>
        </r>
      </text>
    </comment>
    <comment ref="BN69" authorId="2">
      <text>
        <r>
          <rPr>
            <b/>
            <sz val="9"/>
            <color indexed="81"/>
            <rFont val="Tahoma"/>
            <family val="2"/>
          </rPr>
          <t>Elliott, Elizabeth (Research):</t>
        </r>
        <r>
          <rPr>
            <sz val="9"/>
            <color indexed="81"/>
            <rFont val="Tahoma"/>
            <family val="2"/>
          </rPr>
          <t xml:space="preserve">
backs out amoritization related to COGS &amp; other</t>
        </r>
      </text>
    </comment>
    <comment ref="DA72" authorId="2">
      <text>
        <r>
          <rPr>
            <b/>
            <sz val="9"/>
            <color indexed="81"/>
            <rFont val="Tahoma"/>
            <family val="2"/>
          </rPr>
          <t>Elliott, Elizabeth (Research):</t>
        </r>
        <r>
          <rPr>
            <sz val="9"/>
            <color indexed="81"/>
            <rFont val="Tahoma"/>
            <family val="2"/>
          </rPr>
          <t xml:space="preserve">
LT model 18%-23%</t>
        </r>
      </text>
    </comment>
    <comment ref="BR74" authorId="2">
      <text>
        <r>
          <rPr>
            <b/>
            <sz val="9"/>
            <color indexed="81"/>
            <rFont val="Tahoma"/>
            <family val="2"/>
          </rPr>
          <t>Elliott, Elizabeth (Research):</t>
        </r>
        <r>
          <rPr>
            <sz val="9"/>
            <color indexed="81"/>
            <rFont val="Tahoma"/>
            <family val="2"/>
          </rPr>
          <t xml:space="preserve">
Guidance lower than $245, from $245 prior, on loan re-pricing</t>
        </r>
      </text>
    </comment>
    <comment ref="BS74" authorId="2">
      <text>
        <r>
          <rPr>
            <b/>
            <sz val="9"/>
            <color indexed="81"/>
            <rFont val="Tahoma"/>
            <family val="2"/>
          </rPr>
          <t>Elliott, Elizabeth (Research):</t>
        </r>
        <r>
          <rPr>
            <sz val="9"/>
            <color indexed="81"/>
            <rFont val="Tahoma"/>
            <family val="2"/>
          </rPr>
          <t xml:space="preserve">
Lower Q/Q on debt repricing reduction. Higher than initial guidance $205 on hedges</t>
        </r>
      </text>
    </comment>
    <comment ref="BT74" authorId="2">
      <text>
        <r>
          <rPr>
            <b/>
            <sz val="9"/>
            <color indexed="81"/>
            <rFont val="Tahoma"/>
            <family val="2"/>
          </rPr>
          <t>Elliott, Elizabeth (Research):</t>
        </r>
        <r>
          <rPr>
            <sz val="9"/>
            <color indexed="81"/>
            <rFont val="Tahoma"/>
            <family val="2"/>
          </rPr>
          <t xml:space="preserve">
Guided $205</t>
        </r>
      </text>
    </comment>
    <comment ref="BU74" authorId="2">
      <text>
        <r>
          <rPr>
            <b/>
            <sz val="9"/>
            <color indexed="81"/>
            <rFont val="Tahoma"/>
            <family val="2"/>
          </rPr>
          <t>Elliott, Elizabeth (Research):</t>
        </r>
        <r>
          <rPr>
            <sz val="9"/>
            <color indexed="81"/>
            <rFont val="Tahoma"/>
            <family val="2"/>
          </rPr>
          <t xml:space="preserve">
Guidance $200M</t>
        </r>
      </text>
    </comment>
    <comment ref="BV74" authorId="2">
      <text>
        <r>
          <rPr>
            <b/>
            <sz val="9"/>
            <color indexed="81"/>
            <rFont val="Tahoma"/>
            <family val="2"/>
          </rPr>
          <t>Elliott, Elizabeth (Research):</t>
        </r>
        <r>
          <rPr>
            <sz val="9"/>
            <color indexed="81"/>
            <rFont val="Tahoma"/>
            <family val="2"/>
          </rPr>
          <t xml:space="preserve">
Guidance $208</t>
        </r>
      </text>
    </comment>
    <comment ref="BW74" authorId="2">
      <text>
        <r>
          <rPr>
            <b/>
            <sz val="9"/>
            <color indexed="81"/>
            <rFont val="Tahoma"/>
            <family val="2"/>
          </rPr>
          <t>Elliott, Elizabeth (Research):</t>
        </r>
        <r>
          <rPr>
            <sz val="9"/>
            <color indexed="81"/>
            <rFont val="Tahoma"/>
            <family val="2"/>
          </rPr>
          <t xml:space="preserve">
Pre announced $190M-195M, prior guidance $205M</t>
        </r>
      </text>
    </comment>
    <comment ref="BQ76" authorId="2">
      <text>
        <r>
          <rPr>
            <b/>
            <sz val="9"/>
            <color indexed="81"/>
            <rFont val="Tahoma"/>
            <family val="2"/>
          </rPr>
          <t>Elliott, Elizabeth (Research):</t>
        </r>
        <r>
          <rPr>
            <sz val="9"/>
            <color indexed="81"/>
            <rFont val="Tahoma"/>
            <family val="2"/>
          </rPr>
          <t xml:space="preserve">
Guidance $220, includes loss on settlement of convertible debt </t>
        </r>
      </text>
    </comment>
    <comment ref="BS76" authorId="2">
      <text>
        <r>
          <rPr>
            <b/>
            <sz val="9"/>
            <color indexed="81"/>
            <rFont val="Tahoma"/>
            <family val="2"/>
          </rPr>
          <t>Elliott, Elizabeth (Research):</t>
        </r>
        <r>
          <rPr>
            <sz val="9"/>
            <color indexed="81"/>
            <rFont val="Tahoma"/>
            <family val="2"/>
          </rPr>
          <t xml:space="preserve">
Adds back convertible debt activity and other for non gaap</t>
        </r>
      </text>
    </comment>
    <comment ref="CU76" authorId="2">
      <text>
        <r>
          <rPr>
            <b/>
            <sz val="9"/>
            <color indexed="81"/>
            <rFont val="Tahoma"/>
            <family val="2"/>
          </rPr>
          <t>Elliott, Elizabeth (Research):</t>
        </r>
        <r>
          <rPr>
            <sz val="9"/>
            <color indexed="81"/>
            <rFont val="Tahoma"/>
            <family val="2"/>
          </rPr>
          <t xml:space="preserve">
includes debt amortization costs ($30M in F4Q16)</t>
        </r>
      </text>
    </comment>
    <comment ref="AC80" authorId="0">
      <text>
        <r>
          <rPr>
            <b/>
            <sz val="8"/>
            <color indexed="81"/>
            <rFont val="Tahoma"/>
            <family val="2"/>
          </rPr>
          <t>schmitzs:</t>
        </r>
        <r>
          <rPr>
            <sz val="8"/>
            <color indexed="81"/>
            <rFont val="Tahoma"/>
            <family val="2"/>
          </rPr>
          <t xml:space="preserve">
includes $22M income tax benefit for deferred tax asset adj</t>
        </r>
      </text>
    </comment>
    <comment ref="AG80" authorId="0">
      <text>
        <r>
          <rPr>
            <b/>
            <sz val="8"/>
            <color indexed="81"/>
            <rFont val="Tahoma"/>
            <family val="2"/>
          </rPr>
          <t>schmitzs:</t>
        </r>
        <r>
          <rPr>
            <sz val="8"/>
            <color indexed="81"/>
            <rFont val="Tahoma"/>
            <family val="2"/>
          </rPr>
          <t xml:space="preserve">
$147 valuation allowance included
</t>
        </r>
      </text>
    </comment>
    <comment ref="AH80" authorId="0">
      <text>
        <r>
          <rPr>
            <b/>
            <sz val="8"/>
            <color indexed="81"/>
            <rFont val="Tahoma"/>
            <family val="2"/>
          </rPr>
          <t>schmitzs:</t>
        </r>
        <r>
          <rPr>
            <sz val="8"/>
            <color indexed="81"/>
            <rFont val="Tahoma"/>
            <family val="2"/>
          </rPr>
          <t xml:space="preserve">
$60M non-recurring tax charge</t>
        </r>
      </text>
    </comment>
    <comment ref="AK80" authorId="0">
      <text>
        <r>
          <rPr>
            <b/>
            <sz val="8"/>
            <color indexed="81"/>
            <rFont val="Tahoma"/>
            <family val="2"/>
          </rPr>
          <t>schmitzs:</t>
        </r>
        <r>
          <rPr>
            <sz val="8"/>
            <color indexed="81"/>
            <rFont val="Tahoma"/>
            <family val="2"/>
          </rPr>
          <t xml:space="preserve">
includes $15M for intellectual property to subsidiaries</t>
        </r>
      </text>
    </comment>
    <comment ref="BK80" authorId="2">
      <text>
        <r>
          <rPr>
            <b/>
            <sz val="9"/>
            <color indexed="81"/>
            <rFont val="Tahoma"/>
            <family val="2"/>
          </rPr>
          <t>Elliott, Elizabeth (Research):</t>
        </r>
        <r>
          <rPr>
            <sz val="9"/>
            <color indexed="81"/>
            <rFont val="Tahoma"/>
            <family val="2"/>
          </rPr>
          <t xml:space="preserve">
benefit from R&amp;D tax credit (+7c per share)</t>
        </r>
      </text>
    </comment>
    <comment ref="BQ80" authorId="2">
      <text>
        <r>
          <rPr>
            <b/>
            <sz val="9"/>
            <color indexed="81"/>
            <rFont val="Tahoma"/>
            <family val="2"/>
          </rPr>
          <t>Elliott, Elizabeth (Research):</t>
        </r>
        <r>
          <rPr>
            <sz val="9"/>
            <color indexed="81"/>
            <rFont val="Tahoma"/>
            <family val="2"/>
          </rPr>
          <t xml:space="preserve">
Guidance 1x $15M tax benefit</t>
        </r>
      </text>
    </comment>
    <comment ref="BR80" authorId="2">
      <text>
        <r>
          <rPr>
            <b/>
            <sz val="9"/>
            <color indexed="81"/>
            <rFont val="Tahoma"/>
            <family val="2"/>
          </rPr>
          <t>Elliott, Elizabeth (Research):</t>
        </r>
        <r>
          <rPr>
            <sz val="9"/>
            <color indexed="81"/>
            <rFont val="Tahoma"/>
            <family val="2"/>
          </rPr>
          <t xml:space="preserve">
Initial guidance $50M, prior to 9/7/16 update </t>
        </r>
      </text>
    </comment>
    <comment ref="BS82" authorId="2">
      <text>
        <r>
          <rPr>
            <b/>
            <sz val="9"/>
            <color indexed="81"/>
            <rFont val="Tahoma"/>
            <family val="2"/>
          </rPr>
          <t>Elliott, Elizabeth (Research):</t>
        </r>
        <r>
          <rPr>
            <sz val="9"/>
            <color indexed="81"/>
            <rFont val="Tahoma"/>
            <family val="2"/>
          </rPr>
          <t xml:space="preserve">
Updated guidance ~13%, from 14%-16% previously</t>
        </r>
      </text>
    </comment>
    <comment ref="BT82" authorId="2">
      <text>
        <r>
          <rPr>
            <b/>
            <sz val="9"/>
            <color indexed="81"/>
            <rFont val="Tahoma"/>
            <family val="2"/>
          </rPr>
          <t>Elliott, Elizabeth (Research):</t>
        </r>
        <r>
          <rPr>
            <sz val="9"/>
            <color indexed="81"/>
            <rFont val="Tahoma"/>
            <family val="2"/>
          </rPr>
          <t xml:space="preserve">
Guided 12%-14%</t>
        </r>
      </text>
    </comment>
    <comment ref="BU82" authorId="2">
      <text>
        <r>
          <rPr>
            <b/>
            <sz val="9"/>
            <color indexed="81"/>
            <rFont val="Tahoma"/>
            <family val="2"/>
          </rPr>
          <t>Elliott, Elizabeth (Research):</t>
        </r>
        <r>
          <rPr>
            <sz val="9"/>
            <color indexed="81"/>
            <rFont val="Tahoma"/>
            <family val="2"/>
          </rPr>
          <t xml:space="preserve">
Guidance 10%-13%</t>
        </r>
      </text>
    </comment>
    <comment ref="BV82" authorId="2">
      <text>
        <r>
          <rPr>
            <b/>
            <sz val="9"/>
            <color indexed="81"/>
            <rFont val="Tahoma"/>
            <family val="2"/>
          </rPr>
          <t>Elliott, Elizabeth (Research):</t>
        </r>
        <r>
          <rPr>
            <sz val="9"/>
            <color indexed="81"/>
            <rFont val="Tahoma"/>
            <family val="2"/>
          </rPr>
          <t xml:space="preserve">
Guidance 7-9%</t>
        </r>
      </text>
    </comment>
    <comment ref="BW82" authorId="2">
      <text>
        <r>
          <rPr>
            <b/>
            <sz val="9"/>
            <color indexed="81"/>
            <rFont val="Tahoma"/>
            <family val="2"/>
          </rPr>
          <t>Elliott, Elizabeth (Research):</t>
        </r>
        <r>
          <rPr>
            <sz val="9"/>
            <color indexed="81"/>
            <rFont val="Tahoma"/>
            <family val="2"/>
          </rPr>
          <t xml:space="preserve">
Pre announced 5-7%, prior guidance 6-8%</t>
        </r>
      </text>
    </comment>
    <comment ref="DA82" authorId="2">
      <text>
        <r>
          <rPr>
            <b/>
            <sz val="9"/>
            <color indexed="81"/>
            <rFont val="Tahoma"/>
            <family val="2"/>
          </rPr>
          <t>Elliott, Elizabeth (Research):</t>
        </r>
        <r>
          <rPr>
            <sz val="9"/>
            <color indexed="81"/>
            <rFont val="Tahoma"/>
            <family val="2"/>
          </rPr>
          <t xml:space="preserve">
LT model 7%-12%</t>
        </r>
      </text>
    </comment>
    <comment ref="BS90" authorId="2">
      <text>
        <r>
          <rPr>
            <b/>
            <sz val="9"/>
            <color indexed="81"/>
            <rFont val="Tahoma"/>
            <family val="2"/>
          </rPr>
          <t>Elliott, Elizabeth (Research):</t>
        </r>
        <r>
          <rPr>
            <sz val="9"/>
            <color indexed="81"/>
            <rFont val="Tahoma"/>
            <family val="2"/>
          </rPr>
          <t xml:space="preserve">
COGS, changed one time charge categories disclosed</t>
        </r>
      </text>
    </comment>
    <comment ref="D93" authorId="2">
      <text>
        <r>
          <rPr>
            <b/>
            <sz val="9"/>
            <color indexed="81"/>
            <rFont val="Tahoma"/>
            <family val="2"/>
          </rPr>
          <t>Elliott, Elizabeth (Research):</t>
        </r>
        <r>
          <rPr>
            <sz val="9"/>
            <color indexed="81"/>
            <rFont val="Tahoma"/>
            <family val="2"/>
          </rPr>
          <t xml:space="preserve">
Sale of Business prior to 2015</t>
        </r>
      </text>
    </comment>
    <comment ref="BS93" authorId="2">
      <text>
        <r>
          <rPr>
            <b/>
            <sz val="9"/>
            <color indexed="81"/>
            <rFont val="Tahoma"/>
            <family val="2"/>
          </rPr>
          <t>Elliott, Elizabeth (Research):</t>
        </r>
        <r>
          <rPr>
            <sz val="9"/>
            <color indexed="81"/>
            <rFont val="Tahoma"/>
            <family val="2"/>
          </rPr>
          <t xml:space="preserve">
OpEx, changed one time charge categories disclosed</t>
        </r>
      </text>
    </comment>
    <comment ref="R95" authorId="0">
      <text>
        <r>
          <rPr>
            <b/>
            <sz val="8"/>
            <color indexed="81"/>
            <rFont val="Tahoma"/>
            <family val="2"/>
          </rPr>
          <t>schmitzs:</t>
        </r>
        <r>
          <rPr>
            <sz val="8"/>
            <color indexed="81"/>
            <rFont val="Tahoma"/>
            <family val="2"/>
          </rPr>
          <t xml:space="preserve">
$50.4M on Read-Rite acq costs, not backed out</t>
        </r>
      </text>
    </comment>
    <comment ref="AV95" authorId="0">
      <text>
        <r>
          <rPr>
            <b/>
            <sz val="8"/>
            <color indexed="81"/>
            <rFont val="Tahoma"/>
            <family val="2"/>
          </rPr>
          <t>schmitzs:</t>
        </r>
        <r>
          <rPr>
            <sz val="8"/>
            <color indexed="81"/>
            <rFont val="Tahoma"/>
            <family val="2"/>
          </rPr>
          <t xml:space="preserve">
HGST related expenses</t>
        </r>
      </text>
    </comment>
    <comment ref="AY95" authorId="0">
      <text>
        <r>
          <rPr>
            <b/>
            <sz val="8"/>
            <color indexed="81"/>
            <rFont val="Tahoma"/>
            <family val="2"/>
          </rPr>
          <t>schmitzs:</t>
        </r>
        <r>
          <rPr>
            <sz val="8"/>
            <color indexed="81"/>
            <rFont val="Tahoma"/>
            <family val="2"/>
          </rPr>
          <t xml:space="preserve">
$199M flood exp
$14M from HGST acq</t>
        </r>
      </text>
    </comment>
    <comment ref="BE95" authorId="0">
      <text>
        <r>
          <rPr>
            <b/>
            <sz val="8"/>
            <color indexed="81"/>
            <rFont val="Tahoma"/>
            <family val="2"/>
          </rPr>
          <t>schmitzs:</t>
        </r>
        <r>
          <rPr>
            <sz val="8"/>
            <color indexed="81"/>
            <rFont val="Tahoma"/>
            <family val="2"/>
          </rPr>
          <t xml:space="preserve">
$681 for arbitration award</t>
        </r>
      </text>
    </comment>
    <comment ref="BL95" authorId="2">
      <text>
        <r>
          <rPr>
            <b/>
            <sz val="9"/>
            <color indexed="81"/>
            <rFont val="Tahoma"/>
            <family val="2"/>
          </rPr>
          <t>Elliott, Elizabeth (Research):</t>
        </r>
        <r>
          <rPr>
            <sz val="9"/>
            <color indexed="81"/>
            <rFont val="Tahoma"/>
            <family val="2"/>
          </rPr>
          <t xml:space="preserve">
employee termination, asset impairment &amp; other + acquisition expense</t>
        </r>
      </text>
    </comment>
    <comment ref="BM95" authorId="2">
      <text>
        <r>
          <rPr>
            <b/>
            <sz val="9"/>
            <color indexed="81"/>
            <rFont val="Tahoma"/>
            <family val="2"/>
          </rPr>
          <t>Elliott, Elizabeth (Research):</t>
        </r>
        <r>
          <rPr>
            <sz val="9"/>
            <color indexed="81"/>
            <rFont val="Tahoma"/>
            <family val="2"/>
          </rPr>
          <t xml:space="preserve">
employee termination, asset impairment &amp; other</t>
        </r>
      </text>
    </comment>
    <comment ref="BN95" authorId="2">
      <text>
        <r>
          <rPr>
            <b/>
            <sz val="9"/>
            <color indexed="81"/>
            <rFont val="Tahoma"/>
            <family val="2"/>
          </rPr>
          <t>Elliott, Elizabeth (Research):</t>
        </r>
        <r>
          <rPr>
            <sz val="9"/>
            <color indexed="81"/>
            <rFont val="Tahoma"/>
            <family val="2"/>
          </rPr>
          <t xml:space="preserve">
employee termination, asset impairment and other</t>
        </r>
      </text>
    </comment>
    <comment ref="BS95" authorId="2">
      <text>
        <r>
          <rPr>
            <b/>
            <sz val="9"/>
            <color indexed="81"/>
            <rFont val="Tahoma"/>
            <family val="2"/>
          </rPr>
          <t>Elliott, Elizabeth (Research):</t>
        </r>
        <r>
          <rPr>
            <sz val="9"/>
            <color indexed="81"/>
            <rFont val="Tahoma"/>
            <family val="2"/>
          </rPr>
          <t xml:space="preserve">
Interest and Other, changed one time charge categories disclosed</t>
        </r>
      </text>
    </comment>
    <comment ref="BC96" authorId="3">
      <text>
        <r>
          <rPr>
            <b/>
            <sz val="8"/>
            <color indexed="81"/>
            <rFont val="Tahoma"/>
            <family val="2"/>
          </rPr>
          <t>kogay:</t>
        </r>
        <r>
          <rPr>
            <sz val="8"/>
            <color indexed="81"/>
            <rFont val="Tahoma"/>
            <family val="2"/>
          </rPr>
          <t xml:space="preserve">
Proposition 39 in California</t>
        </r>
      </text>
    </comment>
    <comment ref="BS102" authorId="2">
      <text>
        <r>
          <rPr>
            <b/>
            <sz val="9"/>
            <color indexed="81"/>
            <rFont val="Tahoma"/>
            <family val="2"/>
          </rPr>
          <t>Elliott, Elizabeth (Research):</t>
        </r>
        <r>
          <rPr>
            <sz val="9"/>
            <color indexed="81"/>
            <rFont val="Tahoma"/>
            <family val="2"/>
          </rPr>
          <t xml:space="preserve">
$75-$85M per qtr</t>
        </r>
      </text>
    </comment>
    <comment ref="AL114" authorId="0">
      <text>
        <r>
          <rPr>
            <b/>
            <sz val="8"/>
            <color indexed="81"/>
            <rFont val="Tahoma"/>
            <family val="2"/>
          </rPr>
          <t>schmitzs:</t>
        </r>
        <r>
          <rPr>
            <sz val="8"/>
            <color indexed="81"/>
            <rFont val="Tahoma"/>
            <family val="2"/>
          </rPr>
          <t xml:space="preserve">
guided $0.81 - 0.89</t>
        </r>
      </text>
    </comment>
    <comment ref="BL114" authorId="2">
      <text>
        <r>
          <rPr>
            <b/>
            <sz val="9"/>
            <color indexed="81"/>
            <rFont val="Tahoma"/>
            <family val="2"/>
          </rPr>
          <t>Elliott, Elizabeth (Research):</t>
        </r>
        <r>
          <rPr>
            <sz val="9"/>
            <color indexed="81"/>
            <rFont val="Tahoma"/>
            <family val="2"/>
          </rPr>
          <t xml:space="preserve">
Prior guidance $1.90-$2.00</t>
        </r>
      </text>
    </comment>
    <comment ref="BM114" authorId="2">
      <text>
        <r>
          <rPr>
            <b/>
            <sz val="9"/>
            <color indexed="81"/>
            <rFont val="Tahoma"/>
            <family val="2"/>
          </rPr>
          <t>Elliott, Elizabeth (Research):</t>
        </r>
        <r>
          <rPr>
            <sz val="9"/>
            <color indexed="81"/>
            <rFont val="Tahoma"/>
            <family val="2"/>
          </rPr>
          <t xml:space="preserve">
Guided $1.50-1.60</t>
        </r>
      </text>
    </comment>
    <comment ref="BN114" authorId="2">
      <text>
        <r>
          <rPr>
            <b/>
            <sz val="9"/>
            <color indexed="81"/>
            <rFont val="Tahoma"/>
            <family val="2"/>
          </rPr>
          <t>Elliott, Elizabeth (Research):</t>
        </r>
        <r>
          <rPr>
            <sz val="9"/>
            <color indexed="81"/>
            <rFont val="Tahoma"/>
            <family val="2"/>
          </rPr>
          <t xml:space="preserve">
Preannounced $1.56
Guided $1.50-$1.60</t>
        </r>
      </text>
    </comment>
    <comment ref="BO114" authorId="2">
      <text>
        <r>
          <rPr>
            <b/>
            <sz val="9"/>
            <color indexed="81"/>
            <rFont val="Tahoma"/>
            <family val="2"/>
          </rPr>
          <t>Elliott, Elizabeth (Research):</t>
        </r>
        <r>
          <rPr>
            <sz val="9"/>
            <color indexed="81"/>
            <rFont val="Tahoma"/>
            <family val="2"/>
          </rPr>
          <t xml:space="preserve">
Guided $1.50-$1.60</t>
        </r>
      </text>
    </comment>
    <comment ref="BP114" authorId="2">
      <text>
        <r>
          <rPr>
            <b/>
            <sz val="9"/>
            <color indexed="81"/>
            <rFont val="Tahoma"/>
            <family val="2"/>
          </rPr>
          <t>Elliott, Elizabeth (Research):</t>
        </r>
        <r>
          <rPr>
            <sz val="9"/>
            <color indexed="81"/>
            <rFont val="Tahoma"/>
            <family val="2"/>
          </rPr>
          <t xml:space="preserve">
Guided $1.20-$1.30</t>
        </r>
      </text>
    </comment>
    <comment ref="BQ114" authorId="2">
      <text>
        <r>
          <rPr>
            <b/>
            <sz val="9"/>
            <color indexed="81"/>
            <rFont val="Tahoma"/>
            <family val="2"/>
          </rPr>
          <t xml:space="preserve">Elliott, Elizabeth (Research):
</t>
        </r>
        <r>
          <rPr>
            <sz val="9"/>
            <color indexed="81"/>
            <rFont val="Tahoma"/>
            <family val="2"/>
          </rPr>
          <t xml:space="preserve">Pre announced $0.72
</t>
        </r>
        <r>
          <rPr>
            <b/>
            <sz val="9"/>
            <color indexed="81"/>
            <rFont val="Tahoma"/>
            <family val="2"/>
          </rPr>
          <t xml:space="preserve">
</t>
        </r>
        <r>
          <rPr>
            <sz val="9"/>
            <color indexed="81"/>
            <rFont val="Tahoma"/>
            <family val="2"/>
          </rPr>
          <t>Guidance WD + SNDK $0.65-$0.70</t>
        </r>
        <r>
          <rPr>
            <b/>
            <sz val="9"/>
            <color indexed="81"/>
            <rFont val="Tahoma"/>
            <family val="2"/>
          </rPr>
          <t xml:space="preserve">
</t>
        </r>
        <r>
          <rPr>
            <sz val="9"/>
            <color indexed="81"/>
            <rFont val="Tahoma"/>
            <family val="2"/>
          </rPr>
          <t xml:space="preserve">
WD Standalone guidance for $1-$1.10 (excluding debt financing from SNDK)</t>
        </r>
      </text>
    </comment>
    <comment ref="BR114" authorId="2">
      <text>
        <r>
          <rPr>
            <b/>
            <sz val="9"/>
            <color indexed="81"/>
            <rFont val="Tahoma"/>
            <family val="2"/>
          </rPr>
          <t>Elliott, Elizabeth (Research):</t>
        </r>
        <r>
          <rPr>
            <sz val="9"/>
            <color indexed="81"/>
            <rFont val="Tahoma"/>
            <family val="2"/>
          </rPr>
          <t xml:space="preserve">
Guidance increased $1.00 - $1.05, from $0.85-$0.90 prior</t>
        </r>
      </text>
    </comment>
    <comment ref="BS114" authorId="2">
      <text>
        <r>
          <rPr>
            <b/>
            <sz val="9"/>
            <color indexed="81"/>
            <rFont val="Tahoma"/>
            <family val="2"/>
          </rPr>
          <t>Elliott, Elizabeth (Research):</t>
        </r>
        <r>
          <rPr>
            <sz val="9"/>
            <color indexed="81"/>
            <rFont val="Tahoma"/>
            <family val="2"/>
          </rPr>
          <t xml:space="preserve">
Updated guidance $2.10-$2.15, from $1.85-$1.95 previously</t>
        </r>
      </text>
    </comment>
    <comment ref="BT114" authorId="2">
      <text>
        <r>
          <rPr>
            <b/>
            <sz val="9"/>
            <color indexed="81"/>
            <rFont val="Tahoma"/>
            <family val="2"/>
          </rPr>
          <t>Elliott, Elizabeth (Research):</t>
        </r>
        <r>
          <rPr>
            <sz val="9"/>
            <color indexed="81"/>
            <rFont val="Tahoma"/>
            <family val="2"/>
          </rPr>
          <t xml:space="preserve">
Guided $2.00-$2.10</t>
        </r>
      </text>
    </comment>
    <comment ref="BU114" authorId="2">
      <text>
        <r>
          <rPr>
            <b/>
            <sz val="9"/>
            <color indexed="81"/>
            <rFont val="Tahoma"/>
            <family val="2"/>
          </rPr>
          <t>Elliott, Elizabeth (Research):</t>
        </r>
        <r>
          <rPr>
            <sz val="9"/>
            <color indexed="81"/>
            <rFont val="Tahoma"/>
            <family val="2"/>
          </rPr>
          <t xml:space="preserve">
Pre announced $2.85 on 6/26. Guided $2.55-$2.65</t>
        </r>
      </text>
    </comment>
    <comment ref="BV114" authorId="2">
      <text>
        <r>
          <rPr>
            <b/>
            <sz val="9"/>
            <color indexed="81"/>
            <rFont val="Tahoma"/>
            <family val="2"/>
          </rPr>
          <t>Elliott, Elizabeth (Research):</t>
        </r>
        <r>
          <rPr>
            <sz val="9"/>
            <color indexed="81"/>
            <rFont val="Tahoma"/>
            <family val="2"/>
          </rPr>
          <t xml:space="preserve">
Guidance $3.25-$3.35</t>
        </r>
      </text>
    </comment>
    <comment ref="BW114" authorId="2">
      <text>
        <r>
          <rPr>
            <b/>
            <sz val="9"/>
            <color indexed="81"/>
            <rFont val="Tahoma"/>
            <family val="2"/>
          </rPr>
          <t>Elliott, Elizabeth (Research):</t>
        </r>
        <r>
          <rPr>
            <sz val="9"/>
            <color indexed="81"/>
            <rFont val="Tahoma"/>
            <family val="2"/>
          </rPr>
          <t xml:space="preserve">
Guidance $3.60-3.70</t>
        </r>
      </text>
    </comment>
    <comment ref="CV114" authorId="2">
      <text>
        <r>
          <rPr>
            <b/>
            <sz val="9"/>
            <color indexed="81"/>
            <rFont val="Tahoma"/>
            <family val="2"/>
          </rPr>
          <t>Elliott, Elizabeth (Research):</t>
        </r>
        <r>
          <rPr>
            <sz val="9"/>
            <color indexed="81"/>
            <rFont val="Tahoma"/>
            <family val="2"/>
          </rPr>
          <t xml:space="preserve">
Updated guidance (Dec) for exceed $13, previously $13</t>
        </r>
      </text>
    </comment>
    <comment ref="CK115" authorId="0">
      <text>
        <r>
          <rPr>
            <b/>
            <sz val="8"/>
            <color indexed="81"/>
            <rFont val="Tahoma"/>
            <family val="2"/>
          </rPr>
          <t>schmitzs:</t>
        </r>
        <r>
          <rPr>
            <sz val="8"/>
            <color indexed="81"/>
            <rFont val="Tahoma"/>
            <family val="2"/>
          </rPr>
          <t xml:space="preserve">
10-k reported $2.50.  Change in tax benefit (valuation allowance) versus reported qtrs</t>
        </r>
      </text>
    </comment>
    <comment ref="Y121" authorId="4">
      <text>
        <r>
          <rPr>
            <b/>
            <sz val="8"/>
            <color indexed="81"/>
            <rFont val="Tahoma"/>
            <family val="2"/>
          </rPr>
          <t>chenfei:</t>
        </r>
        <r>
          <rPr>
            <sz val="8"/>
            <color indexed="81"/>
            <rFont val="Tahoma"/>
            <family val="2"/>
          </rPr>
          <t xml:space="preserve">
=Y67/Y303*2-Y299</t>
        </r>
      </text>
    </comment>
    <comment ref="BL124" authorId="2">
      <text>
        <r>
          <rPr>
            <b/>
            <sz val="9"/>
            <color indexed="81"/>
            <rFont val="Tahoma"/>
            <family val="2"/>
          </rPr>
          <t>Elliott, Elizabeth (Research):</t>
        </r>
        <r>
          <rPr>
            <sz val="9"/>
            <color indexed="81"/>
            <rFont val="Tahoma"/>
            <family val="2"/>
          </rPr>
          <t xml:space="preserve">
Prior guidance 237M shares</t>
        </r>
      </text>
    </comment>
    <comment ref="BQ124" authorId="2">
      <text>
        <r>
          <rPr>
            <b/>
            <sz val="9"/>
            <color indexed="81"/>
            <rFont val="Tahoma"/>
            <family val="2"/>
          </rPr>
          <t>Elliott, Elizabeth (Research):</t>
        </r>
        <r>
          <rPr>
            <sz val="9"/>
            <color indexed="81"/>
            <rFont val="Tahoma"/>
            <family val="2"/>
          </rPr>
          <t xml:space="preserve">
Guidance 266</t>
        </r>
      </text>
    </comment>
    <comment ref="BR124" authorId="2">
      <text>
        <r>
          <rPr>
            <b/>
            <sz val="9"/>
            <color indexed="81"/>
            <rFont val="Tahoma"/>
            <family val="2"/>
          </rPr>
          <t>Elliott, Elizabeth (Research):</t>
        </r>
        <r>
          <rPr>
            <sz val="9"/>
            <color indexed="81"/>
            <rFont val="Tahoma"/>
            <family val="2"/>
          </rPr>
          <t xml:space="preserve">
Guidance 290</t>
        </r>
      </text>
    </comment>
    <comment ref="BS124" authorId="2">
      <text>
        <r>
          <rPr>
            <b/>
            <sz val="9"/>
            <color indexed="81"/>
            <rFont val="Tahoma"/>
            <family val="2"/>
          </rPr>
          <t>Elliott, Elizabeth (Research):</t>
        </r>
        <r>
          <rPr>
            <sz val="9"/>
            <color indexed="81"/>
            <rFont val="Tahoma"/>
            <family val="2"/>
          </rPr>
          <t xml:space="preserve">
No updated guidance, prior guidance 293</t>
        </r>
      </text>
    </comment>
    <comment ref="BT124" authorId="2">
      <text>
        <r>
          <rPr>
            <b/>
            <sz val="9"/>
            <color indexed="81"/>
            <rFont val="Tahoma"/>
            <family val="2"/>
          </rPr>
          <t>Elliott, Elizabeth (Research):</t>
        </r>
        <r>
          <rPr>
            <sz val="9"/>
            <color indexed="81"/>
            <rFont val="Tahoma"/>
            <family val="2"/>
          </rPr>
          <t xml:space="preserve">
Guided 298M</t>
        </r>
      </text>
    </comment>
    <comment ref="BU124" authorId="2">
      <text>
        <r>
          <rPr>
            <b/>
            <sz val="9"/>
            <color indexed="81"/>
            <rFont val="Tahoma"/>
            <family val="2"/>
          </rPr>
          <t>Elliott, Elizabeth (Research):</t>
        </r>
        <r>
          <rPr>
            <sz val="9"/>
            <color indexed="81"/>
            <rFont val="Tahoma"/>
            <family val="2"/>
          </rPr>
          <t xml:space="preserve">
Guidance 302</t>
        </r>
      </text>
    </comment>
    <comment ref="BV124" authorId="2">
      <text>
        <r>
          <rPr>
            <b/>
            <sz val="9"/>
            <color indexed="81"/>
            <rFont val="Tahoma"/>
            <family val="2"/>
          </rPr>
          <t>Elliott, Elizabeth (Research):</t>
        </r>
        <r>
          <rPr>
            <sz val="9"/>
            <color indexed="81"/>
            <rFont val="Tahoma"/>
            <family val="2"/>
          </rPr>
          <t xml:space="preserve">
Guidance 307, higher on accounting change</t>
        </r>
      </text>
    </comment>
    <comment ref="BW124" authorId="2">
      <text>
        <r>
          <rPr>
            <b/>
            <sz val="9"/>
            <color indexed="81"/>
            <rFont val="Tahoma"/>
            <family val="2"/>
          </rPr>
          <t>Elliott, Elizabeth (Research):</t>
        </r>
        <r>
          <rPr>
            <sz val="9"/>
            <color indexed="81"/>
            <rFont val="Tahoma"/>
            <family val="2"/>
          </rPr>
          <t xml:space="preserve">
Guidance 309</t>
        </r>
      </text>
    </comment>
    <comment ref="CT124" authorId="2">
      <text>
        <r>
          <rPr>
            <b/>
            <sz val="9"/>
            <color indexed="81"/>
            <rFont val="Tahoma"/>
            <family val="2"/>
          </rPr>
          <t>Elliott, Elizabeth (Research):</t>
        </r>
        <r>
          <rPr>
            <sz val="9"/>
            <color indexed="81"/>
            <rFont val="Tahoma"/>
            <family val="2"/>
          </rPr>
          <t xml:space="preserve">
Adjusted to reflect SNDK share issuance during F4Q </t>
        </r>
      </text>
    </comment>
    <comment ref="AJ128" authorId="0">
      <text>
        <r>
          <rPr>
            <b/>
            <sz val="8"/>
            <color indexed="81"/>
            <rFont val="Tahoma"/>
            <family val="2"/>
          </rPr>
          <t>schmitzs:</t>
        </r>
        <r>
          <rPr>
            <sz val="8"/>
            <color indexed="81"/>
            <rFont val="Tahoma"/>
            <family val="2"/>
          </rPr>
          <t xml:space="preserve">
shut down factories last week of qtr, which lowered gm by 60bps</t>
        </r>
      </text>
    </comment>
    <comment ref="DA128" authorId="2">
      <text>
        <r>
          <rPr>
            <b/>
            <sz val="9"/>
            <color indexed="81"/>
            <rFont val="Tahoma"/>
            <family val="2"/>
          </rPr>
          <t>Elliott, Elizabeth (Research):</t>
        </r>
        <r>
          <rPr>
            <sz val="9"/>
            <color indexed="81"/>
            <rFont val="Tahoma"/>
            <family val="2"/>
          </rPr>
          <t xml:space="preserve">
LT model 33%-38%</t>
        </r>
      </text>
    </comment>
    <comment ref="DA135" authorId="2">
      <text>
        <r>
          <rPr>
            <b/>
            <sz val="9"/>
            <color indexed="81"/>
            <rFont val="Tahoma"/>
            <family val="2"/>
          </rPr>
          <t>Elliott, Elizabeth (Research):</t>
        </r>
        <r>
          <rPr>
            <sz val="9"/>
            <color indexed="81"/>
            <rFont val="Tahoma"/>
            <family val="2"/>
          </rPr>
          <t xml:space="preserve">
LT model 14%-16%</t>
        </r>
      </text>
    </comment>
    <comment ref="BQ143" authorId="2">
      <text>
        <r>
          <rPr>
            <b/>
            <sz val="9"/>
            <color indexed="81"/>
            <rFont val="Tahoma"/>
            <family val="2"/>
          </rPr>
          <t>Elliott, Elizabeth (Research):</t>
        </r>
        <r>
          <rPr>
            <sz val="9"/>
            <color indexed="81"/>
            <rFont val="Tahoma"/>
            <family val="2"/>
          </rPr>
          <t xml:space="preserve">
SNDK acquisition</t>
        </r>
      </text>
    </comment>
    <comment ref="DA143" authorId="2">
      <text>
        <r>
          <rPr>
            <b/>
            <sz val="9"/>
            <color indexed="81"/>
            <rFont val="Tahoma"/>
            <family val="2"/>
          </rPr>
          <t>Elliott, Elizabeth (Research):</t>
        </r>
        <r>
          <rPr>
            <sz val="9"/>
            <color indexed="81"/>
            <rFont val="Tahoma"/>
            <family val="2"/>
          </rPr>
          <t xml:space="preserve">
LT model 4%-8% CAGR</t>
        </r>
      </text>
    </comment>
    <comment ref="BE148" authorId="2">
      <text>
        <r>
          <rPr>
            <b/>
            <sz val="9"/>
            <color indexed="81"/>
            <rFont val="Tahoma"/>
            <family val="2"/>
          </rPr>
          <t>Elliott, Elizabeth (Research):</t>
        </r>
        <r>
          <rPr>
            <sz val="9"/>
            <color indexed="81"/>
            <rFont val="Tahoma"/>
            <family val="2"/>
          </rPr>
          <t xml:space="preserve">
linked to prior reporting segments </t>
        </r>
      </text>
    </comment>
    <comment ref="BQ158" authorId="2">
      <text>
        <r>
          <rPr>
            <b/>
            <sz val="9"/>
            <color indexed="81"/>
            <rFont val="Tahoma"/>
            <family val="2"/>
          </rPr>
          <t>Elliott, Elizabeth (Research):</t>
        </r>
        <r>
          <rPr>
            <sz val="9"/>
            <color indexed="81"/>
            <rFont val="Tahoma"/>
            <family val="2"/>
          </rPr>
          <t xml:space="preserve">
SNDK acquisition</t>
        </r>
      </text>
    </comment>
    <comment ref="BE163" authorId="2">
      <text>
        <r>
          <rPr>
            <b/>
            <sz val="9"/>
            <color indexed="81"/>
            <rFont val="Tahoma"/>
            <family val="2"/>
          </rPr>
          <t>Elliott, Elizabeth (Research):</t>
        </r>
        <r>
          <rPr>
            <sz val="9"/>
            <color indexed="81"/>
            <rFont val="Tahoma"/>
            <family val="2"/>
          </rPr>
          <t xml:space="preserve">
linked to prior reporting segments </t>
        </r>
      </text>
    </comment>
    <comment ref="BE177" authorId="0">
      <text>
        <r>
          <rPr>
            <b/>
            <sz val="8"/>
            <color indexed="81"/>
            <rFont val="Tahoma"/>
            <family val="2"/>
          </rPr>
          <t>schmitzs:</t>
        </r>
        <r>
          <rPr>
            <sz val="8"/>
            <color indexed="81"/>
            <rFont val="Tahoma"/>
            <family val="2"/>
          </rPr>
          <t xml:space="preserve">
less than 50% of revenue from PCs</t>
        </r>
      </text>
    </comment>
    <comment ref="BE188" authorId="0">
      <text>
        <r>
          <rPr>
            <b/>
            <sz val="8"/>
            <color indexed="81"/>
            <rFont val="Tahoma"/>
            <family val="2"/>
          </rPr>
          <t>schmitzs:</t>
        </r>
        <r>
          <rPr>
            <sz val="8"/>
            <color indexed="81"/>
            <rFont val="Tahoma"/>
            <family val="2"/>
          </rPr>
          <t xml:space="preserve">
less than 50% of revenue from PCs</t>
        </r>
      </text>
    </comment>
    <comment ref="BL217" authorId="2">
      <text>
        <r>
          <rPr>
            <b/>
            <sz val="9"/>
            <color indexed="81"/>
            <rFont val="Tahoma"/>
            <family val="2"/>
          </rPr>
          <t>Elliott, Elizabeth (Research):</t>
        </r>
        <r>
          <rPr>
            <sz val="9"/>
            <color indexed="81"/>
            <rFont val="Tahoma"/>
            <family val="2"/>
          </rPr>
          <t xml:space="preserve">
Mgmt noted lumpy transactions cause share shifts</t>
        </r>
      </text>
    </comment>
    <comment ref="BQ217" authorId="2">
      <text>
        <r>
          <rPr>
            <b/>
            <sz val="9"/>
            <color indexed="81"/>
            <rFont val="Tahoma"/>
            <family val="2"/>
          </rPr>
          <t>Elliott, Elizabeth (Research):</t>
        </r>
        <r>
          <rPr>
            <sz val="9"/>
            <color indexed="81"/>
            <rFont val="Tahoma"/>
            <family val="2"/>
          </rPr>
          <t xml:space="preserve">
Lost enterprise market share b/c did not participate in steeper price declines</t>
        </r>
      </text>
    </comment>
    <comment ref="BN219" authorId="2">
      <text>
        <r>
          <rPr>
            <b/>
            <sz val="9"/>
            <color indexed="81"/>
            <rFont val="Tahoma"/>
            <family val="2"/>
          </rPr>
          <t>Elliott, Elizabeth (Research):</t>
        </r>
        <r>
          <rPr>
            <sz val="9"/>
            <color indexed="81"/>
            <rFont val="Tahoma"/>
            <family val="2"/>
          </rPr>
          <t xml:space="preserve">
STX 8TB weakness likely resulted in WD gaining share</t>
        </r>
      </text>
    </comment>
    <comment ref="BU230" authorId="2">
      <text>
        <r>
          <rPr>
            <b/>
            <sz val="9"/>
            <color indexed="81"/>
            <rFont val="Tahoma"/>
            <family val="2"/>
          </rPr>
          <t>Elliott, Elizabeth (Research):</t>
        </r>
        <r>
          <rPr>
            <sz val="9"/>
            <color indexed="81"/>
            <rFont val="Tahoma"/>
            <family val="2"/>
          </rPr>
          <t xml:space="preserve">
21% Y/Y pro forma</t>
        </r>
      </text>
    </comment>
    <comment ref="CU230" authorId="2">
      <text>
        <r>
          <rPr>
            <b/>
            <sz val="9"/>
            <color indexed="81"/>
            <rFont val="Tahoma"/>
            <family val="2"/>
          </rPr>
          <t>Elliott, Elizabeth (Research):</t>
        </r>
        <r>
          <rPr>
            <sz val="9"/>
            <color indexed="81"/>
            <rFont val="Tahoma"/>
            <family val="2"/>
          </rPr>
          <t xml:space="preserve">
7% pro forma </t>
        </r>
      </text>
    </comment>
    <comment ref="BV231" authorId="2">
      <text>
        <r>
          <rPr>
            <b/>
            <sz val="9"/>
            <color indexed="81"/>
            <rFont val="Tahoma"/>
            <family val="2"/>
          </rPr>
          <t>Elliott, Elizabeth (Research):</t>
        </r>
        <r>
          <rPr>
            <sz val="9"/>
            <color indexed="81"/>
            <rFont val="Tahoma"/>
            <family val="2"/>
          </rPr>
          <t xml:space="preserve">
less tailwind on price than last year, and client + enterprise are weaker than seasonal on component pricing dynamic</t>
        </r>
      </text>
    </comment>
    <comment ref="B241" authorId="2">
      <text>
        <r>
          <rPr>
            <b/>
            <sz val="9"/>
            <color indexed="81"/>
            <rFont val="Tahoma"/>
            <family val="2"/>
          </rPr>
          <t>Elliott, Elizabeth (Research):</t>
        </r>
        <r>
          <rPr>
            <sz val="9"/>
            <color indexed="81"/>
            <rFont val="Tahoma"/>
            <family val="2"/>
          </rPr>
          <t xml:space="preserve">
Client compute HDD, Consumer electronic HDD, client SSD, embedded, wafer sales, licensing and royalties</t>
        </r>
      </text>
    </comment>
    <comment ref="DA242" authorId="2">
      <text>
        <r>
          <rPr>
            <b/>
            <sz val="9"/>
            <color indexed="81"/>
            <rFont val="Tahoma"/>
            <family val="2"/>
          </rPr>
          <t>Elliott, Elizabeth (Research):</t>
        </r>
        <r>
          <rPr>
            <sz val="9"/>
            <color indexed="81"/>
            <rFont val="Tahoma"/>
            <family val="2"/>
          </rPr>
          <t xml:space="preserve">
LT CAGR flat to up low single digits</t>
        </r>
      </text>
    </comment>
    <comment ref="DA246" authorId="2">
      <text>
        <r>
          <rPr>
            <b/>
            <sz val="9"/>
            <color indexed="81"/>
            <rFont val="Tahoma"/>
            <family val="2"/>
          </rPr>
          <t>Elliott, Elizabeth (Research):</t>
        </r>
        <r>
          <rPr>
            <sz val="9"/>
            <color indexed="81"/>
            <rFont val="Tahoma"/>
            <family val="2"/>
          </rPr>
          <t xml:space="preserve">
LT CAGR flat to up low single digits</t>
        </r>
      </text>
    </comment>
    <comment ref="BV251" authorId="2">
      <text>
        <r>
          <rPr>
            <b/>
            <sz val="9"/>
            <color indexed="81"/>
            <rFont val="Tahoma"/>
            <family val="2"/>
          </rPr>
          <t>Elliott, Elizabeth (Research):</t>
        </r>
        <r>
          <rPr>
            <sz val="9"/>
            <color indexed="81"/>
            <rFont val="Tahoma"/>
            <family val="2"/>
          </rPr>
          <t xml:space="preserve">
Continue to  increase on mix to flash</t>
        </r>
      </text>
    </comment>
    <comment ref="BW251" authorId="2">
      <text>
        <r>
          <rPr>
            <b/>
            <sz val="9"/>
            <color indexed="81"/>
            <rFont val="Tahoma"/>
            <family val="2"/>
          </rPr>
          <t>Elliott, Elizabeth (Research):</t>
        </r>
        <r>
          <rPr>
            <sz val="9"/>
            <color indexed="81"/>
            <rFont val="Tahoma"/>
            <family val="2"/>
          </rPr>
          <t xml:space="preserve">
mix shift to SSD vs HDD benefits ASP</t>
        </r>
      </text>
    </comment>
    <comment ref="C253" authorId="2">
      <text>
        <r>
          <rPr>
            <b/>
            <sz val="9"/>
            <color indexed="81"/>
            <rFont val="Tahoma"/>
            <family val="2"/>
          </rPr>
          <t>Elliott, Elizabeth (Research):</t>
        </r>
        <r>
          <rPr>
            <sz val="9"/>
            <color indexed="81"/>
            <rFont val="Tahoma"/>
            <family val="2"/>
          </rPr>
          <t xml:space="preserve">
client SSD, embedded, wafer sales, licensing and royalties</t>
        </r>
      </text>
    </comment>
    <comment ref="BQ253" authorId="2">
      <text>
        <r>
          <rPr>
            <b/>
            <sz val="9"/>
            <color indexed="81"/>
            <rFont val="Tahoma"/>
            <family val="2"/>
          </rPr>
          <t>Elliott, Elizabeth (Research):</t>
        </r>
        <r>
          <rPr>
            <sz val="9"/>
            <color indexed="81"/>
            <rFont val="Tahoma"/>
            <family val="2"/>
          </rPr>
          <t xml:space="preserve">
SNDK acquistion for ~ half qtr, MS est</t>
        </r>
      </text>
    </comment>
    <comment ref="BR253" authorId="2">
      <text>
        <r>
          <rPr>
            <b/>
            <sz val="9"/>
            <color indexed="81"/>
            <rFont val="Tahoma"/>
            <family val="2"/>
          </rPr>
          <t>Elliott, Elizabeth (Research):</t>
        </r>
        <r>
          <rPr>
            <sz val="9"/>
            <color indexed="81"/>
            <rFont val="Tahoma"/>
            <family val="2"/>
          </rPr>
          <t xml:space="preserve">
SNDK acquistion first full qtr, MS est</t>
        </r>
      </text>
    </comment>
    <comment ref="DA254" authorId="2">
      <text>
        <r>
          <rPr>
            <b/>
            <sz val="9"/>
            <color indexed="81"/>
            <rFont val="Tahoma"/>
            <family val="2"/>
          </rPr>
          <t>Elliott, Elizabeth (Research):</t>
        </r>
        <r>
          <rPr>
            <sz val="9"/>
            <color indexed="81"/>
            <rFont val="Tahoma"/>
            <family val="2"/>
          </rPr>
          <t xml:space="preserve">
LT CAGR up mid to high teens</t>
        </r>
      </text>
    </comment>
    <comment ref="DA258" authorId="2">
      <text>
        <r>
          <rPr>
            <b/>
            <sz val="9"/>
            <color indexed="81"/>
            <rFont val="Tahoma"/>
            <family val="2"/>
          </rPr>
          <t>Elliott, Elizabeth (Research):</t>
        </r>
        <r>
          <rPr>
            <sz val="9"/>
            <color indexed="81"/>
            <rFont val="Tahoma"/>
            <family val="2"/>
          </rPr>
          <t xml:space="preserve">
LT CAGR down mid to high single digits</t>
        </r>
      </text>
    </comment>
    <comment ref="BK264" authorId="2">
      <text>
        <r>
          <rPr>
            <b/>
            <sz val="9"/>
            <color indexed="81"/>
            <rFont val="Tahoma"/>
            <family val="2"/>
          </rPr>
          <t>Elliott, Elizabeth (Research):</t>
        </r>
        <r>
          <rPr>
            <sz val="9"/>
            <color indexed="81"/>
            <rFont val="Tahoma"/>
            <family val="2"/>
          </rPr>
          <t xml:space="preserve">
Lost some share in NB space, decline is steeper than what the industry would be</t>
        </r>
      </text>
    </comment>
    <comment ref="BO264" authorId="2">
      <text>
        <r>
          <rPr>
            <b/>
            <sz val="9"/>
            <color indexed="81"/>
            <rFont val="Tahoma"/>
            <family val="2"/>
          </rPr>
          <t>Elliott, Elizabeth (Research):</t>
        </r>
        <r>
          <rPr>
            <sz val="9"/>
            <color indexed="81"/>
            <rFont val="Tahoma"/>
            <family val="2"/>
          </rPr>
          <t xml:space="preserve">
Lost some share in NB space, decline is steeper than what the industry would be</t>
        </r>
      </text>
    </comment>
    <comment ref="CX265" authorId="2">
      <text>
        <r>
          <rPr>
            <b/>
            <sz val="9"/>
            <color indexed="81"/>
            <rFont val="Tahoma"/>
            <family val="2"/>
          </rPr>
          <t>Elliott, Elizabeth (Research):</t>
        </r>
        <r>
          <rPr>
            <sz val="9"/>
            <color indexed="81"/>
            <rFont val="Tahoma"/>
            <family val="2"/>
          </rPr>
          <t xml:space="preserve">
increased SSD penetration in DT, WD estimates 70% by 2020</t>
        </r>
      </text>
    </comment>
    <comment ref="C267" authorId="2">
      <text>
        <r>
          <rPr>
            <b/>
            <sz val="9"/>
            <color indexed="81"/>
            <rFont val="Tahoma"/>
            <family val="2"/>
          </rPr>
          <t>Elliott, Elizabeth (Research):</t>
        </r>
        <r>
          <rPr>
            <sz val="9"/>
            <color indexed="81"/>
            <rFont val="Tahoma"/>
            <family val="2"/>
          </rPr>
          <t xml:space="preserve">
MS est</t>
        </r>
      </text>
    </comment>
    <comment ref="CX275" authorId="2">
      <text>
        <r>
          <rPr>
            <b/>
            <sz val="9"/>
            <color indexed="81"/>
            <rFont val="Tahoma"/>
            <family val="2"/>
          </rPr>
          <t>Elliott, Elizabeth (Research):</t>
        </r>
        <r>
          <rPr>
            <sz val="9"/>
            <color indexed="81"/>
            <rFont val="Tahoma"/>
            <family val="2"/>
          </rPr>
          <t xml:space="preserve">
increased SSD penetration in DT, WD estimates 50% by 2020</t>
        </r>
      </text>
    </comment>
    <comment ref="C277" authorId="2">
      <text>
        <r>
          <rPr>
            <b/>
            <sz val="9"/>
            <color indexed="81"/>
            <rFont val="Tahoma"/>
            <family val="2"/>
          </rPr>
          <t>Elliott, Elizabeth (Research):</t>
        </r>
        <r>
          <rPr>
            <sz val="9"/>
            <color indexed="81"/>
            <rFont val="Tahoma"/>
            <family val="2"/>
          </rPr>
          <t xml:space="preserve">
MS est</t>
        </r>
      </text>
    </comment>
    <comment ref="C287" authorId="2">
      <text>
        <r>
          <rPr>
            <b/>
            <sz val="9"/>
            <color indexed="81"/>
            <rFont val="Tahoma"/>
            <family val="2"/>
          </rPr>
          <t>Elliott, Elizabeth (Research):</t>
        </r>
        <r>
          <rPr>
            <sz val="9"/>
            <color indexed="81"/>
            <rFont val="Tahoma"/>
            <family val="2"/>
          </rPr>
          <t xml:space="preserve">
MS est</t>
        </r>
      </text>
    </comment>
    <comment ref="BP289" authorId="2">
      <text>
        <r>
          <rPr>
            <b/>
            <sz val="9"/>
            <color indexed="81"/>
            <rFont val="Tahoma"/>
            <family val="2"/>
          </rPr>
          <t>Elliott, Elizabeth (Research):</t>
        </r>
        <r>
          <rPr>
            <sz val="9"/>
            <color indexed="81"/>
            <rFont val="Tahoma"/>
            <family val="2"/>
          </rPr>
          <t xml:space="preserve">
ASP increases in gaming</t>
        </r>
      </text>
    </comment>
    <comment ref="B291" authorId="2">
      <text>
        <r>
          <rPr>
            <b/>
            <sz val="9"/>
            <color indexed="81"/>
            <rFont val="Tahoma"/>
            <family val="2"/>
          </rPr>
          <t>Elliott, Elizabeth (Research):</t>
        </r>
        <r>
          <rPr>
            <sz val="9"/>
            <color indexed="81"/>
            <rFont val="Tahoma"/>
            <family val="2"/>
          </rPr>
          <t xml:space="preserve">
Branded HDD, branded flash, removables, licensing and royalties</t>
        </r>
      </text>
    </comment>
    <comment ref="DA292" authorId="2">
      <text>
        <r>
          <rPr>
            <b/>
            <sz val="9"/>
            <color indexed="81"/>
            <rFont val="Tahoma"/>
            <family val="2"/>
          </rPr>
          <t>Elliott, Elizabeth (Research):</t>
        </r>
        <r>
          <rPr>
            <sz val="9"/>
            <color indexed="81"/>
            <rFont val="Tahoma"/>
            <family val="2"/>
          </rPr>
          <t xml:space="preserve">
LT CAGR flat to up low single digits</t>
        </r>
      </text>
    </comment>
    <comment ref="BV301" authorId="2">
      <text>
        <r>
          <rPr>
            <b/>
            <sz val="9"/>
            <color indexed="81"/>
            <rFont val="Tahoma"/>
            <family val="2"/>
          </rPr>
          <t>Elliott, Elizabeth (Research):</t>
        </r>
        <r>
          <rPr>
            <sz val="9"/>
            <color indexed="81"/>
            <rFont val="Tahoma"/>
            <family val="2"/>
          </rPr>
          <t xml:space="preserve">
continue to  increase on mix to flash</t>
        </r>
      </text>
    </comment>
    <comment ref="BW301" authorId="2">
      <text>
        <r>
          <rPr>
            <b/>
            <sz val="9"/>
            <color indexed="81"/>
            <rFont val="Tahoma"/>
            <family val="2"/>
          </rPr>
          <t>Elliott, Elizabeth (Research):</t>
        </r>
        <r>
          <rPr>
            <sz val="9"/>
            <color indexed="81"/>
            <rFont val="Tahoma"/>
            <family val="2"/>
          </rPr>
          <t xml:space="preserve">
mix shift to SSD vs HDD benefits ASP</t>
        </r>
      </text>
    </comment>
    <comment ref="C303" authorId="2">
      <text>
        <r>
          <rPr>
            <b/>
            <sz val="9"/>
            <color indexed="81"/>
            <rFont val="Tahoma"/>
            <family val="2"/>
          </rPr>
          <t>Elliott, Elizabeth (Research):</t>
        </r>
        <r>
          <rPr>
            <sz val="9"/>
            <color indexed="81"/>
            <rFont val="Tahoma"/>
            <family val="2"/>
          </rPr>
          <t xml:space="preserve">
Branded flash, removables, licensing and royalties</t>
        </r>
      </text>
    </comment>
    <comment ref="BP303" authorId="2">
      <text>
        <r>
          <rPr>
            <b/>
            <sz val="9"/>
            <color indexed="81"/>
            <rFont val="Tahoma"/>
            <family val="2"/>
          </rPr>
          <t>Elliott, Elizabeth (Research):</t>
        </r>
        <r>
          <rPr>
            <sz val="9"/>
            <color indexed="81"/>
            <rFont val="Tahoma"/>
            <family val="2"/>
          </rPr>
          <t xml:space="preserve">
Assumes $0 prior to SNDK</t>
        </r>
      </text>
    </comment>
    <comment ref="BQ303" authorId="2">
      <text>
        <r>
          <rPr>
            <b/>
            <sz val="9"/>
            <color indexed="81"/>
            <rFont val="Tahoma"/>
            <family val="2"/>
          </rPr>
          <t>Elliott, Elizabeth (Research):</t>
        </r>
        <r>
          <rPr>
            <sz val="9"/>
            <color indexed="81"/>
            <rFont val="Tahoma"/>
            <family val="2"/>
          </rPr>
          <t xml:space="preserve">
SNDK acquistion for ~ half qtr, MS est</t>
        </r>
      </text>
    </comment>
    <comment ref="BR303" authorId="2">
      <text>
        <r>
          <rPr>
            <b/>
            <sz val="9"/>
            <color indexed="81"/>
            <rFont val="Tahoma"/>
            <family val="2"/>
          </rPr>
          <t>Elliott, Elizabeth (Research):</t>
        </r>
        <r>
          <rPr>
            <sz val="9"/>
            <color indexed="81"/>
            <rFont val="Tahoma"/>
            <family val="2"/>
          </rPr>
          <t xml:space="preserve">
SNDK acquistion first full qtr, MS est</t>
        </r>
      </text>
    </comment>
    <comment ref="DA304" authorId="2">
      <text>
        <r>
          <rPr>
            <b/>
            <sz val="9"/>
            <color indexed="81"/>
            <rFont val="Tahoma"/>
            <family val="2"/>
          </rPr>
          <t>Elliott, Elizabeth (Research):</t>
        </r>
        <r>
          <rPr>
            <sz val="9"/>
            <color indexed="81"/>
            <rFont val="Tahoma"/>
            <family val="2"/>
          </rPr>
          <t xml:space="preserve">
LT CAGR flat to up low single digits</t>
        </r>
      </text>
    </comment>
    <comment ref="C307" authorId="2">
      <text>
        <r>
          <rPr>
            <b/>
            <sz val="9"/>
            <color indexed="81"/>
            <rFont val="Tahoma"/>
            <family val="2"/>
          </rPr>
          <t>Elliott, Elizabeth (Research):</t>
        </r>
        <r>
          <rPr>
            <sz val="9"/>
            <color indexed="81"/>
            <rFont val="Tahoma"/>
            <family val="2"/>
          </rPr>
          <t xml:space="preserve">
MS est</t>
        </r>
      </text>
    </comment>
    <comment ref="DA308" authorId="2">
      <text>
        <r>
          <rPr>
            <b/>
            <sz val="9"/>
            <color indexed="81"/>
            <rFont val="Tahoma"/>
            <family val="2"/>
          </rPr>
          <t>Elliott, Elizabeth (Research):</t>
        </r>
        <r>
          <rPr>
            <sz val="9"/>
            <color indexed="81"/>
            <rFont val="Tahoma"/>
            <family val="2"/>
          </rPr>
          <t xml:space="preserve">
LT CAGR flat to down low single digits</t>
        </r>
      </text>
    </comment>
    <comment ref="BK310" authorId="2">
      <text>
        <r>
          <rPr>
            <b/>
            <sz val="9"/>
            <color indexed="81"/>
            <rFont val="Tahoma"/>
            <family val="2"/>
          </rPr>
          <t>Elliott, Elizabeth (Research):</t>
        </r>
        <r>
          <rPr>
            <sz val="9"/>
            <color indexed="81"/>
            <rFont val="Tahoma"/>
            <family val="2"/>
          </rPr>
          <t xml:space="preserve">
Lost some share in NB space, decline is steeper than what the industry would be</t>
        </r>
      </text>
    </comment>
    <comment ref="BO310" authorId="2">
      <text>
        <r>
          <rPr>
            <b/>
            <sz val="9"/>
            <color indexed="81"/>
            <rFont val="Tahoma"/>
            <family val="2"/>
          </rPr>
          <t>Elliott, Elizabeth (Research):</t>
        </r>
        <r>
          <rPr>
            <sz val="9"/>
            <color indexed="81"/>
            <rFont val="Tahoma"/>
            <family val="2"/>
          </rPr>
          <t xml:space="preserve">
Lost some share in NB space, decline is steeper than what the industry would be</t>
        </r>
      </text>
    </comment>
    <comment ref="B317" authorId="2">
      <text>
        <r>
          <rPr>
            <b/>
            <sz val="9"/>
            <color indexed="81"/>
            <rFont val="Tahoma"/>
            <family val="2"/>
          </rPr>
          <t>Elliott, Elizabeth (Research):</t>
        </r>
        <r>
          <rPr>
            <sz val="9"/>
            <color indexed="81"/>
            <rFont val="Tahoma"/>
            <family val="2"/>
          </rPr>
          <t xml:space="preserve">
Enterprise HDD, enterprise SSD, data center software, data center solutions, licensing and royalties</t>
        </r>
      </text>
    </comment>
    <comment ref="BV317" authorId="2">
      <text>
        <r>
          <rPr>
            <b/>
            <sz val="9"/>
            <color indexed="81"/>
            <rFont val="Tahoma"/>
            <family val="2"/>
          </rPr>
          <t>Elliott, Elizabeth (Research):</t>
        </r>
        <r>
          <rPr>
            <sz val="9"/>
            <color indexed="81"/>
            <rFont val="Tahoma"/>
            <family val="2"/>
          </rPr>
          <t xml:space="preserve">
Strength in capacity HDD and SSD, offset by performance </t>
        </r>
      </text>
    </comment>
    <comment ref="DA318" authorId="2">
      <text>
        <r>
          <rPr>
            <b/>
            <sz val="9"/>
            <color indexed="81"/>
            <rFont val="Tahoma"/>
            <family val="2"/>
          </rPr>
          <t>Elliott, Elizabeth (Research):</t>
        </r>
        <r>
          <rPr>
            <sz val="9"/>
            <color indexed="81"/>
            <rFont val="Tahoma"/>
            <family val="2"/>
          </rPr>
          <t xml:space="preserve">
LT CAGR up low double digit to mid teens</t>
        </r>
      </text>
    </comment>
    <comment ref="BX321" authorId="2">
      <text>
        <r>
          <rPr>
            <b/>
            <sz val="9"/>
            <color indexed="81"/>
            <rFont val="Tahoma"/>
            <family val="2"/>
          </rPr>
          <t>Elliott, Elizabeth (Research):</t>
        </r>
        <r>
          <rPr>
            <sz val="9"/>
            <color indexed="81"/>
            <rFont val="Tahoma"/>
            <family val="2"/>
          </rPr>
          <t xml:space="preserve">
high capacity demand accelerates in CY18</t>
        </r>
      </text>
    </comment>
    <comment ref="CW322" authorId="2">
      <text>
        <r>
          <rPr>
            <b/>
            <sz val="9"/>
            <color indexed="81"/>
            <rFont val="Tahoma"/>
            <family val="2"/>
          </rPr>
          <t>Elliott, Elizabeth (Research):</t>
        </r>
        <r>
          <rPr>
            <sz val="9"/>
            <color indexed="81"/>
            <rFont val="Tahoma"/>
            <family val="2"/>
          </rPr>
          <t xml:space="preserve">
Capacity EB growth ~40%</t>
        </r>
      </text>
    </comment>
    <comment ref="BV323" authorId="2">
      <text>
        <r>
          <rPr>
            <b/>
            <sz val="9"/>
            <color indexed="81"/>
            <rFont val="Tahoma"/>
            <family val="2"/>
          </rPr>
          <t>Elliott, Elizabeth (Research):</t>
        </r>
        <r>
          <rPr>
            <sz val="9"/>
            <color indexed="81"/>
            <rFont val="Tahoma"/>
            <family val="2"/>
          </rPr>
          <t xml:space="preserve">
coming off a higher base</t>
        </r>
      </text>
    </comment>
    <comment ref="BU327" authorId="2">
      <text>
        <r>
          <rPr>
            <b/>
            <sz val="9"/>
            <color indexed="81"/>
            <rFont val="Tahoma"/>
            <family val="2"/>
          </rPr>
          <t>Elliott, Elizabeth (Research):</t>
        </r>
        <r>
          <rPr>
            <sz val="9"/>
            <color indexed="81"/>
            <rFont val="Tahoma"/>
            <family val="2"/>
          </rPr>
          <t xml:space="preserve">
Down on greater of HDD mix, and pricing pressure</t>
        </r>
      </text>
    </comment>
    <comment ref="BV327" authorId="2">
      <text>
        <r>
          <rPr>
            <b/>
            <sz val="9"/>
            <color indexed="81"/>
            <rFont val="Tahoma"/>
            <family val="2"/>
          </rPr>
          <t>Elliott, Elizabeth (Research):</t>
        </r>
        <r>
          <rPr>
            <sz val="9"/>
            <color indexed="81"/>
            <rFont val="Tahoma"/>
            <family val="2"/>
          </rPr>
          <t xml:space="preserve">
Price declines as ramp on 10TB</t>
        </r>
      </text>
    </comment>
    <comment ref="BX327" authorId="2">
      <text>
        <r>
          <rPr>
            <b/>
            <sz val="9"/>
            <color indexed="81"/>
            <rFont val="Tahoma"/>
            <family val="2"/>
          </rPr>
          <t>Elliott, Elizabeth (Research):</t>
        </r>
        <r>
          <rPr>
            <sz val="9"/>
            <color indexed="81"/>
            <rFont val="Tahoma"/>
            <family val="2"/>
          </rPr>
          <t xml:space="preserve">
Cloud demand in CY18 drives shift to HDD</t>
        </r>
      </text>
    </comment>
    <comment ref="C329" authorId="2">
      <text>
        <r>
          <rPr>
            <b/>
            <sz val="9"/>
            <color indexed="81"/>
            <rFont val="Tahoma"/>
            <family val="2"/>
          </rPr>
          <t>Elliott, Elizabeth (Research):</t>
        </r>
        <r>
          <rPr>
            <sz val="9"/>
            <color indexed="81"/>
            <rFont val="Tahoma"/>
            <family val="2"/>
          </rPr>
          <t xml:space="preserve">
Enterprise SSD, data center software, data center solutions, licensing and royalties</t>
        </r>
      </text>
    </comment>
    <comment ref="BB329" authorId="2">
      <text>
        <r>
          <rPr>
            <b/>
            <sz val="9"/>
            <color indexed="81"/>
            <rFont val="Tahoma"/>
            <family val="2"/>
          </rPr>
          <t>Elliott, Elizabeth (Research):</t>
        </r>
        <r>
          <rPr>
            <sz val="9"/>
            <color indexed="81"/>
            <rFont val="Tahoma"/>
            <family val="2"/>
          </rPr>
          <t xml:space="preserve">
Reported Enterprise SSD revenue prior to SNDK + assumption for software</t>
        </r>
      </text>
    </comment>
    <comment ref="BQ329" authorId="2">
      <text>
        <r>
          <rPr>
            <b/>
            <sz val="9"/>
            <color indexed="81"/>
            <rFont val="Tahoma"/>
            <family val="2"/>
          </rPr>
          <t>Elliott, Elizabeth (Research):</t>
        </r>
        <r>
          <rPr>
            <sz val="9"/>
            <color indexed="81"/>
            <rFont val="Tahoma"/>
            <family val="2"/>
          </rPr>
          <t xml:space="preserve">
SNDK acquistion for ~ half qtr, MS est</t>
        </r>
      </text>
    </comment>
    <comment ref="BR329" authorId="2">
      <text>
        <r>
          <rPr>
            <b/>
            <sz val="9"/>
            <color indexed="81"/>
            <rFont val="Tahoma"/>
            <family val="2"/>
          </rPr>
          <t>Elliott, Elizabeth (Research):</t>
        </r>
        <r>
          <rPr>
            <sz val="9"/>
            <color indexed="81"/>
            <rFont val="Tahoma"/>
            <family val="2"/>
          </rPr>
          <t xml:space="preserve">
SNDK acquistion first full qtr, MS est</t>
        </r>
      </text>
    </comment>
    <comment ref="DA330" authorId="2">
      <text>
        <r>
          <rPr>
            <b/>
            <sz val="9"/>
            <color indexed="81"/>
            <rFont val="Tahoma"/>
            <family val="2"/>
          </rPr>
          <t>Elliott, Elizabeth (Research):</t>
        </r>
        <r>
          <rPr>
            <sz val="9"/>
            <color indexed="81"/>
            <rFont val="Tahoma"/>
            <family val="2"/>
          </rPr>
          <t xml:space="preserve">
LT CAGR *for SSD only* up low double digit to mid teens (vs SSD + systems shown)</t>
        </r>
      </text>
    </comment>
    <comment ref="DA334" authorId="2">
      <text>
        <r>
          <rPr>
            <b/>
            <sz val="9"/>
            <color indexed="81"/>
            <rFont val="Tahoma"/>
            <family val="2"/>
          </rPr>
          <t>Elliott, Elizabeth (Research):</t>
        </r>
        <r>
          <rPr>
            <sz val="9"/>
            <color indexed="81"/>
            <rFont val="Tahoma"/>
            <family val="2"/>
          </rPr>
          <t xml:space="preserve">
LT CAGR for HDD *and systems* up high single digit to low double digit (vs HDD only shown)</t>
        </r>
      </text>
    </comment>
    <comment ref="BB346" authorId="2">
      <text>
        <r>
          <rPr>
            <b/>
            <sz val="9"/>
            <color indexed="81"/>
            <rFont val="Tahoma"/>
            <family val="2"/>
          </rPr>
          <t>Elliott, Elizabeth (Research):</t>
        </r>
        <r>
          <rPr>
            <sz val="9"/>
            <color indexed="81"/>
            <rFont val="Tahoma"/>
            <family val="2"/>
          </rPr>
          <t xml:space="preserve">
MS est</t>
        </r>
      </text>
    </comment>
    <comment ref="BP347" authorId="2">
      <text>
        <r>
          <rPr>
            <b/>
            <sz val="9"/>
            <color indexed="81"/>
            <rFont val="Tahoma"/>
            <family val="2"/>
          </rPr>
          <t>Elliott, Elizabeth (Research):</t>
        </r>
        <r>
          <rPr>
            <sz val="9"/>
            <color indexed="81"/>
            <rFont val="Tahoma"/>
            <family val="2"/>
          </rPr>
          <t xml:space="preserve">
Faster than expected declines</t>
        </r>
      </text>
    </comment>
    <comment ref="BB356" authorId="2">
      <text>
        <r>
          <rPr>
            <b/>
            <sz val="9"/>
            <color indexed="81"/>
            <rFont val="Tahoma"/>
            <family val="2"/>
          </rPr>
          <t>Elliott, Elizabeth (Research):</t>
        </r>
        <r>
          <rPr>
            <sz val="9"/>
            <color indexed="81"/>
            <rFont val="Tahoma"/>
            <family val="2"/>
          </rPr>
          <t xml:space="preserve">
MS est</t>
        </r>
      </text>
    </comment>
    <comment ref="BK356" authorId="2">
      <text>
        <r>
          <rPr>
            <b/>
            <sz val="9"/>
            <color indexed="81"/>
            <rFont val="Tahoma"/>
            <family val="2"/>
          </rPr>
          <t>Elliott, Elizabeth (Research):</t>
        </r>
        <r>
          <rPr>
            <sz val="9"/>
            <color indexed="81"/>
            <rFont val="Tahoma"/>
            <family val="2"/>
          </rPr>
          <t xml:space="preserve">
expect continued growth from ongoing hyperscale cloud deployments + expanding product portfolio &amp; customer engagement model</t>
        </r>
      </text>
    </comment>
    <comment ref="BN358" authorId="2">
      <text>
        <r>
          <rPr>
            <b/>
            <sz val="9"/>
            <color indexed="81"/>
            <rFont val="Tahoma"/>
            <family val="2"/>
          </rPr>
          <t>Elliott, Elizabeth (Research):</t>
        </r>
        <r>
          <rPr>
            <sz val="9"/>
            <color indexed="81"/>
            <rFont val="Tahoma"/>
            <family val="2"/>
          </rPr>
          <t xml:space="preserve">
Assumes took share in capacity from STX in 8TB near-line drives</t>
        </r>
      </text>
    </comment>
    <comment ref="BQ378" authorId="2">
      <text>
        <r>
          <rPr>
            <b/>
            <sz val="9"/>
            <color indexed="81"/>
            <rFont val="Tahoma"/>
            <family val="2"/>
          </rPr>
          <t>Elliott, Elizabeth (Research):</t>
        </r>
        <r>
          <rPr>
            <sz val="9"/>
            <color indexed="81"/>
            <rFont val="Tahoma"/>
            <family val="2"/>
          </rPr>
          <t xml:space="preserve">
Guidance $2.6-$2.7B on 95M TAM</t>
        </r>
      </text>
    </comment>
    <comment ref="AH382" authorId="0">
      <text>
        <r>
          <rPr>
            <b/>
            <sz val="8"/>
            <color indexed="81"/>
            <rFont val="Tahoma"/>
            <family val="2"/>
          </rPr>
          <t>schmitzs:</t>
        </r>
        <r>
          <rPr>
            <sz val="8"/>
            <color indexed="81"/>
            <rFont val="Tahoma"/>
            <family val="2"/>
          </rPr>
          <t xml:space="preserve">
result of Komag acq.
</t>
        </r>
      </text>
    </comment>
    <comment ref="AT382" authorId="0">
      <text>
        <r>
          <rPr>
            <b/>
            <sz val="8"/>
            <color indexed="81"/>
            <rFont val="Tahoma"/>
            <family val="2"/>
          </rPr>
          <t>schmitzs:</t>
        </r>
        <r>
          <rPr>
            <sz val="8"/>
            <color indexed="81"/>
            <rFont val="Tahoma"/>
            <family val="2"/>
          </rPr>
          <t xml:space="preserve">
$51M from new Signapore media facility from Hoya's existing sales commitment.  Do not expect more in F2Q</t>
        </r>
      </text>
    </comment>
    <comment ref="CQ382" authorId="0">
      <text>
        <r>
          <rPr>
            <b/>
            <sz val="8"/>
            <color indexed="81"/>
            <rFont val="Tahoma"/>
            <family val="2"/>
          </rPr>
          <t>schmitzs:</t>
        </r>
        <r>
          <rPr>
            <sz val="8"/>
            <color indexed="81"/>
            <rFont val="Tahoma"/>
            <family val="2"/>
          </rPr>
          <t xml:space="preserve">
Enterprise SSD rev $355M in FY13
provided during Virident announcement</t>
        </r>
      </text>
    </comment>
    <comment ref="BA386" authorId="1">
      <text>
        <r>
          <rPr>
            <b/>
            <sz val="9"/>
            <color indexed="81"/>
            <rFont val="Tahoma"/>
            <family val="2"/>
          </rPr>
          <t>1M units</t>
        </r>
        <r>
          <rPr>
            <sz val="9"/>
            <color indexed="81"/>
            <rFont val="Tahoma"/>
            <family val="2"/>
          </rPr>
          <t xml:space="preserve">
</t>
        </r>
      </text>
    </comment>
    <comment ref="BP386" authorId="2">
      <text>
        <r>
          <rPr>
            <b/>
            <sz val="9"/>
            <color indexed="81"/>
            <rFont val="Tahoma"/>
            <family val="2"/>
          </rPr>
          <t>Elliott, Elizabeth (Research):</t>
        </r>
        <r>
          <rPr>
            <sz val="9"/>
            <color indexed="81"/>
            <rFont val="Tahoma"/>
            <family val="2"/>
          </rPr>
          <t xml:space="preserve">
Guided down Q/Q on seaonal basis + additional competition, and potential for down Y/Y on tough comp </t>
        </r>
      </text>
    </comment>
    <comment ref="BQ386" authorId="2">
      <text>
        <r>
          <rPr>
            <b/>
            <sz val="9"/>
            <color indexed="81"/>
            <rFont val="Tahoma"/>
            <family val="2"/>
          </rPr>
          <t>Elliott, Elizabeth (Research):</t>
        </r>
        <r>
          <rPr>
            <sz val="9"/>
            <color indexed="81"/>
            <rFont val="Tahoma"/>
            <family val="2"/>
          </rPr>
          <t xml:space="preserve">
Supressed due to product transition and increases competition. No longer reported</t>
        </r>
      </text>
    </comment>
    <comment ref="CQ386" authorId="0">
      <text>
        <r>
          <rPr>
            <b/>
            <sz val="8"/>
            <color indexed="81"/>
            <rFont val="Tahoma"/>
            <family val="2"/>
          </rPr>
          <t>schmitzs:</t>
        </r>
        <r>
          <rPr>
            <sz val="8"/>
            <color indexed="81"/>
            <rFont val="Tahoma"/>
            <family val="2"/>
          </rPr>
          <t xml:space="preserve">
Enterprise SSD rev $355M in FY13
provided during Virident announcement</t>
        </r>
      </text>
    </comment>
    <comment ref="AT390" authorId="0">
      <text>
        <r>
          <rPr>
            <b/>
            <sz val="8"/>
            <color indexed="81"/>
            <rFont val="Tahoma"/>
            <family val="2"/>
          </rPr>
          <t>schmitzs:</t>
        </r>
        <r>
          <rPr>
            <sz val="8"/>
            <color indexed="81"/>
            <rFont val="Tahoma"/>
            <family val="2"/>
          </rPr>
          <t xml:space="preserve">
$51M from new Signapore media facility from Hoya's existing sales commitment.  Do not expect more in F2Q</t>
        </r>
      </text>
    </comment>
    <comment ref="AZ395" authorId="0">
      <text>
        <r>
          <rPr>
            <b/>
            <sz val="8"/>
            <color indexed="81"/>
            <rFont val="Tahoma"/>
            <family val="2"/>
          </rPr>
          <t>schmitzs:</t>
        </r>
        <r>
          <rPr>
            <sz val="8"/>
            <color indexed="81"/>
            <rFont val="Tahoma"/>
            <family val="2"/>
          </rPr>
          <t xml:space="preserve">
$614M revenue from HGST</t>
        </r>
      </text>
    </comment>
    <comment ref="BA398" authorId="3">
      <text>
        <r>
          <rPr>
            <b/>
            <sz val="8"/>
            <color indexed="81"/>
            <rFont val="Tahoma"/>
            <family val="2"/>
          </rPr>
          <t>kogay:</t>
        </r>
        <r>
          <rPr>
            <sz val="8"/>
            <color indexed="81"/>
            <rFont val="Tahoma"/>
            <family val="2"/>
          </rPr>
          <t xml:space="preserve">
Benefit from selling 3.5" units to Toshiba
MS estimate ~3 mln</t>
        </r>
      </text>
    </comment>
    <comment ref="BL409" authorId="2">
      <text>
        <r>
          <rPr>
            <b/>
            <sz val="9"/>
            <color indexed="81"/>
            <rFont val="Tahoma"/>
            <family val="2"/>
          </rPr>
          <t>Elliott, Elizabeth (Research):</t>
        </r>
        <r>
          <rPr>
            <sz val="9"/>
            <color indexed="81"/>
            <rFont val="Tahoma"/>
            <family val="2"/>
          </rPr>
          <t xml:space="preserve">
Mgmt noted enterprise demand remains healthy</t>
        </r>
      </text>
    </comment>
    <comment ref="CU417" authorId="5">
      <text>
        <r>
          <rPr>
            <b/>
            <sz val="9"/>
            <color indexed="81"/>
            <rFont val="Tahoma"/>
            <family val="2"/>
          </rPr>
          <t>Huberty, Katy L (Research):</t>
        </r>
        <r>
          <rPr>
            <sz val="9"/>
            <color indexed="81"/>
            <rFont val="Tahoma"/>
            <family val="2"/>
          </rPr>
          <t xml:space="preserve">
Expect 25% decline for the year.</t>
        </r>
      </text>
    </comment>
    <comment ref="AY419" authorId="0">
      <text>
        <r>
          <rPr>
            <b/>
            <sz val="8"/>
            <color indexed="81"/>
            <rFont val="Tahoma"/>
            <family val="2"/>
          </rPr>
          <t xml:space="preserve">schmitzs:
</t>
        </r>
        <r>
          <rPr>
            <sz val="8"/>
            <color indexed="81"/>
            <rFont val="Tahoma"/>
            <family val="2"/>
          </rPr>
          <t>IDC est of performance drives.  Total ent drives from HGST in C4Q was 2.9M</t>
        </r>
      </text>
    </comment>
    <comment ref="BP420" authorId="2">
      <text>
        <r>
          <rPr>
            <b/>
            <sz val="9"/>
            <color indexed="81"/>
            <rFont val="Tahoma"/>
            <family val="2"/>
          </rPr>
          <t>Elliott, Elizabeth (Research):</t>
        </r>
        <r>
          <rPr>
            <sz val="9"/>
            <color indexed="81"/>
            <rFont val="Tahoma"/>
            <family val="2"/>
          </rPr>
          <t xml:space="preserve">
Faster than expected declines</t>
        </r>
      </text>
    </comment>
    <comment ref="BR426" authorId="5">
      <text>
        <r>
          <rPr>
            <b/>
            <sz val="9"/>
            <color indexed="81"/>
            <rFont val="Tahoma"/>
            <family val="2"/>
          </rPr>
          <t>Huberty, Katy L (Research):</t>
        </r>
        <r>
          <rPr>
            <sz val="9"/>
            <color indexed="81"/>
            <rFont val="Tahoma"/>
            <family val="2"/>
          </rPr>
          <t xml:space="preserve">
10TB Helium drive shipping, expect to take back share due to cost advantage relative to STX.</t>
        </r>
      </text>
    </comment>
    <comment ref="BK429" authorId="2">
      <text>
        <r>
          <rPr>
            <b/>
            <sz val="9"/>
            <color indexed="81"/>
            <rFont val="Tahoma"/>
            <family val="2"/>
          </rPr>
          <t>Elliott, Elizabeth (Research):</t>
        </r>
        <r>
          <rPr>
            <sz val="9"/>
            <color indexed="81"/>
            <rFont val="Tahoma"/>
            <family val="2"/>
          </rPr>
          <t xml:space="preserve">
expect continued growth from ongoing hyperscale cloud deployments + expanding product portfolio &amp; customer engagement model</t>
        </r>
      </text>
    </comment>
    <comment ref="BN431" authorId="2">
      <text>
        <r>
          <rPr>
            <b/>
            <sz val="9"/>
            <color indexed="81"/>
            <rFont val="Tahoma"/>
            <family val="2"/>
          </rPr>
          <t>Elliott, Elizabeth (Research):</t>
        </r>
        <r>
          <rPr>
            <sz val="9"/>
            <color indexed="81"/>
            <rFont val="Tahoma"/>
            <family val="2"/>
          </rPr>
          <t xml:space="preserve">
Assumes took share in capacity from STX in 8TB near-line drives</t>
        </r>
      </text>
    </comment>
    <comment ref="BM440" authorId="2">
      <text>
        <r>
          <rPr>
            <b/>
            <sz val="9"/>
            <color indexed="81"/>
            <rFont val="Tahoma"/>
            <family val="2"/>
          </rPr>
          <t>Elliott, Elizabeth (Research):</t>
        </r>
        <r>
          <rPr>
            <sz val="9"/>
            <color indexed="81"/>
            <rFont val="Tahoma"/>
            <family val="2"/>
          </rPr>
          <t xml:space="preserve">
Mgmt optimistic PC sales pick up</t>
        </r>
      </text>
    </comment>
    <comment ref="BO450" authorId="2">
      <text>
        <r>
          <rPr>
            <b/>
            <sz val="9"/>
            <color indexed="81"/>
            <rFont val="Tahoma"/>
            <family val="2"/>
          </rPr>
          <t>Elliott, Elizabeth (Research):</t>
        </r>
        <r>
          <rPr>
            <sz val="9"/>
            <color indexed="81"/>
            <rFont val="Tahoma"/>
            <family val="2"/>
          </rPr>
          <t xml:space="preserve">
Lost some share in NB space, decline is steeper than what the industry would be</t>
        </r>
      </text>
    </comment>
    <comment ref="BN452" authorId="2">
      <text>
        <r>
          <rPr>
            <b/>
            <sz val="9"/>
            <color indexed="81"/>
            <rFont val="Tahoma"/>
            <family val="2"/>
          </rPr>
          <t>Elliott, Elizabeth (Research):</t>
        </r>
        <r>
          <rPr>
            <sz val="9"/>
            <color indexed="81"/>
            <rFont val="Tahoma"/>
            <family val="2"/>
          </rPr>
          <t xml:space="preserve">
Seeing early signs of stabalization, potential pick up at end of calendar year</t>
        </r>
      </text>
    </comment>
    <comment ref="BP452" authorId="2">
      <text>
        <r>
          <rPr>
            <b/>
            <sz val="9"/>
            <color indexed="81"/>
            <rFont val="Tahoma"/>
            <family val="2"/>
          </rPr>
          <t>Elliott, Elizabeth (Research):</t>
        </r>
        <r>
          <rPr>
            <sz val="9"/>
            <color indexed="81"/>
            <rFont val="Tahoma"/>
            <family val="2"/>
          </rPr>
          <t xml:space="preserve">
PCs drive lower industry TAM</t>
        </r>
      </text>
    </comment>
    <comment ref="BN462" authorId="2">
      <text>
        <r>
          <rPr>
            <b/>
            <sz val="9"/>
            <color indexed="81"/>
            <rFont val="Tahoma"/>
            <family val="2"/>
          </rPr>
          <t>Elliott, Elizabeth (Research):</t>
        </r>
        <r>
          <rPr>
            <sz val="9"/>
            <color indexed="81"/>
            <rFont val="Tahoma"/>
            <family val="2"/>
          </rPr>
          <t xml:space="preserve">
Seeing early signs of stabalization, potential pick up at end of calendar year</t>
        </r>
      </text>
    </comment>
    <comment ref="BP462" authorId="2">
      <text>
        <r>
          <rPr>
            <b/>
            <sz val="9"/>
            <color indexed="81"/>
            <rFont val="Tahoma"/>
            <family val="2"/>
          </rPr>
          <t>Elliott, Elizabeth (Research):</t>
        </r>
        <r>
          <rPr>
            <sz val="9"/>
            <color indexed="81"/>
            <rFont val="Tahoma"/>
            <family val="2"/>
          </rPr>
          <t xml:space="preserve">
PCs drive lower industry TAM</t>
        </r>
      </text>
    </comment>
    <comment ref="BP486" authorId="2">
      <text>
        <r>
          <rPr>
            <b/>
            <sz val="9"/>
            <color indexed="81"/>
            <rFont val="Tahoma"/>
            <family val="2"/>
          </rPr>
          <t>Elliott, Elizabeth (Research):</t>
        </r>
        <r>
          <rPr>
            <sz val="9"/>
            <color indexed="81"/>
            <rFont val="Tahoma"/>
            <family val="2"/>
          </rPr>
          <t xml:space="preserve">
ASP increases in gaming</t>
        </r>
      </text>
    </comment>
    <comment ref="BQ499" authorId="2">
      <text>
        <r>
          <rPr>
            <b/>
            <sz val="9"/>
            <color indexed="81"/>
            <rFont val="Tahoma"/>
            <family val="2"/>
          </rPr>
          <t>Elliott, Elizabeth (Research):</t>
        </r>
        <r>
          <rPr>
            <sz val="9"/>
            <color indexed="81"/>
            <rFont val="Tahoma"/>
            <family val="2"/>
          </rPr>
          <t xml:space="preserve">
WDC recognizes 56% of SNDK full year</t>
        </r>
      </text>
    </comment>
    <comment ref="BQ500" authorId="2">
      <text>
        <r>
          <rPr>
            <b/>
            <sz val="9"/>
            <color indexed="81"/>
            <rFont val="Tahoma"/>
            <family val="2"/>
          </rPr>
          <t>Elliott, Elizabeth (Research):</t>
        </r>
        <r>
          <rPr>
            <sz val="9"/>
            <color indexed="81"/>
            <rFont val="Tahoma"/>
            <family val="2"/>
          </rPr>
          <t xml:space="preserve">
full year. WDC only recognizes 56% </t>
        </r>
      </text>
    </comment>
    <comment ref="AV515" authorId="0">
      <text>
        <r>
          <rPr>
            <b/>
            <sz val="8"/>
            <color indexed="81"/>
            <rFont val="Tahoma"/>
            <family val="2"/>
          </rPr>
          <t>schmitzs:</t>
        </r>
        <r>
          <rPr>
            <sz val="8"/>
            <color indexed="81"/>
            <rFont val="Tahoma"/>
            <family val="2"/>
          </rPr>
          <t xml:space="preserve">
Hoya begins to benefit Gross margins</t>
        </r>
      </text>
    </comment>
    <comment ref="BM515" authorId="2">
      <text>
        <r>
          <rPr>
            <b/>
            <sz val="9"/>
            <color indexed="81"/>
            <rFont val="Tahoma"/>
            <family val="2"/>
          </rPr>
          <t>Elliott, Elizabeth (Research):</t>
        </r>
        <r>
          <rPr>
            <sz val="9"/>
            <color indexed="81"/>
            <rFont val="Tahoma"/>
            <family val="2"/>
          </rPr>
          <t xml:space="preserve">
Prior guidance for mid point of business model (27-32%), better mgmt of cost base &amp; mix</t>
        </r>
      </text>
    </comment>
    <comment ref="BN515" authorId="2">
      <text>
        <r>
          <rPr>
            <b/>
            <sz val="9"/>
            <color indexed="81"/>
            <rFont val="Tahoma"/>
            <family val="2"/>
          </rPr>
          <t>Elliott, Elizabeth (Research):</t>
        </r>
        <r>
          <rPr>
            <sz val="9"/>
            <color indexed="81"/>
            <rFont val="Tahoma"/>
            <family val="2"/>
          </rPr>
          <t xml:space="preserve">
Guidance flat from June - miss is mix related, no pricing to call out</t>
        </r>
      </text>
    </comment>
    <comment ref="BS515" authorId="2">
      <text>
        <r>
          <rPr>
            <b/>
            <sz val="9"/>
            <color indexed="81"/>
            <rFont val="Tahoma"/>
            <family val="2"/>
          </rPr>
          <t>Elliott, Elizabeth (Research):</t>
        </r>
        <r>
          <rPr>
            <sz val="9"/>
            <color indexed="81"/>
            <rFont val="Tahoma"/>
            <family val="2"/>
          </rPr>
          <t xml:space="preserve">
Updated guidance 36%, up from 35% previously</t>
        </r>
      </text>
    </comment>
    <comment ref="BY515" authorId="2">
      <text>
        <r>
          <rPr>
            <b/>
            <sz val="9"/>
            <color indexed="81"/>
            <rFont val="Tahoma"/>
            <family val="2"/>
          </rPr>
          <t>Elliott, Elizabeth (Research):</t>
        </r>
        <r>
          <rPr>
            <sz val="9"/>
            <color indexed="81"/>
            <rFont val="Tahoma"/>
            <family val="2"/>
          </rPr>
          <t xml:space="preserve">
LT model 33%-38%</t>
        </r>
      </text>
    </comment>
    <comment ref="CC515" authorId="2">
      <text>
        <r>
          <rPr>
            <b/>
            <sz val="9"/>
            <color indexed="81"/>
            <rFont val="Tahoma"/>
            <family val="2"/>
          </rPr>
          <t>Elliott, Elizabeth (Research):</t>
        </r>
        <r>
          <rPr>
            <sz val="9"/>
            <color indexed="81"/>
            <rFont val="Tahoma"/>
            <family val="2"/>
          </rPr>
          <t xml:space="preserve">
LT model 33%-38%</t>
        </r>
      </text>
    </comment>
    <comment ref="DA515" authorId="2">
      <text>
        <r>
          <rPr>
            <b/>
            <sz val="9"/>
            <color indexed="81"/>
            <rFont val="Tahoma"/>
            <family val="2"/>
          </rPr>
          <t>Elliott, Elizabeth (Research):</t>
        </r>
        <r>
          <rPr>
            <sz val="9"/>
            <color indexed="81"/>
            <rFont val="Tahoma"/>
            <family val="2"/>
          </rPr>
          <t xml:space="preserve">
LT model 33%-38%</t>
        </r>
      </text>
    </comment>
    <comment ref="BS516" authorId="2">
      <text>
        <r>
          <rPr>
            <b/>
            <sz val="9"/>
            <color indexed="81"/>
            <rFont val="Tahoma"/>
            <family val="2"/>
          </rPr>
          <t>Elliott, Elizabeth (Research):</t>
        </r>
        <r>
          <rPr>
            <sz val="9"/>
            <color indexed="81"/>
            <rFont val="Tahoma"/>
            <family val="2"/>
          </rPr>
          <t xml:space="preserve">
Guidance below corp avg</t>
        </r>
      </text>
    </comment>
    <comment ref="BS517" authorId="2">
      <text>
        <r>
          <rPr>
            <b/>
            <sz val="9"/>
            <color indexed="81"/>
            <rFont val="Tahoma"/>
            <family val="2"/>
          </rPr>
          <t>Elliott, Elizabeth (Research):</t>
        </r>
        <r>
          <rPr>
            <sz val="9"/>
            <color indexed="81"/>
            <rFont val="Tahoma"/>
            <family val="2"/>
          </rPr>
          <t xml:space="preserve">
Guidance in line with corp avg</t>
        </r>
      </text>
    </comment>
    <comment ref="BS518" authorId="2">
      <text>
        <r>
          <rPr>
            <b/>
            <sz val="9"/>
            <color indexed="81"/>
            <rFont val="Tahoma"/>
            <family val="2"/>
          </rPr>
          <t>Elliott, Elizabeth (Research):</t>
        </r>
        <r>
          <rPr>
            <sz val="9"/>
            <color indexed="81"/>
            <rFont val="Tahoma"/>
            <family val="2"/>
          </rPr>
          <t xml:space="preserve">
Guidance above corp avg</t>
        </r>
      </text>
    </comment>
    <comment ref="BU518" authorId="2">
      <text>
        <r>
          <rPr>
            <b/>
            <sz val="9"/>
            <color indexed="81"/>
            <rFont val="Tahoma"/>
            <family val="2"/>
          </rPr>
          <t>Elliott, Elizabeth (Research):</t>
        </r>
        <r>
          <rPr>
            <sz val="9"/>
            <color indexed="81"/>
            <rFont val="Tahoma"/>
            <family val="2"/>
          </rPr>
          <t xml:space="preserve">
Upside in gross margin vs guidance driven by 10TB and NAND</t>
        </r>
      </text>
    </comment>
    <comment ref="BY518" authorId="5">
      <text>
        <r>
          <rPr>
            <b/>
            <sz val="9"/>
            <color indexed="81"/>
            <rFont val="Tahoma"/>
            <family val="2"/>
          </rPr>
          <t>Huberty, Katy L (Research):</t>
        </r>
        <r>
          <rPr>
            <sz val="9"/>
            <color indexed="81"/>
            <rFont val="Tahoma"/>
            <family val="2"/>
          </rPr>
          <t xml:space="preserve">
Won't fall as much given slow uptake of NAND and high capacity during period of peak prices.  As demand recovers, margins can somewhat offset higher NAND costs to WD.</t>
        </r>
      </text>
    </comment>
    <comment ref="BQ522" authorId="2">
      <text>
        <r>
          <rPr>
            <b/>
            <sz val="9"/>
            <color indexed="81"/>
            <rFont val="Tahoma"/>
            <family val="2"/>
          </rPr>
          <t>Elliott, Elizabeth (Research):</t>
        </r>
        <r>
          <rPr>
            <sz val="9"/>
            <color indexed="81"/>
            <rFont val="Tahoma"/>
            <family val="2"/>
          </rPr>
          <t xml:space="preserve">
Guided up Q/Q on COGS reduction from integration and price increases</t>
        </r>
      </text>
    </comment>
    <comment ref="B533" authorId="2">
      <text>
        <r>
          <rPr>
            <b/>
            <sz val="9"/>
            <color indexed="81"/>
            <rFont val="Tahoma"/>
            <family val="2"/>
          </rPr>
          <t>Elliott, Elizabeth (Research):</t>
        </r>
        <r>
          <rPr>
            <sz val="9"/>
            <color indexed="81"/>
            <rFont val="Tahoma"/>
            <family val="2"/>
          </rPr>
          <t xml:space="preserve">
Historical SNDK ex amortization but includes SBC</t>
        </r>
      </text>
    </comment>
    <comment ref="BX535" authorId="2">
      <text>
        <r>
          <rPr>
            <b/>
            <sz val="9"/>
            <color indexed="81"/>
            <rFont val="Tahoma"/>
            <family val="2"/>
          </rPr>
          <t>Elliott, Elizabeth (Research):</t>
        </r>
        <r>
          <rPr>
            <sz val="9"/>
            <color indexed="81"/>
            <rFont val="Tahoma"/>
            <family val="2"/>
          </rPr>
          <t xml:space="preserve">
uptick from set of payroll </t>
        </r>
      </text>
    </comment>
    <comment ref="CB535" authorId="2">
      <text>
        <r>
          <rPr>
            <b/>
            <sz val="9"/>
            <color indexed="81"/>
            <rFont val="Tahoma"/>
            <family val="2"/>
          </rPr>
          <t>Elliott, Elizabeth (Research):</t>
        </r>
        <r>
          <rPr>
            <sz val="9"/>
            <color indexed="81"/>
            <rFont val="Tahoma"/>
            <family val="2"/>
          </rPr>
          <t xml:space="preserve">
uptick from set of payroll </t>
        </r>
      </text>
    </comment>
    <comment ref="CV535" authorId="2">
      <text>
        <r>
          <rPr>
            <b/>
            <sz val="9"/>
            <color indexed="81"/>
            <rFont val="Tahoma"/>
            <family val="2"/>
          </rPr>
          <t>Elliott, Elizabeth (Research):</t>
        </r>
        <r>
          <rPr>
            <sz val="9"/>
            <color indexed="81"/>
            <rFont val="Tahoma"/>
            <family val="2"/>
          </rPr>
          <t xml:space="preserve">
Within LT guide of 14-16%</t>
        </r>
      </text>
    </comment>
    <comment ref="CW535" authorId="2">
      <text>
        <r>
          <rPr>
            <b/>
            <sz val="9"/>
            <color indexed="81"/>
            <rFont val="Tahoma"/>
            <family val="2"/>
          </rPr>
          <t>Elliott, Elizabeth (Research):</t>
        </r>
        <r>
          <rPr>
            <sz val="9"/>
            <color indexed="81"/>
            <rFont val="Tahoma"/>
            <family val="2"/>
          </rPr>
          <t xml:space="preserve">
Within LT guide of 14-16%</t>
        </r>
      </text>
    </comment>
    <comment ref="DA535" authorId="2">
      <text>
        <r>
          <rPr>
            <b/>
            <sz val="9"/>
            <color indexed="81"/>
            <rFont val="Tahoma"/>
            <family val="2"/>
          </rPr>
          <t>Elliott, Elizabeth (Research):</t>
        </r>
        <r>
          <rPr>
            <sz val="9"/>
            <color indexed="81"/>
            <rFont val="Tahoma"/>
            <family val="2"/>
          </rPr>
          <t xml:space="preserve">
LT model 14%-16%</t>
        </r>
      </text>
    </comment>
    <comment ref="BP536" authorId="2">
      <text>
        <r>
          <rPr>
            <b/>
            <sz val="9"/>
            <color indexed="81"/>
            <rFont val="Tahoma"/>
            <family val="2"/>
          </rPr>
          <t>Elliott, Elizabeth (Research):</t>
        </r>
        <r>
          <rPr>
            <sz val="9"/>
            <color indexed="81"/>
            <rFont val="Tahoma"/>
            <family val="2"/>
          </rPr>
          <t xml:space="preserve">
MOFCOM OpEx savings start 6 months post annoucement. 12-18 months for full benefits to hit</t>
        </r>
      </text>
    </comment>
    <comment ref="DA536" authorId="2">
      <text>
        <r>
          <rPr>
            <b/>
            <sz val="9"/>
            <color indexed="81"/>
            <rFont val="Tahoma"/>
            <family val="2"/>
          </rPr>
          <t>Elliott, Elizabeth (Research):</t>
        </r>
        <r>
          <rPr>
            <sz val="9"/>
            <color indexed="81"/>
            <rFont val="Tahoma"/>
            <family val="2"/>
          </rPr>
          <t xml:space="preserve">
LT model 9.5%-10.5%</t>
        </r>
      </text>
    </comment>
    <comment ref="BP537" authorId="2">
      <text>
        <r>
          <rPr>
            <b/>
            <sz val="9"/>
            <color indexed="81"/>
            <rFont val="Tahoma"/>
            <family val="2"/>
          </rPr>
          <t>Elliott, Elizabeth (Research):</t>
        </r>
        <r>
          <rPr>
            <sz val="9"/>
            <color indexed="81"/>
            <rFont val="Tahoma"/>
            <family val="2"/>
          </rPr>
          <t xml:space="preserve">
MOFCOM OpEx savings start 6 months post annoucement. 12-18 months for full benefits to hit</t>
        </r>
      </text>
    </comment>
    <comment ref="DA537" authorId="2">
      <text>
        <r>
          <rPr>
            <b/>
            <sz val="9"/>
            <color indexed="81"/>
            <rFont val="Tahoma"/>
            <family val="2"/>
          </rPr>
          <t>Elliott, Elizabeth (Research):</t>
        </r>
        <r>
          <rPr>
            <sz val="9"/>
            <color indexed="81"/>
            <rFont val="Tahoma"/>
            <family val="2"/>
          </rPr>
          <t xml:space="preserve">
LT model 4.5%-5.5%</t>
        </r>
      </text>
    </comment>
    <comment ref="BW539" authorId="2">
      <text>
        <r>
          <rPr>
            <b/>
            <sz val="9"/>
            <color indexed="81"/>
            <rFont val="Tahoma"/>
            <family val="2"/>
          </rPr>
          <t>Elliott, Elizabeth (Research):</t>
        </r>
        <r>
          <rPr>
            <sz val="9"/>
            <color indexed="81"/>
            <rFont val="Tahoma"/>
            <family val="2"/>
          </rPr>
          <t xml:space="preserve">
Pre announced $850-860, prior guidance $830</t>
        </r>
      </text>
    </comment>
    <comment ref="BQ549" authorId="2">
      <text>
        <r>
          <rPr>
            <b/>
            <sz val="9"/>
            <color indexed="81"/>
            <rFont val="Tahoma"/>
            <family val="2"/>
          </rPr>
          <t>Elliott, Elizabeth (Research):</t>
        </r>
        <r>
          <rPr>
            <sz val="9"/>
            <color indexed="81"/>
            <rFont val="Tahoma"/>
            <family val="2"/>
          </rPr>
          <t xml:space="preserve">
$17.1B BoP - $3B bridge paydown 
Adjusted for debt issued at the beginning of the quarter</t>
        </r>
      </text>
    </comment>
    <comment ref="BQ551" authorId="2">
      <text>
        <r>
          <rPr>
            <b/>
            <sz val="9"/>
            <color indexed="81"/>
            <rFont val="Tahoma"/>
            <family val="2"/>
          </rPr>
          <t>Elliott, Elizabeth (Research):</t>
        </r>
        <r>
          <rPr>
            <sz val="9"/>
            <color indexed="81"/>
            <rFont val="Tahoma"/>
            <family val="2"/>
          </rPr>
          <t xml:space="preserve">
5.6% blended rate BoP, increases after low-interest $3B bridge paydown</t>
        </r>
      </text>
    </comment>
    <comment ref="BR551" authorId="2">
      <text>
        <r>
          <rPr>
            <b/>
            <sz val="9"/>
            <color indexed="81"/>
            <rFont val="Tahoma"/>
            <family val="2"/>
          </rPr>
          <t>Elliott, Elizabeth (Research):</t>
        </r>
        <r>
          <rPr>
            <sz val="9"/>
            <color indexed="81"/>
            <rFont val="Tahoma"/>
            <family val="2"/>
          </rPr>
          <t xml:space="preserve">
Interest rate adjusted for debt amortization costs</t>
        </r>
      </text>
    </comment>
    <comment ref="BS551" authorId="2">
      <text>
        <r>
          <rPr>
            <b/>
            <sz val="9"/>
            <color indexed="81"/>
            <rFont val="Tahoma"/>
            <family val="2"/>
          </rPr>
          <t>Elliott, Elizabeth (Research):</t>
        </r>
        <r>
          <rPr>
            <sz val="9"/>
            <color indexed="81"/>
            <rFont val="Tahoma"/>
            <family val="2"/>
          </rPr>
          <t xml:space="preserve">
Interest rate adjusted for debt amortization costs</t>
        </r>
      </text>
    </comment>
    <comment ref="BT551" authorId="2">
      <text>
        <r>
          <rPr>
            <b/>
            <sz val="9"/>
            <color indexed="81"/>
            <rFont val="Tahoma"/>
            <family val="2"/>
          </rPr>
          <t>Elliott, Elizabeth (Research):</t>
        </r>
        <r>
          <rPr>
            <sz val="9"/>
            <color indexed="81"/>
            <rFont val="Tahoma"/>
            <family val="2"/>
          </rPr>
          <t xml:space="preserve">
Repriced debt to save $30M annual interest expense</t>
        </r>
      </text>
    </comment>
    <comment ref="AZ569" authorId="0">
      <text>
        <r>
          <rPr>
            <b/>
            <sz val="8"/>
            <color indexed="81"/>
            <rFont val="Tahoma"/>
            <family val="2"/>
          </rPr>
          <t>schmitzs:</t>
        </r>
        <r>
          <rPr>
            <sz val="8"/>
            <color indexed="81"/>
            <rFont val="Tahoma"/>
            <family val="2"/>
          </rPr>
          <t xml:space="preserve">
HGST Deal:
25M shares
plus $3.9B cash</t>
        </r>
      </text>
    </comment>
    <comment ref="BO582" authorId="2">
      <text>
        <r>
          <rPr>
            <b/>
            <sz val="9"/>
            <color indexed="81"/>
            <rFont val="Tahoma"/>
            <family val="2"/>
          </rPr>
          <t>Elliott, Elizabeth (Research):</t>
        </r>
        <r>
          <rPr>
            <sz val="9"/>
            <color indexed="81"/>
            <rFont val="Tahoma"/>
            <family val="2"/>
          </rPr>
          <t xml:space="preserve">
Suspended buybacks due to SanDisk deal</t>
        </r>
      </text>
    </comment>
    <comment ref="U583" authorId="0">
      <text>
        <r>
          <rPr>
            <b/>
            <sz val="8"/>
            <color indexed="81"/>
            <rFont val="Tahoma"/>
            <family val="2"/>
          </rPr>
          <t>schmitzs:</t>
        </r>
        <r>
          <rPr>
            <sz val="8"/>
            <color indexed="81"/>
            <rFont val="Tahoma"/>
            <family val="2"/>
          </rPr>
          <t xml:space="preserve">
Auth May 24, 2004</t>
        </r>
      </text>
    </comment>
    <comment ref="AA583" authorId="0">
      <text>
        <r>
          <rPr>
            <b/>
            <sz val="8"/>
            <color indexed="81"/>
            <rFont val="Tahoma"/>
            <family val="2"/>
          </rPr>
          <t>schmitzs:</t>
        </r>
        <r>
          <rPr>
            <sz val="8"/>
            <color indexed="81"/>
            <rFont val="Tahoma"/>
            <family val="2"/>
          </rPr>
          <t xml:space="preserve">
auth. $150 on Nov. 21, 2005</t>
        </r>
      </text>
    </comment>
    <comment ref="BA583" authorId="0">
      <text>
        <r>
          <rPr>
            <b/>
            <sz val="8"/>
            <color indexed="81"/>
            <rFont val="Tahoma"/>
            <family val="2"/>
          </rPr>
          <t>schmitzs:</t>
        </r>
        <r>
          <rPr>
            <sz val="8"/>
            <color indexed="81"/>
            <rFont val="Tahoma"/>
            <family val="2"/>
          </rPr>
          <t xml:space="preserve">
annouced May 18, 2012</t>
        </r>
      </text>
    </comment>
    <comment ref="BL583" authorId="2">
      <text>
        <r>
          <rPr>
            <b/>
            <sz val="9"/>
            <color indexed="81"/>
            <rFont val="Tahoma"/>
            <family val="2"/>
          </rPr>
          <t>Elliott, Elizabeth (Research):</t>
        </r>
        <r>
          <rPr>
            <sz val="9"/>
            <color indexed="81"/>
            <rFont val="Tahoma"/>
            <family val="2"/>
          </rPr>
          <t xml:space="preserve">
announced Feb 3</t>
        </r>
      </text>
    </comment>
    <comment ref="Y586" authorId="0">
      <text>
        <r>
          <rPr>
            <b/>
            <sz val="8"/>
            <color indexed="81"/>
            <rFont val="Tahoma"/>
            <family val="2"/>
          </rPr>
          <t>schmitzs:</t>
        </r>
        <r>
          <rPr>
            <sz val="8"/>
            <color indexed="81"/>
            <rFont val="Tahoma"/>
            <family val="2"/>
          </rPr>
          <t xml:space="preserve">
total 5M shares in F05</t>
        </r>
      </text>
    </comment>
    <comment ref="AC586" authorId="0">
      <text>
        <r>
          <rPr>
            <b/>
            <sz val="8"/>
            <color indexed="81"/>
            <rFont val="Tahoma"/>
            <family val="2"/>
          </rPr>
          <t>schmitzs:</t>
        </r>
        <r>
          <rPr>
            <sz val="8"/>
            <color indexed="81"/>
            <rFont val="Tahoma"/>
            <family val="2"/>
          </rPr>
          <t xml:space="preserve">
total 4M shares in F06</t>
        </r>
      </text>
    </comment>
    <comment ref="AG586" authorId="0">
      <text>
        <r>
          <rPr>
            <b/>
            <sz val="8"/>
            <color indexed="81"/>
            <rFont val="Tahoma"/>
            <family val="2"/>
          </rPr>
          <t>schmitzs:</t>
        </r>
        <r>
          <rPr>
            <sz val="8"/>
            <color indexed="81"/>
            <rFont val="Tahoma"/>
            <family val="2"/>
          </rPr>
          <t xml:space="preserve">
total 4M shares in F07</t>
        </r>
      </text>
    </comment>
    <comment ref="AZ591" authorId="0">
      <text>
        <r>
          <rPr>
            <b/>
            <sz val="8"/>
            <color indexed="81"/>
            <rFont val="Tahoma"/>
            <family val="2"/>
          </rPr>
          <t>schmitzs:</t>
        </r>
        <r>
          <rPr>
            <sz val="8"/>
            <color indexed="81"/>
            <rFont val="Tahoma"/>
            <family val="2"/>
          </rPr>
          <t xml:space="preserve">
4.2M assumed from HGST</t>
        </r>
      </text>
    </comment>
    <comment ref="BI591" authorId="2">
      <text>
        <r>
          <rPr>
            <b/>
            <sz val="9"/>
            <color indexed="81"/>
            <rFont val="Tahoma"/>
            <family val="2"/>
          </rPr>
          <t>Elliott, Elizabeth (Research):</t>
        </r>
        <r>
          <rPr>
            <sz val="9"/>
            <color indexed="81"/>
            <rFont val="Tahoma"/>
            <family val="2"/>
          </rPr>
          <t xml:space="preserve">
includes 1.7M shares assumed</t>
        </r>
      </text>
    </comment>
    <comment ref="BL591" authorId="2">
      <text>
        <r>
          <rPr>
            <b/>
            <sz val="9"/>
            <color indexed="81"/>
            <rFont val="Tahoma"/>
            <family val="2"/>
          </rPr>
          <t>Elliott, Elizabeth (Research):</t>
        </r>
        <r>
          <rPr>
            <sz val="9"/>
            <color indexed="81"/>
            <rFont val="Tahoma"/>
            <family val="2"/>
          </rPr>
          <t xml:space="preserve">
assumed in acquisition</t>
        </r>
      </text>
    </comment>
    <comment ref="BR596" authorId="2">
      <text>
        <r>
          <rPr>
            <b/>
            <sz val="9"/>
            <color indexed="81"/>
            <rFont val="Tahoma"/>
            <family val="2"/>
          </rPr>
          <t>Elliott, Elizabeth (Research):</t>
        </r>
        <r>
          <rPr>
            <sz val="9"/>
            <color indexed="81"/>
            <rFont val="Tahoma"/>
            <family val="2"/>
          </rPr>
          <t xml:space="preserve">
not reported, assumes half of price for options outstanding, similar to prior periods</t>
        </r>
      </text>
    </comment>
    <comment ref="BD606" authorId="3">
      <text>
        <r>
          <rPr>
            <b/>
            <sz val="8"/>
            <color indexed="81"/>
            <rFont val="Tahoma"/>
            <family val="2"/>
          </rPr>
          <t>kogay:</t>
        </r>
        <r>
          <rPr>
            <sz val="8"/>
            <color indexed="81"/>
            <rFont val="Tahoma"/>
            <family val="2"/>
          </rPr>
          <t xml:space="preserve">
=TF("WDC","avg(TF.PR.PriceClose(edate=#1,sdate=#2))",,BC$8,BD$8)</t>
        </r>
      </text>
    </comment>
    <comment ref="BL606" authorId="2">
      <text>
        <r>
          <rPr>
            <b/>
            <sz val="9"/>
            <color indexed="81"/>
            <rFont val="Tahoma"/>
            <family val="2"/>
          </rPr>
          <t>Elliott, Elizabeth (Research):</t>
        </r>
        <r>
          <rPr>
            <sz val="9"/>
            <color indexed="81"/>
            <rFont val="Tahoma"/>
            <family val="2"/>
          </rPr>
          <t xml:space="preserve">
=TF("WDC","avg(TF.PR.PriceClose(edate=#1,sdate=#2))",,$BK$8,$BJ$8)</t>
        </r>
      </text>
    </comment>
    <comment ref="BV606" authorId="2">
      <text>
        <r>
          <rPr>
            <b/>
            <sz val="9"/>
            <color indexed="81"/>
            <rFont val="Tahoma"/>
            <family val="2"/>
          </rPr>
          <t>Elliott, Elizabeth (Research):</t>
        </r>
        <r>
          <rPr>
            <sz val="9"/>
            <color indexed="81"/>
            <rFont val="Tahoma"/>
            <family val="2"/>
          </rPr>
          <t xml:space="preserve">
'=TF("WDC","avg(TF.PR.PriceClose(edate=#1,sdate=#2))",,BU$9,BV$9)</t>
        </r>
      </text>
    </comment>
    <comment ref="D638" authorId="2">
      <text>
        <r>
          <rPr>
            <b/>
            <sz val="9"/>
            <color indexed="81"/>
            <rFont val="Tahoma"/>
            <family val="2"/>
          </rPr>
          <t>Elliott, Elizabeth (Research):</t>
        </r>
        <r>
          <rPr>
            <sz val="9"/>
            <color indexed="81"/>
            <rFont val="Tahoma"/>
            <family val="2"/>
          </rPr>
          <t xml:space="preserve">
OEM. HDD revenues by channel in F1Q17 and prior</t>
        </r>
      </text>
    </comment>
    <comment ref="BR638" authorId="2">
      <text>
        <r>
          <rPr>
            <b/>
            <sz val="9"/>
            <color indexed="81"/>
            <rFont val="Tahoma"/>
            <family val="2"/>
          </rPr>
          <t>Elliott, Elizabeth (Research):</t>
        </r>
        <r>
          <rPr>
            <sz val="9"/>
            <color indexed="81"/>
            <rFont val="Tahoma"/>
            <family val="2"/>
          </rPr>
          <t xml:space="preserve">
OEM. HDD revenues by channel in F1Q17 and prior</t>
        </r>
      </text>
    </comment>
    <comment ref="BS638" authorId="2">
      <text>
        <r>
          <rPr>
            <b/>
            <sz val="9"/>
            <color indexed="81"/>
            <rFont val="Tahoma"/>
            <family val="2"/>
          </rPr>
          <t>Elliott, Elizabeth (Research):</t>
        </r>
        <r>
          <rPr>
            <sz val="9"/>
            <color indexed="81"/>
            <rFont val="Tahoma"/>
            <family val="2"/>
          </rPr>
          <t xml:space="preserve">
no longer report by channel, only report by end market (client devices, client solutions, data cetner devices and solutions)</t>
        </r>
      </text>
    </comment>
    <comment ref="D639" authorId="2">
      <text>
        <r>
          <rPr>
            <b/>
            <sz val="9"/>
            <color indexed="81"/>
            <rFont val="Tahoma"/>
            <family val="2"/>
          </rPr>
          <t>Elliott, Elizabeth (Research):</t>
        </r>
        <r>
          <rPr>
            <sz val="9"/>
            <color indexed="81"/>
            <rFont val="Tahoma"/>
            <family val="2"/>
          </rPr>
          <t xml:space="preserve">
Distributors. HDD revenues by channel in F1Q17 and prior</t>
        </r>
      </text>
    </comment>
    <comment ref="BR639" authorId="2">
      <text>
        <r>
          <rPr>
            <b/>
            <sz val="9"/>
            <color indexed="81"/>
            <rFont val="Tahoma"/>
            <family val="2"/>
          </rPr>
          <t>Elliott, Elizabeth (Research):</t>
        </r>
        <r>
          <rPr>
            <sz val="9"/>
            <color indexed="81"/>
            <rFont val="Tahoma"/>
            <family val="2"/>
          </rPr>
          <t xml:space="preserve">
Distributors. HDD revenues by channel in F1Q17 and prior</t>
        </r>
      </text>
    </comment>
    <comment ref="D640" authorId="2">
      <text>
        <r>
          <rPr>
            <b/>
            <sz val="9"/>
            <color indexed="81"/>
            <rFont val="Tahoma"/>
            <family val="2"/>
          </rPr>
          <t>Elliott, Elizabeth (Research):</t>
        </r>
        <r>
          <rPr>
            <sz val="9"/>
            <color indexed="81"/>
            <rFont val="Tahoma"/>
            <family val="2"/>
          </rPr>
          <t xml:space="preserve">
Branded Products. HDD revenues by channel in F1Q17 and prior</t>
        </r>
      </text>
    </comment>
    <comment ref="BR640" authorId="2">
      <text>
        <r>
          <rPr>
            <b/>
            <sz val="9"/>
            <color indexed="81"/>
            <rFont val="Tahoma"/>
            <family val="2"/>
          </rPr>
          <t>Elliott, Elizabeth (Research):</t>
        </r>
        <r>
          <rPr>
            <sz val="9"/>
            <color indexed="81"/>
            <rFont val="Tahoma"/>
            <family val="2"/>
          </rPr>
          <t xml:space="preserve">
Branded Products. HDD revenues by channel in F1Q17 and prior</t>
        </r>
      </text>
    </comment>
    <comment ref="BQ646" authorId="2">
      <text>
        <r>
          <rPr>
            <b/>
            <sz val="9"/>
            <color indexed="81"/>
            <rFont val="Tahoma"/>
            <family val="2"/>
          </rPr>
          <t>Elliott, Elizabeth (Research):</t>
        </r>
        <r>
          <rPr>
            <sz val="9"/>
            <color indexed="81"/>
            <rFont val="Tahoma"/>
            <family val="2"/>
          </rPr>
          <t xml:space="preserve">
No longer disclose</t>
        </r>
      </text>
    </comment>
    <comment ref="CI646" authorId="0">
      <text>
        <r>
          <rPr>
            <b/>
            <sz val="8"/>
            <color indexed="81"/>
            <rFont val="Tahoma"/>
            <family val="2"/>
          </rPr>
          <t>schmitzs:</t>
        </r>
        <r>
          <rPr>
            <sz val="8"/>
            <color indexed="81"/>
            <rFont val="Tahoma"/>
            <family val="2"/>
          </rPr>
          <t xml:space="preserve">
Dell 16%
</t>
        </r>
      </text>
    </comment>
    <comment ref="CJ646" authorId="0">
      <text>
        <r>
          <rPr>
            <b/>
            <sz val="8"/>
            <color indexed="81"/>
            <rFont val="Tahoma"/>
            <family val="2"/>
          </rPr>
          <t>schmitzs:</t>
        </r>
        <r>
          <rPr>
            <sz val="8"/>
            <color indexed="81"/>
            <rFont val="Tahoma"/>
            <family val="2"/>
          </rPr>
          <t xml:space="preserve">
Dell 12%
</t>
        </r>
      </text>
    </comment>
    <comment ref="CK646" authorId="0">
      <text>
        <r>
          <rPr>
            <b/>
            <sz val="8"/>
            <color indexed="81"/>
            <rFont val="Tahoma"/>
            <family val="2"/>
          </rPr>
          <t>schmitzs:</t>
        </r>
        <r>
          <rPr>
            <sz val="8"/>
            <color indexed="81"/>
            <rFont val="Tahoma"/>
            <family val="2"/>
          </rPr>
          <t xml:space="preserve">
Dell 10%</t>
        </r>
      </text>
    </comment>
    <comment ref="CM646" authorId="0">
      <text>
        <r>
          <rPr>
            <b/>
            <sz val="8"/>
            <color indexed="81"/>
            <rFont val="Tahoma"/>
            <family val="2"/>
          </rPr>
          <t>schmitzs:</t>
        </r>
        <r>
          <rPr>
            <sz val="8"/>
            <color indexed="81"/>
            <rFont val="Tahoma"/>
            <family val="2"/>
          </rPr>
          <t xml:space="preserve">
Dell 10%</t>
        </r>
      </text>
    </comment>
    <comment ref="BQ650" authorId="2">
      <text>
        <r>
          <rPr>
            <b/>
            <sz val="9"/>
            <color indexed="81"/>
            <rFont val="Tahoma"/>
            <family val="2"/>
          </rPr>
          <t>Elliott, Elizabeth (Research):</t>
        </r>
        <r>
          <rPr>
            <sz val="9"/>
            <color indexed="81"/>
            <rFont val="Tahoma"/>
            <family val="2"/>
          </rPr>
          <t xml:space="preserve">
No longer disclose</t>
        </r>
      </text>
    </comment>
    <comment ref="E656" authorId="0">
      <text>
        <r>
          <rPr>
            <b/>
            <sz val="8"/>
            <color indexed="81"/>
            <rFont val="Tahoma"/>
            <family val="2"/>
          </rPr>
          <t>schmitzs:</t>
        </r>
        <r>
          <rPr>
            <sz val="8"/>
            <color indexed="81"/>
            <rFont val="Tahoma"/>
            <family val="2"/>
          </rPr>
          <t xml:space="preserve">
"We have sales incentive and marketing programs that provide customers with price protection and other incentives or reimbursements that are recorded as a reduction to gross revenue."</t>
        </r>
      </text>
    </comment>
  </commentList>
</comments>
</file>

<file path=xl/comments3.xml><?xml version="1.0" encoding="utf-8"?>
<comments xmlns="http://schemas.openxmlformats.org/spreadsheetml/2006/main">
  <authors>
    <author>schmitzs</author>
    <author>kogay</author>
    <author>Elliott, Elizabeth (Research)</author>
    <author>goyalsw</author>
  </authors>
  <commentList>
    <comment ref="AH24" authorId="0">
      <text>
        <r>
          <rPr>
            <b/>
            <sz val="8"/>
            <color indexed="81"/>
            <rFont val="Tahoma"/>
            <family val="2"/>
          </rPr>
          <t>schmitzs:</t>
        </r>
        <r>
          <rPr>
            <sz val="8"/>
            <color indexed="81"/>
            <rFont val="Tahoma"/>
            <family val="2"/>
          </rPr>
          <t xml:space="preserve">
Komag PPE added</t>
        </r>
      </text>
    </comment>
    <comment ref="BA28" authorId="1">
      <text>
        <r>
          <rPr>
            <b/>
            <sz val="8"/>
            <color indexed="81"/>
            <rFont val="Tahoma"/>
            <family val="2"/>
          </rPr>
          <t>kogay:</t>
        </r>
        <r>
          <rPr>
            <sz val="8"/>
            <color indexed="81"/>
            <rFont val="Tahoma"/>
            <family val="2"/>
          </rPr>
          <t xml:space="preserve">
+ construction in process</t>
        </r>
      </text>
    </comment>
    <comment ref="BO37" authorId="2">
      <text>
        <r>
          <rPr>
            <b/>
            <sz val="9"/>
            <color indexed="81"/>
            <rFont val="Tahoma"/>
            <family val="2"/>
          </rPr>
          <t>Elliott, Elizabeth (Research):</t>
        </r>
        <r>
          <rPr>
            <sz val="9"/>
            <color indexed="81"/>
            <rFont val="Tahoma"/>
            <family val="2"/>
          </rPr>
          <t xml:space="preserve">
includes accrued arbitration award</t>
        </r>
      </text>
    </comment>
    <comment ref="BA41" authorId="1">
      <text>
        <r>
          <rPr>
            <b/>
            <sz val="8"/>
            <color indexed="81"/>
            <rFont val="Tahoma"/>
            <family val="2"/>
          </rPr>
          <t>kogay:</t>
        </r>
        <r>
          <rPr>
            <sz val="8"/>
            <color indexed="81"/>
            <rFont val="Tahoma"/>
            <family val="2"/>
          </rPr>
          <t xml:space="preserve">
Repaid $500 million line of credit</t>
        </r>
      </text>
    </comment>
    <comment ref="BQ42" authorId="2">
      <text>
        <r>
          <rPr>
            <b/>
            <sz val="9"/>
            <color indexed="81"/>
            <rFont val="Tahoma"/>
            <family val="2"/>
          </rPr>
          <t>Elliott, Elizabeth (Research):</t>
        </r>
        <r>
          <rPr>
            <sz val="9"/>
            <color indexed="81"/>
            <rFont val="Tahoma"/>
            <family val="2"/>
          </rPr>
          <t xml:space="preserve">
Includes $3B bridge loan</t>
        </r>
      </text>
    </comment>
    <comment ref="CL71" authorId="3">
      <text>
        <r>
          <rPr>
            <sz val="8"/>
            <color indexed="81"/>
            <rFont val="Tahoma"/>
            <family val="2"/>
          </rPr>
          <t>In 1Q 2008 company adjusted treasury stock in their retained earnings hence no adjustment for the same was required in row 71 (Issuance of Stock), but for the forecasted periods treasury stock is included in additional paid-in-capital, hence the difference of $249 is coming in FY 2008.l</t>
        </r>
      </text>
    </comment>
    <comment ref="CT101" authorId="2">
      <text>
        <r>
          <rPr>
            <b/>
            <sz val="9"/>
            <color indexed="81"/>
            <rFont val="Tahoma"/>
            <family val="2"/>
          </rPr>
          <t>Elliott, Elizabeth (Research):</t>
        </r>
        <r>
          <rPr>
            <sz val="9"/>
            <color indexed="81"/>
            <rFont val="Tahoma"/>
            <family val="2"/>
          </rPr>
          <t xml:space="preserve">
Guided ~4% of revenues</t>
        </r>
      </text>
    </comment>
    <comment ref="CU101" authorId="2">
      <text>
        <r>
          <rPr>
            <b/>
            <sz val="9"/>
            <color indexed="81"/>
            <rFont val="Tahoma"/>
            <family val="2"/>
          </rPr>
          <t>Elliott, Elizabeth (Research):</t>
        </r>
        <r>
          <rPr>
            <sz val="9"/>
            <color indexed="81"/>
            <rFont val="Tahoma"/>
            <family val="2"/>
          </rPr>
          <t xml:space="preserve">
Guided $1-$1.4. 6-8% of revenue post SNDK acquisition.</t>
        </r>
      </text>
    </comment>
    <comment ref="CV101" authorId="2">
      <text>
        <r>
          <rPr>
            <b/>
            <sz val="9"/>
            <color indexed="81"/>
            <rFont val="Tahoma"/>
            <family val="2"/>
          </rPr>
          <t>Elliott, Elizabeth (Research):</t>
        </r>
        <r>
          <rPr>
            <sz val="9"/>
            <color indexed="81"/>
            <rFont val="Tahoma"/>
            <family val="2"/>
          </rPr>
          <t xml:space="preserve">
Above 5-6% target</t>
        </r>
      </text>
    </comment>
    <comment ref="CW101" authorId="2">
      <text>
        <r>
          <rPr>
            <b/>
            <sz val="9"/>
            <color indexed="81"/>
            <rFont val="Tahoma"/>
            <family val="2"/>
          </rPr>
          <t>Elliott, Elizabeth (Research):</t>
        </r>
        <r>
          <rPr>
            <sz val="9"/>
            <color indexed="81"/>
            <rFont val="Tahoma"/>
            <family val="2"/>
          </rPr>
          <t xml:space="preserve">
LT target 6-8%</t>
        </r>
      </text>
    </comment>
    <comment ref="DA101" authorId="2">
      <text>
        <r>
          <rPr>
            <b/>
            <sz val="9"/>
            <color indexed="81"/>
            <rFont val="Tahoma"/>
            <family val="2"/>
          </rPr>
          <t>Elliott, Elizabeth (Research):</t>
        </r>
        <r>
          <rPr>
            <sz val="9"/>
            <color indexed="81"/>
            <rFont val="Tahoma"/>
            <family val="2"/>
          </rPr>
          <t xml:space="preserve">
LT model 6%-8%</t>
        </r>
      </text>
    </comment>
    <comment ref="BT117" authorId="2">
      <text>
        <r>
          <rPr>
            <b/>
            <sz val="9"/>
            <color indexed="81"/>
            <rFont val="Tahoma"/>
            <family val="2"/>
          </rPr>
          <t>Elliott, Elizabeth (Research):</t>
        </r>
        <r>
          <rPr>
            <sz val="9"/>
            <color indexed="81"/>
            <rFont val="Tahoma"/>
            <family val="2"/>
          </rPr>
          <t xml:space="preserve">
Expect to be at low end of LT target range of 37-42</t>
        </r>
      </text>
    </comment>
    <comment ref="BQ187" authorId="2">
      <text>
        <r>
          <rPr>
            <b/>
            <sz val="9"/>
            <color indexed="81"/>
            <rFont val="Tahoma"/>
            <family val="2"/>
          </rPr>
          <t>Elliott, Elizabeth (Research):</t>
        </r>
        <r>
          <rPr>
            <sz val="9"/>
            <color indexed="81"/>
            <rFont val="Tahoma"/>
            <family val="2"/>
          </rPr>
          <t xml:space="preserve">
SNDK acquisition</t>
        </r>
      </text>
    </comment>
    <comment ref="BQ188" authorId="2">
      <text>
        <r>
          <rPr>
            <b/>
            <sz val="9"/>
            <color indexed="81"/>
            <rFont val="Tahoma"/>
            <family val="2"/>
          </rPr>
          <t>Elliott, Elizabeth (Research):</t>
        </r>
        <r>
          <rPr>
            <sz val="9"/>
            <color indexed="81"/>
            <rFont val="Tahoma"/>
            <family val="2"/>
          </rPr>
          <t xml:space="preserve">
SNDK acquisition</t>
        </r>
      </text>
    </comment>
  </commentList>
</comments>
</file>

<file path=xl/comments4.xml><?xml version="1.0" encoding="utf-8"?>
<comments xmlns="http://schemas.openxmlformats.org/spreadsheetml/2006/main">
  <authors>
    <author>schmitzs</author>
    <author>Elliott, Elizabeth (Research)</author>
  </authors>
  <commentList>
    <comment ref="AL15" authorId="0">
      <text>
        <r>
          <rPr>
            <b/>
            <sz val="8"/>
            <color indexed="81"/>
            <rFont val="Tahoma"/>
            <family val="2"/>
          </rPr>
          <t>schmitzs:</t>
        </r>
        <r>
          <rPr>
            <sz val="8"/>
            <color indexed="81"/>
            <rFont val="Tahoma"/>
            <family val="2"/>
          </rPr>
          <t xml:space="preserve">
expect D&amp;A $475 for F2009</t>
        </r>
      </text>
    </comment>
    <comment ref="AK32" authorId="0">
      <text>
        <r>
          <rPr>
            <b/>
            <sz val="8"/>
            <color indexed="81"/>
            <rFont val="Tahoma"/>
            <family val="2"/>
          </rPr>
          <t xml:space="preserve">schmitzs:
</t>
        </r>
        <r>
          <rPr>
            <sz val="8"/>
            <color indexed="81"/>
            <rFont val="Tahoma"/>
            <family val="2"/>
          </rPr>
          <t>expect $625 F2008</t>
        </r>
        <r>
          <rPr>
            <sz val="8"/>
            <color indexed="81"/>
            <rFont val="Tahoma"/>
            <family val="2"/>
          </rPr>
          <t xml:space="preserve">
expect $800M for F2009
</t>
        </r>
      </text>
    </comment>
    <comment ref="AL32" authorId="0">
      <text>
        <r>
          <rPr>
            <b/>
            <sz val="8"/>
            <color indexed="81"/>
            <rFont val="Tahoma"/>
            <family val="2"/>
          </rPr>
          <t>schmitzs:</t>
        </r>
        <r>
          <rPr>
            <sz val="8"/>
            <color indexed="81"/>
            <rFont val="Tahoma"/>
            <family val="2"/>
          </rPr>
          <t xml:space="preserve">
revised capex guidance to $750 for F09</t>
        </r>
      </text>
    </comment>
    <comment ref="BE73" authorId="0">
      <text>
        <r>
          <rPr>
            <b/>
            <sz val="8"/>
            <color indexed="81"/>
            <rFont val="Tahoma"/>
            <family val="2"/>
          </rPr>
          <t>schmitzs:</t>
        </r>
        <r>
          <rPr>
            <sz val="8"/>
            <color indexed="81"/>
            <rFont val="Tahoma"/>
            <family val="2"/>
          </rPr>
          <t xml:space="preserve">
$681 for accrued arbitration charge</t>
        </r>
      </text>
    </comment>
    <comment ref="BK75" authorId="1">
      <text>
        <r>
          <rPr>
            <b/>
            <sz val="9"/>
            <color indexed="81"/>
            <rFont val="Tahoma"/>
            <family val="2"/>
          </rPr>
          <t>Elliott, Elizabeth (Research):</t>
        </r>
        <r>
          <rPr>
            <sz val="9"/>
            <color indexed="81"/>
            <rFont val="Tahoma"/>
            <family val="2"/>
          </rPr>
          <t xml:space="preserve">
includes arbitration award</t>
        </r>
      </text>
    </comment>
    <comment ref="BL75" authorId="1">
      <text>
        <r>
          <rPr>
            <b/>
            <sz val="9"/>
            <color indexed="81"/>
            <rFont val="Tahoma"/>
            <family val="2"/>
          </rPr>
          <t>Elliott, Elizabeth (Research):</t>
        </r>
        <r>
          <rPr>
            <sz val="9"/>
            <color indexed="81"/>
            <rFont val="Tahoma"/>
            <family val="2"/>
          </rPr>
          <t xml:space="preserve">
includes arbitration award</t>
        </r>
      </text>
    </comment>
    <comment ref="BM75" authorId="1">
      <text>
        <r>
          <rPr>
            <b/>
            <sz val="9"/>
            <color indexed="81"/>
            <rFont val="Tahoma"/>
            <family val="2"/>
          </rPr>
          <t>Elliott, Elizabeth (Research):</t>
        </r>
        <r>
          <rPr>
            <sz val="9"/>
            <color indexed="81"/>
            <rFont val="Tahoma"/>
            <family val="2"/>
          </rPr>
          <t xml:space="preserve">
includes arbitration award</t>
        </r>
      </text>
    </comment>
    <comment ref="BP75" authorId="1">
      <text>
        <r>
          <rPr>
            <b/>
            <sz val="9"/>
            <color indexed="81"/>
            <rFont val="Tahoma"/>
            <family val="2"/>
          </rPr>
          <t>Elliott, Elizabeth (Research):</t>
        </r>
        <r>
          <rPr>
            <sz val="9"/>
            <color indexed="81"/>
            <rFont val="Tahoma"/>
            <family val="2"/>
          </rPr>
          <t xml:space="preserve">
includes arbitration award</t>
        </r>
      </text>
    </comment>
    <comment ref="BQ79" authorId="1">
      <text>
        <r>
          <rPr>
            <b/>
            <sz val="9"/>
            <color indexed="81"/>
            <rFont val="Tahoma"/>
            <family val="2"/>
          </rPr>
          <t>Elliott, Elizabeth (Research):</t>
        </r>
        <r>
          <rPr>
            <sz val="9"/>
            <color indexed="81"/>
            <rFont val="Tahoma"/>
            <family val="2"/>
          </rPr>
          <t xml:space="preserve">
Includes Activity Related to Flash Ventures</t>
        </r>
      </text>
    </comment>
    <comment ref="BR79" authorId="1">
      <text>
        <r>
          <rPr>
            <b/>
            <sz val="9"/>
            <color indexed="81"/>
            <rFont val="Tahoma"/>
            <family val="2"/>
          </rPr>
          <t>Elliott, Elizabeth (Research):</t>
        </r>
        <r>
          <rPr>
            <sz val="9"/>
            <color indexed="81"/>
            <rFont val="Tahoma"/>
            <family val="2"/>
          </rPr>
          <t xml:space="preserve">
Includes Activity Related to Flash Ventures</t>
        </r>
      </text>
    </comment>
    <comment ref="BS79" authorId="1">
      <text>
        <r>
          <rPr>
            <b/>
            <sz val="9"/>
            <color indexed="81"/>
            <rFont val="Tahoma"/>
            <family val="2"/>
          </rPr>
          <t>Elliott, Elizabeth (Research):</t>
        </r>
        <r>
          <rPr>
            <sz val="9"/>
            <color indexed="81"/>
            <rFont val="Tahoma"/>
            <family val="2"/>
          </rPr>
          <t xml:space="preserve">
Includes Activity Related to Flash Ventures</t>
        </r>
      </text>
    </comment>
    <comment ref="BT79" authorId="1">
      <text>
        <r>
          <rPr>
            <b/>
            <sz val="9"/>
            <color indexed="81"/>
            <rFont val="Tahoma"/>
            <family val="2"/>
          </rPr>
          <t>Elliott, Elizabeth (Research):</t>
        </r>
        <r>
          <rPr>
            <sz val="9"/>
            <color indexed="81"/>
            <rFont val="Tahoma"/>
            <family val="2"/>
          </rPr>
          <t xml:space="preserve">
Includes Activity Related to Flash Ventures</t>
        </r>
      </text>
    </comment>
    <comment ref="BU79" authorId="1">
      <text>
        <r>
          <rPr>
            <b/>
            <sz val="9"/>
            <color indexed="81"/>
            <rFont val="Tahoma"/>
            <family val="2"/>
          </rPr>
          <t>Elliott, Elizabeth (Research):</t>
        </r>
        <r>
          <rPr>
            <sz val="9"/>
            <color indexed="81"/>
            <rFont val="Tahoma"/>
            <family val="2"/>
          </rPr>
          <t xml:space="preserve">
Includes Activity Related to Flash Ventures</t>
        </r>
      </text>
    </comment>
    <comment ref="BL84" authorId="1">
      <text>
        <r>
          <rPr>
            <b/>
            <sz val="9"/>
            <color indexed="81"/>
            <rFont val="Tahoma"/>
            <family val="2"/>
          </rPr>
          <t>Elliott, Elizabeth (Research):</t>
        </r>
        <r>
          <rPr>
            <sz val="9"/>
            <color indexed="81"/>
            <rFont val="Tahoma"/>
            <family val="2"/>
          </rPr>
          <t xml:space="preserve">
Proceeds from sale of investment</t>
        </r>
      </text>
    </comment>
    <comment ref="BK90" authorId="1">
      <text>
        <r>
          <rPr>
            <b/>
            <sz val="9"/>
            <color indexed="81"/>
            <rFont val="Tahoma"/>
            <family val="2"/>
          </rPr>
          <t>Elliott, Elizabeth (Research):</t>
        </r>
        <r>
          <rPr>
            <sz val="9"/>
            <color indexed="81"/>
            <rFont val="Tahoma"/>
            <family val="2"/>
          </rPr>
          <t xml:space="preserve">
includes taxes paid on vested awards &amp; excess tax benefits from employee stocks plans </t>
        </r>
      </text>
    </comment>
    <comment ref="BR90" authorId="1">
      <text>
        <r>
          <rPr>
            <b/>
            <sz val="9"/>
            <color indexed="81"/>
            <rFont val="Tahoma"/>
            <family val="2"/>
          </rPr>
          <t>Elliott, Elizabeth (Research):</t>
        </r>
        <r>
          <rPr>
            <sz val="9"/>
            <color indexed="81"/>
            <rFont val="Tahoma"/>
            <family val="2"/>
          </rPr>
          <t xml:space="preserve">
net of taxes</t>
        </r>
      </text>
    </comment>
    <comment ref="Q97" authorId="1">
      <text>
        <r>
          <rPr>
            <b/>
            <sz val="9"/>
            <color indexed="81"/>
            <rFont val="Tahoma"/>
            <family val="2"/>
          </rPr>
          <t>Elliott, Elizabeth (Research):</t>
        </r>
        <r>
          <rPr>
            <sz val="9"/>
            <color indexed="81"/>
            <rFont val="Tahoma"/>
            <family val="2"/>
          </rPr>
          <t xml:space="preserve">
reflects cash from discontinued ops for periods prior to FY 2004</t>
        </r>
      </text>
    </comment>
    <comment ref="AZ97" authorId="0">
      <text>
        <r>
          <rPr>
            <b/>
            <sz val="8"/>
            <color indexed="81"/>
            <rFont val="Tahoma"/>
            <family val="2"/>
          </rPr>
          <t>schmitzs:</t>
        </r>
        <r>
          <rPr>
            <sz val="8"/>
            <color indexed="81"/>
            <rFont val="Tahoma"/>
            <family val="2"/>
          </rPr>
          <t xml:space="preserve">
exchange rate</t>
        </r>
      </text>
    </comment>
    <comment ref="C129" authorId="1">
      <text>
        <r>
          <rPr>
            <b/>
            <sz val="9"/>
            <color indexed="81"/>
            <rFont val="Tahoma"/>
            <family val="2"/>
          </rPr>
          <t>Elliott, Elizabeth (Research):</t>
        </r>
        <r>
          <rPr>
            <sz val="9"/>
            <color indexed="81"/>
            <rFont val="Tahoma"/>
            <family val="2"/>
          </rPr>
          <t xml:space="preserve">
Includes activity related to Flash Ventures (net)</t>
        </r>
      </text>
    </comment>
  </commentList>
</comments>
</file>

<file path=xl/sharedStrings.xml><?xml version="1.0" encoding="utf-8"?>
<sst xmlns="http://schemas.openxmlformats.org/spreadsheetml/2006/main" count="2388" uniqueCount="1346">
  <si>
    <t>SG&amp;A</t>
  </si>
  <si>
    <t>($ in millions)</t>
  </si>
  <si>
    <t>2001A</t>
  </si>
  <si>
    <t>2002A</t>
  </si>
  <si>
    <t>Beginning Basic Shares Outstanding</t>
  </si>
  <si>
    <t>Ending Basic Shares Outstanding</t>
  </si>
  <si>
    <t>DuPont Formula</t>
  </si>
  <si>
    <t>Average Basic Shares</t>
  </si>
  <si>
    <t>Average Diluted Shares</t>
  </si>
  <si>
    <t>F2004A</t>
  </si>
  <si>
    <t>EBITDA Margin</t>
  </si>
  <si>
    <t>Operating Assets</t>
  </si>
  <si>
    <t>Operating Liabilities</t>
  </si>
  <si>
    <t>Dep &amp; Amortization</t>
  </si>
  <si>
    <t>Fixed Asset Mix (as a % of Gross PP&amp;E)</t>
  </si>
  <si>
    <t xml:space="preserve"> </t>
  </si>
  <si>
    <t>+ Stock Warrants Exercised</t>
  </si>
  <si>
    <t>Gross Margins (%)</t>
  </si>
  <si>
    <t>Cash Conversion Cycle</t>
  </si>
  <si>
    <t>Earnings Before Interest and Tax</t>
  </si>
  <si>
    <t>Common Equity</t>
  </si>
  <si>
    <t>Total Capitalization</t>
  </si>
  <si>
    <t>Inventory Turnover</t>
  </si>
  <si>
    <t>Days Inventory on Hand</t>
  </si>
  <si>
    <t>Net Operating Assets</t>
  </si>
  <si>
    <t>X</t>
  </si>
  <si>
    <t>Revenue Driver - Base Case</t>
  </si>
  <si>
    <t>Expense Drivers - Base Case</t>
  </si>
  <si>
    <t>Miscellaneous Data from SEC Filings</t>
  </si>
  <si>
    <t>This sheet contains Factset binary data for use with this workbook's =FDS codes.  Modifying the worksheet's contents may damage the workbook's =FDS functionality.</t>
  </si>
  <si>
    <t>Additions - Capital Spending</t>
  </si>
  <si>
    <t>Asset Retirements or Disposals</t>
  </si>
  <si>
    <t>Acquisitions and Other</t>
  </si>
  <si>
    <t>Average Closing Share Price</t>
  </si>
  <si>
    <t>Avg Shares (Basic)</t>
  </si>
  <si>
    <t>Effective Tax Rate</t>
  </si>
  <si>
    <t>Revenue</t>
  </si>
  <si>
    <t>EBITDA</t>
  </si>
  <si>
    <t>Total Current Assets</t>
  </si>
  <si>
    <t>Total Assets</t>
  </si>
  <si>
    <t>Total Liabilities</t>
  </si>
  <si>
    <t>Total Liabilities and Stockholder's Equity</t>
  </si>
  <si>
    <t>Pretax Margin</t>
  </si>
  <si>
    <t>F2011A</t>
  </si>
  <si>
    <t>2011A</t>
  </si>
  <si>
    <t>Inventories</t>
  </si>
  <si>
    <t>Income from Operations (PTOP)</t>
  </si>
  <si>
    <t>PTOP Margin</t>
  </si>
  <si>
    <t>Stock option exp % of Tot. Revenue</t>
  </si>
  <si>
    <t>Days Sales Outstanding</t>
  </si>
  <si>
    <t>Long Term Liabilities</t>
  </si>
  <si>
    <t>YoY Growth</t>
  </si>
  <si>
    <t>Other</t>
  </si>
  <si>
    <t>Product</t>
  </si>
  <si>
    <t>Total</t>
  </si>
  <si>
    <t>Gross Profit</t>
  </si>
  <si>
    <t>Net Property Plant &amp; Equipment</t>
  </si>
  <si>
    <t>Capital Expenditures</t>
  </si>
  <si>
    <t>Average Gross PPE</t>
  </si>
  <si>
    <t>Gross PP&amp;E</t>
  </si>
  <si>
    <t>End of Period</t>
  </si>
  <si>
    <t>Beginning of Period</t>
  </si>
  <si>
    <t>Retirements as % of Beginning Gross PPE</t>
  </si>
  <si>
    <t>Accumulated Depreciation</t>
  </si>
  <si>
    <t>Investing activities:</t>
  </si>
  <si>
    <t>Net Income / (Loss)</t>
  </si>
  <si>
    <t>Remaining Useful life of assets</t>
  </si>
  <si>
    <t>Work in process</t>
  </si>
  <si>
    <t>Foreign Taxes</t>
  </si>
  <si>
    <t>Net Income before tax</t>
  </si>
  <si>
    <t>Return on Total Assets</t>
  </si>
  <si>
    <t>GAAP Net Income</t>
  </si>
  <si>
    <t>Stock Option Expense</t>
  </si>
  <si>
    <t>Non-Cash expenses/ income</t>
  </si>
  <si>
    <t>Cash Flow Statement (Non Cumulative)</t>
  </si>
  <si>
    <t>Cash Flow Analysis/Ratios</t>
  </si>
  <si>
    <t>Y/Y Growth</t>
  </si>
  <si>
    <t>Q/Q Growth</t>
  </si>
  <si>
    <t>2003A</t>
  </si>
  <si>
    <t>Operating Expenses</t>
  </si>
  <si>
    <t>Q/Q Increase in Exercise Price</t>
  </si>
  <si>
    <t>Return on Equity</t>
  </si>
  <si>
    <t>Days Payable Outstanding</t>
  </si>
  <si>
    <t>Capex as % of Revenue</t>
  </si>
  <si>
    <t>Capex as % of Beginning Net PPE</t>
  </si>
  <si>
    <t>Depreciation as % of Capex</t>
  </si>
  <si>
    <t>Implied / Assumed Depreciable Life of PPE</t>
  </si>
  <si>
    <t>Retirements as % of Beginning Accumulated Depreciation</t>
  </si>
  <si>
    <t>Current Ratio</t>
  </si>
  <si>
    <t>Quick Ratio</t>
  </si>
  <si>
    <t>Cash Ratio</t>
  </si>
  <si>
    <t>Profitability</t>
  </si>
  <si>
    <t>Return on Net Operating Assets</t>
  </si>
  <si>
    <t>Asset Book Value</t>
  </si>
  <si>
    <t>Tangible</t>
  </si>
  <si>
    <t>Intangible</t>
  </si>
  <si>
    <t>Cash and cash equivalents</t>
  </si>
  <si>
    <t>Short-term investments</t>
  </si>
  <si>
    <t>Accounts receivable, net</t>
  </si>
  <si>
    <t>Other current assets</t>
  </si>
  <si>
    <t>Property, equipment and leasehold improvements, Gross</t>
  </si>
  <si>
    <t>Land</t>
  </si>
  <si>
    <t>Equipment</t>
  </si>
  <si>
    <t>Building and leasehold improvements</t>
  </si>
  <si>
    <t>Construction in progress</t>
  </si>
  <si>
    <t>Property, equipment and leasehold improvements, net</t>
  </si>
  <si>
    <t>Accounts payable</t>
  </si>
  <si>
    <t>Accrued expenses</t>
  </si>
  <si>
    <t>Accrued warranty</t>
  </si>
  <si>
    <t>Current portion of long-term debt</t>
  </si>
  <si>
    <t>Other liabilities</t>
  </si>
  <si>
    <t>Long-term debt, less current portion</t>
  </si>
  <si>
    <t>Common shares</t>
  </si>
  <si>
    <t>Additional paid-in capital</t>
  </si>
  <si>
    <t>Accumulated other comprehensive income</t>
  </si>
  <si>
    <t>Deferred stock compensation</t>
  </si>
  <si>
    <t>Retained earnings</t>
  </si>
  <si>
    <t>JAVA.O,mscalc:operatingExpenses,2008Q4,,FYR,USD</t>
  </si>
  <si>
    <t>JAVA.O,mstag:costOfSalesWithDepreciation,2008Q4,,FYR,USD</t>
  </si>
  <si>
    <t>JAVA.O,mscalc:otheroperatingIncomeExpense,2008Q4,,FYR,USD</t>
  </si>
  <si>
    <t>JAVA.O,mscalc:operatingRevenue,2008Q4,,FYR,USD</t>
  </si>
  <si>
    <t>JAVA.O,mstag:costOfMaterials,2008Q4,,FYR,USD</t>
  </si>
  <si>
    <t>JAVA.O,mscalc:taxExpenseFromOperations,2008Q4,,FYR,USD</t>
  </si>
  <si>
    <t>JAVA.O,mstag:costOfServicesSold,2008Q1</t>
  </si>
  <si>
    <t>JAVA.O,mstag:costOfServicesSold,2008Q4,,FYR,USD</t>
  </si>
  <si>
    <t>JAVA.O,mstag:costOfSalesWithoutDepreciation,2008Q3,,FYR,USD</t>
  </si>
  <si>
    <t>JAVA.O,mstag:costOfSalesWithDepreciation,2008Q1</t>
  </si>
  <si>
    <t>JAVA.O,mstag:costOfManufacturing,2008Q1</t>
  </si>
  <si>
    <t>JAVA.O,mstag:costOfManufacturing,2008Q4,,FYR,USD</t>
  </si>
  <si>
    <t>JAVA.O,mstag:costOfSalesWithoutDepreciation,2008Q4</t>
  </si>
  <si>
    <t>JAVA.O,mstag:costOfSalesWithoutDepreciation,2008Q1</t>
  </si>
  <si>
    <t>JAVA.O,mstag:costOfMaterials,2008Q1</t>
  </si>
  <si>
    <t>3,677.11700350108</t>
  </si>
  <si>
    <t>2,184.73281192932</t>
  </si>
  <si>
    <t>3,218.93093863074</t>
  </si>
  <si>
    <t>3,566.32977660967</t>
  </si>
  <si>
    <t>1,852.54079371182</t>
  </si>
  <si>
    <t>Employee Stock Purchase Plan</t>
  </si>
  <si>
    <t>4,022.59889911526</t>
  </si>
  <si>
    <t>1,916.05042456704</t>
  </si>
  <si>
    <t>106.666794529249</t>
  </si>
  <si>
    <t>3,335.44967565769</t>
  </si>
  <si>
    <t>3,419.00999189894</t>
  </si>
  <si>
    <t>56.1211445355905</t>
  </si>
  <si>
    <t>3,237.23984043089</t>
  </si>
  <si>
    <t>3,042.98863544785</t>
  </si>
  <si>
    <t>1,657.98863544785</t>
  </si>
  <si>
    <t>71.2837361429788</t>
  </si>
  <si>
    <t>JAVA.O,mstag:employeeExpenses,2008Q4,,FYR,USD</t>
  </si>
  <si>
    <t>JAVA.O,mscalc:otherIncomeExpense,2008Q4,,FYR,USD</t>
  </si>
  <si>
    <t>JAVA.O,mstag:sellingGeneralAndAdministrativeExpenses,2008Q4,,FYR,USD</t>
  </si>
  <si>
    <t>JAVA.O,mstag:researchAndDevelopment,2008Q4,,FYR,USD</t>
  </si>
  <si>
    <t>JAVA.O,mscalc:netFinancialIncomeExpense,2008Q4,,FYR,USD</t>
  </si>
  <si>
    <t>29.0298250428817</t>
  </si>
  <si>
    <t>23.8590031054606</t>
  </si>
  <si>
    <t>47.3959541105269</t>
  </si>
  <si>
    <t>989.559329182354</t>
  </si>
  <si>
    <t>26.9459299001817</t>
  </si>
  <si>
    <t>54.3218088729334</t>
  </si>
  <si>
    <t>502.824862389408</t>
  </si>
  <si>
    <t>492.153509172135</t>
  </si>
  <si>
    <t>927.245741918514</t>
  </si>
  <si>
    <t>906.037647853218</t>
  </si>
  <si>
    <t>26.0099560249537</t>
  </si>
  <si>
    <t>446</t>
  </si>
  <si>
    <t>25.937404376881</t>
  </si>
  <si>
    <t>478.661398865851</t>
  </si>
  <si>
    <t>939</t>
  </si>
  <si>
    <t>JAVA.O,mstag:incomeLossFromInvestmentsAccountedForUnderTheEquityMethodOperatingIncomeStatement,2008Q4,,FYR,USD</t>
  </si>
  <si>
    <t>18.3365052708751</t>
  </si>
  <si>
    <t>40.3329036020583</t>
  </si>
  <si>
    <t>JAVA.O,mscalc:sharePrice,2008Q1,,FYR,USD</t>
  </si>
  <si>
    <t>JAVA.O,mscalc:depreciationAndAmortization,2008Q4,,FYR,USD</t>
  </si>
  <si>
    <t>JAVA.O,mstag:inventories,2008Q4,,FYR,USD</t>
  </si>
  <si>
    <t>589.553976789859</t>
  </si>
  <si>
    <t>202.408164888305</t>
  </si>
  <si>
    <t>35.05</t>
  </si>
  <si>
    <t>571</t>
  </si>
  <si>
    <t>212.596639218066</t>
  </si>
  <si>
    <t>3,372.53215958779</t>
  </si>
  <si>
    <t>Sales incentives % of gross rev</t>
  </si>
  <si>
    <t>546.18320298233</t>
  </si>
  <si>
    <t>Performance Optimized</t>
  </si>
  <si>
    <t xml:space="preserve">    Y/Y Growth</t>
  </si>
  <si>
    <t xml:space="preserve">    Q/Q Growth</t>
  </si>
  <si>
    <t>Capacity Optimized</t>
  </si>
  <si>
    <t>Compute</t>
  </si>
  <si>
    <t>Compute - Price</t>
  </si>
  <si>
    <t>Compute - Units</t>
  </si>
  <si>
    <t>Non-Compute</t>
  </si>
  <si>
    <t>Non-Compute - Price</t>
  </si>
  <si>
    <t>Non-Compute - Units</t>
  </si>
  <si>
    <t>Total WDC Revenue</t>
  </si>
  <si>
    <t>WDC HDD Revenue</t>
  </si>
  <si>
    <t>577.674010942396</t>
  </si>
  <si>
    <t>208.875834772559</t>
  </si>
  <si>
    <t>JAVA.O,mstag:tradeAndOtherPayables,2008Q4,,FYR,USD</t>
  </si>
  <si>
    <t>JAVA.O,mscalc:sharePrice,2007Q2,,FYR,USD</t>
  </si>
  <si>
    <t>JAVA.O,mscalc:dilutiveSecurities,2008Q1,,FYR,USD</t>
  </si>
  <si>
    <t>JAVA.O,mscalc:nonMarketCapComponentsOfEv,2008Q1,,FYR,USD</t>
  </si>
  <si>
    <t>JAVA.O,mscalc:sharePrice,2007Q3,,FYR,USD</t>
  </si>
  <si>
    <t>JAVA.O,mstag:inventories,2007Q1,,FYR,USD</t>
  </si>
  <si>
    <t>JAVA.O,mstag:averageDilutedSharesOutstanding,2008Q4,,FYR</t>
  </si>
  <si>
    <t>JAVA.O,mstag:tradeReceivables,2008Q4,,FYR,USD</t>
  </si>
  <si>
    <t>JAVA.O,mscalc:mwAdjustmentsToEv,2008Q1,,FYR,USD</t>
  </si>
  <si>
    <t>3,293.88357427538</t>
  </si>
  <si>
    <t>2,468.99753765285</t>
  </si>
  <si>
    <t>Amortization</t>
  </si>
  <si>
    <t>1,567.30832160147</t>
  </si>
  <si>
    <t>5.42</t>
  </si>
  <si>
    <t>3,326.86702900859</t>
  </si>
  <si>
    <t>3,537</t>
  </si>
  <si>
    <t>(4,249)</t>
  </si>
  <si>
    <t>6.01</t>
  </si>
  <si>
    <t>2,463.15773609923</t>
  </si>
  <si>
    <t>584</t>
  </si>
  <si>
    <t>1,294.7865762502</t>
  </si>
  <si>
    <t>1,368.60744611932</t>
  </si>
  <si>
    <t>3,261.61287817885</t>
  </si>
  <si>
    <t>193</t>
  </si>
  <si>
    <t>3,016.94917433645</t>
  </si>
  <si>
    <t>1,140</t>
  </si>
  <si>
    <t>2,203</t>
  </si>
  <si>
    <t>JAVA.O,mscalc:netOperatingAssets,2008Q4,,FYR,USD</t>
  </si>
  <si>
    <t>JAVA.O,mstag:tradeAndOtherPayables,2007Q1,,FYR,USD</t>
  </si>
  <si>
    <t>JAVA.O,mstag:tradeReceivables,2007Q1,,FYR,USD</t>
  </si>
  <si>
    <t>2,154.76695786603</t>
  </si>
  <si>
    <t>1,292</t>
  </si>
  <si>
    <t>2,036</t>
  </si>
  <si>
    <t>2,027.35625225519</t>
  </si>
  <si>
    <t>2,148.23636549668</t>
  </si>
  <si>
    <t>1,944</t>
  </si>
  <si>
    <t>JAVA.O,mscalc:dilutedSharesOutstanding,2008Q4,,FYR</t>
  </si>
  <si>
    <t>JAVA.O,mscalc:epsForConsensusForThomsonFeed,2008Q4,,FYR,USD</t>
  </si>
  <si>
    <t>2009A</t>
  </si>
  <si>
    <t>0.282489985227585</t>
  </si>
  <si>
    <t>0.0532860260859363</t>
  </si>
  <si>
    <t>0.0957037120072411</t>
  </si>
  <si>
    <t>0.0647973357132661</t>
  </si>
  <si>
    <t>0.239999994635582</t>
  </si>
  <si>
    <t>0.050972548256401</t>
  </si>
  <si>
    <t>0.424109995365143</t>
  </si>
  <si>
    <t>0.172246992588043</t>
  </si>
  <si>
    <t>JAVA.O,mscalc:consensusEps,2009Q2,,FYR,USD</t>
  </si>
  <si>
    <t>2954699</t>
  </si>
  <si>
    <t>JAVA.O,mscalc:consensusEps,2009Q4,,FYR,USD</t>
  </si>
  <si>
    <t>JAVA.O,mscalc:consensusEps,2009Q1,,FYR,USD</t>
  </si>
  <si>
    <t>JAVA.O,mscalc:consensusEps,2009Q3,,FYR,USD</t>
  </si>
  <si>
    <t>0.119999997317791</t>
  </si>
  <si>
    <t>0.369836002588272</t>
  </si>
  <si>
    <t>F2012A</t>
  </si>
  <si>
    <t>2012A</t>
  </si>
  <si>
    <t>0.48369500041008</t>
  </si>
  <si>
    <t>0.449912011623383</t>
  </si>
  <si>
    <t>WDC.O</t>
  </si>
  <si>
    <t>WDC.O,mscalc:sedolCodeCalc</t>
  </si>
  <si>
    <t>WDC.O,mscalc:closePriceCurrencyCalc</t>
  </si>
  <si>
    <t>WDC.O,mscalc:targetPrice,,,,USD</t>
  </si>
  <si>
    <t>WDC.O,mscalc:targetPrice</t>
  </si>
  <si>
    <t>0.159999996423721</t>
  </si>
  <si>
    <t>0.233264997601509</t>
  </si>
  <si>
    <t>0.287961006164551</t>
  </si>
  <si>
    <t>Cash per Share</t>
  </si>
  <si>
    <t>Book Value per Share</t>
  </si>
  <si>
    <t>Net Cash</t>
  </si>
  <si>
    <t>Inventory Growth</t>
  </si>
  <si>
    <t>Receivables Growth</t>
  </si>
  <si>
    <t>Market Cap/ Enterprise Value</t>
  </si>
  <si>
    <t>Stock Options</t>
  </si>
  <si>
    <t>Net cash used in investing activities</t>
  </si>
  <si>
    <t>Fiscal Year</t>
  </si>
  <si>
    <t>Operating Net Income Margin</t>
  </si>
  <si>
    <t>PTOP</t>
  </si>
  <si>
    <t>Geo-Mix</t>
  </si>
  <si>
    <t>Opening Balance</t>
  </si>
  <si>
    <t>Net Profit</t>
  </si>
  <si>
    <t>Liabilities</t>
  </si>
  <si>
    <t>Total Long Term Liabilities</t>
  </si>
  <si>
    <t>Total Current Liabilities</t>
  </si>
  <si>
    <t xml:space="preserve">GAAP Income Tax Provision </t>
  </si>
  <si>
    <t>Interest bearing liabilities</t>
  </si>
  <si>
    <t>Interest yielding assets at Beg of Period</t>
  </si>
  <si>
    <t>Worldwide Headcount</t>
  </si>
  <si>
    <t>Total Interest Income (expense), net</t>
  </si>
  <si>
    <t>Shares Repurchases under Treasury Method</t>
  </si>
  <si>
    <t>2006A</t>
  </si>
  <si>
    <t>Geographic Revenues</t>
  </si>
  <si>
    <t>2004A</t>
  </si>
  <si>
    <t>2005A</t>
  </si>
  <si>
    <t>Financing activities:</t>
  </si>
  <si>
    <t>State Taxes</t>
  </si>
  <si>
    <t>Federal Tax</t>
  </si>
  <si>
    <t>Interest Income</t>
  </si>
  <si>
    <t>Interest Expense</t>
  </si>
  <si>
    <t>Interest Expense as % of Debt</t>
  </si>
  <si>
    <t>Check</t>
  </si>
  <si>
    <t xml:space="preserve">Recurring Tax Provision </t>
  </si>
  <si>
    <t>Total One-time, gross</t>
  </si>
  <si>
    <t>Less: One-time Tax Impact</t>
  </si>
  <si>
    <t>Operating Income Before Taxes</t>
  </si>
  <si>
    <t>Operating Net Income</t>
  </si>
  <si>
    <t>Reported Income Before Taxes</t>
  </si>
  <si>
    <t>Share Calculation - Base Case</t>
  </si>
  <si>
    <t>+ Shares Issued (cash)</t>
  </si>
  <si>
    <t>+ Shares Issued (non-cash)</t>
  </si>
  <si>
    <t>- Share Repurchased</t>
  </si>
  <si>
    <t>+ Stock Options Exercised</t>
  </si>
  <si>
    <t>+ Options Granted</t>
  </si>
  <si>
    <t>- Options Forfeited/ Cancelled</t>
  </si>
  <si>
    <t>Gross Margin</t>
  </si>
  <si>
    <t>One-Time Charges/ Adjustments</t>
  </si>
  <si>
    <t>Operating Net Income (pre-stock options)</t>
  </si>
  <si>
    <t>Sequential Growth (%)</t>
  </si>
  <si>
    <t>Current Assets/ Liabilities</t>
  </si>
  <si>
    <t>Market Capitalization</t>
  </si>
  <si>
    <t>Capital Structure</t>
  </si>
  <si>
    <t>Net Debt</t>
  </si>
  <si>
    <t>Leverage</t>
  </si>
  <si>
    <t>2017E</t>
  </si>
  <si>
    <t>STX.N,mscalc:netFinancialIncomeExpense,2008Q1,,FYR,USD</t>
  </si>
  <si>
    <t>STX.N,mscalc:otherIncomeExpense,2008Q1,,FYR,USD</t>
  </si>
  <si>
    <t>(19.95)</t>
  </si>
  <si>
    <t>(4.443306415566)</t>
  </si>
  <si>
    <t>STX.N,mscalc:dilutedSharesOutstanding,2008Q1,,FYR</t>
  </si>
  <si>
    <t>F2013A</t>
  </si>
  <si>
    <t>2013A</t>
  </si>
  <si>
    <t>STX.N,mstag:inventories,2008Q1,,FYR,USD</t>
  </si>
  <si>
    <t>STX.N,mscalc:sharePrice,2008Q1,,FYR,USD</t>
  </si>
  <si>
    <t>STX.N,mscalc:depreciationAndAmortization,2008Q3,,FYR,USD</t>
  </si>
  <si>
    <t>STX.N,mstag:inventories,2008Q4,,FYR,USD</t>
  </si>
  <si>
    <t>STX.N,mstag:inventories,2008Q3,,FYR,USD</t>
  </si>
  <si>
    <t>STX.N,mstag:inventories,2008Q2,,FYR,USD</t>
  </si>
  <si>
    <t>STX.N,mscalc:depreciationAndAmortization,2008Q4,,FYR,USD</t>
  </si>
  <si>
    <t>STX.N,mscalc:depreciationAndAmortization,2008Q2,,FYR,USD</t>
  </si>
  <si>
    <t>STX.N,mstag:inventories,,,FYR,USD</t>
  </si>
  <si>
    <t>STX.N,mscalc:dilutedSharesOutstanding,,,FYR</t>
  </si>
  <si>
    <t>562.067222377659</t>
  </si>
  <si>
    <t>763</t>
  </si>
  <si>
    <t>25.58</t>
  </si>
  <si>
    <t>225.17192187029</t>
  </si>
  <si>
    <t>861.742561596703</t>
  </si>
  <si>
    <t>829.335997496634</t>
  </si>
  <si>
    <t>912.047916824353</t>
  </si>
  <si>
    <t>STX.N,mstag:averageDilutedSharesOutstanding,2008Q2,,FYR</t>
  </si>
  <si>
    <t>STX.N,mstag:averageDilutedSharesOutstanding,2008Q1,,FYR</t>
  </si>
  <si>
    <t>STX.N,mstag:tradeReceivables,2008Q2,,FYR,USD</t>
  </si>
  <si>
    <t>STX.N,mstag:tradeAndOtherPayables,2008Q4,,FYR,USD</t>
  </si>
  <si>
    <t>STX.N,mscalc:sharePrice,2007Q3,,FYR,USD</t>
  </si>
  <si>
    <t>STX.N,mscalc:sharePrice,2007Q2,,FYR,USD</t>
  </si>
  <si>
    <t>STX.N,mstag:tradeReceivables,2008Q4,,FYR,USD</t>
  </si>
  <si>
    <t>STX.N,mstag:tradeReceivables,2008Q1,,FYR,USD</t>
  </si>
  <si>
    <t>STX.N,mscalc:sharePrice,2007Q1,,FYR,USD</t>
  </si>
  <si>
    <t>STX.N,mstag:averageDilutedSharesOutstanding,,,FYR</t>
  </si>
  <si>
    <t>Land and Buildings</t>
  </si>
  <si>
    <t>Furniture and fixtures</t>
  </si>
  <si>
    <t>Leashold Improvements</t>
  </si>
  <si>
    <t>Minority Interest</t>
  </si>
  <si>
    <t>Treasury Stock</t>
  </si>
  <si>
    <t>Adjustment to recon NI to net CFO</t>
  </si>
  <si>
    <t xml:space="preserve">Stock based compensation </t>
  </si>
  <si>
    <t>Loss on S-T investments</t>
  </si>
  <si>
    <t>Non-cash portion of restructuring charge/ Discontinued Ops</t>
  </si>
  <si>
    <t>Prepaid and Other assets and liabilities</t>
  </si>
  <si>
    <t>Advances to Suppliers</t>
  </si>
  <si>
    <t>Capital Expenditures, net</t>
  </si>
  <si>
    <t>Issuance of common shares under employee plans</t>
  </si>
  <si>
    <t>Repurchase of common stock</t>
  </si>
  <si>
    <t>WDC.N,mscalc:targetPrice</t>
  </si>
  <si>
    <t>,mscalc:targetPrice,,,,USD</t>
  </si>
  <si>
    <t>,mscalc:closePriceCurrencyCalc</t>
  </si>
  <si>
    <t>,mscalc:sedolCodeCalc</t>
  </si>
  <si>
    <t>Repayment of l-t debt</t>
  </si>
  <si>
    <t>Goodwill and Other Intangible assets</t>
  </si>
  <si>
    <t>Customer Advances</t>
  </si>
  <si>
    <t>Short-term debt</t>
  </si>
  <si>
    <t>Purchases of s-t, investments</t>
  </si>
  <si>
    <t>Redemptions of s-t investments</t>
  </si>
  <si>
    <t>Issuance of short-term debt, net</t>
  </si>
  <si>
    <t>Repayment of convertible debentures</t>
  </si>
  <si>
    <t>STX.N,mscalc:sharePrice,2007Q4,,FYR,USD</t>
  </si>
  <si>
    <t>STX.N,mscalc:nonMarketCapComponentsOfEv,2008Q1,,FYR,USD</t>
  </si>
  <si>
    <t>STX.N,mscalc:sharePrice,,,FYR,USD</t>
  </si>
  <si>
    <t>STX.N,mstag:tradeAndOtherPayables,2008Q3,,FYR,USD</t>
  </si>
  <si>
    <t>STX.N,mstag:tradeAndOtherPayables,2008Q2,,FYR,USD</t>
  </si>
  <si>
    <t>STX.N,mscalc:dilutiveSecurities,2008Q1,,FYR,USD</t>
  </si>
  <si>
    <t>STX.N,mscalc:mwAdjustmentsToEv,2008Q1,,FYR,USD</t>
  </si>
  <si>
    <t>STX.N,mstag:averageDilutedSharesOutstanding,2008Q4,,FYR</t>
  </si>
  <si>
    <t>STX.N,mstag:tradeAndOtherPayables,2008Q1,,FYR,USD</t>
  </si>
  <si>
    <t>F2010A</t>
  </si>
  <si>
    <t>F2009A</t>
  </si>
  <si>
    <t>F2008A</t>
  </si>
  <si>
    <t>F2007A</t>
  </si>
  <si>
    <t>F2006A</t>
  </si>
  <si>
    <t>F2005A</t>
  </si>
  <si>
    <t>F2002A</t>
  </si>
  <si>
    <t>F2003A</t>
  </si>
  <si>
    <t>F2001A</t>
  </si>
  <si>
    <t>WDC SSD and Other Revenue</t>
  </si>
  <si>
    <t>STX.N,mscalc:depreciationAndAmortization,2008Q1,,FYR,USD</t>
  </si>
  <si>
    <t>STX.N,mstag:inventories,2007Q1,,FYR,USD</t>
  </si>
  <si>
    <t>STX.N,mstag:averageDilutedSharesOutstanding,2008Q3,,FYR</t>
  </si>
  <si>
    <t>STX.N,mstag:tradeReceivables,2008Q3,,FYR,USD</t>
  </si>
  <si>
    <t>$IV$4</t>
  </si>
  <si>
    <t>550.722335034556</t>
  </si>
  <si>
    <t>560</t>
  </si>
  <si>
    <t>1,520.78110823479</t>
  </si>
  <si>
    <t>1,280.30323437225</t>
  </si>
  <si>
    <t>23.3</t>
  </si>
  <si>
    <t>26.5</t>
  </si>
  <si>
    <t>1,516.27128399183</t>
  </si>
  <si>
    <t>1,519</t>
  </si>
  <si>
    <t>23.09</t>
  </si>
  <si>
    <t>21.77</t>
  </si>
  <si>
    <t>791</t>
  </si>
  <si>
    <t>1,425.42124569734</t>
  </si>
  <si>
    <t>1,567.58235704186</t>
  </si>
  <si>
    <t>538.400665827991</t>
  </si>
  <si>
    <t>1,551</t>
  </si>
  <si>
    <t>205</t>
  </si>
  <si>
    <t>544.217364470004</t>
  </si>
  <si>
    <t>1,468.79610796709</t>
  </si>
  <si>
    <t>STX.N,mscalc:netOperatingAssets,2008Q1,,FYR,USD</t>
  </si>
  <si>
    <t>STX.N,mscalc:netOperatingAssets,2008Q2,,FYR,USD</t>
  </si>
  <si>
    <t>2010A</t>
  </si>
  <si>
    <t>STX.N,mstag:tradeReceivables,2007Q1,,FYR,USD</t>
  </si>
  <si>
    <t>STX.N,mscalc:netOperatingAssets,,,FYR,USD</t>
  </si>
  <si>
    <t>STX.N,mscalc:netOperatingAssets,2008Q3,,FYR,USD</t>
  </si>
  <si>
    <t>STX.N,mscalc:netOperatingAssets,2008Q4,,FYR,USD</t>
  </si>
  <si>
    <t>STX.N,mstag:tradeAndOtherPayables,2007Q1,,FYR,USD</t>
  </si>
  <si>
    <t>5,671</t>
  </si>
  <si>
    <t>5,970.77845385973</t>
  </si>
  <si>
    <t>1,331</t>
  </si>
  <si>
    <t>6,032.99133899868</t>
  </si>
  <si>
    <t>6,321.46815512331</t>
  </si>
  <si>
    <t>1,448</t>
  </si>
  <si>
    <t>STX.N,mscalc:dilutedSharesOutstanding,2008Q2,,FYR</t>
  </si>
  <si>
    <t>STX.N,mscalc:operatingRevenue,,,FYR,USD</t>
  </si>
  <si>
    <t>STX.N,mscalc:epsForConsensusForThomsonFeed,2008Q2,,FYR,USD</t>
  </si>
  <si>
    <t>STX.N,mscalc:epsForConsensusForThomsonFeed,2008Q1,,FYR,USD</t>
  </si>
  <si>
    <t>STX.N,mscalc:dilutedSharesOutstanding,2008Q4,,FYR</t>
  </si>
  <si>
    <t>STX.N,mscalc:dilutedSharesOutstanding,2008Q3,,FYR</t>
  </si>
  <si>
    <t>STX.N,mscalc:consensusEps,2008Q2,,FYR,USD</t>
  </si>
  <si>
    <t>STX.N,mscalc:epsForConsensusForThomsonFeed,2008Q3,,FYR,USD</t>
  </si>
  <si>
    <t>STX.N,mscalc:epsForConsensusForThomsonFeed,2008Q4,,FYR,USD</t>
  </si>
  <si>
    <t>STX.N,mscalc:consensusEps,2008Q1,,FYR,USD</t>
  </si>
  <si>
    <t>STX.N,mscalc:consensusEps,2008Q3,,FYR,USD</t>
  </si>
  <si>
    <t>STX.N,mscalc:consensusEps,2008Q4,,FYR,USD</t>
  </si>
  <si>
    <t>0.722378357214259</t>
  </si>
  <si>
    <t>0.677315701983149</t>
  </si>
  <si>
    <t>0.731366991996765</t>
  </si>
  <si>
    <t>0.601951352809964</t>
  </si>
  <si>
    <t>0.541713773410666</t>
  </si>
  <si>
    <t>0.689000010490417</t>
  </si>
  <si>
    <t>0.601935982704163</t>
  </si>
  <si>
    <t>0.550920009613037</t>
  </si>
  <si>
    <t>STX.N,mscalc:consensusEps,2009Q4,,FYR,USD</t>
  </si>
  <si>
    <t>STX.N,mscalc:consensusEps,2009Q1,,FYR,USD</t>
  </si>
  <si>
    <t>STX.N,mscalc:consensusEps,2007Q4,,FYR,USD</t>
  </si>
  <si>
    <t>STX.N,mscalc:consensusEps,2007Q1,,FYR,USD</t>
  </si>
  <si>
    <t>STX.N,mscalc:consensusEps,2009Q3,,FYR,USD</t>
  </si>
  <si>
    <t>STX.N,mscalc:consensusEps,2009Q2,,FYR,USD</t>
  </si>
  <si>
    <t>STX.N,mscalc:consensusEps,2007Q3,,FYR,USD</t>
  </si>
  <si>
    <t>STX.N,mscalc:consensusEps,2007Q2,,FYR,USD</t>
  </si>
  <si>
    <t>0.625940978527069</t>
  </si>
  <si>
    <t>0.715201020240784</t>
  </si>
  <si>
    <t>0.4115070104599</t>
  </si>
  <si>
    <t>0.685769021511078</t>
  </si>
  <si>
    <t>0.774507999420166</t>
  </si>
  <si>
    <t>0.469999998807907</t>
  </si>
  <si>
    <t>0.389999985694885</t>
  </si>
  <si>
    <t>STX.N,mstag:costOfServicesSold,2008Q2,,FYR,USD</t>
  </si>
  <si>
    <t>STX.N,mstag:costOfMaterials,2008Q2,,FYR,USD</t>
  </si>
  <si>
    <t>STX.N,mstag:costOfSalesWithoutDepreciation,2008Q3,,FYR,USD</t>
  </si>
  <si>
    <t>STX.N,mstag:costOfSalesWithDepreciation,2008Q3,,FYR,USD</t>
  </si>
  <si>
    <t>STX.N,mscalc:taxExpenseFromOperations,2008Q3,,FYR,USD</t>
  </si>
  <si>
    <t>STX.N,mscalc:operatingExpenses,2008Q1,,FYR,USD</t>
  </si>
  <si>
    <t>STX.N,mscalc:operatingExpenses,2008Q3,,FYR,USD</t>
  </si>
  <si>
    <t>STX.N,mscalc:operatingRevenue,2008Q4,,FYR,USD</t>
  </si>
  <si>
    <t>STX.N,mstag:costOfSalesWithoutDepreciation</t>
  </si>
  <si>
    <t>STX.N,mscalc:otheroperatingIncomeExpense,2008Q4,,FYR,USD</t>
  </si>
  <si>
    <t>STX.N,mstag:costOfManufacturing,2008Q2,,FYR,USD</t>
  </si>
  <si>
    <t>STX.N,mscalc:otheroperatingIncomeExpense,2008Q1,,FYR,USD</t>
  </si>
  <si>
    <t>STX.N,mstag:costOfMaterials,2008Q1</t>
  </si>
  <si>
    <t>STX.N,mstag:costOfMaterials,2008Q3,,FYR,USD</t>
  </si>
  <si>
    <t>STX.N,mscalc:operatingExpenses,2008Q4,,FYR,USD</t>
  </si>
  <si>
    <t>STX.N,mscalc:taxExpenseFromOperations,2008Q2,,FYR,USD</t>
  </si>
  <si>
    <t>STX.N,mscalc:operatingRevenue,2008Q3,,FYR,USD</t>
  </si>
  <si>
    <t>STX.N,mstag:costOfSalesWithDepreciation,2008Q2,,FYR,USD</t>
  </si>
  <si>
    <t>STX.N,mstag:costOfSalesWithoutDepreciation,2008Q4</t>
  </si>
  <si>
    <t>STX.N,mstag:costOfSalesWithDepreciation,2008Q4,,FYR,USD</t>
  </si>
  <si>
    <t>STX.N,mstag:costOfSalesWithDepreciation,2008Q1</t>
  </si>
  <si>
    <t>STX.N,mscalc:operatingExpenses,2008Q2,,FYR,USD</t>
  </si>
  <si>
    <t>STX.N,mscalc:operatingRevenue,2008Q2,,FYR,USD</t>
  </si>
  <si>
    <t>STX.N,mscalc:operatingRevenue,2008Q1,,FYR,USD</t>
  </si>
  <si>
    <t>STX.N,mstag:costOfSalesWithDepreciation</t>
  </si>
  <si>
    <t>STX.N,mstag:costOfSalesWithDepreciation,,,FYR,USD</t>
  </si>
  <si>
    <t>STX.N,mstag:costOfServicesSold,2008Q1</t>
  </si>
  <si>
    <t>STX.N,mstag:costOfManufacturing,2008Q1</t>
  </si>
  <si>
    <t>STX.N,mstag:costOfManufacturing,2008Q4,,FYR,USD</t>
  </si>
  <si>
    <t>STX.N,mscalc:otheroperatingIncomeExpense,2008Q2,,FYR,USD</t>
  </si>
  <si>
    <t>STX.N,mstag:costOfServicesSold,2008Q3,,FYR,USD</t>
  </si>
  <si>
    <t>STX.N,mstag:costOfSalesWithoutDepreciation,2008Q1</t>
  </si>
  <si>
    <t>STX.N,mstag:costOfSalesWithoutDepreciation,2008Q2,,FYR,USD</t>
  </si>
  <si>
    <t>STX.N,mstag:costOfMaterials,2008Q4,,FYR,USD</t>
  </si>
  <si>
    <t>STX.N,mscalc:otheroperatingIncomeExpense,2008Q3,,FYR,USD</t>
  </si>
  <si>
    <t>STX.N,mstag:costOfServicesSold,2008Q4,,FYR,USD</t>
  </si>
  <si>
    <t>STX.N,mstag:costOfManufacturing,2008Q3,,FYR,USD</t>
  </si>
  <si>
    <t>STX.N,mscalc:taxExpenseFromOperations,2008Q4,,FYR,USD</t>
  </si>
  <si>
    <t>2,332.50749295928</t>
  </si>
  <si>
    <t>18.0256545986929</t>
  </si>
  <si>
    <t>2,859.87590849649</t>
  </si>
  <si>
    <t>2,713.71132005027</t>
  </si>
  <si>
    <t>2,903.49820338861</t>
  </si>
  <si>
    <t>2,581.75021773277</t>
  </si>
  <si>
    <t>21.7873277877906</t>
  </si>
  <si>
    <t>3,074.22441202413</t>
  </si>
  <si>
    <t>2,565.13476606849</t>
  </si>
  <si>
    <t>2,215.90944410581</t>
  </si>
  <si>
    <t>2,464.87590849649</t>
  </si>
  <si>
    <t>2,986.01093777247</t>
  </si>
  <si>
    <t>3,421.75749352828</t>
  </si>
  <si>
    <t>3,284.8128553661</t>
  </si>
  <si>
    <t>16.0873992827918</t>
  </si>
  <si>
    <t>STX.N,mscalc:netFinancialIncomeExpense,2008Q2,,FYR,USD</t>
  </si>
  <si>
    <t>STX.N,mstag:employeeExpenses,2008Q4,,FYR,USD</t>
  </si>
  <si>
    <t>no 10s</t>
  </si>
  <si>
    <t>STX.N,mstag:researchAndDevelopment,2008Q4,,FYR,USD</t>
  </si>
  <si>
    <t>STX.N,mstag:employeeExpenses,,,FYR,USD</t>
  </si>
  <si>
    <t>Net cash provided by (used for) discontinued ops</t>
  </si>
  <si>
    <t>2008A</t>
  </si>
  <si>
    <t>STX.N,mstag:researchAndDevelopment,2008Q1,,FYR,USD</t>
  </si>
  <si>
    <t>STX.N,mscalc:otherIncomeExpense,2008Q3,,FYR,USD</t>
  </si>
  <si>
    <t>STX.N,mstag:researchAndDevelopment,2008Q2,,FYR,USD</t>
  </si>
  <si>
    <t>STX.N,mstag:employeeExpenses,2008Q3,,FYR,USD</t>
  </si>
  <si>
    <t>STX.N,mstag:sellingGeneralAndAdministrativeExpenses,2008Q3,,FYR,USD</t>
  </si>
  <si>
    <t>STX.N,mstag:employeeExpenses,2008Q2,,FYR,USD</t>
  </si>
  <si>
    <t>STX.N,mstag:employeeExpenses,2008Q1,,FYR,USD</t>
  </si>
  <si>
    <t>STX.N,mscalc:taxExpenseFromOperations,2008Q1,,FYR,USD</t>
  </si>
  <si>
    <t>STX.N,mstag:sellingGeneralAndAdministrativeExpenses,2008Q1,,FYR,USD</t>
  </si>
  <si>
    <t>STX.N,mscalc:otherIncomeExpense,2008Q2,,FYR,USD</t>
  </si>
  <si>
    <t>Income Statement</t>
  </si>
  <si>
    <t>STX.N,mscalc:otherIncomeExpense,2008Q4,,FYR,USD</t>
  </si>
  <si>
    <t>STX.N,mscalc:netFinancialIncomeExpense,2008Q4,,FYR,USD</t>
  </si>
  <si>
    <t>STX.N,mstag:sellingGeneralAndAdministrativeExpenses,2008Q2,,FYR,USD</t>
  </si>
  <si>
    <t>STX.N,mstag:sellingGeneralAndAdministrativeExpenses,2008Q4,,FYR,USD</t>
  </si>
  <si>
    <t>STX.N,mscalc:netFinancialIncomeExpense,2008Q3,,FYR,USD</t>
  </si>
  <si>
    <t>STX.N,mstag:researchAndDevelopment,2008Q3,,FYR,USD</t>
  </si>
  <si>
    <t>(16.1293323045581)</t>
  </si>
  <si>
    <t>226.472859864311</t>
  </si>
  <si>
    <t>242</t>
  </si>
  <si>
    <t>(0.000000000000149012)</t>
  </si>
  <si>
    <t>256.631812014621</t>
  </si>
  <si>
    <t>144.488547365134</t>
  </si>
  <si>
    <t>21.2468473434805</t>
  </si>
  <si>
    <t>153</t>
  </si>
  <si>
    <t>0.000000000000324100</t>
  </si>
  <si>
    <t>(0.000000000000018626)</t>
  </si>
  <si>
    <t>(14.0015300805477)</t>
  </si>
  <si>
    <t>164.244359689357</t>
  </si>
  <si>
    <t>139.367913762653</t>
  </si>
  <si>
    <t>(14.8950586097725)</t>
  </si>
  <si>
    <t>236.715279725858</t>
  </si>
  <si>
    <t>STX.N,mstag:incomeLossFromInvestmentsAccountedForUnderTheEquityMethodOperatingIncomeStatement,2008Q3,,FYR,USD</t>
  </si>
  <si>
    <t>STX.N,mstag:incomeLossFromInvestmentsAccountedForUnderTheEquityMethodOperatingIncomeStatement,2008Q1,,FYR,USD</t>
  </si>
  <si>
    <t>STX.N,mstag:incomeLossFromInvestmentsAccountedForUnderTheEquityMethodOperatingIncomeStatement,2008Q4,,FYR,USD</t>
  </si>
  <si>
    <t>Branded</t>
  </si>
  <si>
    <t>Top 10 Customers as % of Revenue</t>
  </si>
  <si>
    <t>STX.N,mstag:incomeLossFromInvestmentsAccountedForUnderTheEquityMethodOperatingIncomeStatement,2008Q2,,FYR,USD</t>
  </si>
  <si>
    <t>Raw Materials and components</t>
  </si>
  <si>
    <t>Work-in-process</t>
  </si>
  <si>
    <t>Other Current Assets as % of Revenue</t>
  </si>
  <si>
    <t>Accrued expenses + warranty as a % of Total expenses</t>
  </si>
  <si>
    <t>Current Accrued warranty as a % of Revenues</t>
  </si>
  <si>
    <t>Other Liabilities as a % of Total expenses</t>
  </si>
  <si>
    <t>Total Revenues</t>
  </si>
  <si>
    <t>Enterprise</t>
  </si>
  <si>
    <t>Consumer Electronics</t>
  </si>
  <si>
    <t>Europe</t>
  </si>
  <si>
    <t>Debt/ Equity</t>
  </si>
  <si>
    <t>Net Debt/ Equity</t>
  </si>
  <si>
    <t>Net Debt/ Total Capital</t>
  </si>
  <si>
    <t>Debt/ Total Capital</t>
  </si>
  <si>
    <t>Shareholders' Equity</t>
  </si>
  <si>
    <t>Beginning Authorized Limit</t>
  </si>
  <si>
    <t>- Value of Shares Repurchased</t>
  </si>
  <si>
    <t>+ Additional Authority Approved</t>
  </si>
  <si>
    <t>Closing Authorized Limit</t>
  </si>
  <si>
    <t>Closing Balance</t>
  </si>
  <si>
    <t>Proceeds from Stock Options Exercise</t>
  </si>
  <si>
    <t>Dilution ratio</t>
  </si>
  <si>
    <t>Weighted Average Repurchase Price</t>
  </si>
  <si>
    <t>No. of Shares Repurchased</t>
  </si>
  <si>
    <t>QoQ Growth</t>
  </si>
  <si>
    <t>Cash Flow Statement (Cumulative)</t>
  </si>
  <si>
    <t>Additional Details</t>
  </si>
  <si>
    <t>No. of Days in the Quarter</t>
  </si>
  <si>
    <t>Enterprise Value</t>
  </si>
  <si>
    <t>Tax Benefit on Stock Option Expense</t>
  </si>
  <si>
    <t>Fixed Assets:</t>
  </si>
  <si>
    <t>Cost of Equity</t>
  </si>
  <si>
    <t>Cash and Cash Equivalents at Beginning of Period</t>
  </si>
  <si>
    <t>Net Cash Provided by Operating Activities</t>
  </si>
  <si>
    <t>Changes in Operating Assets and Liabilities:</t>
  </si>
  <si>
    <t>Net Cash used in Financing Activities</t>
  </si>
  <si>
    <t>Increase/(decrease) in Cash and Cash Equivalents</t>
  </si>
  <si>
    <t>Cash and Cash Equivalents at End of Period</t>
  </si>
  <si>
    <t>Less: Accumulated Depreciation and Amortization</t>
  </si>
  <si>
    <t>USD</t>
  </si>
  <si>
    <t>Liquidity Ratios</t>
  </si>
  <si>
    <t>Free Cash Flow</t>
  </si>
  <si>
    <t>Net Income</t>
  </si>
  <si>
    <t>Changes in WC</t>
  </si>
  <si>
    <t>FCF</t>
  </si>
  <si>
    <t>FCF/Share</t>
  </si>
  <si>
    <t>Free Cash Flow Yield</t>
  </si>
  <si>
    <t>CFO as % of Net Income</t>
  </si>
  <si>
    <t>Cash Earnings Per Share</t>
  </si>
  <si>
    <t>Depreciation and Amortization</t>
  </si>
  <si>
    <t>EBITDA/Share</t>
  </si>
  <si>
    <t>Current Assets:</t>
  </si>
  <si>
    <t>Current Liabilities:</t>
  </si>
  <si>
    <t>Stockholder's Equity:</t>
  </si>
  <si>
    <t>Operating activities:</t>
  </si>
  <si>
    <t>FCF (CFO-CapEx)</t>
  </si>
  <si>
    <t>FCF/ Share</t>
  </si>
  <si>
    <t>FCF % of Rev</t>
  </si>
  <si>
    <t>Y/Y Growth %</t>
  </si>
  <si>
    <t>Options Exercised as % of Beg. Options Outstanding</t>
  </si>
  <si>
    <t>Cash flow statement</t>
  </si>
  <si>
    <t>NA</t>
  </si>
  <si>
    <t>Total Debt</t>
  </si>
  <si>
    <t>CapEx</t>
  </si>
  <si>
    <t>One-Time Charges</t>
  </si>
  <si>
    <t>Debt Service, net</t>
  </si>
  <si>
    <t>Tax Expense</t>
  </si>
  <si>
    <t>Receivables Turnover</t>
  </si>
  <si>
    <t>Operating Asset Turnover (LTM/ BOP)</t>
  </si>
  <si>
    <t>Asset Turnover</t>
  </si>
  <si>
    <t>Net Profit / Sales</t>
  </si>
  <si>
    <t>Sales / Assets</t>
  </si>
  <si>
    <t>Americas</t>
  </si>
  <si>
    <t>Asia</t>
  </si>
  <si>
    <t>Revenues by Product %</t>
  </si>
  <si>
    <t>Desktop computers</t>
  </si>
  <si>
    <t>Non-desktop sources</t>
  </si>
  <si>
    <t>Assets / Shareholder Equity</t>
  </si>
  <si>
    <t>Return on Shareholder Equity</t>
  </si>
  <si>
    <t>YoY Growth in Capex Spending</t>
  </si>
  <si>
    <t>QoQ Growth in Capex Spending</t>
  </si>
  <si>
    <t>Total Stockholder's Equity</t>
  </si>
  <si>
    <t>Changes in Accumulated Comprehensive Income</t>
  </si>
  <si>
    <t>Unrecorded Goodwill from Pooling</t>
  </si>
  <si>
    <t>Stock Option Expense Per Share</t>
  </si>
  <si>
    <t>Share Repurchases</t>
  </si>
  <si>
    <t>Inventory Mix</t>
  </si>
  <si>
    <t>E = Morgan Stanley Research Estimates    A = Actual</t>
  </si>
  <si>
    <t>Beginning Outstanding</t>
  </si>
  <si>
    <t>Closing Outstanding</t>
  </si>
  <si>
    <t>Stock Option Drivers</t>
  </si>
  <si>
    <t>Options Granted as % of Beg. Shares Outstanding</t>
  </si>
  <si>
    <t>% of Dilutive Stock Options</t>
  </si>
  <si>
    <t>Share Repurchases under Treasury Method</t>
  </si>
  <si>
    <t>Dilutive Stock Options</t>
  </si>
  <si>
    <t>Performance</t>
  </si>
  <si>
    <t>Capacity</t>
  </si>
  <si>
    <t>Other - Media</t>
  </si>
  <si>
    <t>Calendarized</t>
  </si>
  <si>
    <t>Proceeds from Dilutive Stock Option</t>
  </si>
  <si>
    <t>Raw materials</t>
  </si>
  <si>
    <t>Other Assets, net</t>
  </si>
  <si>
    <t xml:space="preserve">    Machinery &amp; Equipment</t>
  </si>
  <si>
    <t xml:space="preserve">    Furniture &amp; Fixtures</t>
  </si>
  <si>
    <t xml:space="preserve">    Leasehold Improvements</t>
  </si>
  <si>
    <t xml:space="preserve">    Land &amp; Buildings</t>
  </si>
  <si>
    <t>2007A</t>
  </si>
  <si>
    <t>+ Dilutive Stock Options/Restricted Stock Awards</t>
  </si>
  <si>
    <t>Other Changes in Shareholder's Equity</t>
  </si>
  <si>
    <t>Finished goods</t>
  </si>
  <si>
    <t>- Options Exercised</t>
  </si>
  <si>
    <t>Desktop</t>
  </si>
  <si>
    <t>Mobile</t>
  </si>
  <si>
    <t>Product development</t>
  </si>
  <si>
    <t>Restructuring Charge</t>
  </si>
  <si>
    <t>Deferred Compensation Expense</t>
  </si>
  <si>
    <t>Debt Refinancing Costs</t>
  </si>
  <si>
    <t>Product Development % of Revenue</t>
  </si>
  <si>
    <t>Interest as a % of Cash and Investments</t>
  </si>
  <si>
    <t>--</t>
  </si>
  <si>
    <t>Cash paid for income taxes, net of refunds</t>
  </si>
  <si>
    <t>Product Development</t>
  </si>
  <si>
    <t>Western Digital</t>
  </si>
  <si>
    <t>JAVA.O,mscalc:otheroperatingIncomeExpense,2007Q4,,FYR,USD</t>
  </si>
  <si>
    <t>JAVA.O,mstag:costOfServicesSold,2008Q1,,FYR,USD</t>
  </si>
  <si>
    <t>JAVA.O,mstag:costOfSalesWithoutDepreciation,2008Q1,,FYR,USD</t>
  </si>
  <si>
    <t>JAVA.O,mstag:costOfSalesWithDepreciation,2007Q4</t>
  </si>
  <si>
    <t>JAVA.O,mscalc:operatingRevenue,2008Q2,,FYR,USD</t>
  </si>
  <si>
    <t>JAVA.O,mscalc:otheroperatingIncomeExpense,2008Q1,,FYR,USD</t>
  </si>
  <si>
    <t>JAVA.O,mstag:costOfSalesWithDepreciation,,,FYR,USD</t>
  </si>
  <si>
    <t>JAVA.O,mscalc:taxExpenseFromOperations,2008Q1,,FYR,USD</t>
  </si>
  <si>
    <t>JAVA.O,mscalc:otheroperatingIncomeExpense,2008Q2,,FYR,USD</t>
  </si>
  <si>
    <t>JAVA.O,mstag:costOfSalesWithoutDepreciation,2008Q2,,FYR,USD</t>
  </si>
  <si>
    <t>JAVA.O,mscalc:operatingRevenue,2008Q1,,FYR,USD</t>
  </si>
  <si>
    <t>JAVA.O,mstag:costOfSalesWithoutDepreciation,2008Q3</t>
  </si>
  <si>
    <t>JAVA.O,mstag:costOfMaterials,2008Q1,,FYR,USD</t>
  </si>
  <si>
    <t>JAVA.O,mstag:costOfSalesWithDepreciation,2008Q2,,FYR,USD</t>
  </si>
  <si>
    <t>JAVA.O,mstag:costOfManufacturing,2007Q4</t>
  </si>
  <si>
    <t>JAVA.O,mscalc:taxExpenseFromOperations,2008Q3,,FYR,USD</t>
  </si>
  <si>
    <t>JAVA.O,mstag:costOfSalesWithDepreciation,2008Q1,,FYR,USD</t>
  </si>
  <si>
    <t>JAVA.O,mscalc:operatingRevenue,2008Q3,,FYR,USD</t>
  </si>
  <si>
    <t>JAVA.O,mscalc:operatingRevenue,2007Q4,,FYR,USD</t>
  </si>
  <si>
    <t>JAVA.O,mstag:costOfSalesWithoutDepreciation</t>
  </si>
  <si>
    <t>JAVA.O,mscalc:operatingExpenses,2007Q4,,FYR,USD</t>
  </si>
  <si>
    <t>JAVA.O,mstag:costOfManufacturing,2008Q1,,FYR,USD</t>
  </si>
  <si>
    <t>JAVA.O,mstag:costOfManufacturing,2008Q2,,FYR,USD</t>
  </si>
  <si>
    <t>JAVA.O,mscalc:otheroperatingIncomeExpense,2008Q3,,FYR,USD</t>
  </si>
  <si>
    <t>JAVA.O,mstag:costOfSalesWithDepreciation,2008Q3,,FYR,USD</t>
  </si>
  <si>
    <t>JAVA.O,mstag:costOfSalesWithDepreciation</t>
  </si>
  <si>
    <t>JAVA.O,mscalc:taxExpenseFromOperations,2008Q2,,FYR,USD</t>
  </si>
  <si>
    <t>JAVA.O,mscalc:operatingExpenses,2008Q3,,FYR,USD</t>
  </si>
  <si>
    <t>JAVA.O,mstag:costOfMaterials,2008Q3,,FYR,USD</t>
  </si>
  <si>
    <t>JAVA.O,mstag:costOfMaterials,2007Q4</t>
  </si>
  <si>
    <t>Tangible BV per Share</t>
  </si>
  <si>
    <t>Currency</t>
  </si>
  <si>
    <t>Current Stock Price</t>
  </si>
  <si>
    <t>Count</t>
  </si>
  <si>
    <t>F2015E</t>
  </si>
  <si>
    <t>Avg GB Shipped</t>
  </si>
  <si>
    <t>EB Shipped</t>
  </si>
  <si>
    <t>R4Q EB Shipped</t>
  </si>
  <si>
    <t>WDC.N,mscalc:closePriceCurrencyCalc</t>
  </si>
  <si>
    <t>WDC.N,mscalc:targetPrice,,,,USD</t>
  </si>
  <si>
    <t>WDC.N,mscalc:sedolCodeCalc</t>
  </si>
  <si>
    <t>JAVA.O,mstag:costOfServicesSold,2008Q2,,FYR,USD</t>
  </si>
  <si>
    <t>JAVA.O,mstag:costOfServicesSold,2008Q3,,FYR,USD</t>
  </si>
  <si>
    <t>JAVA.O,mstag:costOfMaterials,2008Q2,,FYR,USD</t>
  </si>
  <si>
    <t>JAVA.O,mstag:costOfServicesSold,2007Q4</t>
  </si>
  <si>
    <t>JAVA.O,mscalc:operatingExpenses,2008Q1,,FYR,USD</t>
  </si>
  <si>
    <t>JAVA.O,mstag:costOfManufacturing,2008Q3,,FYR,USD</t>
  </si>
  <si>
    <t>JAVA.O,mstag:costOfSalesWithoutDepreciation,2007Q4</t>
  </si>
  <si>
    <t>JAVA.O,mscalc:operatingExpenses,2008Q2,,FYR,USD</t>
  </si>
  <si>
    <t>2,023.06061219646</t>
  </si>
  <si>
    <t>1,814.135470455</t>
  </si>
  <si>
    <t>3,835.14296185225</t>
  </si>
  <si>
    <t>3,534.06061219646</t>
  </si>
  <si>
    <t>JAVA.O,mstag:sellingGeneralAndAdministrativeExpenses,2008Q1,,FYR,USD</t>
  </si>
  <si>
    <t>JAVA.O,mscalc:netFinancialIncomeExpense,2008Q1,,FYR,USD</t>
  </si>
  <si>
    <t>JAVA.O,mscalc:netFinancialIncomeExpense,2008Q2,,FYR,USD</t>
  </si>
  <si>
    <t>JAVA.O,mstag:sellingGeneralAndAdministrativeExpenses,2007Q4,,FYR,USD</t>
  </si>
  <si>
    <t>JAVA.O,mstag:researchAndDevelopment,2008Q1,,FYR,USD</t>
  </si>
  <si>
    <t>JAVA.O,mstag:researchAndDevelopment,2007Q4,,FYR,USD</t>
  </si>
  <si>
    <t>JAVA.O,mscalc:netFinancialIncomeExpense,2008Q3,,FYR,USD</t>
  </si>
  <si>
    <t>JAVA.O,mstag:employeeExpenses,2008Q1,,FYR,USD</t>
  </si>
  <si>
    <t>JAVA.O,mstag:researchAndDevelopment,2008Q3,,FYR,USD</t>
  </si>
  <si>
    <t>JAVA.O,mscalc:otherIncomeExpense,2008Q1,,FYR,USD</t>
  </si>
  <si>
    <t>JAVA.O,mstag:sellingGeneralAndAdministrativeExpenses,2008Q2,,FYR,USD</t>
  </si>
  <si>
    <t>JAVA.O,mstag:employeeExpenses,2007Q4,,FYR,USD</t>
  </si>
  <si>
    <t>JAVA.O,mstag:employeeExpenses,2008Q3,,FYR,USD</t>
  </si>
  <si>
    <t>JAVA.O,mscalc:taxExpenseFromOperations,2007Q4,,FYR,USD</t>
  </si>
  <si>
    <t>JAVA.O,mstag:researchAndDevelopment,2008Q2,,FYR,USD</t>
  </si>
  <si>
    <t>JAVA.O,mscalc:otherIncomeExpense,2008Q2,,FYR,USD</t>
  </si>
  <si>
    <t>JAVA.O,mscalc:otherIncomeExpense,2008Q3,,FYR,USD</t>
  </si>
  <si>
    <t>JAVA.O,mstag:employeeExpenses,,,FYR,USD</t>
  </si>
  <si>
    <t>JAVA.O,mstag:employeeExpenses,2008Q2,,FYR,USD</t>
  </si>
  <si>
    <t>JAVA.O,mstag:sellingGeneralAndAdministrativeExpenses,2008Q3,,FYR,USD</t>
  </si>
  <si>
    <t>997</t>
  </si>
  <si>
    <t>514</t>
  </si>
  <si>
    <t>103.572328281592</t>
  </si>
  <si>
    <t>JAVA.O,mscalc:netFinancialIncomeExpense,2007Q4,,FYR,USD</t>
  </si>
  <si>
    <t>JAVA.O,mstag:incomeLossFromInvestmentsAccountedForUnderTheEquityMethodOperatingIncomeStatement,2008Q3,,FYR,USD</t>
  </si>
  <si>
    <t>JAVA.O,mstag:incomeLossFromInvestmentsAccountedForUnderTheEquityMethodOperatingIncomeStatement,2007Q4,,FYR,USD</t>
  </si>
  <si>
    <t>JAVA.O,mstag:incomeLossFromInvestmentsAccountedForUnderTheEquityMethodOperatingIncomeStatement,2008Q1,,FYR,USD</t>
  </si>
  <si>
    <t>JAVA.O,mstag:incomeLossFromInvestmentsAccountedForUnderTheEquityMethodOperatingIncomeStatement,2008Q2,,FYR,USD</t>
  </si>
  <si>
    <t>JAVA.O,mscalc:otherIncomeExpense,2007Q4,,FYR,USD</t>
  </si>
  <si>
    <t>38.8245728</t>
  </si>
  <si>
    <t>71.5292064407504</t>
  </si>
  <si>
    <t>JAVA.O,mscalc:depreciationAndAmortization,2008Q1,,FYR,USD</t>
  </si>
  <si>
    <t>JAVA.O,mstag:inventories,2008Q2,,FYR,USD</t>
  </si>
  <si>
    <t>JAVA.O,mstag:inventories,,,FYR,USD</t>
  </si>
  <si>
    <t>JAVA.O,mscalc:dilutedSharesOutstanding,,,FYR</t>
  </si>
  <si>
    <t>JAVA.O,mstag:inventories,2007Q4,,FYR,USD</t>
  </si>
  <si>
    <t>JAVA.O,mstag:inventories,2008Q1,,FYR,USD</t>
  </si>
  <si>
    <t>JAVA.O,mstag:inventories,2008Q3,,FYR,USD</t>
  </si>
  <si>
    <t>JAVA.O,mscalc:depreciationAndAmortization,2008Q2,,FYR,USD</t>
  </si>
  <si>
    <t>JAVA.O,mscalc:sharePrice,2007Q4,,FYR,USD</t>
  </si>
  <si>
    <t>JAVA.O,mscalc:depreciationAndAmortization,2008Q3,,FYR,USD</t>
  </si>
  <si>
    <t>JAVA.O,mscalc:dilutedSharesOutstanding,2007Q4,,FYR</t>
  </si>
  <si>
    <t>Deferred income taxes</t>
  </si>
  <si>
    <t>In-process research and development charge</t>
  </si>
  <si>
    <t>Non-cash portion of restructuring charge</t>
  </si>
  <si>
    <t>Stock based compensation incl. accelerated vesting charges</t>
  </si>
  <si>
    <t>Other, net</t>
  </si>
  <si>
    <t>Accounts receivable</t>
  </si>
  <si>
    <t>Acquisition, net of cash and cash equiv.</t>
  </si>
  <si>
    <t>Issuance of long-term debt, net of issuance costs</t>
  </si>
  <si>
    <t>524</t>
  </si>
  <si>
    <t>5.26</t>
  </si>
  <si>
    <t>3,710.66779184248</t>
  </si>
  <si>
    <t>JAVA.O,mstag:averageDilutedSharesOutstanding,2008Q3,,FYR</t>
  </si>
  <si>
    <t>x</t>
  </si>
  <si>
    <t>JAVA.O,mscalc:sharePrice,2006Q3,,FYR,USD</t>
  </si>
  <si>
    <t>JAVA.O,mstag:tradeReceivables,2007Q4,,FYR,USD</t>
  </si>
  <si>
    <t>JAVA.O,mscalc:sharePrice,2006Q4,,FYR,USD</t>
  </si>
  <si>
    <t>JAVA.O,mstag:tradeReceivables,2008Q2,,FYR,USD</t>
  </si>
  <si>
    <t>JAVA.O,mscalc:depreciationAndAmortization,2007Q4,,FYR,USD</t>
  </si>
  <si>
    <t>JAVA.O,mstag:averageDilutedSharesOutstanding,2008Q2,,FYR</t>
  </si>
  <si>
    <t>Units</t>
  </si>
  <si>
    <t>Price</t>
  </si>
  <si>
    <t>JAVA.O,mscalc:dilutiveSecurities,2007Q4,,FYR,USD</t>
  </si>
  <si>
    <t>JAVA.O,mscalc:sharePrice,2007Q1,,FYR,USD</t>
  </si>
  <si>
    <t>JAVA.O,mscalc:sharePrice,2006Q2,,FYR,USD</t>
  </si>
  <si>
    <t>Total HDD - Units</t>
  </si>
  <si>
    <t>Total HDD - Price</t>
  </si>
  <si>
    <t>Enterprise SSD</t>
  </si>
  <si>
    <t>Other - SSD</t>
  </si>
  <si>
    <t>Dividend Payment</t>
  </si>
  <si>
    <t>Dividend Per Share</t>
  </si>
  <si>
    <t>Dividends</t>
  </si>
  <si>
    <t>JAVA.O,mscalc:sharePrice,,,FYR,USD</t>
  </si>
  <si>
    <t>JAVA.O,mscalc:nonMarketCapComponentsOfEv,2007Q4,,FYR,USD</t>
  </si>
  <si>
    <t>JAVA.O,mstag:tradeAndOtherPayables,2007Q4,,FYR,USD</t>
  </si>
  <si>
    <t>JAVA.O,mstag:tradeReceivables,2008Q3,,FYR,USD</t>
  </si>
  <si>
    <t>JAVA.O,mstag:averageDilutedSharesOutstanding,2008Q1,,FYR</t>
  </si>
  <si>
    <t>JAVA.O,mscalc:mwAdjustmentsToEv,2007Q4,,FYR,USD</t>
  </si>
  <si>
    <t>JAVA.O,mscalc:sharePrice,2006Q1,,FYR,USD</t>
  </si>
  <si>
    <t>JAVA.O,mstag:tradeAndOtherPayables,2008Q3,,FYR,USD</t>
  </si>
  <si>
    <t>JAVA.O,mstag:inventories,2006Q4,,FYR,USD</t>
  </si>
  <si>
    <t>JAVA.O,mstag:averageDilutedSharesOutstanding,,,FYR</t>
  </si>
  <si>
    <t>JAVA.O,mstag:tradeAndOtherPayables,2008Q2,,FYR,USD</t>
  </si>
  <si>
    <t>JAVA.O,mstag:averageDilutedSharesOutstanding,2007Q4,,FYR</t>
  </si>
  <si>
    <t>JAVA.O,mstag:tradeAndOtherPayables,2008Q1,,FYR,USD</t>
  </si>
  <si>
    <t>JAVA.O,mstag:tradeReceivables,2008Q1,,FYR,USD</t>
  </si>
  <si>
    <t>5.13</t>
  </si>
  <si>
    <t>2,964</t>
  </si>
  <si>
    <t>4.15</t>
  </si>
  <si>
    <t>203</t>
  </si>
  <si>
    <t>4.95</t>
  </si>
  <si>
    <t>4.19</t>
  </si>
  <si>
    <t>(4,754)</t>
  </si>
  <si>
    <t>1,428</t>
  </si>
  <si>
    <t>3.93</t>
  </si>
  <si>
    <t>540</t>
  </si>
  <si>
    <t>3,632</t>
  </si>
  <si>
    <t>JAVA.O,mscalc:netOperatingAssets,2008Q2,,FYR,USD</t>
  </si>
  <si>
    <t>Proceeds from sale of PPE</t>
  </si>
  <si>
    <t>Advances to Suppliers as % of A/R</t>
  </si>
  <si>
    <t>JAVA.O,mscalc:netOperatingAssets,2007Q4,,FYR,USD</t>
  </si>
  <si>
    <t>JAVA.O,mstag:tradeReceivables,2006Q4,,FYR,USD</t>
  </si>
  <si>
    <t>JAVA.O,mstag:tradeAndOtherPayables,2006Q4,,FYR,USD</t>
  </si>
  <si>
    <t>JAVA.O,mscalc:netOperatingAssets,,,FYR,USD</t>
  </si>
  <si>
    <t>JAVA.O,mscalc:netOperatingAssets,2008Q1,,FYR,USD</t>
  </si>
  <si>
    <t>JAVA.O,mscalc:netOperatingAssets,2008Q3,,FYR,USD</t>
  </si>
  <si>
    <t>2,984.671</t>
  </si>
  <si>
    <t>2,702</t>
  </si>
  <si>
    <t>1,446</t>
  </si>
  <si>
    <t>JAVA.O,mscalc:dilutedSharesOutstanding,2008Q3,,FYR</t>
  </si>
  <si>
    <t>JAVA.O,mscalc:epsForConsensusForThomsonFeed,2007Q4,,FYR,USD</t>
  </si>
  <si>
    <t>JAVA.O,mscalc:epsForConsensusForThomsonFeed,2008Q2,,FYR,USD</t>
  </si>
  <si>
    <t>JAVA.O,mscalc:epsForConsensusForThomsonFeed,2008Q3,,FYR,USD</t>
  </si>
  <si>
    <t>JAVA.O,mscalc:dilutedSharesOutstanding,2008Q2,,FYR</t>
  </si>
  <si>
    <t>JAVA.O,mscalc:consensusEps,2007Q4,,FYR,USD</t>
  </si>
  <si>
    <t>JAVA.O,mscalc:consensusEps,2008Q2,,FYR,USD</t>
  </si>
  <si>
    <t>JAVA.O,mscalc:operatingRevenue,,,FYR,USD</t>
  </si>
  <si>
    <t>Repurchase of Common Stock</t>
  </si>
  <si>
    <t>Issuance of Common Stock - Cash</t>
  </si>
  <si>
    <t>JAVA.O,mscalc:consensusEps,2008Q1,,FYR,USD</t>
  </si>
  <si>
    <t>JAVA.O,mscalc:dilutedSharesOutstanding,2008Q1,,FYR</t>
  </si>
  <si>
    <t>JAVA.O,mscalc:consensusEps,2008Q3,,FYR,USD</t>
  </si>
  <si>
    <t>JAVA.O,mscalc:epsForConsensusForThomsonFeed,2008Q1,,FYR,USD</t>
  </si>
  <si>
    <t>0.0847642622838515</t>
  </si>
  <si>
    <t>JAVA.O,mscalc:consensusEps,2007Q1,,FYR,USD</t>
  </si>
  <si>
    <t>JAVA.O,mscalc:consensusEps,2008Q4,,FYR,USD</t>
  </si>
  <si>
    <t>JAVA.O,mscalc:consensusEps,2006Q2,,FYR,USD</t>
  </si>
  <si>
    <t>JAVA.O,mscalc:consensusEps,2006Q4,,FYR,USD</t>
  </si>
  <si>
    <t>JAVA.O,mscalc:consensusEps,2007Q2,,FYR,USD</t>
  </si>
  <si>
    <t>JAVA.O,mscalc:consensusEps,2007Q3,,FYR,USD</t>
  </si>
  <si>
    <t>JAVA.O,mscalc:consensusEps,2006Q1,,FYR,USD</t>
  </si>
  <si>
    <t>JAVA.O,mscalc:consensusEps,2006Q3,,FYR,USD</t>
  </si>
  <si>
    <t>0</t>
  </si>
  <si>
    <t>(0.0299999993294477)</t>
  </si>
  <si>
    <t>0.0199999995529652</t>
  </si>
  <si>
    <t>(0.0199999995529652)</t>
  </si>
  <si>
    <t>Cash impact of options</t>
  </si>
  <si>
    <t>Y/Y Increase</t>
  </si>
  <si>
    <t>EPS - ModelWare excl. Stock Option Expense</t>
  </si>
  <si>
    <t>Revenues</t>
  </si>
  <si>
    <t>Cost of revenues</t>
  </si>
  <si>
    <t>Assets</t>
  </si>
  <si>
    <t>Depreciation</t>
  </si>
  <si>
    <t>Balance Sheet</t>
  </si>
  <si>
    <t>Statutory Tax Rate</t>
  </si>
  <si>
    <t>Basic EPS</t>
  </si>
  <si>
    <t>EPS - Reported</t>
  </si>
  <si>
    <t>Fully-diluted EPS</t>
  </si>
  <si>
    <t>Period Ending Outstanding Shares</t>
  </si>
  <si>
    <t>Year-Over-Year Growth (%)</t>
  </si>
  <si>
    <t>Balance Sheet Drivers</t>
  </si>
  <si>
    <t>Balance Sheet Ratios &amp; Analysis</t>
  </si>
  <si>
    <t>EPS - ModelWare</t>
  </si>
  <si>
    <t>ModelWare EPS</t>
  </si>
  <si>
    <t>SG&amp;A  % of Revenue</t>
  </si>
  <si>
    <t>Total Debt per Share</t>
  </si>
  <si>
    <t>Equity per Share</t>
  </si>
  <si>
    <t>Value per share</t>
  </si>
  <si>
    <t>Net Debt per Share</t>
  </si>
  <si>
    <t>Options Forfeited as % of Beg. Options Outstanding</t>
  </si>
  <si>
    <t>Weighted Average Exercise Price</t>
  </si>
  <si>
    <t>Basic Shares Outstanding</t>
  </si>
  <si>
    <t>Cash paid for interest, net</t>
  </si>
  <si>
    <t>F2014A</t>
  </si>
  <si>
    <t>2014A</t>
  </si>
  <si>
    <t>2015A</t>
  </si>
  <si>
    <t>2018E</t>
  </si>
  <si>
    <t>2019E</t>
  </si>
  <si>
    <t>2020E</t>
  </si>
  <si>
    <t>2021E</t>
  </si>
  <si>
    <t>2022E</t>
  </si>
  <si>
    <t>2023E</t>
  </si>
  <si>
    <t>Lookup Dates</t>
  </si>
  <si>
    <t>2015-CY</t>
  </si>
  <si>
    <t>2016-CY</t>
  </si>
  <si>
    <t>SNDK Revenue</t>
  </si>
  <si>
    <t>License and royalty</t>
  </si>
  <si>
    <t>Other revenue</t>
  </si>
  <si>
    <t>SanDisk</t>
  </si>
  <si>
    <t>WD Gross Margin</t>
  </si>
  <si>
    <t>SanDisk Gross Margin</t>
  </si>
  <si>
    <t>Interest and Other Income</t>
  </si>
  <si>
    <t>Interest and Other Expense</t>
  </si>
  <si>
    <t>F2018E</t>
  </si>
  <si>
    <t>HDD Industry Analysis</t>
  </si>
  <si>
    <t>HDD Market Revenue</t>
  </si>
  <si>
    <t>HDD Market Units</t>
  </si>
  <si>
    <t>WDC HDD Market Share % Revenue</t>
  </si>
  <si>
    <t>WDC HDD Market Share % Units</t>
  </si>
  <si>
    <t>HDD - Units</t>
  </si>
  <si>
    <t>HDD - Price</t>
  </si>
  <si>
    <t>United States</t>
  </si>
  <si>
    <t>2016A</t>
  </si>
  <si>
    <t>Avg Shares (Fully Diluted, Non GAAP)</t>
  </si>
  <si>
    <t>Avg Shares (Fully Diluted, GAAP)</t>
  </si>
  <si>
    <t>F2016A</t>
  </si>
  <si>
    <t>F2015A</t>
  </si>
  <si>
    <t>Effect of changes in foreign currency exchange rates</t>
  </si>
  <si>
    <t>Client Devices</t>
  </si>
  <si>
    <t>Client Solutions</t>
  </si>
  <si>
    <t>Data Center Devices &amp; Solutions</t>
  </si>
  <si>
    <t>Total Revenue</t>
  </si>
  <si>
    <t>Total Exabytes Shipped</t>
  </si>
  <si>
    <t>Stock Based Comp</t>
  </si>
  <si>
    <t>Notebook HDD</t>
  </si>
  <si>
    <t>Desktop HDD</t>
  </si>
  <si>
    <t>Branded HDD</t>
  </si>
  <si>
    <t>Consumer Electronic HDD</t>
  </si>
  <si>
    <t>Performance HDD</t>
  </si>
  <si>
    <t>Nearline HDD</t>
  </si>
  <si>
    <t>Enterprise HDD</t>
  </si>
  <si>
    <t>Total HDD - Revenue</t>
  </si>
  <si>
    <t>Total SSD and Software Revenue</t>
  </si>
  <si>
    <t>OLD SEGMENT REPORTING</t>
  </si>
  <si>
    <t>FY15 and fwd restated for SBC on 10/26/2016</t>
  </si>
  <si>
    <t>FY13 and fwd restated for new segment reporting in 2H CY16</t>
  </si>
  <si>
    <t>Operating Expenses (%)</t>
  </si>
  <si>
    <t>Operating Expenses ($)</t>
  </si>
  <si>
    <t>Product Development ($)</t>
  </si>
  <si>
    <t>SG&amp;A  ($)</t>
  </si>
  <si>
    <t>Notebook, Desktop, CE HDD</t>
  </si>
  <si>
    <t>Client SSD, Embedded &amp; Components</t>
  </si>
  <si>
    <t>Branded Flash</t>
  </si>
  <si>
    <t>Enterprise SSD and Systems</t>
  </si>
  <si>
    <t>Data Center Devices and Solutions</t>
  </si>
  <si>
    <t>Client Device</t>
  </si>
  <si>
    <t>Data Center Devices</t>
  </si>
  <si>
    <t>Client Devices Exabytes</t>
  </si>
  <si>
    <t>Client Solutions Exabytes</t>
  </si>
  <si>
    <t>Revenues by End Market %</t>
  </si>
  <si>
    <t xml:space="preserve"> HDD revenues by channel in F1Q17 and prior</t>
  </si>
  <si>
    <t>Machinery, equipment and software</t>
  </si>
  <si>
    <t>Share Price (ThomsonReuters)</t>
  </si>
  <si>
    <t>Total Price Per Exabyte Shipped</t>
  </si>
  <si>
    <t>Client Devices Price Per EB</t>
  </si>
  <si>
    <t>Client Solutions Price Per EB</t>
  </si>
  <si>
    <t>DC Devices &amp; Solutions Exabytes</t>
  </si>
  <si>
    <t>DC Devices &amp; Solutions Price Per EB</t>
  </si>
  <si>
    <t>F2017A</t>
  </si>
  <si>
    <t>2017A</t>
  </si>
  <si>
    <t>F2019E</t>
  </si>
  <si>
    <t>2024E</t>
  </si>
  <si>
    <t>2025E</t>
  </si>
  <si>
    <t>Company</t>
  </si>
  <si>
    <t>92</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</si>
  <si>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</si>
  <si>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</si>
  <si>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</si>
  <si>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</si>
  <si>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</si>
  <si>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</si>
  <si>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Tel: +1 (1)212 761 4000</t>
  </si>
  <si>
    <t>Authors: Joseph Moore, Katy Huberty</t>
  </si>
  <si>
    <t>Date: 25 Jan 2018</t>
  </si>
  <si>
    <t>Ticker: WDC.O</t>
  </si>
  <si>
    <t>Stock Rating: Equal-Weight</t>
  </si>
  <si>
    <t>Industry: Semiconductors</t>
  </si>
  <si>
    <t>Industry View: In-Line</t>
  </si>
  <si>
    <t>Price as of 25 Jan 2018: 87.99</t>
  </si>
  <si>
    <t>Target Price: 92</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</si>
  <si>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</si>
  <si>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</si>
  <si>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</si>
  <si>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</si>
  <si>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Western Digital.</t>
  </si>
  <si>
    <t>STOCK RATINGS</t>
  </si>
  <si>
    <t>Global Stock Ratings Distribution</t>
  </si>
  <si>
    <t>(as of December 31, 2017)</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</si>
  <si>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</si>
  <si>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</si>
  <si>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</si>
  <si>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</si>
  <si>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</si>
  <si>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</si>
  <si>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</si>
  <si>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</si>
  <si>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</si>
  <si>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</si>
  <si>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</si>
  <si>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</si>
  <si>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</si>
  <si>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</si>
  <si>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</si>
  <si>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</si>
  <si>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</si>
  <si>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</si>
  <si>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</si>
  <si>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</si>
  <si>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</si>
  <si>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</si>
  <si>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</si>
  <si>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</si>
  <si>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</si>
  <si>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</si>
  <si>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</si>
  <si>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</si>
  <si>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</si>
  <si>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</si>
  <si>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</si>
  <si>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</si>
  <si>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</si>
  <si>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</si>
  <si>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</si>
  <si>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</si>
  <si>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</si>
  <si>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</si>
  <si>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</si>
  <si>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</si>
  <si>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</si>
  <si>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</si>
  <si>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</si>
  <si>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</si>
  <si>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</si>
  <si>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</si>
  <si>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</si>
  <si>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</si>
  <si>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</si>
  <si>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</si>
  <si>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</si>
  <si>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</si>
  <si>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</si>
  <si>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</si>
  <si>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</si>
  <si>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</si>
  <si>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</si>
  <si>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</si>
  <si>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</si>
  <si>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</si>
  <si>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</si>
  <si>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</si>
  <si>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</si>
  <si>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</si>
  <si>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</si>
  <si>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</si>
  <si>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</si>
  <si>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</si>
  <si>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</si>
  <si>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</si>
  <si>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</si>
  <si>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</si>
  <si>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</si>
  <si>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</si>
  <si>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</si>
  <si>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</si>
  <si>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</si>
  <si>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</si>
  <si>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</si>
  <si>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</si>
  <si>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</si>
  <si>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</si>
  <si>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</si>
  <si>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</si>
  <si>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</si>
  <si>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</si>
  <si>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</si>
  <si>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</si>
  <si>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</si>
  <si>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</si>
  <si>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</si>
  <si>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</si>
  <si>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</si>
  <si>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</si>
  <si>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</si>
  <si>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</si>
  <si>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</si>
  <si>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</si>
  <si>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</si>
  <si>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</si>
  <si>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</si>
  <si>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</si>
  <si>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</si>
  <si>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</si>
  <si>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</si>
  <si>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</si>
  <si>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</si>
  <si>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</si>
  <si>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</si>
  <si>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</si>
  <si>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</si>
  <si>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</si>
  <si>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</si>
  <si>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</si>
  <si>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</si>
  <si>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</si>
  <si>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</si>
  <si>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</si>
  <si>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</si>
  <si>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</si>
  <si>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</si>
  <si>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</si>
  <si>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</si>
  <si>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</si>
  <si>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</si>
  <si>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</si>
  <si>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</si>
  <si>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</si>
  <si>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</si>
  <si>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</si>
  <si>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</si>
  <si>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</si>
  <si>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</si>
  <si>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</si>
  <si>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</si>
  <si>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</si>
  <si>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</si>
  <si>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</si>
  <si>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</si>
  <si>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</si>
  <si>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</si>
  <si>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</si>
  <si>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</si>
  <si>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</si>
  <si>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</si>
  <si>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</si>
  <si>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</si>
  <si>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</si>
  <si>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</si>
  <si>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</si>
  <si>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</si>
  <si>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</si>
  <si>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</si>
  <si>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</si>
  <si>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</si>
  <si>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</si>
  <si>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</si>
  <si>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</si>
  <si>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</si>
  <si>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</si>
  <si>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</si>
  <si>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</si>
  <si>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</si>
  <si>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</si>
  <si>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</si>
  <si>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</si>
  <si>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</si>
  <si>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</si>
  <si>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</si>
  <si>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</si>
  <si>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</si>
  <si>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</si>
  <si>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</si>
  <si>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Western Digital.</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</si>
  <si>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</si>
  <si>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</si>
  <si>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</si>
  <si>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</si>
  <si>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</si>
  <si>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</si>
  <si>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</si>
  <si>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</si>
  <si>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</si>
  <si>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</si>
  <si>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</si>
  <si>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</si>
  <si>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</si>
  <si>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</si>
  <si>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</si>
  <si>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</si>
  <si>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</si>
  <si>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</si>
  <si>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</si>
  <si>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</si>
  <si>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</si>
  <si>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</si>
  <si>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</si>
  <si>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</si>
  <si>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</si>
  <si>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</si>
  <si>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</si>
  <si>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</si>
  <si>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</si>
  <si>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</si>
  <si>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</si>
  <si>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</si>
  <si>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</si>
  <si>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</si>
  <si>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</si>
  <si>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</si>
  <si>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</si>
  <si>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</si>
  <si>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</si>
  <si>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</si>
  <si>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</si>
  <si>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</si>
  <si>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</si>
  <si>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</si>
  <si>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</si>
  <si>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</si>
  <si>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</si>
  <si>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</si>
  <si>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</si>
  <si>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</si>
  <si>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</si>
  <si>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</si>
  <si>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</si>
  <si>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</si>
  <si>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</si>
  <si>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</si>
  <si>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</si>
  <si>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</si>
  <si>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</si>
  <si>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</si>
  <si>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</si>
  <si>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</si>
  <si>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</si>
  <si>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</si>
  <si>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</si>
  <si>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</si>
  <si>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</si>
  <si>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</si>
  <si>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</si>
  <si>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</si>
  <si>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</si>
  <si>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Joseph Moore.</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</si>
  <si>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</si>
  <si>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</si>
  <si>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</si>
  <si>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</si>
  <si>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</si>
  <si>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</si>
  <si>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</si>
  <si>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</si>
  <si>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</si>
  <si>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</si>
  <si>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</si>
  <si>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</si>
  <si>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</si>
  <si>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</si>
  <si>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</si>
  <si>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</si>
  <si>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</si>
  <si>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</si>
  <si>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</si>
  <si>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</si>
  <si>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</si>
  <si>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</si>
  <si>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</si>
  <si>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</si>
  <si>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</si>
  <si>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</si>
  <si>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</si>
  <si>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</si>
  <si>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</si>
  <si>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</si>
  <si>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</si>
  <si>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</si>
  <si>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</si>
  <si>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</si>
  <si>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</si>
  <si>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</si>
  <si>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</si>
  <si>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</si>
  <si>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</si>
  <si>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</si>
  <si>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</si>
  <si>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</si>
  <si>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</si>
  <si>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</si>
  <si>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</si>
  <si>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</si>
  <si>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</si>
  <si>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</si>
  <si>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</si>
  <si>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</si>
  <si>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</si>
  <si>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</si>
  <si>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</si>
  <si>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</si>
  <si>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</si>
  <si>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</si>
  <si>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</si>
  <si>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</si>
  <si>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</si>
  <si>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</si>
  <si>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</si>
  <si>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</si>
  <si>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</si>
  <si>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</si>
  <si>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</si>
  <si>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</si>
  <si>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</si>
  <si>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In-Line</t>
  </si>
  <si>
    <t>Quarterly Update</t>
  </si>
  <si>
    <t>NorthAmerica</t>
  </si>
  <si>
    <t>sarlinde</t>
  </si>
  <si>
    <t>MSA32FNJ, MSA11389</t>
  </si>
  <si>
    <t>L:\SEMI CAP\Joe Files\Companies\WDC\WDC_WIP.xlsx</t>
  </si>
  <si>
    <t>please publish after WDC note at midnight thank you</t>
  </si>
  <si>
    <t>[BRO MSA]</t>
  </si>
  <si>
    <t>[PRODUCT MODEL]</t>
  </si>
  <si>
    <t>[EMAIL_ALERT YES]</t>
  </si>
  <si>
    <t>[DISCIPLINE Company]</t>
  </si>
  <si>
    <t>[SUPPRESSED NO]</t>
  </si>
  <si>
    <t>[DOCDAT 2018-01-25]</t>
  </si>
  <si>
    <t>[DOCTIME 22:40]</t>
  </si>
  <si>
    <t>[PSYM WDC.O(S&amp;P) (None)]</t>
  </si>
  <si>
    <t>[COU 1]</t>
  </si>
  <si>
    <t>[ANA MSA11389]</t>
  </si>
  <si>
    <t>[HL WDC.O Model]</t>
  </si>
  <si>
    <t>[IND SEMICO]</t>
  </si>
  <si>
    <t>[PANA MSA32FNJ]</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</si>
</sst>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0_);_(* \(#,##0.0\);_(* &quot;-&quot;??_);_(@_)"/>
    <numFmt numFmtId="165" formatCode="_(* #,##0_);_(* \(#,##0\);_(* &quot;-&quot;??_);_(@_)"/>
    <numFmt numFmtId="166" formatCode="0.0"/>
    <numFmt numFmtId="167" formatCode="0.0%"/>
    <numFmt numFmtId="168" formatCode="0.00_);\(0.00\)"/>
    <numFmt numFmtId="169" formatCode="&quot;$&quot;#,##0"/>
    <numFmt numFmtId="170" formatCode="&quot;$&quot;#,##0.0"/>
    <numFmt numFmtId="171" formatCode="#,##0.0_);\(#,##0.0\)"/>
    <numFmt numFmtId="172" formatCode="#,##0.0"/>
    <numFmt numFmtId="173" formatCode="0_);\(0\)"/>
    <numFmt numFmtId="174" formatCode="&quot;$&quot;#,##0.0_);[Red]\(&quot;$&quot;#,##0.0\)"/>
    <numFmt numFmtId="176" formatCode="_(* #,##0.000_);_(* \(#,##0.000\);_(* &quot;-&quot;??_);_(@_)"/>
    <numFmt numFmtId="177" formatCode="[$-409]mmm\-yy;@"/>
    <numFmt numFmtId="179" formatCode="0.0000"/>
    <numFmt numFmtId="181" formatCode="_-* #,##0.000_-;\-* #,##0.000_-;_-* &quot;-&quot;??_-;_-@_-"/>
    <numFmt numFmtId="182" formatCode="&quot;$&quot;#,##0.000_);\(&quot;$&quot;#,##0.000\)"/>
    <numFmt numFmtId="187" formatCode="&quot;$&quot;#,##0.00"/>
    <numFmt numFmtId="188" formatCode="#,##0.0;\(#,##0.0\);\-_)"/>
    <numFmt numFmtId="189" formatCode="#,##0_);\(#,##0\);\-_)"/>
    <numFmt numFmtId="190" formatCode="_(* #,##0.0_);_(* \(#,##0.0\);_(* &quot;-&quot;?_);_(@_)"/>
    <numFmt numFmtId="194" formatCode="&quot;$&quot;#,##0.0_);\(&quot;$&quot;#,##0.0\)"/>
    <numFmt numFmtId="196" formatCode="#,##0;\(#,##0\);\-_)"/>
    <numFmt numFmtId="197" formatCode="#,##0.000"/>
    <numFmt numFmtId="199" formatCode="_(* #,##0_);_(* \(#,##0\);_(* &quot;-&quot;?_);_(@_)"/>
    <numFmt numFmtId="215" formatCode="&quot;Ç&quot;\ &quot;´&quot;&quot;´&quot;&quot;´&quot;&quot;´&quot;\ &quot;»&quot;&quot;»&quot;&quot;»&quot;&quot;»&quot;"/>
    <numFmt numFmtId="216" formatCode="0_)"/>
    <numFmt numFmtId="229" formatCode="mm/dd/yy\ hh:mm"/>
  </numFmts>
  <fonts count="113">
    <font>
      <sz val="8"/>
      <name val="Arial"/>
    </font>
    <font>
      <sz val="8"/>
      <name val="Arial"/>
      <family val="2"/>
    </font>
    <font>
      <b/>
      <sz val="8"/>
      <color indexed="9"/>
      <name val="Arial"/>
      <family val="2"/>
    </font>
    <font>
      <b/>
      <sz val="8"/>
      <name val="Arial"/>
      <family val="2"/>
    </font>
    <font>
      <b/>
      <sz val="8"/>
      <color indexed="12"/>
      <name val="Arial"/>
      <family val="2"/>
    </font>
    <font>
      <sz val="8"/>
      <name val="Arial"/>
      <family val="2"/>
    </font>
    <font>
      <b/>
      <i/>
      <sz val="8"/>
      <color indexed="9"/>
      <name val="Arial"/>
      <family val="2"/>
    </font>
    <font>
      <b/>
      <sz val="8"/>
      <color indexed="22"/>
      <name val="Arial"/>
      <family val="2"/>
    </font>
    <font>
      <sz val="8"/>
      <color indexed="9"/>
      <name val="Arial"/>
      <family val="2"/>
    </font>
    <font>
      <i/>
      <sz val="8"/>
      <name val="Arial"/>
      <family val="2"/>
    </font>
    <font>
      <sz val="8"/>
      <color indexed="12"/>
      <name val="Arial"/>
      <family val="2"/>
    </font>
    <font>
      <b/>
      <sz val="8"/>
      <name val="Arial"/>
      <family val="2"/>
    </font>
    <font>
      <sz val="8"/>
      <color indexed="8"/>
      <name val="Arial"/>
      <family val="2"/>
    </font>
    <font>
      <sz val="8"/>
      <color indexed="22"/>
      <name val="Arial"/>
      <family val="2"/>
    </font>
    <font>
      <sz val="8"/>
      <color indexed="81"/>
      <name val="Tahoma"/>
      <family val="2"/>
    </font>
    <font>
      <b/>
      <sz val="8"/>
      <color indexed="81"/>
      <name val="Tahoma"/>
      <family val="2"/>
    </font>
    <font>
      <sz val="10"/>
      <name val="Times New Roman"/>
      <family val="1"/>
    </font>
    <font>
      <sz val="10"/>
      <name val="Arial"/>
      <family val="2"/>
    </font>
    <font>
      <b/>
      <sz val="10"/>
      <name val="Arial"/>
      <family val="2"/>
    </font>
    <font>
      <b/>
      <sz val="8"/>
      <color indexed="8"/>
      <name val="Arial"/>
      <family val="2"/>
    </font>
    <font>
      <sz val="8"/>
      <color indexed="21"/>
      <name val="Arial"/>
      <family val="2"/>
    </font>
    <font>
      <sz val="10"/>
      <name val="Arial"/>
      <family val="2"/>
    </font>
    <font>
      <b/>
      <sz val="9"/>
      <name val="Arial"/>
      <family val="2"/>
    </font>
    <font>
      <b/>
      <u/>
      <sz val="8"/>
      <name val="Arial"/>
      <family val="2"/>
    </font>
    <font>
      <i/>
      <sz val="8"/>
      <color indexed="12"/>
      <name val="Arial"/>
      <family val="2"/>
    </font>
    <font>
      <b/>
      <i/>
      <sz val="8"/>
      <name val="Arial"/>
      <family val="2"/>
    </font>
    <font>
      <sz val="8"/>
      <color indexed="55"/>
      <name val="Arial"/>
      <family val="2"/>
    </font>
    <font>
      <sz val="8"/>
      <color indexed="63"/>
      <name val="Arial"/>
      <family val="2"/>
    </font>
    <font>
      <sz val="8"/>
      <color indexed="10"/>
      <name val="Arial"/>
      <family val="2"/>
    </font>
    <font>
      <b/>
      <sz val="8"/>
      <color indexed="10"/>
      <name val="Arial"/>
      <family val="2"/>
    </font>
    <font>
      <sz val="8"/>
      <color indexed="12"/>
      <name val="Arial"/>
      <family val="2"/>
    </font>
    <font>
      <sz val="9"/>
      <name val="Arial"/>
      <family val="2"/>
    </font>
    <font>
      <sz val="8"/>
      <color indexed="23"/>
      <name val="Arial"/>
      <family val="2"/>
    </font>
    <font>
      <sz val="12"/>
      <name val="Times New Roman"/>
      <family val="1"/>
    </font>
    <font>
      <sz val="10"/>
      <name val="MS Sans Serif"/>
      <family val="2"/>
    </font>
    <font>
      <b/>
      <sz val="10"/>
      <color indexed="8"/>
      <name val="Times New Roman"/>
      <family val="1"/>
    </font>
    <font>
      <sz val="9"/>
      <name val="Times New Roman"/>
      <family val="1"/>
    </font>
    <font>
      <sz val="10"/>
      <color indexed="8"/>
      <name val="Times New Roman"/>
      <family val="1"/>
    </font>
    <font>
      <sz val="8"/>
      <name val="Arial"/>
      <family val="2"/>
    </font>
    <font>
      <i/>
      <sz val="8"/>
      <color indexed="62"/>
      <name val="Arial"/>
      <family val="2"/>
    </font>
    <font>
      <sz val="8"/>
      <color indexed="62"/>
      <name val="Arial"/>
      <family val="2"/>
    </font>
    <font>
      <b/>
      <sz val="8"/>
      <color indexed="18"/>
      <name val="Arial"/>
      <family val="2"/>
    </font>
    <font>
      <b/>
      <sz val="8"/>
      <color indexed="55"/>
      <name val="Arial"/>
      <family val="2"/>
    </font>
    <font>
      <i/>
      <sz val="8"/>
      <color indexed="10"/>
      <name val="Arial"/>
      <family val="2"/>
    </font>
    <font>
      <sz val="11"/>
      <name val="Arial"/>
      <family val="2"/>
    </font>
    <font>
      <b/>
      <sz val="11"/>
      <name val="Arial"/>
      <family val="2"/>
    </font>
    <font>
      <i/>
      <sz val="8"/>
      <color indexed="8"/>
      <name val="Arial"/>
      <family val="2"/>
    </font>
    <font>
      <i/>
      <sz val="8"/>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8"/>
      <color indexed="51"/>
      <name val="Arial"/>
      <family val="2"/>
    </font>
    <font>
      <sz val="9"/>
      <color indexed="81"/>
      <name val="Tahoma"/>
      <family val="2"/>
    </font>
    <font>
      <b/>
      <sz val="9"/>
      <color indexed="81"/>
      <name val="Tahoma"/>
      <family val="2"/>
    </font>
    <font>
      <b/>
      <sz val="8"/>
      <color indexed="12"/>
      <name val="Arial"/>
      <family val="2"/>
    </font>
    <font>
      <sz val="8"/>
      <color indexed="12"/>
      <name val="Arial"/>
      <family val="2"/>
    </font>
    <font>
      <b/>
      <sz val="8"/>
      <color indexed="12"/>
      <name val="Arial"/>
      <family val="2"/>
    </font>
    <font>
      <sz val="8"/>
      <color indexed="12"/>
      <name val="Arial"/>
      <family val="2"/>
    </font>
    <font>
      <sz val="10"/>
      <name val="Arial"/>
      <family val="2"/>
    </font>
    <font>
      <sz val="8"/>
      <color indexed="12"/>
      <name val="Arial"/>
      <family val="2"/>
    </font>
    <font>
      <b/>
      <sz val="8"/>
      <color indexed="12"/>
      <name val="Arial"/>
      <family val="2"/>
    </font>
    <font>
      <b/>
      <sz val="8"/>
      <color indexed="9"/>
      <name val="Arial"/>
      <family val="2"/>
    </font>
    <font>
      <sz val="12"/>
      <color indexed="8"/>
      <name val="Arial MT"/>
    </font>
    <font>
      <sz val="9"/>
      <color indexed="8"/>
      <name val="Arial MT"/>
    </font>
    <font>
      <sz val="8"/>
      <color indexed="22"/>
      <name val="Arial"/>
      <family val="2"/>
    </font>
    <font>
      <sz val="8"/>
      <color indexed="10"/>
      <name val="Arial"/>
      <family val="2"/>
    </font>
    <font>
      <i/>
      <sz val="8"/>
      <color indexed="10"/>
      <name val="Arial"/>
      <family val="2"/>
    </font>
    <font>
      <sz val="8"/>
      <color indexed="9"/>
      <name val="Arial"/>
      <family val="2"/>
    </font>
    <font>
      <b/>
      <sz val="8"/>
      <color indexed="10"/>
      <name val="Arial"/>
      <family val="2"/>
    </font>
    <font>
      <b/>
      <sz val="8"/>
      <color indexed="9"/>
      <name val="Arial"/>
      <family val="2"/>
    </font>
    <font>
      <i/>
      <sz val="8"/>
      <color indexed="9"/>
      <name val="Arial"/>
      <family val="2"/>
    </font>
    <font>
      <b/>
      <sz val="8"/>
      <color indexed="12"/>
      <name val="Arial"/>
      <family val="2"/>
    </font>
    <font>
      <b/>
      <sz val="8"/>
      <color indexed="23"/>
      <name val="Arial"/>
      <family val="2"/>
    </font>
    <font>
      <sz val="8"/>
      <color indexed="12"/>
      <name val="Arial"/>
      <family val="2"/>
    </font>
    <font>
      <sz val="10"/>
      <color indexed="9"/>
      <name val="Arial"/>
      <family val="2"/>
    </font>
    <font>
      <sz val="8"/>
      <color indexed="23"/>
      <name val="Arial"/>
      <family val="2"/>
    </font>
    <font>
      <sz val="8"/>
      <color indexed="55"/>
      <name val="Arial"/>
      <family val="2"/>
    </font>
    <font>
      <b/>
      <sz val="8"/>
      <color indexed="55"/>
      <name val="Arial"/>
      <family val="2"/>
    </font>
    <font>
      <i/>
      <sz val="8"/>
      <color indexed="55"/>
      <name val="Arial"/>
      <family val="2"/>
    </font>
    <font>
      <b/>
      <i/>
      <sz val="8"/>
      <color indexed="55"/>
      <name val="Arial"/>
      <family val="2"/>
    </font>
    <font>
      <sz val="8"/>
      <color indexed="30"/>
      <name val="Arial"/>
      <family val="2"/>
    </font>
    <font>
      <sz val="10"/>
      <name val="Arial"/>
      <family val="2"/>
    </font>
    <font>
      <sz val="8"/>
      <color rgb="FFFF0000"/>
      <name val="Arial"/>
      <family val="2"/>
    </font>
    <font>
      <b/>
      <sz val="8"/>
      <color rgb="FFFF0000"/>
      <name val="Arial"/>
      <family val="2"/>
    </font>
    <font>
      <i/>
      <sz val="10"/>
      <name val="Arial"/>
      <family val="2"/>
    </font>
    <font>
      <sz val="10"/>
      <color indexed="8"/>
      <name val="MS Sans Serif"/>
      <family val="2"/>
    </font>
    <font>
      <sz val="10"/>
      <name val="Helvetica"/>
      <family val="2"/>
    </font>
    <font>
      <sz val="12"/>
      <name val="¹UAAA¼"/>
      <family val="1"/>
      <charset val="129"/>
    </font>
    <font>
      <sz val="12"/>
      <name val="ⓒoUAAA¨u"/>
      <family val="1"/>
      <charset val="129"/>
    </font>
    <font>
      <sz val="12"/>
      <name val="¹UAAA¼"/>
      <family val="3"/>
      <charset val="129"/>
    </font>
    <font>
      <sz val="12"/>
      <name val="System"/>
      <family val="2"/>
    </font>
    <font>
      <sz val="8"/>
      <name val="¹UAAA¼"/>
      <family val="1"/>
      <charset val="129"/>
    </font>
    <font>
      <sz val="12"/>
      <name val="¹ÙÅÁÃ¼"/>
      <family val="1"/>
      <charset val="129"/>
    </font>
    <font>
      <sz val="12"/>
      <name val="뼻뮝"/>
      <family val="1"/>
      <charset val="129"/>
    </font>
    <font>
      <sz val="12"/>
      <name val="바탕체"/>
      <family val="3"/>
      <charset val="129"/>
    </font>
    <font>
      <sz val="12"/>
      <name val="바탕체"/>
      <family val="1"/>
    </font>
    <font>
      <sz val="10"/>
      <name val="Courier"/>
      <family val="3"/>
    </font>
    <font>
      <sz val="10"/>
      <color rgb="FF000000"/>
      <name val="Arial"/>
      <family val="2"/>
    </font>
    <font>
      <b/>
      <sz val="12"/>
      <color rgb="FF000080"/>
      <name val="Arial"/>
      <family val="2"/>
    </font>
  </fonts>
  <fills count="26">
    <fill>
      <patternFill patternType="none"/>
    </fill>
    <fill>
      <patternFill patternType="gray125"/>
    </fill>
    <fill>
      <patternFill patternType="solid">
        <fgColor indexed="47"/>
      </patternFill>
    </fill>
    <fill>
      <patternFill patternType="solid">
        <fgColor indexed="29"/>
      </patternFill>
    </fill>
    <fill>
      <patternFill patternType="solid">
        <fgColor indexed="43"/>
      </patternFill>
    </fill>
    <fill>
      <patternFill patternType="solid">
        <fgColor indexed="27"/>
      </patternFill>
    </fill>
    <fill>
      <patternFill patternType="solid">
        <fgColor indexed="22"/>
      </patternFill>
    </fill>
    <fill>
      <patternFill patternType="solid">
        <fgColor indexed="44"/>
      </patternFill>
    </fill>
    <fill>
      <patternFill patternType="solid">
        <fgColor indexed="49"/>
      </patternFill>
    </fill>
    <fill>
      <patternFill patternType="solid">
        <fgColor indexed="26"/>
      </patternFill>
    </fill>
    <fill>
      <patternFill patternType="solid">
        <fgColor indexed="54"/>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43"/>
        <bgColor indexed="64"/>
      </patternFill>
    </fill>
    <fill>
      <patternFill patternType="solid">
        <fgColor indexed="12"/>
        <bgColor indexed="64"/>
      </patternFill>
    </fill>
    <fill>
      <patternFill patternType="solid">
        <fgColor indexed="9"/>
        <bgColor indexed="64"/>
      </patternFill>
    </fill>
    <fill>
      <patternFill patternType="solid">
        <fgColor indexed="8"/>
        <bgColor indexed="64"/>
      </patternFill>
    </fill>
    <fill>
      <patternFill patternType="solid">
        <fgColor indexed="44"/>
        <bgColor indexed="64"/>
      </patternFill>
    </fill>
    <fill>
      <patternFill patternType="solid">
        <fgColor indexed="22"/>
        <bgColor indexed="64"/>
      </patternFill>
    </fill>
    <fill>
      <patternFill patternType="solid">
        <fgColor indexed="4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
      <patternFill patternType="solid">
        <fgColor indexed="65"/>
        <bgColor indexed="64"/>
      </patternFill>
    </fill>
  </fills>
  <borders count="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right/>
      <top style="thin">
        <color indexed="49"/>
      </top>
      <bottom style="double">
        <color indexed="49"/>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64"/>
      </right>
      <top style="thin">
        <color indexed="64"/>
      </top>
      <bottom style="thin">
        <color indexed="64"/>
      </bottom>
      <diagonal/>
    </border>
    <border>
      <left/>
      <right style="thin">
        <color indexed="64"/>
      </right>
      <top style="thin">
        <color indexed="64"/>
      </top>
      <bottom style="thin">
        <color indexed="22"/>
      </bottom>
      <diagonal/>
    </border>
    <border>
      <left style="thin">
        <color indexed="64"/>
      </left>
      <right style="thin">
        <color indexed="64"/>
      </right>
      <top/>
      <bottom style="thin">
        <color indexed="64"/>
      </bottom>
      <diagonal/>
    </border>
    <border>
      <left style="thin">
        <color indexed="64"/>
      </left>
      <right/>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22">
    <xf numFmtId="0" fontId="0" fillId="0" borderId="0" applyNumberFormat="0" applyBorder="0" applyAlignment="0" applyProtection="0"/>
    <xf numFmtId="0" fontId="17" fillId="0" borderId="0" applyNumberFormat="0" applyFont="0" applyFill="0" applyBorder="0" applyAlignment="0" applyProtection="0"/>
    <xf numFmtId="0" fontId="17" fillId="0" borderId="0" applyNumberFormat="0" applyFont="0" applyFill="0" applyBorder="0" applyAlignment="0" applyProtection="0"/>
    <xf numFmtId="3" fontId="31" fillId="0" borderId="0"/>
    <xf numFmtId="0" fontId="17" fillId="0" borderId="0"/>
    <xf numFmtId="0" fontId="34" fillId="0" borderId="0"/>
    <xf numFmtId="0" fontId="34" fillId="0" borderId="0"/>
    <xf numFmtId="0" fontId="48" fillId="2" borderId="0" applyNumberFormat="0" applyBorder="0" applyAlignment="0" applyProtection="0"/>
    <xf numFmtId="0" fontId="48" fillId="3" borderId="0" applyNumberFormat="0" applyBorder="0" applyAlignment="0" applyProtection="0"/>
    <xf numFmtId="0" fontId="48" fillId="4" borderId="0" applyNumberFormat="0" applyBorder="0" applyAlignment="0" applyProtection="0"/>
    <xf numFmtId="0" fontId="48" fillId="2" borderId="0" applyNumberFormat="0" applyBorder="0" applyAlignment="0" applyProtection="0"/>
    <xf numFmtId="0" fontId="48" fillId="5" borderId="0" applyNumberFormat="0" applyBorder="0" applyAlignment="0" applyProtection="0"/>
    <xf numFmtId="0" fontId="48" fillId="4" borderId="0" applyNumberFormat="0" applyBorder="0" applyAlignment="0" applyProtection="0"/>
    <xf numFmtId="0" fontId="48" fillId="6" borderId="0" applyNumberFormat="0" applyBorder="0" applyAlignment="0" applyProtection="0"/>
    <xf numFmtId="0" fontId="48" fillId="3" borderId="0" applyNumberFormat="0" applyBorder="0" applyAlignment="0" applyProtection="0"/>
    <xf numFmtId="0" fontId="48" fillId="4"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4" borderId="0" applyNumberFormat="0" applyBorder="0" applyAlignment="0" applyProtection="0"/>
    <xf numFmtId="0" fontId="49" fillId="8" borderId="0" applyNumberFormat="0" applyBorder="0" applyAlignment="0" applyProtection="0"/>
    <xf numFmtId="0" fontId="49" fillId="3" borderId="0" applyNumberFormat="0" applyBorder="0" applyAlignment="0" applyProtection="0"/>
    <xf numFmtId="0" fontId="49" fillId="9" borderId="0" applyNumberFormat="0" applyBorder="0" applyAlignment="0" applyProtection="0"/>
    <xf numFmtId="0" fontId="49" fillId="6" borderId="0" applyNumberFormat="0" applyBorder="0" applyAlignment="0" applyProtection="0"/>
    <xf numFmtId="0" fontId="49" fillId="8" borderId="0" applyNumberFormat="0" applyBorder="0" applyAlignment="0" applyProtection="0"/>
    <xf numFmtId="0" fontId="49" fillId="4" borderId="0" applyNumberFormat="0" applyBorder="0" applyAlignment="0" applyProtection="0"/>
    <xf numFmtId="0" fontId="49" fillId="8" borderId="0" applyNumberFormat="0" applyBorder="0" applyAlignment="0" applyProtection="0"/>
    <xf numFmtId="0" fontId="49" fillId="3" borderId="0" applyNumberFormat="0" applyBorder="0" applyAlignment="0" applyProtection="0"/>
    <xf numFmtId="0" fontId="49" fillId="9" borderId="0" applyNumberFormat="0" applyBorder="0" applyAlignment="0" applyProtection="0"/>
    <xf numFmtId="0" fontId="49" fillId="10" borderId="0" applyNumberFormat="0" applyBorder="0" applyAlignment="0" applyProtection="0"/>
    <xf numFmtId="0" fontId="49" fillId="8" borderId="0" applyNumberFormat="0" applyBorder="0" applyAlignment="0" applyProtection="0"/>
    <xf numFmtId="0" fontId="49" fillId="3" borderId="0" applyNumberFormat="0" applyBorder="0" applyAlignment="0" applyProtection="0"/>
    <xf numFmtId="0" fontId="50" fillId="11" borderId="0" applyNumberFormat="0" applyBorder="0" applyAlignment="0" applyProtection="0"/>
    <xf numFmtId="0" fontId="35" fillId="0" borderId="0"/>
    <xf numFmtId="0" fontId="51" fillId="12" borderId="1" applyNumberFormat="0" applyAlignment="0" applyProtection="0"/>
    <xf numFmtId="0" fontId="52" fillId="13" borderId="2" applyNumberFormat="0" applyAlignment="0" applyProtection="0"/>
    <xf numFmtId="43" fontId="17" fillId="0" borderId="0" applyFont="0" applyFill="0" applyBorder="0" applyAlignment="0" applyProtection="0"/>
    <xf numFmtId="44" fontId="17" fillId="0" borderId="0" applyFont="0" applyFill="0" applyBorder="0" applyAlignment="0" applyProtection="0"/>
    <xf numFmtId="0" fontId="53" fillId="0" borderId="0" applyNumberFormat="0" applyFill="0" applyBorder="0" applyAlignment="0" applyProtection="0"/>
    <xf numFmtId="0" fontId="54" fillId="14" borderId="0" applyNumberFormat="0" applyBorder="0" applyAlignment="0" applyProtection="0"/>
    <xf numFmtId="0" fontId="55" fillId="0" borderId="3" applyNumberFormat="0" applyFill="0" applyAlignment="0" applyProtection="0"/>
    <xf numFmtId="0" fontId="56" fillId="0" borderId="4" applyNumberFormat="0" applyFill="0" applyAlignment="0" applyProtection="0"/>
    <xf numFmtId="0" fontId="57" fillId="0" borderId="5" applyNumberFormat="0" applyFill="0" applyAlignment="0" applyProtection="0"/>
    <xf numFmtId="0" fontId="57" fillId="0" borderId="0" applyNumberFormat="0" applyFill="0" applyBorder="0" applyAlignment="0" applyProtection="0"/>
    <xf numFmtId="0" fontId="58" fillId="4" borderId="1" applyNumberFormat="0" applyAlignment="0" applyProtection="0"/>
    <xf numFmtId="0" fontId="59" fillId="0" borderId="6" applyNumberFormat="0" applyFill="0" applyAlignment="0" applyProtection="0"/>
    <xf numFmtId="0" fontId="60" fillId="4" borderId="0" applyNumberFormat="0" applyBorder="0" applyAlignment="0" applyProtection="0"/>
    <xf numFmtId="0" fontId="17" fillId="0" borderId="0"/>
    <xf numFmtId="0" fontId="72" fillId="0" borderId="0"/>
    <xf numFmtId="3" fontId="31" fillId="0" borderId="0"/>
    <xf numFmtId="0" fontId="17" fillId="4" borderId="7" applyNumberFormat="0" applyFont="0" applyAlignment="0" applyProtection="0"/>
    <xf numFmtId="0" fontId="61" fillId="12" borderId="8" applyNumberFormat="0" applyAlignment="0" applyProtection="0"/>
    <xf numFmtId="0" fontId="36" fillId="0" borderId="0">
      <alignment vertical="center"/>
    </xf>
    <xf numFmtId="9" fontId="17" fillId="0" borderId="0" applyFont="0" applyFill="0" applyBorder="0" applyAlignment="0" applyProtection="0"/>
    <xf numFmtId="0" fontId="17" fillId="15" borderId="0" applyNumberFormat="0" applyFont="0" applyBorder="0" applyAlignment="0" applyProtection="0"/>
    <xf numFmtId="0" fontId="37" fillId="0" borderId="0"/>
    <xf numFmtId="0" fontId="37" fillId="0" borderId="9">
      <alignment horizontal="centerContinuous"/>
    </xf>
    <xf numFmtId="0" fontId="47" fillId="0" borderId="9"/>
    <xf numFmtId="0" fontId="17" fillId="0" borderId="0">
      <alignment vertical="top"/>
    </xf>
    <xf numFmtId="0" fontId="62" fillId="0" borderId="0" applyNumberFormat="0" applyFill="0" applyBorder="0" applyAlignment="0" applyProtection="0"/>
    <xf numFmtId="0" fontId="63" fillId="0" borderId="10" applyNumberFormat="0" applyFill="0" applyAlignment="0" applyProtection="0"/>
    <xf numFmtId="0" fontId="64" fillId="0" borderId="0" applyNumberFormat="0" applyFill="0" applyBorder="0" applyAlignment="0" applyProtection="0"/>
    <xf numFmtId="0" fontId="95" fillId="0" borderId="0"/>
    <xf numFmtId="43" fontId="17" fillId="0" borderId="0" applyFont="0" applyFill="0" applyBorder="0" applyAlignment="0" applyProtection="0"/>
    <xf numFmtId="9" fontId="17" fillId="0" borderId="0" applyFont="0" applyFill="0" applyBorder="0" applyAlignment="0" applyProtection="0"/>
    <xf numFmtId="43" fontId="48" fillId="0" borderId="0" applyFont="0" applyFill="0" applyBorder="0" applyAlignment="0" applyProtection="0"/>
    <xf numFmtId="44"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15" borderId="0" applyNumberFormat="0" applyFont="0" applyBorder="0" applyAlignment="0" applyProtection="0"/>
    <xf numFmtId="0" fontId="18" fillId="0" borderId="11" applyNumberFormat="0" applyBorder="0" applyAlignment="0">
      <alignment horizontal="left"/>
    </xf>
    <xf numFmtId="0" fontId="17"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215" fontId="100"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Fill="0" applyAlignment="0">
      <protection locked="0"/>
    </xf>
    <xf numFmtId="0" fontId="34" fillId="0" borderId="0"/>
    <xf numFmtId="216" fontId="34" fillId="0" borderId="0"/>
    <xf numFmtId="0" fontId="34" fillId="0" borderId="0"/>
    <xf numFmtId="216" fontId="34" fillId="0" borderId="0"/>
    <xf numFmtId="10" fontId="101"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0" fontId="103" fillId="0" borderId="0" applyFont="0" applyFill="0" applyBorder="0" applyAlignment="0" applyProtection="0"/>
    <xf numFmtId="0" fontId="17"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17" fillId="0" borderId="0" applyFont="0" applyFill="0" applyBorder="0" applyAlignment="0" applyProtection="0"/>
    <xf numFmtId="0" fontId="103" fillId="0" borderId="0" applyFont="0" applyFill="0" applyBorder="0" applyAlignment="0" applyProtection="0"/>
    <xf numFmtId="0" fontId="102" fillId="0" borderId="0" applyFont="0" applyFill="0" applyBorder="0" applyAlignment="0" applyProtection="0"/>
    <xf numFmtId="0" fontId="102" fillId="0" borderId="0" applyFont="0" applyFill="0" applyBorder="0" applyAlignment="0" applyProtection="0"/>
    <xf numFmtId="0" fontId="103"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03"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04" fillId="0" borderId="0"/>
    <xf numFmtId="0" fontId="105" fillId="0" borderId="0"/>
    <xf numFmtId="0" fontId="104" fillId="0" borderId="0"/>
    <xf numFmtId="0" fontId="104" fillId="0" borderId="0"/>
    <xf numFmtId="0" fontId="106" fillId="0" borderId="0"/>
    <xf numFmtId="0" fontId="103" fillId="0" borderId="0"/>
    <xf numFmtId="0" fontId="106" fillId="0" borderId="0"/>
    <xf numFmtId="0" fontId="103" fillId="0" borderId="0"/>
    <xf numFmtId="0" fontId="106" fillId="0" borderId="0"/>
    <xf numFmtId="0" fontId="103" fillId="0" borderId="0"/>
    <xf numFmtId="0" fontId="17" fillId="0" borderId="0"/>
    <xf numFmtId="166" fontId="17" fillId="0" borderId="0"/>
    <xf numFmtId="171" fontId="37" fillId="0" borderId="0"/>
    <xf numFmtId="0" fontId="107" fillId="0" borderId="0"/>
    <xf numFmtId="0" fontId="108" fillId="0" borderId="0" applyFont="0" applyFill="0" applyBorder="0" applyAlignment="0" applyProtection="0"/>
    <xf numFmtId="0" fontId="108" fillId="0" borderId="0" applyFont="0" applyFill="0" applyBorder="0" applyAlignment="0" applyProtection="0"/>
    <xf numFmtId="0" fontId="109" fillId="0" borderId="0"/>
    <xf numFmtId="0" fontId="17" fillId="0" borderId="0" applyNumberFormat="0" applyFill="0" applyBorder="0" applyAlignment="0" applyProtection="0">
      <alignment vertical="top"/>
      <protection locked="0"/>
    </xf>
    <xf numFmtId="0" fontId="110" fillId="0" borderId="0"/>
  </cellStyleXfs>
  <cellXfs count="2320">
    <xf numFmtId="0" fontId="0" fillId="0" borderId="0" xfId="0"/>
    <xf numFmtId="37" fontId="2" fillId="16" borderId="11" xfId="0" applyNumberFormat="1" applyFont="1" applyFill="1" applyBorder="1" applyAlignment="1">
      <alignment horizontal="right"/>
    </xf>
    <xf numFmtId="0" fontId="2" fillId="16" borderId="11" xfId="0" applyNumberFormat="1" applyFont="1" applyFill="1" applyBorder="1" applyAlignment="1">
      <alignment horizontal="right"/>
    </xf>
    <xf numFmtId="0" fontId="5" fillId="17" borderId="0" xfId="0" applyFont="1" applyFill="1" applyBorder="1"/>
    <xf numFmtId="0" fontId="3" fillId="17" borderId="0" xfId="0" applyFont="1" applyFill="1" applyBorder="1"/>
    <xf numFmtId="0" fontId="5" fillId="17" borderId="12" xfId="0" applyFont="1" applyFill="1" applyBorder="1"/>
    <xf numFmtId="37" fontId="4" fillId="17" borderId="11" xfId="0" applyNumberFormat="1" applyFont="1" applyFill="1" applyBorder="1" applyAlignment="1">
      <alignment horizontal="right"/>
    </xf>
    <xf numFmtId="37" fontId="4" fillId="17" borderId="13" xfId="0" applyNumberFormat="1" applyFont="1" applyFill="1" applyBorder="1" applyAlignment="1">
      <alignment horizontal="right"/>
    </xf>
    <xf numFmtId="0" fontId="5" fillId="17" borderId="14" xfId="0" applyFont="1" applyFill="1" applyBorder="1"/>
    <xf numFmtId="0" fontId="5" fillId="17" borderId="15" xfId="0" applyFont="1" applyFill="1" applyBorder="1"/>
    <xf numFmtId="165" fontId="5" fillId="17" borderId="14" xfId="0" applyNumberFormat="1" applyFont="1" applyFill="1" applyBorder="1"/>
    <xf numFmtId="165" fontId="5" fillId="17" borderId="0" xfId="0" applyNumberFormat="1" applyFont="1" applyFill="1" applyBorder="1"/>
    <xf numFmtId="165" fontId="5" fillId="17" borderId="15" xfId="0" applyNumberFormat="1" applyFont="1" applyFill="1" applyBorder="1"/>
    <xf numFmtId="0" fontId="8" fillId="18" borderId="0" xfId="0" applyFont="1" applyFill="1" applyBorder="1"/>
    <xf numFmtId="0" fontId="8" fillId="18" borderId="0" xfId="0" applyFont="1" applyFill="1" applyBorder="1" applyAlignment="1"/>
    <xf numFmtId="37" fontId="8" fillId="18" borderId="14" xfId="0" applyNumberFormat="1" applyFont="1" applyFill="1" applyBorder="1" applyAlignment="1"/>
    <xf numFmtId="0" fontId="8" fillId="18" borderId="15" xfId="0" applyFont="1" applyFill="1" applyBorder="1" applyAlignment="1"/>
    <xf numFmtId="167" fontId="5" fillId="17" borderId="14" xfId="0" applyNumberFormat="1" applyFont="1" applyFill="1" applyBorder="1"/>
    <xf numFmtId="167" fontId="5" fillId="17" borderId="0" xfId="0" applyNumberFormat="1" applyFont="1" applyFill="1" applyBorder="1"/>
    <xf numFmtId="167" fontId="5" fillId="0" borderId="0" xfId="0" applyNumberFormat="1" applyFont="1" applyFill="1" applyBorder="1"/>
    <xf numFmtId="0" fontId="4" fillId="0" borderId="11" xfId="0" applyNumberFormat="1" applyFont="1" applyBorder="1" applyAlignment="1">
      <alignment horizontal="centerContinuous"/>
    </xf>
    <xf numFmtId="0" fontId="4" fillId="0" borderId="13" xfId="0" applyNumberFormat="1" applyFont="1" applyBorder="1" applyAlignment="1">
      <alignment horizontal="centerContinuous"/>
    </xf>
    <xf numFmtId="167" fontId="5" fillId="17" borderId="15" xfId="0" applyNumberFormat="1" applyFont="1" applyFill="1" applyBorder="1"/>
    <xf numFmtId="0" fontId="5" fillId="0" borderId="14" xfId="0" applyFont="1" applyFill="1" applyBorder="1"/>
    <xf numFmtId="0" fontId="5" fillId="0" borderId="0" xfId="0" applyFont="1" applyFill="1" applyBorder="1"/>
    <xf numFmtId="0" fontId="5" fillId="0" borderId="15" xfId="0" applyFont="1" applyFill="1" applyBorder="1"/>
    <xf numFmtId="167" fontId="5" fillId="0" borderId="14" xfId="0" applyNumberFormat="1" applyFont="1" applyFill="1" applyBorder="1"/>
    <xf numFmtId="167" fontId="5" fillId="0" borderId="15" xfId="0" applyNumberFormat="1" applyFont="1" applyFill="1" applyBorder="1"/>
    <xf numFmtId="0" fontId="5" fillId="0" borderId="0" xfId="0" applyNumberFormat="1" applyFont="1" applyFill="1" applyBorder="1"/>
    <xf numFmtId="165" fontId="5" fillId="0" borderId="0" xfId="0" applyNumberFormat="1" applyFont="1" applyFill="1" applyBorder="1"/>
    <xf numFmtId="165" fontId="3" fillId="0" borderId="0" xfId="0" applyNumberFormat="1" applyFont="1" applyFill="1" applyBorder="1"/>
    <xf numFmtId="0" fontId="3" fillId="0" borderId="0" xfId="0" applyFont="1" applyFill="1" applyBorder="1"/>
    <xf numFmtId="0" fontId="5" fillId="0" borderId="12" xfId="0" applyFont="1" applyFill="1" applyBorder="1"/>
    <xf numFmtId="165" fontId="3" fillId="0" borderId="0" xfId="0" applyNumberFormat="1" applyFont="1" applyBorder="1"/>
    <xf numFmtId="165" fontId="5" fillId="0" borderId="14" xfId="0" applyNumberFormat="1" applyFont="1" applyBorder="1"/>
    <xf numFmtId="165" fontId="5" fillId="0" borderId="0" xfId="0" applyNumberFormat="1" applyFont="1" applyBorder="1"/>
    <xf numFmtId="165" fontId="3" fillId="0" borderId="14" xfId="0" applyNumberFormat="1" applyFont="1" applyFill="1" applyBorder="1"/>
    <xf numFmtId="165" fontId="3" fillId="0" borderId="15" xfId="0" applyNumberFormat="1" applyFont="1" applyFill="1" applyBorder="1"/>
    <xf numFmtId="165" fontId="10" fillId="0" borderId="14" xfId="0" applyNumberFormat="1" applyFont="1" applyFill="1" applyBorder="1"/>
    <xf numFmtId="165" fontId="10" fillId="0" borderId="0" xfId="0" applyNumberFormat="1" applyFont="1" applyFill="1" applyBorder="1"/>
    <xf numFmtId="165" fontId="10" fillId="0" borderId="14" xfId="0" applyNumberFormat="1" applyFont="1" applyBorder="1"/>
    <xf numFmtId="0" fontId="5" fillId="0" borderId="16" xfId="0" applyFont="1" applyFill="1" applyBorder="1"/>
    <xf numFmtId="0" fontId="5" fillId="0" borderId="17" xfId="0" applyFont="1" applyFill="1" applyBorder="1"/>
    <xf numFmtId="0" fontId="5" fillId="17" borderId="0" xfId="0" applyFont="1" applyFill="1"/>
    <xf numFmtId="165" fontId="10" fillId="0" borderId="0" xfId="0" applyNumberFormat="1" applyFont="1" applyBorder="1"/>
    <xf numFmtId="165" fontId="5" fillId="17" borderId="12" xfId="0" applyNumberFormat="1" applyFont="1" applyFill="1" applyBorder="1"/>
    <xf numFmtId="165" fontId="10" fillId="17" borderId="0" xfId="0" applyNumberFormat="1" applyFont="1" applyFill="1" applyBorder="1"/>
    <xf numFmtId="165" fontId="10" fillId="17" borderId="15" xfId="0" applyNumberFormat="1" applyFont="1" applyFill="1" applyBorder="1"/>
    <xf numFmtId="165" fontId="3" fillId="17" borderId="14" xfId="0" applyNumberFormat="1" applyFont="1" applyFill="1" applyBorder="1"/>
    <xf numFmtId="165" fontId="3" fillId="17" borderId="0" xfId="0" applyNumberFormat="1" applyFont="1" applyFill="1" applyBorder="1"/>
    <xf numFmtId="165" fontId="3" fillId="17" borderId="15" xfId="0" applyNumberFormat="1" applyFont="1" applyFill="1" applyBorder="1"/>
    <xf numFmtId="0" fontId="5" fillId="0" borderId="0" xfId="0" applyFont="1" applyFill="1"/>
    <xf numFmtId="0" fontId="5" fillId="0" borderId="0" xfId="0" applyFont="1"/>
    <xf numFmtId="165" fontId="12" fillId="0" borderId="0" xfId="0" applyNumberFormat="1" applyFont="1" applyFill="1" applyBorder="1"/>
    <xf numFmtId="167" fontId="12" fillId="0" borderId="0" xfId="0" applyNumberFormat="1" applyFont="1" applyFill="1" applyBorder="1"/>
    <xf numFmtId="0" fontId="3" fillId="0" borderId="15" xfId="0" applyFont="1" applyFill="1" applyBorder="1"/>
    <xf numFmtId="0" fontId="10" fillId="0" borderId="15" xfId="0" applyFont="1" applyFill="1" applyBorder="1"/>
    <xf numFmtId="165" fontId="5" fillId="0" borderId="14" xfId="0" applyNumberFormat="1" applyFont="1" applyFill="1" applyBorder="1"/>
    <xf numFmtId="165" fontId="5" fillId="0" borderId="15" xfId="0" applyNumberFormat="1" applyFont="1" applyFill="1" applyBorder="1"/>
    <xf numFmtId="165" fontId="10" fillId="0" borderId="15" xfId="0" applyNumberFormat="1" applyFont="1" applyFill="1" applyBorder="1"/>
    <xf numFmtId="165" fontId="0" fillId="0" borderId="14" xfId="0" applyNumberFormat="1" applyBorder="1"/>
    <xf numFmtId="165" fontId="0" fillId="0" borderId="0" xfId="0" applyNumberFormat="1" applyBorder="1"/>
    <xf numFmtId="165" fontId="0" fillId="0" borderId="15" xfId="0" applyNumberFormat="1" applyBorder="1"/>
    <xf numFmtId="0" fontId="0" fillId="0" borderId="0" xfId="0" applyBorder="1"/>
    <xf numFmtId="0" fontId="0" fillId="0" borderId="15" xfId="0" applyBorder="1"/>
    <xf numFmtId="165" fontId="10" fillId="0" borderId="15" xfId="0" applyNumberFormat="1" applyFont="1" applyBorder="1"/>
    <xf numFmtId="165" fontId="5" fillId="0" borderId="15" xfId="0" applyNumberFormat="1" applyFont="1" applyBorder="1"/>
    <xf numFmtId="7" fontId="5" fillId="17" borderId="14" xfId="0" applyNumberFormat="1" applyFont="1" applyFill="1" applyBorder="1"/>
    <xf numFmtId="7" fontId="5" fillId="17" borderId="0" xfId="0" applyNumberFormat="1" applyFont="1" applyFill="1" applyBorder="1"/>
    <xf numFmtId="7" fontId="5" fillId="17" borderId="15" xfId="0" applyNumberFormat="1" applyFont="1" applyFill="1" applyBorder="1"/>
    <xf numFmtId="0" fontId="3" fillId="17" borderId="14" xfId="0" applyFont="1" applyFill="1" applyBorder="1"/>
    <xf numFmtId="165" fontId="7" fillId="0" borderId="0" xfId="0" applyNumberFormat="1" applyFont="1" applyBorder="1"/>
    <xf numFmtId="165" fontId="7" fillId="0" borderId="15" xfId="0" applyNumberFormat="1" applyFont="1" applyBorder="1"/>
    <xf numFmtId="0" fontId="7" fillId="0" borderId="0" xfId="0" applyFont="1" applyFill="1" applyBorder="1"/>
    <xf numFmtId="0" fontId="8" fillId="18" borderId="18" xfId="0" applyFont="1" applyFill="1" applyBorder="1" applyAlignment="1"/>
    <xf numFmtId="0" fontId="8" fillId="18" borderId="19" xfId="0" applyFont="1" applyFill="1" applyBorder="1" applyAlignment="1"/>
    <xf numFmtId="0" fontId="5" fillId="0" borderId="14" xfId="0" applyFont="1" applyBorder="1"/>
    <xf numFmtId="0" fontId="0" fillId="0" borderId="0" xfId="0" applyFill="1" applyBorder="1"/>
    <xf numFmtId="167" fontId="10" fillId="0" borderId="0" xfId="0" applyNumberFormat="1" applyFont="1" applyBorder="1"/>
    <xf numFmtId="167" fontId="10" fillId="0" borderId="15" xfId="0" applyNumberFormat="1" applyFont="1" applyBorder="1"/>
    <xf numFmtId="167" fontId="5" fillId="0" borderId="0" xfId="0" applyNumberFormat="1" applyFont="1" applyBorder="1"/>
    <xf numFmtId="0" fontId="8" fillId="18" borderId="20" xfId="0" applyFont="1" applyFill="1" applyBorder="1" applyAlignment="1"/>
    <xf numFmtId="0" fontId="8" fillId="18" borderId="18" xfId="0" applyFont="1" applyFill="1" applyBorder="1"/>
    <xf numFmtId="37" fontId="5" fillId="17" borderId="0" xfId="0" applyNumberFormat="1" applyFont="1" applyFill="1" applyBorder="1"/>
    <xf numFmtId="167" fontId="9" fillId="17" borderId="0" xfId="0" applyNumberFormat="1" applyFont="1" applyFill="1" applyBorder="1"/>
    <xf numFmtId="0" fontId="13" fillId="0" borderId="20" xfId="0" applyFont="1" applyBorder="1"/>
    <xf numFmtId="0" fontId="13" fillId="0" borderId="18" xfId="0" applyFont="1" applyBorder="1"/>
    <xf numFmtId="0" fontId="13" fillId="0" borderId="19" xfId="0" applyFont="1" applyBorder="1"/>
    <xf numFmtId="165" fontId="13" fillId="0" borderId="14" xfId="0" applyNumberFormat="1" applyFont="1" applyBorder="1"/>
    <xf numFmtId="165" fontId="13" fillId="0" borderId="0" xfId="0" applyNumberFormat="1" applyFont="1" applyBorder="1"/>
    <xf numFmtId="165" fontId="13" fillId="0" borderId="15" xfId="0" applyNumberFormat="1" applyFont="1" applyBorder="1"/>
    <xf numFmtId="165" fontId="13" fillId="0" borderId="0" xfId="0" applyNumberFormat="1" applyFont="1" applyFill="1" applyBorder="1"/>
    <xf numFmtId="0" fontId="3" fillId="0" borderId="14" xfId="0" applyFont="1" applyFill="1" applyBorder="1"/>
    <xf numFmtId="43" fontId="5" fillId="0" borderId="14" xfId="0" applyNumberFormat="1" applyFont="1" applyBorder="1"/>
    <xf numFmtId="43" fontId="5" fillId="0" borderId="0" xfId="0" applyNumberFormat="1" applyFont="1" applyBorder="1"/>
    <xf numFmtId="43" fontId="5" fillId="0" borderId="15" xfId="0" applyNumberFormat="1" applyFont="1" applyBorder="1"/>
    <xf numFmtId="0" fontId="5" fillId="0" borderId="0" xfId="0" applyFont="1" applyBorder="1"/>
    <xf numFmtId="0" fontId="5" fillId="0" borderId="15" xfId="0" applyFont="1" applyBorder="1"/>
    <xf numFmtId="165" fontId="5" fillId="0" borderId="16" xfId="0" applyNumberFormat="1" applyFont="1" applyBorder="1"/>
    <xf numFmtId="165" fontId="5" fillId="0" borderId="12" xfId="0" applyNumberFormat="1" applyFont="1" applyBorder="1"/>
    <xf numFmtId="165" fontId="5" fillId="0" borderId="17" xfId="0" applyNumberFormat="1" applyFont="1" applyBorder="1"/>
    <xf numFmtId="165" fontId="5" fillId="19" borderId="21" xfId="0" applyNumberFormat="1" applyFont="1" applyFill="1" applyBorder="1"/>
    <xf numFmtId="165" fontId="5" fillId="19" borderId="11" xfId="0" applyNumberFormat="1" applyFont="1" applyFill="1" applyBorder="1"/>
    <xf numFmtId="165" fontId="5" fillId="19" borderId="13" xfId="0" applyNumberFormat="1" applyFont="1" applyFill="1" applyBorder="1"/>
    <xf numFmtId="0" fontId="5" fillId="0" borderId="12" xfId="0" applyFont="1" applyBorder="1"/>
    <xf numFmtId="0" fontId="5" fillId="17" borderId="0" xfId="0" applyNumberFormat="1" applyFont="1" applyFill="1" applyBorder="1"/>
    <xf numFmtId="0" fontId="5" fillId="0" borderId="16" xfId="0" applyFont="1" applyBorder="1"/>
    <xf numFmtId="0" fontId="5" fillId="0" borderId="17" xfId="0" applyFont="1" applyBorder="1"/>
    <xf numFmtId="37" fontId="5" fillId="0" borderId="0" xfId="0" applyNumberFormat="1" applyFont="1" applyFill="1" applyBorder="1"/>
    <xf numFmtId="0" fontId="3" fillId="17" borderId="15" xfId="0" applyFont="1" applyFill="1" applyBorder="1"/>
    <xf numFmtId="0" fontId="8" fillId="18" borderId="21" xfId="0" applyFont="1" applyFill="1" applyBorder="1"/>
    <xf numFmtId="0" fontId="8" fillId="18" borderId="11" xfId="0" applyFont="1" applyFill="1" applyBorder="1"/>
    <xf numFmtId="0" fontId="8" fillId="18" borderId="13" xfId="0" applyFont="1" applyFill="1" applyBorder="1"/>
    <xf numFmtId="2" fontId="5" fillId="17" borderId="0" xfId="0" applyNumberFormat="1" applyFont="1" applyFill="1" applyBorder="1"/>
    <xf numFmtId="167" fontId="5" fillId="0" borderId="15" xfId="0" applyNumberFormat="1" applyFont="1" applyBorder="1"/>
    <xf numFmtId="165" fontId="7" fillId="0" borderId="22" xfId="0" applyNumberFormat="1" applyFont="1" applyBorder="1"/>
    <xf numFmtId="165" fontId="3" fillId="0" borderId="22" xfId="0" applyNumberFormat="1" applyFont="1" applyBorder="1"/>
    <xf numFmtId="165" fontId="13" fillId="0" borderId="22" xfId="0" applyNumberFormat="1" applyFont="1" applyBorder="1"/>
    <xf numFmtId="43" fontId="5" fillId="0" borderId="0" xfId="0" applyNumberFormat="1" applyFont="1" applyFill="1" applyBorder="1"/>
    <xf numFmtId="0" fontId="1" fillId="17" borderId="14" xfId="0" applyFont="1" applyFill="1" applyBorder="1"/>
    <xf numFmtId="0" fontId="1" fillId="17" borderId="0" xfId="0" applyFont="1" applyFill="1" applyBorder="1"/>
    <xf numFmtId="0" fontId="1" fillId="17" borderId="15" xfId="0" applyFont="1" applyFill="1" applyBorder="1"/>
    <xf numFmtId="0" fontId="1" fillId="0" borderId="0" xfId="0" applyFont="1" applyFill="1" applyBorder="1"/>
    <xf numFmtId="0" fontId="1" fillId="0" borderId="15" xfId="0" applyFont="1" applyFill="1" applyBorder="1"/>
    <xf numFmtId="165" fontId="1" fillId="17" borderId="0" xfId="0" applyNumberFormat="1" applyFont="1" applyFill="1" applyBorder="1"/>
    <xf numFmtId="165" fontId="1" fillId="17" borderId="15" xfId="0" applyNumberFormat="1" applyFont="1" applyFill="1" applyBorder="1"/>
    <xf numFmtId="179" fontId="1" fillId="17" borderId="0" xfId="0" applyNumberFormat="1" applyFont="1" applyFill="1" applyBorder="1"/>
    <xf numFmtId="179" fontId="1" fillId="17" borderId="15" xfId="0" applyNumberFormat="1" applyFont="1" applyFill="1" applyBorder="1"/>
    <xf numFmtId="3" fontId="5" fillId="17" borderId="0" xfId="0" applyNumberFormat="1" applyFont="1" applyFill="1" applyBorder="1"/>
    <xf numFmtId="165" fontId="5" fillId="17" borderId="17" xfId="0" applyNumberFormat="1" applyFont="1" applyFill="1" applyBorder="1"/>
    <xf numFmtId="165" fontId="28" fillId="0" borderId="0" xfId="0" applyNumberFormat="1" applyFont="1" applyBorder="1"/>
    <xf numFmtId="171" fontId="5" fillId="0" borderId="0" xfId="0" applyNumberFormat="1" applyFont="1" applyBorder="1"/>
    <xf numFmtId="9" fontId="5" fillId="0" borderId="0" xfId="0" applyNumberFormat="1" applyFont="1" applyFill="1" applyBorder="1"/>
    <xf numFmtId="165" fontId="28" fillId="0" borderId="0" xfId="0" applyNumberFormat="1" applyFont="1" applyFill="1" applyBorder="1"/>
    <xf numFmtId="165" fontId="28" fillId="0" borderId="15" xfId="0" applyNumberFormat="1" applyFont="1" applyFill="1" applyBorder="1"/>
    <xf numFmtId="0" fontId="28" fillId="0" borderId="0" xfId="0" applyFont="1" applyFill="1" applyBorder="1"/>
    <xf numFmtId="165" fontId="12" fillId="0" borderId="0" xfId="0" applyNumberFormat="1" applyFont="1" applyBorder="1"/>
    <xf numFmtId="165" fontId="12" fillId="0" borderId="15" xfId="0" applyNumberFormat="1" applyFont="1" applyBorder="1"/>
    <xf numFmtId="165" fontId="12" fillId="17" borderId="0" xfId="0" applyNumberFormat="1" applyFont="1" applyFill="1" applyBorder="1"/>
    <xf numFmtId="0" fontId="3" fillId="0" borderId="15" xfId="0" applyFont="1" applyBorder="1"/>
    <xf numFmtId="173" fontId="5" fillId="0" borderId="15" xfId="0" applyNumberFormat="1" applyFont="1" applyFill="1" applyBorder="1" applyAlignment="1"/>
    <xf numFmtId="0" fontId="5" fillId="0" borderId="0" xfId="0" applyNumberFormat="1" applyFont="1" applyFill="1" applyBorder="1" applyAlignment="1"/>
    <xf numFmtId="0" fontId="9" fillId="0" borderId="0" xfId="0" applyNumberFormat="1" applyFont="1" applyFill="1" applyBorder="1" applyAlignment="1"/>
    <xf numFmtId="37" fontId="5" fillId="17" borderId="0" xfId="0" applyNumberFormat="1" applyFont="1" applyFill="1" applyBorder="1" applyAlignment="1">
      <alignment horizontal="right"/>
    </xf>
    <xf numFmtId="37" fontId="5" fillId="0" borderId="0" xfId="0" applyNumberFormat="1" applyFont="1" applyFill="1" applyBorder="1" applyAlignment="1">
      <alignment horizontal="right"/>
    </xf>
    <xf numFmtId="0" fontId="5" fillId="17" borderId="0" xfId="0" applyNumberFormat="1" applyFont="1" applyFill="1" applyBorder="1" applyAlignment="1"/>
    <xf numFmtId="0" fontId="10" fillId="0" borderId="0" xfId="0" applyNumberFormat="1" applyFont="1" applyFill="1" applyBorder="1" applyAlignment="1"/>
    <xf numFmtId="0" fontId="3" fillId="0" borderId="0" xfId="0" applyFont="1" applyBorder="1"/>
    <xf numFmtId="181" fontId="5" fillId="17" borderId="0" xfId="0" applyNumberFormat="1" applyFont="1" applyFill="1" applyBorder="1"/>
    <xf numFmtId="2" fontId="5" fillId="0" borderId="0" xfId="0" applyNumberFormat="1" applyFont="1" applyFill="1" applyBorder="1"/>
    <xf numFmtId="10" fontId="10" fillId="0" borderId="0" xfId="0" applyNumberFormat="1" applyFont="1" applyFill="1" applyBorder="1"/>
    <xf numFmtId="17" fontId="2" fillId="16" borderId="12" xfId="0" applyNumberFormat="1" applyFont="1" applyFill="1" applyBorder="1" applyAlignment="1">
      <alignment horizontal="right"/>
    </xf>
    <xf numFmtId="0" fontId="3" fillId="0" borderId="0" xfId="0" applyFont="1"/>
    <xf numFmtId="0" fontId="8" fillId="18" borderId="19" xfId="0" applyFont="1" applyFill="1" applyBorder="1"/>
    <xf numFmtId="167" fontId="10" fillId="0" borderId="12" xfId="0" applyNumberFormat="1" applyFont="1" applyFill="1" applyBorder="1"/>
    <xf numFmtId="167" fontId="10" fillId="0" borderId="17" xfId="0" applyNumberFormat="1" applyFont="1" applyFill="1" applyBorder="1"/>
    <xf numFmtId="0" fontId="8" fillId="18" borderId="12" xfId="0" applyFont="1" applyFill="1" applyBorder="1"/>
    <xf numFmtId="10" fontId="5" fillId="0" borderId="0" xfId="0" applyNumberFormat="1" applyFont="1" applyFill="1" applyBorder="1"/>
    <xf numFmtId="3" fontId="5" fillId="0" borderId="0" xfId="0" applyNumberFormat="1" applyFont="1" applyFill="1" applyBorder="1"/>
    <xf numFmtId="166" fontId="5" fillId="0" borderId="0" xfId="0" applyNumberFormat="1" applyFont="1" applyFill="1" applyBorder="1"/>
    <xf numFmtId="0" fontId="25" fillId="0" borderId="0" xfId="0" applyNumberFormat="1" applyFont="1" applyFill="1" applyBorder="1" applyAlignment="1"/>
    <xf numFmtId="7" fontId="5" fillId="0" borderId="0" xfId="0" applyNumberFormat="1" applyFont="1" applyFill="1" applyBorder="1" applyAlignment="1"/>
    <xf numFmtId="0" fontId="5" fillId="20" borderId="0" xfId="0" applyFont="1" applyFill="1" applyBorder="1"/>
    <xf numFmtId="0" fontId="3" fillId="20" borderId="0" xfId="0" applyFont="1" applyFill="1" applyBorder="1"/>
    <xf numFmtId="165" fontId="12" fillId="17" borderId="15" xfId="0" applyNumberFormat="1" applyFont="1" applyFill="1" applyBorder="1"/>
    <xf numFmtId="165" fontId="5" fillId="20" borderId="0" xfId="0" applyNumberFormat="1" applyFont="1" applyFill="1" applyBorder="1"/>
    <xf numFmtId="171" fontId="5" fillId="0" borderId="15" xfId="0" applyNumberFormat="1" applyFont="1" applyBorder="1"/>
    <xf numFmtId="37" fontId="3" fillId="0" borderId="0" xfId="0" applyNumberFormat="1" applyFont="1" applyFill="1" applyBorder="1" applyAlignment="1">
      <alignment horizontal="centerContinuous"/>
    </xf>
    <xf numFmtId="177" fontId="3" fillId="0" borderId="0" xfId="0" applyNumberFormat="1" applyFont="1" applyFill="1" applyBorder="1" applyAlignment="1"/>
    <xf numFmtId="165" fontId="12" fillId="17" borderId="14" xfId="0" applyNumberFormat="1" applyFont="1" applyFill="1" applyBorder="1"/>
    <xf numFmtId="171" fontId="13" fillId="0" borderId="0" xfId="0" applyNumberFormat="1" applyFont="1" applyBorder="1"/>
    <xf numFmtId="0" fontId="5" fillId="0" borderId="0" xfId="0" applyNumberFormat="1" applyFont="1" applyFill="1" applyBorder="1" applyAlignment="1">
      <alignment horizontal="center"/>
    </xf>
    <xf numFmtId="164" fontId="28" fillId="0" borderId="0" xfId="0" applyNumberFormat="1" applyFont="1" applyBorder="1"/>
    <xf numFmtId="164" fontId="5" fillId="0" borderId="0" xfId="0" applyNumberFormat="1" applyFont="1" applyBorder="1"/>
    <xf numFmtId="43" fontId="28" fillId="0" borderId="0" xfId="0" applyNumberFormat="1" applyFont="1" applyBorder="1"/>
    <xf numFmtId="187" fontId="5" fillId="17" borderId="0" xfId="0" applyNumberFormat="1" applyFont="1" applyFill="1" applyBorder="1"/>
    <xf numFmtId="37" fontId="3" fillId="17" borderId="0" xfId="0" applyNumberFormat="1" applyFont="1" applyFill="1" applyBorder="1"/>
    <xf numFmtId="0" fontId="9" fillId="17" borderId="0" xfId="0" applyFont="1" applyFill="1" applyBorder="1"/>
    <xf numFmtId="0" fontId="3" fillId="17" borderId="0" xfId="0" applyNumberFormat="1" applyFont="1" applyFill="1" applyBorder="1" applyAlignment="1">
      <alignment horizontal="left"/>
    </xf>
    <xf numFmtId="165" fontId="3" fillId="0" borderId="0" xfId="0" applyNumberFormat="1" applyFont="1"/>
    <xf numFmtId="0" fontId="3" fillId="17" borderId="0" xfId="0" applyNumberFormat="1" applyFont="1" applyFill="1" applyBorder="1" applyAlignment="1"/>
    <xf numFmtId="0" fontId="3" fillId="0" borderId="0" xfId="0" applyNumberFormat="1" applyFont="1" applyFill="1" applyBorder="1" applyAlignment="1"/>
    <xf numFmtId="0" fontId="9" fillId="17" borderId="15" xfId="0" applyFont="1" applyFill="1" applyBorder="1"/>
    <xf numFmtId="167" fontId="9" fillId="0" borderId="0" xfId="0" applyNumberFormat="1" applyFont="1" applyFill="1" applyBorder="1"/>
    <xf numFmtId="0" fontId="10" fillId="17" borderId="0" xfId="0" applyFont="1" applyFill="1" applyBorder="1"/>
    <xf numFmtId="165" fontId="5" fillId="17" borderId="0" xfId="0" applyNumberFormat="1" applyFont="1" applyFill="1"/>
    <xf numFmtId="10" fontId="10" fillId="0" borderId="14" xfId="0" applyNumberFormat="1" applyFont="1" applyFill="1" applyBorder="1"/>
    <xf numFmtId="0" fontId="3" fillId="0" borderId="0" xfId="0" applyFont="1" applyFill="1" applyBorder="1" applyAlignment="1"/>
    <xf numFmtId="0" fontId="3" fillId="17" borderId="0" xfId="0" applyFont="1" applyFill="1" applyBorder="1" applyAlignment="1"/>
    <xf numFmtId="0" fontId="2" fillId="16" borderId="18" xfId="0" applyNumberFormat="1" applyFont="1" applyFill="1" applyBorder="1" applyAlignment="1"/>
    <xf numFmtId="0" fontId="2" fillId="16" borderId="19" xfId="0" applyNumberFormat="1" applyFont="1" applyFill="1" applyBorder="1" applyAlignment="1"/>
    <xf numFmtId="0" fontId="6" fillId="16" borderId="12" xfId="0" applyNumberFormat="1" applyFont="1" applyFill="1" applyBorder="1" applyAlignment="1"/>
    <xf numFmtId="0" fontId="6" fillId="16" borderId="17" xfId="0" applyNumberFormat="1" applyFont="1" applyFill="1" applyBorder="1" applyAlignment="1"/>
    <xf numFmtId="0" fontId="3" fillId="19" borderId="0" xfId="0" applyFont="1" applyFill="1" applyBorder="1" applyAlignment="1"/>
    <xf numFmtId="0" fontId="3" fillId="19" borderId="15" xfId="0" applyFont="1" applyFill="1" applyBorder="1" applyAlignment="1"/>
    <xf numFmtId="0" fontId="3" fillId="0" borderId="15" xfId="0" applyFont="1" applyFill="1" applyBorder="1" applyAlignment="1"/>
    <xf numFmtId="0" fontId="5" fillId="0" borderId="0" xfId="0" applyFont="1" applyFill="1" applyBorder="1" applyAlignment="1"/>
    <xf numFmtId="0" fontId="5" fillId="0" borderId="15" xfId="0" applyFont="1" applyFill="1" applyBorder="1" applyAlignment="1"/>
    <xf numFmtId="0" fontId="3" fillId="17" borderId="15" xfId="0" applyFont="1" applyFill="1" applyBorder="1" applyAlignment="1"/>
    <xf numFmtId="0" fontId="9" fillId="17" borderId="0" xfId="0" applyFont="1" applyFill="1" applyBorder="1" applyAlignment="1"/>
    <xf numFmtId="0" fontId="9" fillId="17" borderId="15" xfId="0" applyFont="1" applyFill="1" applyBorder="1" applyAlignment="1"/>
    <xf numFmtId="0" fontId="5" fillId="17" borderId="0" xfId="0" applyFont="1" applyFill="1" applyBorder="1" applyAlignment="1"/>
    <xf numFmtId="0" fontId="5" fillId="17" borderId="15" xfId="0" applyFont="1" applyFill="1" applyBorder="1" applyAlignment="1"/>
    <xf numFmtId="0" fontId="23" fillId="17" borderId="0" xfId="0" applyFont="1" applyFill="1" applyBorder="1" applyAlignment="1"/>
    <xf numFmtId="0" fontId="23" fillId="17" borderId="15" xfId="0" applyFont="1" applyFill="1" applyBorder="1" applyAlignment="1"/>
    <xf numFmtId="0" fontId="5" fillId="17" borderId="12" xfId="0" applyFont="1" applyFill="1" applyBorder="1" applyAlignment="1"/>
    <xf numFmtId="0" fontId="5" fillId="17" borderId="17" xfId="0" applyFont="1" applyFill="1" applyBorder="1" applyAlignment="1"/>
    <xf numFmtId="0" fontId="5" fillId="17" borderId="14" xfId="0" applyFont="1" applyFill="1" applyBorder="1" applyAlignment="1"/>
    <xf numFmtId="0" fontId="5" fillId="0" borderId="14" xfId="0" applyFont="1" applyFill="1" applyBorder="1" applyAlignment="1"/>
    <xf numFmtId="0" fontId="3" fillId="17" borderId="14" xfId="0" applyFont="1" applyFill="1" applyBorder="1" applyAlignment="1"/>
    <xf numFmtId="0" fontId="5" fillId="17" borderId="16" xfId="0" applyFont="1" applyFill="1" applyBorder="1" applyAlignment="1"/>
    <xf numFmtId="168" fontId="3" fillId="0" borderId="0" xfId="0" applyNumberFormat="1" applyFont="1" applyFill="1" applyBorder="1" applyAlignment="1"/>
    <xf numFmtId="168" fontId="3" fillId="0" borderId="15" xfId="0" applyNumberFormat="1" applyFont="1" applyFill="1" applyBorder="1" applyAlignment="1"/>
    <xf numFmtId="168" fontId="5" fillId="0" borderId="0" xfId="0" applyNumberFormat="1" applyFont="1" applyBorder="1" applyAlignment="1"/>
    <xf numFmtId="0" fontId="3" fillId="0" borderId="14" xfId="0" applyNumberFormat="1" applyFont="1" applyFill="1" applyBorder="1" applyAlignment="1"/>
    <xf numFmtId="0" fontId="5" fillId="0" borderId="14" xfId="0" applyNumberFormat="1" applyFont="1" applyFill="1" applyBorder="1" applyAlignment="1"/>
    <xf numFmtId="0" fontId="5" fillId="0" borderId="15" xfId="0" applyNumberFormat="1" applyFont="1" applyFill="1" applyBorder="1" applyAlignment="1"/>
    <xf numFmtId="0" fontId="1" fillId="0" borderId="14" xfId="0" applyNumberFormat="1" applyFont="1" applyFill="1" applyBorder="1" applyAlignment="1"/>
    <xf numFmtId="0" fontId="1" fillId="0" borderId="0" xfId="0" applyNumberFormat="1" applyFont="1" applyFill="1" applyBorder="1" applyAlignment="1"/>
    <xf numFmtId="0" fontId="11" fillId="0" borderId="14" xfId="0" applyNumberFormat="1" applyFont="1" applyFill="1" applyBorder="1" applyAlignment="1"/>
    <xf numFmtId="0" fontId="11" fillId="0" borderId="0" xfId="0" applyNumberFormat="1" applyFont="1" applyFill="1" applyBorder="1" applyAlignment="1"/>
    <xf numFmtId="0" fontId="1" fillId="17" borderId="0" xfId="0" applyNumberFormat="1" applyFont="1" applyFill="1" applyBorder="1" applyAlignment="1"/>
    <xf numFmtId="0" fontId="1" fillId="17" borderId="0" xfId="0" applyFont="1" applyFill="1" applyBorder="1" applyAlignment="1"/>
    <xf numFmtId="0" fontId="2" fillId="18" borderId="0" xfId="0" applyFont="1" applyFill="1" applyBorder="1" applyAlignment="1"/>
    <xf numFmtId="0" fontId="3" fillId="0" borderId="14" xfId="0" applyFont="1" applyFill="1" applyBorder="1" applyAlignment="1"/>
    <xf numFmtId="0" fontId="5" fillId="0" borderId="16" xfId="0" applyFont="1" applyFill="1" applyBorder="1" applyAlignment="1"/>
    <xf numFmtId="0" fontId="5" fillId="20" borderId="0" xfId="0" applyFont="1" applyFill="1" applyBorder="1" applyAlignment="1"/>
    <xf numFmtId="0" fontId="5" fillId="17" borderId="14" xfId="0" applyNumberFormat="1" applyFont="1" applyFill="1" applyBorder="1" applyAlignment="1"/>
    <xf numFmtId="0" fontId="5" fillId="17" borderId="15" xfId="0" applyNumberFormat="1" applyFont="1" applyFill="1" applyBorder="1" applyAlignment="1"/>
    <xf numFmtId="2" fontId="5" fillId="17" borderId="0" xfId="0" applyNumberFormat="1" applyFont="1" applyFill="1" applyBorder="1" applyAlignment="1"/>
    <xf numFmtId="0" fontId="2" fillId="16" borderId="20" xfId="0" applyNumberFormat="1" applyFont="1" applyFill="1" applyBorder="1" applyAlignment="1"/>
    <xf numFmtId="0" fontId="6" fillId="16" borderId="16" xfId="0" applyNumberFormat="1" applyFont="1" applyFill="1" applyBorder="1" applyAlignment="1"/>
    <xf numFmtId="0" fontId="3" fillId="19" borderId="14" xfId="0" applyFont="1" applyFill="1" applyBorder="1" applyAlignment="1"/>
    <xf numFmtId="0" fontId="23" fillId="17" borderId="14" xfId="0" applyFont="1" applyFill="1" applyBorder="1" applyAlignment="1"/>
    <xf numFmtId="0" fontId="2" fillId="18" borderId="21" xfId="0" applyFont="1" applyFill="1" applyBorder="1" applyAlignment="1"/>
    <xf numFmtId="0" fontId="2" fillId="18" borderId="11" xfId="0" applyFont="1" applyFill="1" applyBorder="1" applyAlignment="1"/>
    <xf numFmtId="0" fontId="2" fillId="18" borderId="13" xfId="0" applyFont="1" applyFill="1" applyBorder="1" applyAlignment="1"/>
    <xf numFmtId="0" fontId="3" fillId="20" borderId="14" xfId="0" applyFont="1" applyFill="1" applyBorder="1" applyAlignment="1"/>
    <xf numFmtId="167" fontId="3" fillId="17" borderId="0" xfId="0" applyNumberFormat="1" applyFont="1" applyFill="1" applyBorder="1"/>
    <xf numFmtId="167" fontId="3" fillId="17" borderId="15" xfId="0" applyNumberFormat="1" applyFont="1" applyFill="1" applyBorder="1"/>
    <xf numFmtId="165" fontId="10" fillId="20" borderId="0" xfId="0" applyNumberFormat="1" applyFont="1" applyFill="1" applyBorder="1"/>
    <xf numFmtId="165" fontId="10" fillId="20" borderId="14" xfId="0" applyNumberFormat="1" applyFont="1" applyFill="1" applyBorder="1"/>
    <xf numFmtId="0" fontId="2" fillId="18" borderId="20" xfId="0" applyFont="1" applyFill="1" applyBorder="1" applyAlignment="1"/>
    <xf numFmtId="0" fontId="2" fillId="18" borderId="18" xfId="0" applyFont="1" applyFill="1" applyBorder="1" applyAlignment="1"/>
    <xf numFmtId="0" fontId="10" fillId="17" borderId="15" xfId="0" applyFont="1" applyFill="1" applyBorder="1"/>
    <xf numFmtId="0" fontId="5" fillId="17" borderId="16" xfId="0" applyNumberFormat="1" applyFont="1" applyFill="1" applyBorder="1" applyAlignment="1"/>
    <xf numFmtId="0" fontId="5" fillId="17" borderId="12" xfId="0" applyNumberFormat="1" applyFont="1" applyFill="1" applyBorder="1" applyAlignment="1"/>
    <xf numFmtId="0" fontId="5" fillId="17" borderId="17" xfId="0" applyNumberFormat="1" applyFont="1" applyFill="1" applyBorder="1" applyAlignment="1"/>
    <xf numFmtId="2" fontId="8" fillId="18" borderId="11" xfId="0" applyNumberFormat="1" applyFont="1" applyFill="1" applyBorder="1"/>
    <xf numFmtId="2" fontId="8" fillId="18" borderId="13" xfId="0" applyNumberFormat="1" applyFont="1" applyFill="1" applyBorder="1"/>
    <xf numFmtId="2" fontId="2" fillId="18" borderId="11" xfId="0" applyNumberFormat="1" applyFont="1" applyFill="1" applyBorder="1"/>
    <xf numFmtId="167" fontId="10" fillId="21" borderId="0" xfId="0" applyNumberFormat="1" applyFont="1" applyFill="1" applyBorder="1"/>
    <xf numFmtId="167" fontId="10" fillId="21" borderId="15" xfId="0" applyNumberFormat="1" applyFont="1" applyFill="1" applyBorder="1"/>
    <xf numFmtId="167" fontId="10" fillId="21" borderId="14" xfId="0" applyNumberFormat="1" applyFont="1" applyFill="1" applyBorder="1"/>
    <xf numFmtId="167" fontId="24" fillId="21" borderId="0" xfId="0" applyNumberFormat="1" applyFont="1" applyFill="1" applyBorder="1"/>
    <xf numFmtId="0" fontId="28" fillId="0" borderId="0" xfId="0" applyFont="1" applyBorder="1"/>
    <xf numFmtId="0" fontId="3" fillId="0" borderId="14" xfId="0" applyFont="1" applyBorder="1"/>
    <xf numFmtId="173" fontId="5" fillId="0" borderId="0" xfId="0" applyNumberFormat="1" applyFont="1" applyFill="1" applyBorder="1" applyAlignment="1"/>
    <xf numFmtId="0" fontId="6" fillId="16" borderId="11" xfId="0" applyNumberFormat="1" applyFont="1" applyFill="1" applyBorder="1" applyAlignment="1"/>
    <xf numFmtId="0" fontId="6" fillId="16" borderId="13" xfId="0" applyNumberFormat="1" applyFont="1" applyFill="1" applyBorder="1" applyAlignment="1"/>
    <xf numFmtId="0" fontId="6" fillId="16" borderId="0" xfId="0" applyNumberFormat="1" applyFont="1" applyFill="1" applyBorder="1" applyAlignment="1"/>
    <xf numFmtId="0" fontId="13" fillId="0" borderId="0" xfId="0" applyFont="1" applyBorder="1" applyAlignment="1"/>
    <xf numFmtId="0" fontId="13" fillId="0" borderId="15" xfId="0" applyFont="1" applyBorder="1" applyAlignment="1"/>
    <xf numFmtId="0" fontId="2" fillId="18" borderId="19" xfId="0" applyFont="1" applyFill="1" applyBorder="1" applyAlignment="1"/>
    <xf numFmtId="0" fontId="5" fillId="0" borderId="0" xfId="0" applyFont="1" applyBorder="1" applyAlignment="1"/>
    <xf numFmtId="0" fontId="5" fillId="0" borderId="15" xfId="0" applyFont="1" applyBorder="1" applyAlignment="1"/>
    <xf numFmtId="0" fontId="3" fillId="0" borderId="0" xfId="0" applyFont="1" applyBorder="1" applyAlignment="1"/>
    <xf numFmtId="0" fontId="3" fillId="0" borderId="15" xfId="0" applyFont="1" applyBorder="1" applyAlignment="1"/>
    <xf numFmtId="0" fontId="13" fillId="0" borderId="14" xfId="0" applyFont="1" applyBorder="1" applyAlignment="1"/>
    <xf numFmtId="0" fontId="3" fillId="0" borderId="14" xfId="0" applyFont="1" applyBorder="1" applyAlignment="1"/>
    <xf numFmtId="0" fontId="5" fillId="0" borderId="14" xfId="0" applyFont="1" applyBorder="1" applyAlignment="1"/>
    <xf numFmtId="37" fontId="5" fillId="0" borderId="0" xfId="0" applyNumberFormat="1" applyFont="1" applyFill="1" applyBorder="1" applyAlignment="1"/>
    <xf numFmtId="0" fontId="3" fillId="19" borderId="11" xfId="0" applyFont="1" applyFill="1" applyBorder="1" applyAlignment="1"/>
    <xf numFmtId="0" fontId="3" fillId="19" borderId="13" xfId="0" applyFont="1" applyFill="1" applyBorder="1" applyAlignment="1"/>
    <xf numFmtId="0" fontId="5" fillId="0" borderId="0" xfId="0" applyNumberFormat="1" applyFont="1" applyBorder="1" applyAlignment="1"/>
    <xf numFmtId="0" fontId="5" fillId="0" borderId="15" xfId="0" applyNumberFormat="1" applyFont="1" applyBorder="1" applyAlignment="1"/>
    <xf numFmtId="0" fontId="5" fillId="0" borderId="0" xfId="0" applyNumberFormat="1" applyFont="1" applyBorder="1"/>
    <xf numFmtId="0" fontId="6" fillId="16" borderId="21" xfId="0" applyNumberFormat="1" applyFont="1" applyFill="1" applyBorder="1" applyAlignment="1"/>
    <xf numFmtId="0" fontId="5" fillId="0" borderId="14" xfId="0" applyNumberFormat="1" applyFont="1" applyBorder="1" applyAlignment="1"/>
    <xf numFmtId="37" fontId="8" fillId="18" borderId="21" xfId="0" applyNumberFormat="1" applyFont="1" applyFill="1" applyBorder="1"/>
    <xf numFmtId="37" fontId="8" fillId="18" borderId="11" xfId="0" applyNumberFormat="1" applyFont="1" applyFill="1" applyBorder="1"/>
    <xf numFmtId="37" fontId="8" fillId="18" borderId="13" xfId="0" applyNumberFormat="1" applyFont="1" applyFill="1" applyBorder="1"/>
    <xf numFmtId="0" fontId="5" fillId="0" borderId="16" xfId="0" applyFont="1" applyBorder="1" applyAlignment="1"/>
    <xf numFmtId="0" fontId="5" fillId="0" borderId="12" xfId="0" applyFont="1" applyBorder="1" applyAlignment="1"/>
    <xf numFmtId="171" fontId="5" fillId="0" borderId="12" xfId="0" applyNumberFormat="1" applyFont="1" applyBorder="1"/>
    <xf numFmtId="165" fontId="3" fillId="17" borderId="22" xfId="0" applyNumberFormat="1" applyFont="1" applyFill="1" applyBorder="1"/>
    <xf numFmtId="173" fontId="5" fillId="0" borderId="14" xfId="0" applyNumberFormat="1" applyFont="1" applyFill="1" applyBorder="1" applyAlignment="1"/>
    <xf numFmtId="0" fontId="3" fillId="19" borderId="21" xfId="0" applyFont="1" applyFill="1" applyBorder="1" applyAlignment="1"/>
    <xf numFmtId="39" fontId="5" fillId="18" borderId="20" xfId="0" applyNumberFormat="1" applyFont="1" applyFill="1" applyBorder="1"/>
    <xf numFmtId="3" fontId="5" fillId="17" borderId="15" xfId="0" applyNumberFormat="1" applyFont="1" applyFill="1" applyBorder="1"/>
    <xf numFmtId="3" fontId="3" fillId="17" borderId="0" xfId="0" applyNumberFormat="1" applyFont="1" applyFill="1" applyBorder="1"/>
    <xf numFmtId="3" fontId="3" fillId="17" borderId="15" xfId="0" applyNumberFormat="1" applyFont="1" applyFill="1" applyBorder="1"/>
    <xf numFmtId="0" fontId="5" fillId="16" borderId="12" xfId="0" applyFont="1" applyFill="1" applyBorder="1"/>
    <xf numFmtId="174" fontId="5" fillId="0" borderId="14" xfId="0" applyNumberFormat="1" applyFont="1" applyFill="1" applyBorder="1" applyAlignment="1">
      <alignment horizontal="left"/>
    </xf>
    <xf numFmtId="174" fontId="5" fillId="0" borderId="15" xfId="0" applyNumberFormat="1" applyFont="1" applyFill="1" applyBorder="1" applyAlignment="1">
      <alignment horizontal="left"/>
    </xf>
    <xf numFmtId="0" fontId="5" fillId="0" borderId="14" xfId="0" quotePrefix="1" applyFont="1" applyFill="1" applyBorder="1" applyAlignment="1">
      <alignment horizontal="left"/>
    </xf>
    <xf numFmtId="0" fontId="5" fillId="0" borderId="14" xfId="0" applyFont="1" applyFill="1" applyBorder="1" applyAlignment="1">
      <alignment horizontal="left"/>
    </xf>
    <xf numFmtId="167" fontId="5" fillId="0" borderId="14" xfId="0" applyNumberFormat="1" applyFont="1" applyFill="1" applyBorder="1" applyProtection="1"/>
    <xf numFmtId="174" fontId="5" fillId="17" borderId="14" xfId="0" applyNumberFormat="1" applyFont="1" applyFill="1" applyBorder="1" applyAlignment="1">
      <alignment horizontal="left"/>
    </xf>
    <xf numFmtId="167" fontId="5" fillId="0" borderId="15" xfId="0" applyNumberFormat="1" applyFont="1" applyFill="1" applyBorder="1" applyProtection="1"/>
    <xf numFmtId="174" fontId="5" fillId="17" borderId="15" xfId="0" applyNumberFormat="1" applyFont="1" applyFill="1" applyBorder="1" applyAlignment="1">
      <alignment horizontal="left"/>
    </xf>
    <xf numFmtId="172" fontId="21" fillId="0" borderId="0" xfId="57" applyNumberFormat="1" applyFont="1" applyFill="1" applyBorder="1" applyAlignment="1"/>
    <xf numFmtId="3" fontId="3" fillId="17" borderId="0" xfId="57" applyNumberFormat="1" applyFont="1" applyFill="1" applyBorder="1" applyAlignment="1"/>
    <xf numFmtId="3" fontId="5" fillId="17" borderId="0" xfId="57" applyNumberFormat="1" applyFont="1" applyFill="1" applyBorder="1" applyAlignment="1"/>
    <xf numFmtId="3" fontId="5" fillId="17" borderId="0" xfId="57" quotePrefix="1" applyNumberFormat="1" applyFont="1" applyFill="1" applyBorder="1" applyAlignment="1"/>
    <xf numFmtId="187" fontId="5" fillId="17" borderId="0" xfId="57" applyNumberFormat="1" applyFont="1" applyFill="1" applyBorder="1" applyAlignment="1"/>
    <xf numFmtId="188" fontId="5" fillId="17" borderId="15" xfId="57" applyNumberFormat="1" applyFont="1" applyFill="1" applyBorder="1" applyAlignment="1"/>
    <xf numFmtId="165" fontId="10" fillId="20" borderId="15" xfId="0" applyNumberFormat="1" applyFont="1" applyFill="1" applyBorder="1"/>
    <xf numFmtId="165" fontId="8" fillId="18" borderId="11" xfId="0" applyNumberFormat="1" applyFont="1" applyFill="1" applyBorder="1"/>
    <xf numFmtId="171" fontId="8" fillId="18" borderId="11" xfId="0" applyNumberFormat="1" applyFont="1" applyFill="1" applyBorder="1"/>
    <xf numFmtId="165" fontId="2" fillId="17" borderId="22" xfId="0" applyNumberFormat="1" applyFont="1" applyFill="1" applyBorder="1"/>
    <xf numFmtId="165" fontId="8" fillId="18" borderId="13" xfId="0" applyNumberFormat="1" applyFont="1" applyFill="1" applyBorder="1"/>
    <xf numFmtId="165" fontId="28" fillId="17" borderId="0" xfId="0" applyNumberFormat="1" applyFont="1" applyFill="1" applyBorder="1"/>
    <xf numFmtId="0" fontId="5" fillId="17" borderId="17" xfId="0" applyFont="1" applyFill="1" applyBorder="1"/>
    <xf numFmtId="1" fontId="5" fillId="0" borderId="0" xfId="0" applyNumberFormat="1" applyFont="1" applyBorder="1"/>
    <xf numFmtId="0" fontId="22" fillId="17" borderId="0" xfId="0" applyFont="1" applyFill="1" applyBorder="1" applyAlignment="1"/>
    <xf numFmtId="0" fontId="5" fillId="19" borderId="0" xfId="0" applyFont="1" applyFill="1" applyBorder="1" applyAlignment="1"/>
    <xf numFmtId="165" fontId="5" fillId="19" borderId="14" xfId="0" applyNumberFormat="1" applyFont="1" applyFill="1" applyBorder="1"/>
    <xf numFmtId="165" fontId="5" fillId="19" borderId="0" xfId="0" applyNumberFormat="1" applyFont="1" applyFill="1" applyBorder="1"/>
    <xf numFmtId="0" fontId="5" fillId="0" borderId="0" xfId="0" quotePrefix="1" applyFont="1" applyFill="1" applyBorder="1" applyAlignment="1"/>
    <xf numFmtId="0" fontId="5" fillId="17" borderId="0" xfId="0" applyNumberFormat="1" applyFont="1" applyFill="1" applyBorder="1" applyAlignment="1">
      <alignment horizontal="left"/>
    </xf>
    <xf numFmtId="0" fontId="5" fillId="0" borderId="0" xfId="0" applyNumberFormat="1" applyFont="1" applyFill="1" applyBorder="1" applyAlignment="1">
      <alignment horizontal="left"/>
    </xf>
    <xf numFmtId="165" fontId="8" fillId="0" borderId="0" xfId="0" applyNumberFormat="1" applyFont="1" applyFill="1" applyBorder="1"/>
    <xf numFmtId="189" fontId="5" fillId="0" borderId="0" xfId="0" applyNumberFormat="1" applyFont="1" applyBorder="1"/>
    <xf numFmtId="189" fontId="3" fillId="0" borderId="0" xfId="0" applyNumberFormat="1" applyFont="1" applyBorder="1"/>
    <xf numFmtId="189" fontId="5" fillId="0" borderId="15" xfId="0" applyNumberFormat="1" applyFont="1" applyBorder="1"/>
    <xf numFmtId="0" fontId="5" fillId="17" borderId="16" xfId="0" applyFont="1" applyFill="1" applyBorder="1"/>
    <xf numFmtId="189" fontId="5" fillId="0" borderId="14" xfId="0" applyNumberFormat="1" applyFont="1" applyBorder="1"/>
    <xf numFmtId="1" fontId="5" fillId="0" borderId="15" xfId="0" applyNumberFormat="1" applyFont="1" applyBorder="1"/>
    <xf numFmtId="0" fontId="0" fillId="0" borderId="14" xfId="0" applyBorder="1"/>
    <xf numFmtId="167" fontId="10" fillId="0" borderId="14" xfId="0" applyNumberFormat="1" applyFont="1" applyBorder="1"/>
    <xf numFmtId="43" fontId="5" fillId="17" borderId="0" xfId="0" applyNumberFormat="1" applyFont="1" applyFill="1" applyBorder="1"/>
    <xf numFmtId="9" fontId="5" fillId="0" borderId="0" xfId="52" applyFont="1" applyFill="1" applyBorder="1" applyAlignment="1">
      <alignment horizontal="right"/>
    </xf>
    <xf numFmtId="9" fontId="5" fillId="0" borderId="0" xfId="52" applyFont="1" applyFill="1" applyBorder="1"/>
    <xf numFmtId="9" fontId="5" fillId="0" borderId="15" xfId="52" applyFont="1" applyFill="1" applyBorder="1"/>
    <xf numFmtId="9" fontId="5" fillId="0" borderId="0" xfId="52" applyFont="1" applyBorder="1"/>
    <xf numFmtId="9" fontId="5" fillId="0" borderId="15" xfId="52" applyFont="1" applyBorder="1"/>
    <xf numFmtId="9" fontId="5" fillId="17" borderId="0" xfId="52" applyFont="1" applyFill="1" applyBorder="1"/>
    <xf numFmtId="9" fontId="5" fillId="17" borderId="15" xfId="52" applyFont="1" applyFill="1" applyBorder="1"/>
    <xf numFmtId="9" fontId="5" fillId="0" borderId="14" xfId="52" applyFont="1" applyBorder="1"/>
    <xf numFmtId="1" fontId="5" fillId="17" borderId="0" xfId="0" quotePrefix="1" applyNumberFormat="1" applyFont="1" applyFill="1" applyBorder="1"/>
    <xf numFmtId="165" fontId="5" fillId="17" borderId="0" xfId="0" quotePrefix="1" applyNumberFormat="1" applyFont="1" applyFill="1" applyBorder="1"/>
    <xf numFmtId="9" fontId="10" fillId="21" borderId="0" xfId="52" applyFont="1" applyFill="1" applyBorder="1"/>
    <xf numFmtId="9" fontId="5" fillId="17" borderId="14" xfId="52" applyFont="1" applyFill="1" applyBorder="1"/>
    <xf numFmtId="0" fontId="3" fillId="17" borderId="16" xfId="0" applyFont="1" applyFill="1" applyBorder="1" applyAlignment="1"/>
    <xf numFmtId="0" fontId="3" fillId="17" borderId="12" xfId="0" applyFont="1" applyFill="1" applyBorder="1" applyAlignment="1"/>
    <xf numFmtId="2" fontId="8" fillId="18" borderId="21" xfId="0" applyNumberFormat="1" applyFont="1" applyFill="1" applyBorder="1"/>
    <xf numFmtId="0" fontId="1" fillId="0" borderId="14" xfId="0" applyFont="1" applyFill="1" applyBorder="1"/>
    <xf numFmtId="165" fontId="3" fillId="17" borderId="12" xfId="0" applyNumberFormat="1" applyFont="1" applyFill="1" applyBorder="1"/>
    <xf numFmtId="9" fontId="5" fillId="0" borderId="14" xfId="52" applyFont="1" applyFill="1" applyBorder="1"/>
    <xf numFmtId="9" fontId="10" fillId="0" borderId="0" xfId="52" applyFont="1" applyFill="1" applyBorder="1"/>
    <xf numFmtId="9" fontId="10" fillId="0" borderId="15" xfId="52" applyFont="1" applyFill="1" applyBorder="1"/>
    <xf numFmtId="9" fontId="5" fillId="0" borderId="15" xfId="52" applyFont="1" applyFill="1" applyBorder="1" applyAlignment="1"/>
    <xf numFmtId="9" fontId="5" fillId="0" borderId="14" xfId="52" applyFont="1" applyFill="1" applyBorder="1" applyAlignment="1"/>
    <xf numFmtId="7" fontId="5" fillId="0" borderId="14" xfId="0" applyNumberFormat="1" applyFont="1" applyBorder="1"/>
    <xf numFmtId="165" fontId="3" fillId="17" borderId="0" xfId="0" applyNumberFormat="1" applyFont="1" applyFill="1"/>
    <xf numFmtId="165" fontId="13" fillId="0" borderId="20" xfId="0" applyNumberFormat="1" applyFont="1" applyBorder="1" applyAlignment="1"/>
    <xf numFmtId="165" fontId="13" fillId="0" borderId="18" xfId="0" applyNumberFormat="1" applyFont="1" applyBorder="1" applyAlignment="1"/>
    <xf numFmtId="165" fontId="13" fillId="0" borderId="18" xfId="0" applyNumberFormat="1" applyFont="1" applyBorder="1"/>
    <xf numFmtId="165" fontId="5" fillId="19" borderId="15" xfId="0" applyNumberFormat="1" applyFont="1" applyFill="1" applyBorder="1"/>
    <xf numFmtId="167" fontId="10" fillId="21" borderId="0" xfId="52" applyNumberFormat="1" applyFont="1" applyFill="1" applyBorder="1"/>
    <xf numFmtId="167" fontId="10" fillId="21" borderId="15" xfId="52" applyNumberFormat="1" applyFont="1" applyFill="1" applyBorder="1"/>
    <xf numFmtId="189" fontId="5" fillId="17" borderId="0" xfId="0" applyNumberFormat="1" applyFont="1" applyFill="1" applyBorder="1"/>
    <xf numFmtId="5" fontId="5" fillId="17" borderId="0" xfId="0" applyNumberFormat="1" applyFont="1" applyFill="1" applyBorder="1"/>
    <xf numFmtId="9" fontId="5" fillId="17" borderId="0" xfId="52" applyFont="1" applyFill="1" applyBorder="1" applyAlignment="1"/>
    <xf numFmtId="9" fontId="5" fillId="17" borderId="15" xfId="52" applyFont="1" applyFill="1" applyBorder="1" applyAlignment="1"/>
    <xf numFmtId="7" fontId="5" fillId="0" borderId="0" xfId="0" applyNumberFormat="1" applyFont="1" applyFill="1" applyBorder="1"/>
    <xf numFmtId="7" fontId="5" fillId="0" borderId="15" xfId="0" applyNumberFormat="1" applyFont="1" applyFill="1" applyBorder="1"/>
    <xf numFmtId="167" fontId="5" fillId="17" borderId="0" xfId="52" applyNumberFormat="1" applyFont="1" applyFill="1" applyBorder="1" applyAlignment="1"/>
    <xf numFmtId="9" fontId="9" fillId="0" borderId="15" xfId="52" applyNumberFormat="1" applyFont="1" applyFill="1" applyBorder="1"/>
    <xf numFmtId="9" fontId="9" fillId="17" borderId="15" xfId="0" applyNumberFormat="1" applyFont="1" applyFill="1" applyBorder="1"/>
    <xf numFmtId="9" fontId="9" fillId="0" borderId="15" xfId="0" applyNumberFormat="1" applyFont="1" applyFill="1" applyBorder="1"/>
    <xf numFmtId="176" fontId="5" fillId="17" borderId="0" xfId="0" applyNumberFormat="1" applyFont="1" applyFill="1" applyBorder="1"/>
    <xf numFmtId="0" fontId="3" fillId="17" borderId="0" xfId="0" applyNumberFormat="1" applyFont="1" applyFill="1" applyBorder="1"/>
    <xf numFmtId="165" fontId="5" fillId="0" borderId="0" xfId="35" applyNumberFormat="1" applyFont="1" applyFill="1" applyBorder="1"/>
    <xf numFmtId="3" fontId="5" fillId="17" borderId="14" xfId="0" applyNumberFormat="1" applyFont="1" applyFill="1" applyBorder="1"/>
    <xf numFmtId="0" fontId="8" fillId="18" borderId="14" xfId="0" applyFont="1" applyFill="1" applyBorder="1"/>
    <xf numFmtId="0" fontId="8" fillId="18" borderId="15" xfId="0" applyFont="1" applyFill="1" applyBorder="1"/>
    <xf numFmtId="167" fontId="5" fillId="17" borderId="15" xfId="52" applyNumberFormat="1" applyFont="1" applyFill="1" applyBorder="1" applyAlignment="1"/>
    <xf numFmtId="189" fontId="5" fillId="17" borderId="15" xfId="0" applyNumberFormat="1" applyFont="1" applyFill="1" applyBorder="1"/>
    <xf numFmtId="5" fontId="5" fillId="17" borderId="15" xfId="0" applyNumberFormat="1" applyFont="1" applyFill="1" applyBorder="1"/>
    <xf numFmtId="0" fontId="3" fillId="17" borderId="17" xfId="0" applyFont="1" applyFill="1" applyBorder="1" applyAlignment="1"/>
    <xf numFmtId="0" fontId="5" fillId="20" borderId="15" xfId="0" applyFont="1" applyFill="1" applyBorder="1" applyAlignment="1"/>
    <xf numFmtId="0" fontId="9" fillId="0" borderId="15" xfId="0" applyFont="1" applyFill="1" applyBorder="1" applyAlignment="1"/>
    <xf numFmtId="0" fontId="5" fillId="0" borderId="17" xfId="0" applyFont="1" applyFill="1" applyBorder="1" applyAlignment="1"/>
    <xf numFmtId="0" fontId="6" fillId="16" borderId="23" xfId="0" applyNumberFormat="1" applyFont="1" applyFill="1" applyBorder="1"/>
    <xf numFmtId="0" fontId="5" fillId="16" borderId="11" xfId="0" applyFont="1" applyFill="1" applyBorder="1"/>
    <xf numFmtId="0" fontId="5" fillId="16" borderId="24" xfId="0" applyFont="1" applyFill="1" applyBorder="1"/>
    <xf numFmtId="0" fontId="6" fillId="16" borderId="16" xfId="0" applyNumberFormat="1" applyFont="1" applyFill="1" applyBorder="1"/>
    <xf numFmtId="0" fontId="27" fillId="0" borderId="14" xfId="0" applyFont="1" applyBorder="1"/>
    <xf numFmtId="171" fontId="5" fillId="0" borderId="14" xfId="0" applyNumberFormat="1" applyFont="1" applyBorder="1"/>
    <xf numFmtId="171" fontId="8" fillId="18" borderId="13" xfId="0" applyNumberFormat="1" applyFont="1" applyFill="1" applyBorder="1"/>
    <xf numFmtId="171" fontId="5" fillId="0" borderId="17" xfId="0" applyNumberFormat="1" applyFont="1" applyBorder="1"/>
    <xf numFmtId="171" fontId="8" fillId="18" borderId="21" xfId="0" applyNumberFormat="1" applyFont="1" applyFill="1" applyBorder="1"/>
    <xf numFmtId="171" fontId="5" fillId="0" borderId="16" xfId="0" applyNumberFormat="1" applyFont="1" applyBorder="1"/>
    <xf numFmtId="165" fontId="13" fillId="0" borderId="19" xfId="0" applyNumberFormat="1" applyFont="1" applyBorder="1" applyAlignment="1"/>
    <xf numFmtId="165" fontId="13" fillId="0" borderId="20" xfId="0" applyNumberFormat="1" applyFont="1" applyBorder="1"/>
    <xf numFmtId="0" fontId="39" fillId="17" borderId="14" xfId="0" applyFont="1" applyFill="1" applyBorder="1" applyAlignment="1"/>
    <xf numFmtId="0" fontId="39" fillId="17" borderId="0" xfId="0" applyFont="1" applyFill="1" applyBorder="1" applyAlignment="1"/>
    <xf numFmtId="0" fontId="39" fillId="17" borderId="15" xfId="0" applyFont="1" applyFill="1" applyBorder="1" applyAlignment="1"/>
    <xf numFmtId="167" fontId="39" fillId="17" borderId="0" xfId="0" applyNumberFormat="1" applyFont="1" applyFill="1" applyBorder="1"/>
    <xf numFmtId="167" fontId="39" fillId="17" borderId="15" xfId="0" applyNumberFormat="1" applyFont="1" applyFill="1" applyBorder="1"/>
    <xf numFmtId="165" fontId="40" fillId="17" borderId="0" xfId="0" applyNumberFormat="1" applyFont="1" applyFill="1" applyBorder="1"/>
    <xf numFmtId="165" fontId="5" fillId="0" borderId="12" xfId="0" applyNumberFormat="1" applyFont="1" applyFill="1" applyBorder="1"/>
    <xf numFmtId="7" fontId="3" fillId="19" borderId="14" xfId="0" applyNumberFormat="1" applyFont="1" applyFill="1" applyBorder="1"/>
    <xf numFmtId="7" fontId="3" fillId="19" borderId="0" xfId="0" applyNumberFormat="1" applyFont="1" applyFill="1" applyBorder="1"/>
    <xf numFmtId="7" fontId="3" fillId="19" borderId="15" xfId="0" applyNumberFormat="1" applyFont="1" applyFill="1" applyBorder="1"/>
    <xf numFmtId="168" fontId="5" fillId="0" borderId="15" xfId="0" applyNumberFormat="1" applyFont="1" applyFill="1" applyBorder="1" applyAlignment="1"/>
    <xf numFmtId="9" fontId="10" fillId="21" borderId="0" xfId="0" applyNumberFormat="1" applyFont="1" applyFill="1" applyBorder="1"/>
    <xf numFmtId="9" fontId="10" fillId="21" borderId="14" xfId="0" applyNumberFormat="1" applyFont="1" applyFill="1" applyBorder="1"/>
    <xf numFmtId="9" fontId="10" fillId="21" borderId="15" xfId="0" applyNumberFormat="1" applyFont="1" applyFill="1" applyBorder="1"/>
    <xf numFmtId="165" fontId="5" fillId="0" borderId="17" xfId="0" applyNumberFormat="1" applyFont="1" applyFill="1" applyBorder="1"/>
    <xf numFmtId="9" fontId="3" fillId="17" borderId="15" xfId="52" applyFont="1" applyFill="1" applyBorder="1"/>
    <xf numFmtId="0" fontId="3" fillId="17" borderId="14" xfId="0" applyNumberFormat="1" applyFont="1" applyFill="1" applyBorder="1" applyAlignment="1"/>
    <xf numFmtId="0" fontId="3" fillId="17" borderId="15" xfId="0" applyNumberFormat="1" applyFont="1" applyFill="1" applyBorder="1" applyAlignment="1"/>
    <xf numFmtId="173" fontId="5" fillId="17" borderId="15" xfId="0" applyNumberFormat="1" applyFont="1" applyFill="1" applyBorder="1"/>
    <xf numFmtId="0" fontId="3" fillId="20" borderId="20" xfId="0" applyFont="1" applyFill="1" applyBorder="1"/>
    <xf numFmtId="0" fontId="5" fillId="20" borderId="18" xfId="0" applyFont="1" applyFill="1" applyBorder="1"/>
    <xf numFmtId="0" fontId="20" fillId="20" borderId="20" xfId="0" applyFont="1" applyFill="1" applyBorder="1"/>
    <xf numFmtId="0" fontId="20" fillId="20" borderId="18" xfId="0" applyFont="1" applyFill="1" applyBorder="1"/>
    <xf numFmtId="0" fontId="20" fillId="20" borderId="19" xfId="0" applyFont="1" applyFill="1" applyBorder="1"/>
    <xf numFmtId="0" fontId="3" fillId="20" borderId="19" xfId="0" applyFont="1" applyFill="1" applyBorder="1"/>
    <xf numFmtId="9" fontId="3" fillId="17" borderId="0" xfId="52" applyFont="1" applyFill="1" applyBorder="1"/>
    <xf numFmtId="0" fontId="5" fillId="17" borderId="11" xfId="0" applyFont="1" applyFill="1" applyBorder="1"/>
    <xf numFmtId="0" fontId="5" fillId="0" borderId="11" xfId="0" applyFont="1" applyBorder="1"/>
    <xf numFmtId="0" fontId="3" fillId="17" borderId="16" xfId="0" applyFont="1" applyFill="1" applyBorder="1"/>
    <xf numFmtId="167" fontId="5" fillId="0" borderId="0" xfId="52" applyNumberFormat="1" applyFont="1" applyBorder="1"/>
    <xf numFmtId="0" fontId="5" fillId="17" borderId="0" xfId="0" applyNumberFormat="1" applyFont="1" applyFill="1"/>
    <xf numFmtId="167" fontId="5" fillId="0" borderId="15" xfId="52" applyNumberFormat="1" applyFont="1" applyBorder="1"/>
    <xf numFmtId="174" fontId="3" fillId="0" borderId="14" xfId="0" applyNumberFormat="1" applyFont="1" applyFill="1" applyBorder="1" applyAlignment="1">
      <alignment horizontal="left"/>
    </xf>
    <xf numFmtId="0" fontId="5" fillId="20" borderId="18" xfId="0" applyFont="1" applyFill="1" applyBorder="1" applyAlignment="1"/>
    <xf numFmtId="165" fontId="3" fillId="0" borderId="0" xfId="35" applyNumberFormat="1" applyFont="1" applyBorder="1"/>
    <xf numFmtId="3" fontId="5" fillId="0" borderId="14" xfId="0" applyNumberFormat="1" applyFont="1" applyFill="1" applyBorder="1" applyAlignment="1">
      <alignment horizontal="left"/>
    </xf>
    <xf numFmtId="3" fontId="5" fillId="0" borderId="15" xfId="0" applyNumberFormat="1" applyFont="1" applyFill="1" applyBorder="1" applyAlignment="1">
      <alignment horizontal="left"/>
    </xf>
    <xf numFmtId="165" fontId="0" fillId="17" borderId="15" xfId="0" applyNumberFormat="1" applyFill="1" applyBorder="1"/>
    <xf numFmtId="167" fontId="5" fillId="17" borderId="14" xfId="52" applyNumberFormat="1" applyFont="1" applyFill="1" applyBorder="1"/>
    <xf numFmtId="167" fontId="5" fillId="17" borderId="0" xfId="52" applyNumberFormat="1" applyFont="1" applyFill="1" applyBorder="1"/>
    <xf numFmtId="167" fontId="5" fillId="17" borderId="15" xfId="52" applyNumberFormat="1" applyFont="1" applyFill="1" applyBorder="1"/>
    <xf numFmtId="9" fontId="5" fillId="0" borderId="0" xfId="52" applyFont="1" applyBorder="1" applyAlignment="1"/>
    <xf numFmtId="9" fontId="5" fillId="0" borderId="15" xfId="52" applyFont="1" applyBorder="1" applyAlignment="1"/>
    <xf numFmtId="187" fontId="5" fillId="0" borderId="14" xfId="0" applyNumberFormat="1" applyFont="1" applyFill="1" applyBorder="1" applyAlignment="1">
      <alignment horizontal="left"/>
    </xf>
    <xf numFmtId="187" fontId="5" fillId="0" borderId="0" xfId="0" applyNumberFormat="1" applyFont="1" applyFill="1" applyBorder="1"/>
    <xf numFmtId="37" fontId="5" fillId="0" borderId="11" xfId="0" applyNumberFormat="1" applyFont="1" applyBorder="1"/>
    <xf numFmtId="0" fontId="41" fillId="17" borderId="0" xfId="0" applyFont="1" applyFill="1" applyBorder="1"/>
    <xf numFmtId="165" fontId="41" fillId="17" borderId="0" xfId="0" applyNumberFormat="1" applyFont="1" applyFill="1" applyBorder="1"/>
    <xf numFmtId="0" fontId="3" fillId="20" borderId="18" xfId="0" applyFont="1" applyFill="1" applyBorder="1"/>
    <xf numFmtId="167" fontId="5" fillId="0" borderId="0" xfId="0" applyNumberFormat="1" applyFont="1" applyFill="1" applyBorder="1" applyProtection="1"/>
    <xf numFmtId="174" fontId="5" fillId="0" borderId="0" xfId="0" applyNumberFormat="1" applyFont="1" applyFill="1" applyBorder="1" applyAlignment="1">
      <alignment horizontal="left"/>
    </xf>
    <xf numFmtId="174" fontId="5" fillId="17" borderId="0" xfId="0" applyNumberFormat="1" applyFont="1" applyFill="1" applyBorder="1" applyAlignment="1">
      <alignment horizontal="left"/>
    </xf>
    <xf numFmtId="3" fontId="5" fillId="0" borderId="0" xfId="0" applyNumberFormat="1" applyFont="1" applyFill="1" applyBorder="1" applyAlignment="1">
      <alignment horizontal="left"/>
    </xf>
    <xf numFmtId="166" fontId="20" fillId="20" borderId="18" xfId="0" applyNumberFormat="1" applyFont="1" applyFill="1" applyBorder="1"/>
    <xf numFmtId="0" fontId="5" fillId="0" borderId="13" xfId="0" applyFont="1" applyBorder="1"/>
    <xf numFmtId="177" fontId="2" fillId="16" borderId="0" xfId="0" applyNumberFormat="1" applyFont="1" applyFill="1" applyBorder="1" applyAlignment="1">
      <alignment horizontal="center"/>
    </xf>
    <xf numFmtId="177" fontId="2" fillId="16" borderId="17" xfId="0" applyNumberFormat="1" applyFont="1" applyFill="1" applyBorder="1" applyAlignment="1">
      <alignment horizontal="center"/>
    </xf>
    <xf numFmtId="177" fontId="2" fillId="16" borderId="16" xfId="0" applyNumberFormat="1" applyFont="1" applyFill="1" applyBorder="1" applyAlignment="1">
      <alignment horizontal="center"/>
    </xf>
    <xf numFmtId="0" fontId="5" fillId="0" borderId="21" xfId="0" applyFont="1" applyBorder="1"/>
    <xf numFmtId="0" fontId="4" fillId="0" borderId="18" xfId="0" applyNumberFormat="1" applyFont="1" applyBorder="1" applyAlignment="1">
      <alignment horizontal="centerContinuous"/>
    </xf>
    <xf numFmtId="165" fontId="10" fillId="0" borderId="0" xfId="35" applyNumberFormat="1" applyFont="1" applyBorder="1"/>
    <xf numFmtId="165" fontId="10" fillId="17" borderId="0" xfId="35" applyNumberFormat="1" applyFont="1" applyFill="1" applyBorder="1"/>
    <xf numFmtId="165" fontId="10" fillId="0" borderId="0" xfId="35" applyNumberFormat="1" applyFont="1" applyFill="1" applyBorder="1"/>
    <xf numFmtId="165" fontId="12" fillId="0" borderId="0" xfId="35" applyNumberFormat="1" applyFont="1" applyBorder="1"/>
    <xf numFmtId="0" fontId="26" fillId="17" borderId="0" xfId="0" applyFont="1" applyFill="1" applyBorder="1"/>
    <xf numFmtId="165" fontId="26" fillId="0" borderId="0" xfId="0" applyNumberFormat="1" applyFont="1" applyFill="1" applyBorder="1"/>
    <xf numFmtId="165" fontId="26" fillId="17" borderId="15" xfId="0" applyNumberFormat="1" applyFont="1" applyFill="1" applyBorder="1"/>
    <xf numFmtId="165" fontId="26" fillId="17" borderId="0" xfId="0" applyNumberFormat="1" applyFont="1" applyFill="1" applyBorder="1"/>
    <xf numFmtId="165" fontId="42" fillId="0" borderId="0" xfId="0" applyNumberFormat="1" applyFont="1" applyFill="1" applyBorder="1"/>
    <xf numFmtId="165" fontId="19" fillId="17" borderId="0" xfId="35" applyNumberFormat="1" applyFont="1" applyFill="1" applyBorder="1"/>
    <xf numFmtId="165" fontId="19" fillId="17" borderId="15" xfId="35" applyNumberFormat="1" applyFont="1" applyFill="1" applyBorder="1"/>
    <xf numFmtId="165" fontId="12" fillId="0" borderId="15" xfId="35" applyNumberFormat="1" applyFont="1" applyBorder="1"/>
    <xf numFmtId="0" fontId="26" fillId="17" borderId="14" xfId="0" applyFont="1" applyFill="1" applyBorder="1"/>
    <xf numFmtId="37" fontId="26" fillId="0" borderId="0" xfId="0" applyNumberFormat="1" applyFont="1" applyFill="1" applyAlignment="1">
      <alignment horizontal="left"/>
    </xf>
    <xf numFmtId="37" fontId="26" fillId="0" borderId="0" xfId="0" applyNumberFormat="1" applyFont="1" applyFill="1" applyBorder="1" applyAlignment="1">
      <alignment horizontal="left"/>
    </xf>
    <xf numFmtId="165" fontId="4" fillId="17" borderId="15" xfId="0" applyNumberFormat="1" applyFont="1" applyFill="1" applyBorder="1"/>
    <xf numFmtId="37" fontId="12" fillId="0" borderId="0" xfId="0" applyNumberFormat="1" applyFont="1" applyFill="1" applyAlignment="1">
      <alignment horizontal="left"/>
    </xf>
    <xf numFmtId="37" fontId="12" fillId="0" borderId="0" xfId="0" applyNumberFormat="1" applyFont="1" applyFill="1" applyBorder="1" applyAlignment="1">
      <alignment horizontal="left"/>
    </xf>
    <xf numFmtId="0" fontId="9" fillId="0" borderId="0" xfId="0" applyFont="1" applyFill="1" applyBorder="1" applyAlignment="1"/>
    <xf numFmtId="177" fontId="2" fillId="16" borderId="12" xfId="0" applyNumberFormat="1" applyFont="1" applyFill="1" applyBorder="1" applyAlignment="1">
      <alignment horizontal="center"/>
    </xf>
    <xf numFmtId="0" fontId="2" fillId="18" borderId="15" xfId="0" applyFont="1" applyFill="1" applyBorder="1" applyAlignment="1"/>
    <xf numFmtId="167" fontId="5" fillId="0" borderId="0" xfId="52" applyNumberFormat="1" applyFont="1" applyBorder="1" applyAlignment="1"/>
    <xf numFmtId="167" fontId="5" fillId="0" borderId="15" xfId="52" applyNumberFormat="1" applyFont="1" applyBorder="1" applyAlignment="1"/>
    <xf numFmtId="167" fontId="5" fillId="0" borderId="15" xfId="52" applyNumberFormat="1" applyFont="1" applyFill="1" applyBorder="1" applyAlignment="1"/>
    <xf numFmtId="165" fontId="5" fillId="17" borderId="0" xfId="35" applyNumberFormat="1" applyFont="1" applyFill="1" applyBorder="1" applyAlignment="1"/>
    <xf numFmtId="165" fontId="5" fillId="17" borderId="15" xfId="35" applyNumberFormat="1" applyFont="1" applyFill="1" applyBorder="1" applyAlignment="1"/>
    <xf numFmtId="165" fontId="5" fillId="0" borderId="0" xfId="35" applyNumberFormat="1" applyFont="1" applyBorder="1" applyAlignment="1"/>
    <xf numFmtId="165" fontId="5" fillId="0" borderId="15" xfId="35" applyNumberFormat="1" applyFont="1" applyBorder="1" applyAlignment="1"/>
    <xf numFmtId="165" fontId="3" fillId="19" borderId="0" xfId="35" applyNumberFormat="1" applyFont="1" applyFill="1" applyBorder="1" applyAlignment="1"/>
    <xf numFmtId="165" fontId="3" fillId="19" borderId="15" xfId="35" applyNumberFormat="1" applyFont="1" applyFill="1" applyBorder="1" applyAlignment="1"/>
    <xf numFmtId="165" fontId="5" fillId="0" borderId="0" xfId="35" applyNumberFormat="1" applyFont="1" applyFill="1" applyBorder="1" applyAlignment="1"/>
    <xf numFmtId="165" fontId="5" fillId="0" borderId="15" xfId="35" applyNumberFormat="1" applyFont="1" applyFill="1" applyBorder="1" applyAlignment="1"/>
    <xf numFmtId="165" fontId="3" fillId="0" borderId="0" xfId="35" applyNumberFormat="1" applyFont="1" applyFill="1" applyBorder="1" applyAlignment="1"/>
    <xf numFmtId="165" fontId="3" fillId="0" borderId="15" xfId="35" applyNumberFormat="1" applyFont="1" applyFill="1" applyBorder="1" applyAlignment="1"/>
    <xf numFmtId="165" fontId="5" fillId="0" borderId="14" xfId="35" applyNumberFormat="1" applyFont="1" applyFill="1" applyBorder="1" applyAlignment="1"/>
    <xf numFmtId="167" fontId="5" fillId="0" borderId="0" xfId="52" applyNumberFormat="1" applyFont="1" applyFill="1" applyBorder="1"/>
    <xf numFmtId="167" fontId="5" fillId="0" borderId="15" xfId="52" applyNumberFormat="1" applyFont="1" applyFill="1" applyBorder="1"/>
    <xf numFmtId="165" fontId="3" fillId="17" borderId="0" xfId="0" applyNumberFormat="1" applyFont="1" applyFill="1" applyBorder="1" applyAlignment="1"/>
    <xf numFmtId="167" fontId="10" fillId="0" borderId="0" xfId="52" applyNumberFormat="1" applyFont="1" applyFill="1" applyBorder="1"/>
    <xf numFmtId="165" fontId="5" fillId="0" borderId="15" xfId="35" applyNumberFormat="1" applyFont="1" applyFill="1" applyBorder="1"/>
    <xf numFmtId="167" fontId="5" fillId="0" borderId="14" xfId="52" applyNumberFormat="1" applyFont="1" applyFill="1" applyBorder="1"/>
    <xf numFmtId="165" fontId="5" fillId="0" borderId="14" xfId="35" applyNumberFormat="1" applyFont="1" applyFill="1" applyBorder="1"/>
    <xf numFmtId="167" fontId="10" fillId="0" borderId="15" xfId="52" applyNumberFormat="1" applyFont="1" applyFill="1" applyBorder="1"/>
    <xf numFmtId="37" fontId="5" fillId="0" borderId="0" xfId="0" applyNumberFormat="1" applyFont="1" applyFill="1" applyAlignment="1">
      <alignment horizontal="left"/>
    </xf>
    <xf numFmtId="165" fontId="19" fillId="0" borderId="0" xfId="35" applyNumberFormat="1" applyFont="1" applyFill="1" applyBorder="1"/>
    <xf numFmtId="0" fontId="26" fillId="0" borderId="14" xfId="0" applyFont="1" applyFill="1" applyBorder="1" applyAlignment="1"/>
    <xf numFmtId="0" fontId="10" fillId="0" borderId="0" xfId="0" applyNumberFormat="1" applyFont="1" applyBorder="1"/>
    <xf numFmtId="0" fontId="10" fillId="0" borderId="15" xfId="0" applyNumberFormat="1" applyFont="1" applyBorder="1"/>
    <xf numFmtId="165" fontId="19" fillId="17" borderId="0" xfId="0" applyNumberFormat="1" applyFont="1" applyFill="1" applyBorder="1"/>
    <xf numFmtId="165" fontId="19" fillId="17" borderId="15" xfId="0" applyNumberFormat="1" applyFont="1" applyFill="1" applyBorder="1"/>
    <xf numFmtId="165" fontId="19" fillId="17" borderId="14" xfId="0" applyNumberFormat="1" applyFont="1" applyFill="1" applyBorder="1"/>
    <xf numFmtId="165" fontId="19" fillId="17" borderId="16" xfId="0" applyNumberFormat="1" applyFont="1" applyFill="1" applyBorder="1"/>
    <xf numFmtId="0" fontId="28" fillId="0" borderId="12" xfId="0" applyFont="1" applyBorder="1" applyAlignment="1"/>
    <xf numFmtId="165" fontId="28" fillId="0" borderId="12" xfId="0" applyNumberFormat="1" applyFont="1" applyBorder="1"/>
    <xf numFmtId="43" fontId="28" fillId="0" borderId="12" xfId="0" applyNumberFormat="1" applyFont="1" applyBorder="1"/>
    <xf numFmtId="43" fontId="28" fillId="0" borderId="17" xfId="0" applyNumberFormat="1" applyFont="1" applyBorder="1"/>
    <xf numFmtId="0" fontId="3" fillId="20" borderId="14" xfId="0" applyFont="1" applyFill="1" applyBorder="1"/>
    <xf numFmtId="0" fontId="3" fillId="20" borderId="15" xfId="0" applyFont="1" applyFill="1" applyBorder="1"/>
    <xf numFmtId="0" fontId="20" fillId="20" borderId="0" xfId="0" applyFont="1" applyFill="1" applyBorder="1"/>
    <xf numFmtId="0" fontId="20" fillId="20" borderId="15" xfId="0" applyFont="1" applyFill="1" applyBorder="1"/>
    <xf numFmtId="0" fontId="20" fillId="20" borderId="14" xfId="0" applyFont="1" applyFill="1" applyBorder="1"/>
    <xf numFmtId="0" fontId="28" fillId="0" borderId="12" xfId="0" applyFont="1" applyBorder="1"/>
    <xf numFmtId="164" fontId="28" fillId="0" borderId="12" xfId="0" applyNumberFormat="1" applyFont="1" applyBorder="1"/>
    <xf numFmtId="165" fontId="0" fillId="0" borderId="19" xfId="0" applyNumberFormat="1" applyBorder="1"/>
    <xf numFmtId="165" fontId="10" fillId="0" borderId="15" xfId="35" applyNumberFormat="1" applyFont="1" applyBorder="1"/>
    <xf numFmtId="165" fontId="10" fillId="0" borderId="15" xfId="35" applyNumberFormat="1" applyFont="1" applyFill="1" applyBorder="1"/>
    <xf numFmtId="165" fontId="10" fillId="17" borderId="15" xfId="35" applyNumberFormat="1" applyFont="1" applyFill="1" applyBorder="1"/>
    <xf numFmtId="165" fontId="5" fillId="0" borderId="0" xfId="35" applyNumberFormat="1" applyFont="1" applyBorder="1"/>
    <xf numFmtId="165" fontId="5" fillId="0" borderId="15" xfId="35" applyNumberFormat="1" applyFont="1" applyBorder="1"/>
    <xf numFmtId="165" fontId="10" fillId="0" borderId="0" xfId="35" applyNumberFormat="1" applyFont="1" applyFill="1" applyBorder="1" applyAlignment="1"/>
    <xf numFmtId="165" fontId="10" fillId="0" borderId="0" xfId="35" applyNumberFormat="1" applyFont="1" applyBorder="1" applyAlignment="1"/>
    <xf numFmtId="165" fontId="8" fillId="18" borderId="12" xfId="0" applyNumberFormat="1" applyFont="1" applyFill="1" applyBorder="1"/>
    <xf numFmtId="165" fontId="8" fillId="18" borderId="16" xfId="0" applyNumberFormat="1" applyFont="1" applyFill="1" applyBorder="1"/>
    <xf numFmtId="171" fontId="8" fillId="18" borderId="17" xfId="0" applyNumberFormat="1" applyFont="1" applyFill="1" applyBorder="1"/>
    <xf numFmtId="171" fontId="8" fillId="18" borderId="16" xfId="0" applyNumberFormat="1" applyFont="1" applyFill="1" applyBorder="1"/>
    <xf numFmtId="171" fontId="8" fillId="18" borderId="12" xfId="0" applyNumberFormat="1" applyFont="1" applyFill="1" applyBorder="1"/>
    <xf numFmtId="0" fontId="28" fillId="17" borderId="15" xfId="0" applyNumberFormat="1" applyFont="1" applyFill="1" applyBorder="1" applyAlignment="1">
      <alignment horizontal="left"/>
    </xf>
    <xf numFmtId="165" fontId="10" fillId="0" borderId="15" xfId="35" applyNumberFormat="1" applyFont="1" applyBorder="1" applyAlignment="1"/>
    <xf numFmtId="165" fontId="4" fillId="0" borderId="0" xfId="35" applyNumberFormat="1" applyFont="1" applyFill="1" applyBorder="1" applyAlignment="1"/>
    <xf numFmtId="165" fontId="4" fillId="0" borderId="15" xfId="35" applyNumberFormat="1" applyFont="1" applyFill="1" applyBorder="1" applyAlignment="1"/>
    <xf numFmtId="177" fontId="2" fillId="16" borderId="13" xfId="0" applyNumberFormat="1" applyFont="1" applyFill="1" applyBorder="1" applyAlignment="1">
      <alignment horizontal="center"/>
    </xf>
    <xf numFmtId="37" fontId="8" fillId="18" borderId="18" xfId="0" applyNumberFormat="1" applyFont="1" applyFill="1" applyBorder="1" applyAlignment="1"/>
    <xf numFmtId="165" fontId="8" fillId="18" borderId="0" xfId="0" applyNumberFormat="1" applyFont="1" applyFill="1" applyBorder="1" applyAlignment="1"/>
    <xf numFmtId="165" fontId="8" fillId="18" borderId="0" xfId="0" applyNumberFormat="1" applyFont="1" applyFill="1" applyBorder="1"/>
    <xf numFmtId="0" fontId="3" fillId="17" borderId="15" xfId="0" applyNumberFormat="1" applyFont="1" applyFill="1" applyBorder="1" applyAlignment="1">
      <alignment horizontal="left"/>
    </xf>
    <xf numFmtId="176" fontId="5" fillId="17" borderId="0" xfId="0" applyNumberFormat="1" applyFont="1" applyFill="1" applyBorder="1" applyAlignment="1"/>
    <xf numFmtId="167" fontId="39" fillId="17" borderId="0" xfId="52" applyNumberFormat="1" applyFont="1" applyFill="1" applyBorder="1"/>
    <xf numFmtId="0" fontId="3" fillId="17" borderId="19" xfId="0" applyNumberFormat="1" applyFont="1" applyFill="1" applyBorder="1" applyAlignment="1"/>
    <xf numFmtId="0" fontId="10" fillId="0" borderId="14" xfId="0" applyNumberFormat="1" applyFont="1" applyFill="1" applyBorder="1" applyAlignment="1"/>
    <xf numFmtId="167" fontId="10" fillId="0" borderId="0" xfId="52" applyNumberFormat="1" applyFont="1" applyFill="1" applyBorder="1" applyAlignment="1"/>
    <xf numFmtId="0" fontId="10" fillId="17" borderId="0" xfId="0" applyNumberFormat="1" applyFont="1" applyFill="1" applyBorder="1" applyAlignment="1"/>
    <xf numFmtId="0" fontId="13" fillId="0" borderId="0" xfId="0" applyFont="1" applyFill="1" applyBorder="1"/>
    <xf numFmtId="165" fontId="3" fillId="17" borderId="15" xfId="0" applyNumberFormat="1" applyFont="1" applyFill="1" applyBorder="1" applyAlignment="1"/>
    <xf numFmtId="165" fontId="5" fillId="17" borderId="0" xfId="0" applyNumberFormat="1" applyFont="1" applyFill="1" applyBorder="1" applyAlignment="1"/>
    <xf numFmtId="164" fontId="10" fillId="0" borderId="0" xfId="35" applyNumberFormat="1" applyFont="1" applyBorder="1"/>
    <xf numFmtId="165" fontId="19" fillId="17" borderId="17" xfId="0" applyNumberFormat="1" applyFont="1" applyFill="1" applyBorder="1"/>
    <xf numFmtId="165" fontId="19" fillId="17" borderId="12" xfId="0" applyNumberFormat="1" applyFont="1" applyFill="1" applyBorder="1"/>
    <xf numFmtId="37" fontId="5" fillId="18" borderId="20" xfId="0" applyNumberFormat="1" applyFont="1" applyFill="1" applyBorder="1"/>
    <xf numFmtId="165" fontId="5" fillId="17" borderId="0" xfId="35" applyNumberFormat="1" applyFont="1" applyFill="1" applyBorder="1"/>
    <xf numFmtId="165" fontId="5" fillId="17" borderId="15" xfId="35" applyNumberFormat="1" applyFont="1" applyFill="1" applyBorder="1"/>
    <xf numFmtId="0" fontId="43" fillId="17" borderId="14" xfId="0" applyFont="1" applyFill="1" applyBorder="1"/>
    <xf numFmtId="0" fontId="28" fillId="17" borderId="0" xfId="0" applyFont="1" applyFill="1" applyBorder="1"/>
    <xf numFmtId="165" fontId="28" fillId="17" borderId="15" xfId="0" applyNumberFormat="1" applyFont="1" applyFill="1" applyBorder="1"/>
    <xf numFmtId="0" fontId="43" fillId="0" borderId="0" xfId="0" applyFont="1" applyBorder="1"/>
    <xf numFmtId="165" fontId="3" fillId="0" borderId="0" xfId="0" applyNumberFormat="1" applyFont="1" applyBorder="1" applyAlignment="1"/>
    <xf numFmtId="165" fontId="5" fillId="0" borderId="0" xfId="0" applyNumberFormat="1" applyFont="1" applyBorder="1" applyAlignment="1"/>
    <xf numFmtId="43" fontId="5" fillId="17" borderId="12" xfId="35" applyFont="1" applyFill="1" applyBorder="1"/>
    <xf numFmtId="43" fontId="5" fillId="17" borderId="16" xfId="35" applyFont="1" applyFill="1" applyBorder="1"/>
    <xf numFmtId="43" fontId="5" fillId="17" borderId="17" xfId="35" applyFont="1" applyFill="1" applyBorder="1"/>
    <xf numFmtId="165" fontId="3" fillId="0" borderId="15" xfId="0" applyNumberFormat="1" applyFont="1" applyBorder="1" applyAlignment="1"/>
    <xf numFmtId="167" fontId="5" fillId="0" borderId="0" xfId="0" applyNumberFormat="1" applyFont="1" applyBorder="1" applyAlignment="1"/>
    <xf numFmtId="165" fontId="5" fillId="0" borderId="15" xfId="0" applyNumberFormat="1" applyFont="1" applyBorder="1" applyAlignment="1"/>
    <xf numFmtId="167" fontId="5" fillId="0" borderId="15" xfId="0" applyNumberFormat="1" applyFont="1" applyBorder="1" applyAlignment="1"/>
    <xf numFmtId="165" fontId="3" fillId="0" borderId="0" xfId="35" applyNumberFormat="1" applyFont="1" applyBorder="1" applyAlignment="1"/>
    <xf numFmtId="165" fontId="3" fillId="0" borderId="15" xfId="35" applyNumberFormat="1" applyFont="1" applyBorder="1" applyAlignment="1"/>
    <xf numFmtId="2" fontId="5" fillId="0" borderId="0" xfId="0" applyNumberFormat="1" applyFont="1" applyBorder="1" applyAlignment="1"/>
    <xf numFmtId="2" fontId="5" fillId="0" borderId="15" xfId="0" applyNumberFormat="1" applyFont="1" applyBorder="1" applyAlignment="1"/>
    <xf numFmtId="9" fontId="5" fillId="0" borderId="0" xfId="52" applyFont="1" applyBorder="1" applyAlignment="1">
      <alignment horizontal="right"/>
    </xf>
    <xf numFmtId="43" fontId="5" fillId="17" borderId="15" xfId="0" applyNumberFormat="1" applyFont="1" applyFill="1" applyBorder="1"/>
    <xf numFmtId="174" fontId="5" fillId="0" borderId="0" xfId="0" applyNumberFormat="1" applyFont="1" applyFill="1" applyBorder="1" applyAlignment="1">
      <alignment horizontal="right"/>
    </xf>
    <xf numFmtId="37" fontId="5" fillId="0" borderId="15" xfId="0" applyNumberFormat="1" applyFont="1" applyFill="1" applyBorder="1" applyAlignment="1">
      <alignment horizontal="right"/>
    </xf>
    <xf numFmtId="9" fontId="5" fillId="0" borderId="0" xfId="52" applyFont="1" applyFill="1" applyBorder="1" applyAlignment="1"/>
    <xf numFmtId="164" fontId="5" fillId="0" borderId="0" xfId="35" quotePrefix="1" applyNumberFormat="1" applyFont="1" applyFill="1" applyBorder="1" applyAlignment="1">
      <alignment horizontal="right"/>
    </xf>
    <xf numFmtId="164" fontId="5" fillId="0" borderId="0" xfId="35" applyNumberFormat="1" applyFont="1" applyFill="1" applyBorder="1" applyAlignment="1">
      <alignment horizontal="right"/>
    </xf>
    <xf numFmtId="164" fontId="5" fillId="0" borderId="0" xfId="35" quotePrefix="1" applyNumberFormat="1" applyFont="1" applyFill="1" applyBorder="1" applyAlignment="1">
      <alignment horizontal="left"/>
    </xf>
    <xf numFmtId="187" fontId="5" fillId="0" borderId="0" xfId="0" applyNumberFormat="1" applyFont="1" applyFill="1" applyBorder="1" applyAlignment="1">
      <alignment horizontal="right"/>
    </xf>
    <xf numFmtId="187" fontId="5" fillId="0" borderId="15" xfId="0" applyNumberFormat="1" applyFont="1" applyFill="1" applyBorder="1" applyAlignment="1">
      <alignment horizontal="right"/>
    </xf>
    <xf numFmtId="167" fontId="5" fillId="0" borderId="0" xfId="52" quotePrefix="1" applyNumberFormat="1" applyFont="1" applyFill="1" applyBorder="1" applyAlignment="1">
      <alignment horizontal="right"/>
    </xf>
    <xf numFmtId="164" fontId="5" fillId="0" borderId="0" xfId="35" applyNumberFormat="1" applyFont="1" applyFill="1" applyBorder="1"/>
    <xf numFmtId="167" fontId="5" fillId="0" borderId="15" xfId="52" quotePrefix="1" applyNumberFormat="1" applyFont="1" applyFill="1" applyBorder="1" applyAlignment="1">
      <alignment horizontal="right"/>
    </xf>
    <xf numFmtId="164" fontId="5" fillId="0" borderId="15" xfId="35" applyNumberFormat="1" applyFont="1" applyFill="1" applyBorder="1"/>
    <xf numFmtId="165" fontId="3" fillId="0" borderId="15" xfId="35" applyNumberFormat="1" applyFont="1" applyBorder="1"/>
    <xf numFmtId="164" fontId="5" fillId="0" borderId="15" xfId="35" quotePrefix="1" applyNumberFormat="1" applyFont="1" applyFill="1" applyBorder="1" applyAlignment="1">
      <alignment horizontal="right"/>
    </xf>
    <xf numFmtId="164" fontId="5" fillId="0" borderId="15" xfId="35" applyNumberFormat="1" applyFont="1" applyFill="1" applyBorder="1" applyAlignment="1">
      <alignment horizontal="right"/>
    </xf>
    <xf numFmtId="164" fontId="5" fillId="0" borderId="15" xfId="35" quotePrefix="1" applyNumberFormat="1" applyFont="1" applyFill="1" applyBorder="1" applyAlignment="1">
      <alignment horizontal="left"/>
    </xf>
    <xf numFmtId="187" fontId="5" fillId="0" borderId="14" xfId="0" applyNumberFormat="1" applyFont="1" applyFill="1" applyBorder="1" applyAlignment="1">
      <alignment horizontal="right"/>
    </xf>
    <xf numFmtId="164" fontId="5" fillId="0" borderId="14" xfId="35" quotePrefix="1" applyNumberFormat="1" applyFont="1" applyFill="1" applyBorder="1" applyAlignment="1">
      <alignment horizontal="right"/>
    </xf>
    <xf numFmtId="164" fontId="5" fillId="0" borderId="14" xfId="35" applyNumberFormat="1" applyFont="1" applyFill="1" applyBorder="1" applyAlignment="1">
      <alignment horizontal="right"/>
    </xf>
    <xf numFmtId="164" fontId="5" fillId="0" borderId="14" xfId="35" quotePrefix="1" applyNumberFormat="1" applyFont="1" applyFill="1" applyBorder="1" applyAlignment="1">
      <alignment horizontal="left"/>
    </xf>
    <xf numFmtId="37" fontId="5" fillId="0" borderId="14" xfId="0" applyNumberFormat="1" applyFont="1" applyFill="1" applyBorder="1" applyAlignment="1">
      <alignment horizontal="right"/>
    </xf>
    <xf numFmtId="43" fontId="5" fillId="17" borderId="0" xfId="35" applyFont="1" applyFill="1" applyBorder="1"/>
    <xf numFmtId="0" fontId="28" fillId="17" borderId="0" xfId="0" applyNumberFormat="1" applyFont="1" applyFill="1" applyBorder="1" applyAlignment="1"/>
    <xf numFmtId="167" fontId="9" fillId="17" borderId="0" xfId="0" applyNumberFormat="1" applyFont="1" applyFill="1" applyBorder="1" applyAlignment="1"/>
    <xf numFmtId="167" fontId="9" fillId="17" borderId="15" xfId="0" applyNumberFormat="1" applyFont="1" applyFill="1" applyBorder="1" applyAlignment="1"/>
    <xf numFmtId="37" fontId="10" fillId="0" borderId="14" xfId="0" applyNumberFormat="1" applyFont="1" applyFill="1" applyBorder="1"/>
    <xf numFmtId="165" fontId="19" fillId="0" borderId="0" xfId="0" applyNumberFormat="1" applyFont="1" applyFill="1" applyBorder="1"/>
    <xf numFmtId="165" fontId="19" fillId="0" borderId="15" xfId="0" applyNumberFormat="1" applyFont="1" applyFill="1" applyBorder="1"/>
    <xf numFmtId="7" fontId="12" fillId="0" borderId="0" xfId="0" applyNumberFormat="1" applyFont="1" applyFill="1" applyBorder="1"/>
    <xf numFmtId="7" fontId="12" fillId="0" borderId="15" xfId="0" applyNumberFormat="1" applyFont="1" applyFill="1" applyBorder="1"/>
    <xf numFmtId="188" fontId="3" fillId="17" borderId="15" xfId="57" applyNumberFormat="1" applyFont="1" applyFill="1" applyBorder="1" applyAlignment="1"/>
    <xf numFmtId="43" fontId="5" fillId="17" borderId="0" xfId="35" applyFont="1" applyFill="1" applyBorder="1" applyAlignment="1"/>
    <xf numFmtId="43" fontId="5" fillId="17" borderId="15" xfId="35" applyFont="1" applyFill="1" applyBorder="1" applyAlignment="1"/>
    <xf numFmtId="9" fontId="12" fillId="0" borderId="0" xfId="0" applyNumberFormat="1" applyFont="1" applyFill="1" applyBorder="1"/>
    <xf numFmtId="165" fontId="12" fillId="0" borderId="0" xfId="35" applyNumberFormat="1" applyFont="1" applyFill="1" applyBorder="1"/>
    <xf numFmtId="165" fontId="12" fillId="0" borderId="15" xfId="35" applyNumberFormat="1" applyFont="1" applyFill="1" applyBorder="1"/>
    <xf numFmtId="165" fontId="19" fillId="17" borderId="22" xfId="0" applyNumberFormat="1" applyFont="1" applyFill="1" applyBorder="1"/>
    <xf numFmtId="171" fontId="13" fillId="0" borderId="17" xfId="0" applyNumberFormat="1" applyFont="1" applyBorder="1"/>
    <xf numFmtId="189" fontId="5" fillId="0" borderId="0" xfId="0" applyNumberFormat="1" applyFont="1" applyFill="1" applyBorder="1"/>
    <xf numFmtId="189" fontId="5" fillId="0" borderId="14" xfId="0" applyNumberFormat="1" applyFont="1" applyFill="1" applyBorder="1"/>
    <xf numFmtId="189" fontId="5" fillId="0" borderId="15" xfId="0" applyNumberFormat="1" applyFont="1" applyFill="1" applyBorder="1"/>
    <xf numFmtId="187" fontId="5" fillId="17" borderId="15" xfId="0" applyNumberFormat="1" applyFont="1" applyFill="1" applyBorder="1"/>
    <xf numFmtId="172" fontId="5" fillId="17" borderId="15" xfId="0" applyNumberFormat="1" applyFont="1" applyFill="1" applyBorder="1"/>
    <xf numFmtId="165" fontId="10" fillId="0" borderId="14" xfId="35" applyNumberFormat="1" applyFont="1" applyFill="1" applyBorder="1"/>
    <xf numFmtId="165" fontId="3" fillId="0" borderId="0" xfId="35" applyNumberFormat="1" applyFont="1" applyFill="1" applyBorder="1"/>
    <xf numFmtId="165" fontId="7" fillId="0" borderId="25" xfId="0" applyNumberFormat="1" applyFont="1" applyBorder="1"/>
    <xf numFmtId="167" fontId="30" fillId="21" borderId="0" xfId="0" applyNumberFormat="1" applyFont="1" applyFill="1" applyBorder="1"/>
    <xf numFmtId="167" fontId="30" fillId="21" borderId="15" xfId="0" applyNumberFormat="1" applyFont="1" applyFill="1" applyBorder="1"/>
    <xf numFmtId="165" fontId="1" fillId="0" borderId="15" xfId="35" applyNumberFormat="1" applyFont="1" applyFill="1" applyBorder="1" applyAlignment="1"/>
    <xf numFmtId="10" fontId="1" fillId="0" borderId="15" xfId="52" applyNumberFormat="1" applyFont="1" applyFill="1" applyBorder="1" applyAlignment="1"/>
    <xf numFmtId="0" fontId="10" fillId="17" borderId="15" xfId="0" applyNumberFormat="1" applyFont="1" applyFill="1" applyBorder="1" applyAlignment="1"/>
    <xf numFmtId="0" fontId="4" fillId="0" borderId="0" xfId="0" applyNumberFormat="1" applyFont="1" applyFill="1" applyBorder="1" applyAlignment="1"/>
    <xf numFmtId="5" fontId="10" fillId="17" borderId="15" xfId="0" applyNumberFormat="1" applyFont="1" applyFill="1" applyBorder="1"/>
    <xf numFmtId="167" fontId="10" fillId="17" borderId="0" xfId="52" applyNumberFormat="1" applyFont="1" applyFill="1" applyBorder="1" applyAlignment="1"/>
    <xf numFmtId="167" fontId="12" fillId="0" borderId="0" xfId="52" applyNumberFormat="1" applyFont="1" applyFill="1" applyBorder="1" applyAlignment="1"/>
    <xf numFmtId="167" fontId="12" fillId="0" borderId="15" xfId="52" applyNumberFormat="1" applyFont="1" applyFill="1" applyBorder="1" applyAlignment="1"/>
    <xf numFmtId="167" fontId="12" fillId="17" borderId="0" xfId="0" applyNumberFormat="1" applyFont="1" applyFill="1" applyBorder="1"/>
    <xf numFmtId="167" fontId="12" fillId="17" borderId="15" xfId="0" applyNumberFormat="1" applyFont="1" applyFill="1" applyBorder="1"/>
    <xf numFmtId="167" fontId="19" fillId="17" borderId="0" xfId="0" applyNumberFormat="1" applyFont="1" applyFill="1" applyBorder="1"/>
    <xf numFmtId="167" fontId="19" fillId="17" borderId="15" xfId="0" applyNumberFormat="1" applyFont="1" applyFill="1" applyBorder="1"/>
    <xf numFmtId="41" fontId="12" fillId="17" borderId="0" xfId="0" applyNumberFormat="1" applyFont="1" applyFill="1" applyBorder="1"/>
    <xf numFmtId="41" fontId="12" fillId="17" borderId="15" xfId="0" applyNumberFormat="1" applyFont="1" applyFill="1" applyBorder="1"/>
    <xf numFmtId="165" fontId="12" fillId="0" borderId="0" xfId="35" applyNumberFormat="1" applyFont="1" applyFill="1" applyBorder="1" applyAlignment="1"/>
    <xf numFmtId="165" fontId="12" fillId="0" borderId="15" xfId="35" applyNumberFormat="1" applyFont="1" applyFill="1" applyBorder="1" applyAlignment="1"/>
    <xf numFmtId="167" fontId="12" fillId="0" borderId="0" xfId="52" applyNumberFormat="1" applyFont="1" applyFill="1" applyBorder="1"/>
    <xf numFmtId="165" fontId="5" fillId="0" borderId="0" xfId="0" applyNumberFormat="1" applyFont="1" applyFill="1" applyBorder="1" applyAlignment="1"/>
    <xf numFmtId="9" fontId="12" fillId="0" borderId="15" xfId="0" applyNumberFormat="1" applyFont="1" applyFill="1" applyBorder="1"/>
    <xf numFmtId="165" fontId="5" fillId="0" borderId="15" xfId="0" applyNumberFormat="1" applyFont="1" applyFill="1" applyBorder="1" applyAlignment="1"/>
    <xf numFmtId="165" fontId="12" fillId="0" borderId="14" xfId="0" applyNumberFormat="1" applyFont="1" applyFill="1" applyBorder="1"/>
    <xf numFmtId="165" fontId="12" fillId="0" borderId="15" xfId="0" applyNumberFormat="1" applyFont="1" applyFill="1" applyBorder="1"/>
    <xf numFmtId="43" fontId="3" fillId="0" borderId="0" xfId="35" applyFont="1" applyFill="1" applyBorder="1" applyAlignment="1"/>
    <xf numFmtId="43" fontId="3" fillId="0" borderId="15" xfId="35" applyFont="1" applyFill="1" applyBorder="1" applyAlignment="1"/>
    <xf numFmtId="9" fontId="3" fillId="0" borderId="14" xfId="52" applyFont="1" applyFill="1" applyBorder="1"/>
    <xf numFmtId="0" fontId="5" fillId="0" borderId="15" xfId="0" applyFont="1" applyBorder="1" applyAlignment="1">
      <alignment horizontal="right"/>
    </xf>
    <xf numFmtId="0" fontId="0" fillId="0" borderId="0" xfId="0" applyBorder="1" applyAlignment="1">
      <alignment horizontal="right"/>
    </xf>
    <xf numFmtId="174" fontId="5" fillId="0" borderId="15" xfId="0" applyNumberFormat="1" applyFont="1" applyFill="1" applyBorder="1" applyAlignment="1">
      <alignment horizontal="right"/>
    </xf>
    <xf numFmtId="164" fontId="10" fillId="0" borderId="0" xfId="0" applyNumberFormat="1" applyFont="1" applyBorder="1"/>
    <xf numFmtId="0" fontId="10" fillId="0" borderId="14" xfId="0" applyNumberFormat="1" applyFont="1" applyBorder="1"/>
    <xf numFmtId="0" fontId="10" fillId="0" borderId="0" xfId="0" applyNumberFormat="1" applyFont="1" applyFill="1" applyBorder="1"/>
    <xf numFmtId="165" fontId="12" fillId="0" borderId="14" xfId="0" applyNumberFormat="1" applyFont="1" applyBorder="1"/>
    <xf numFmtId="165" fontId="12" fillId="0" borderId="14" xfId="35" applyNumberFormat="1" applyFont="1" applyFill="1" applyBorder="1"/>
    <xf numFmtId="0" fontId="10" fillId="0" borderId="0" xfId="0" applyFont="1" applyBorder="1" applyAlignment="1"/>
    <xf numFmtId="0" fontId="10" fillId="0" borderId="15" xfId="0" applyFont="1" applyBorder="1" applyAlignment="1"/>
    <xf numFmtId="0" fontId="4" fillId="17" borderId="0" xfId="0" applyFont="1" applyFill="1" applyBorder="1" applyAlignment="1"/>
    <xf numFmtId="0" fontId="4" fillId="17" borderId="15" xfId="0" applyFont="1" applyFill="1" applyBorder="1" applyAlignment="1"/>
    <xf numFmtId="165" fontId="12" fillId="0" borderId="14" xfId="35" applyNumberFormat="1" applyFont="1" applyBorder="1" applyAlignment="1"/>
    <xf numFmtId="165" fontId="12" fillId="0" borderId="0" xfId="35" applyNumberFormat="1" applyFont="1" applyBorder="1" applyAlignment="1"/>
    <xf numFmtId="165" fontId="12" fillId="0" borderId="15" xfId="35" applyNumberFormat="1" applyFont="1" applyBorder="1" applyAlignment="1"/>
    <xf numFmtId="167" fontId="1" fillId="0" borderId="0" xfId="52" applyNumberFormat="1" applyFont="1" applyFill="1" applyBorder="1" applyAlignment="1"/>
    <xf numFmtId="167" fontId="1" fillId="0" borderId="15" xfId="52" applyNumberFormat="1" applyFont="1" applyFill="1" applyBorder="1" applyAlignment="1"/>
    <xf numFmtId="187" fontId="12" fillId="17" borderId="15" xfId="57" applyNumberFormat="1" applyFont="1" applyFill="1" applyBorder="1" applyAlignment="1"/>
    <xf numFmtId="187" fontId="12" fillId="17" borderId="0" xfId="57" applyNumberFormat="1" applyFont="1" applyFill="1" applyBorder="1" applyAlignment="1"/>
    <xf numFmtId="196" fontId="12" fillId="0" borderId="0" xfId="57" applyNumberFormat="1" applyFont="1" applyFill="1" applyBorder="1" applyAlignment="1"/>
    <xf numFmtId="196" fontId="12" fillId="0" borderId="15" xfId="57" applyNumberFormat="1" applyFont="1" applyFill="1" applyBorder="1" applyAlignment="1"/>
    <xf numFmtId="165" fontId="10" fillId="17" borderId="0" xfId="0" applyNumberFormat="1" applyFont="1" applyFill="1" applyBorder="1" applyAlignment="1"/>
    <xf numFmtId="165" fontId="10" fillId="17" borderId="15" xfId="0" applyNumberFormat="1" applyFont="1" applyFill="1" applyBorder="1" applyAlignment="1"/>
    <xf numFmtId="167" fontId="46" fillId="17" borderId="0" xfId="0" applyNumberFormat="1" applyFont="1" applyFill="1" applyBorder="1" applyAlignment="1"/>
    <xf numFmtId="167" fontId="46" fillId="17" borderId="15" xfId="0" applyNumberFormat="1" applyFont="1" applyFill="1" applyBorder="1" applyAlignment="1"/>
    <xf numFmtId="165" fontId="10" fillId="17" borderId="0" xfId="35" applyNumberFormat="1" applyFont="1" applyFill="1" applyBorder="1" applyAlignment="1"/>
    <xf numFmtId="165" fontId="10" fillId="17" borderId="15" xfId="35" applyNumberFormat="1" applyFont="1" applyFill="1" applyBorder="1" applyAlignment="1"/>
    <xf numFmtId="167" fontId="46" fillId="0" borderId="0" xfId="0" applyNumberFormat="1" applyFont="1" applyFill="1" applyBorder="1"/>
    <xf numFmtId="167" fontId="46" fillId="0" borderId="15" xfId="0" applyNumberFormat="1" applyFont="1" applyFill="1" applyBorder="1"/>
    <xf numFmtId="43" fontId="10" fillId="0" borderId="0" xfId="35" applyFont="1" applyFill="1"/>
    <xf numFmtId="43" fontId="10" fillId="0" borderId="15" xfId="35" applyFont="1" applyFill="1" applyBorder="1"/>
    <xf numFmtId="9" fontId="10" fillId="17" borderId="0" xfId="52" applyFont="1" applyFill="1" applyBorder="1" applyAlignment="1"/>
    <xf numFmtId="5" fontId="19" fillId="0" borderId="0" xfId="0" applyNumberFormat="1" applyFont="1" applyFill="1" applyBorder="1"/>
    <xf numFmtId="5" fontId="19" fillId="0" borderId="15" xfId="0" applyNumberFormat="1" applyFont="1" applyFill="1" applyBorder="1"/>
    <xf numFmtId="9" fontId="12" fillId="0" borderId="0" xfId="52" applyNumberFormat="1" applyFont="1" applyFill="1" applyBorder="1"/>
    <xf numFmtId="9" fontId="12" fillId="0" borderId="0" xfId="52" applyFont="1" applyBorder="1"/>
    <xf numFmtId="9" fontId="12" fillId="0" borderId="15" xfId="52" applyFont="1" applyBorder="1"/>
    <xf numFmtId="9" fontId="12" fillId="0" borderId="14" xfId="52" applyFont="1" applyBorder="1"/>
    <xf numFmtId="167" fontId="1" fillId="0" borderId="0" xfId="0" applyNumberFormat="1" applyFont="1" applyFill="1" applyBorder="1" applyAlignment="1"/>
    <xf numFmtId="0" fontId="10" fillId="20" borderId="0" xfId="0" applyFont="1" applyFill="1" applyBorder="1" applyAlignment="1"/>
    <xf numFmtId="0" fontId="10" fillId="20" borderId="15" xfId="0" applyFont="1" applyFill="1" applyBorder="1" applyAlignment="1"/>
    <xf numFmtId="0" fontId="10" fillId="20" borderId="0" xfId="0" applyFont="1" applyFill="1" applyBorder="1"/>
    <xf numFmtId="0" fontId="10" fillId="0" borderId="0" xfId="0" applyFont="1" applyFill="1" applyBorder="1" applyAlignment="1"/>
    <xf numFmtId="0" fontId="10" fillId="0" borderId="15" xfId="0" applyFont="1" applyFill="1" applyBorder="1" applyAlignment="1"/>
    <xf numFmtId="0" fontId="10" fillId="17" borderId="14" xfId="0" applyNumberFormat="1" applyFont="1" applyFill="1" applyBorder="1" applyAlignment="1"/>
    <xf numFmtId="0" fontId="10" fillId="20" borderId="15" xfId="0" applyFont="1" applyFill="1" applyBorder="1"/>
    <xf numFmtId="7" fontId="10" fillId="0" borderId="0" xfId="0" applyNumberFormat="1" applyFont="1" applyFill="1" applyBorder="1"/>
    <xf numFmtId="9" fontId="10" fillId="17" borderId="15" xfId="52" applyFont="1" applyFill="1" applyBorder="1" applyAlignment="1"/>
    <xf numFmtId="0" fontId="24" fillId="0" borderId="0" xfId="0" applyFont="1" applyFill="1" applyBorder="1" applyAlignment="1"/>
    <xf numFmtId="0" fontId="24" fillId="0" borderId="15" xfId="0" applyFont="1" applyFill="1" applyBorder="1" applyAlignment="1"/>
    <xf numFmtId="0" fontId="10" fillId="0" borderId="0" xfId="0" applyFont="1" applyFill="1" applyBorder="1"/>
    <xf numFmtId="9" fontId="12" fillId="0" borderId="14" xfId="52" applyFont="1" applyFill="1" applyBorder="1"/>
    <xf numFmtId="9" fontId="12" fillId="0" borderId="0" xfId="52" applyFont="1" applyFill="1" applyBorder="1"/>
    <xf numFmtId="9" fontId="12" fillId="0" borderId="15" xfId="52" applyFont="1" applyFill="1" applyBorder="1"/>
    <xf numFmtId="0" fontId="10" fillId="0" borderId="0" xfId="0" applyFont="1" applyBorder="1"/>
    <xf numFmtId="0" fontId="28" fillId="0" borderId="17" xfId="0" applyFont="1" applyBorder="1" applyAlignment="1"/>
    <xf numFmtId="0" fontId="5" fillId="0" borderId="15" xfId="0" applyFont="1" applyFill="1" applyBorder="1" applyAlignment="1">
      <alignment horizontal="left"/>
    </xf>
    <xf numFmtId="0" fontId="6" fillId="16" borderId="26" xfId="0" applyNumberFormat="1" applyFont="1" applyFill="1" applyBorder="1"/>
    <xf numFmtId="0" fontId="6" fillId="16" borderId="17" xfId="0" applyNumberFormat="1" applyFont="1" applyFill="1" applyBorder="1"/>
    <xf numFmtId="0" fontId="3" fillId="17" borderId="17" xfId="0" applyFont="1" applyFill="1" applyBorder="1"/>
    <xf numFmtId="0" fontId="28" fillId="17" borderId="15" xfId="0" applyFont="1" applyFill="1" applyBorder="1"/>
    <xf numFmtId="0" fontId="3" fillId="20" borderId="27" xfId="0" applyFont="1" applyFill="1" applyBorder="1"/>
    <xf numFmtId="0" fontId="5" fillId="0" borderId="15" xfId="0" quotePrefix="1" applyFont="1" applyFill="1" applyBorder="1" applyAlignment="1">
      <alignment horizontal="left"/>
    </xf>
    <xf numFmtId="187" fontId="5" fillId="0" borderId="15" xfId="0" applyNumberFormat="1" applyFont="1" applyFill="1" applyBorder="1" applyAlignment="1">
      <alignment horizontal="left"/>
    </xf>
    <xf numFmtId="0" fontId="0" fillId="0" borderId="14" xfId="0" applyFill="1" applyBorder="1"/>
    <xf numFmtId="0" fontId="42" fillId="0" borderId="0" xfId="0" applyFont="1" applyFill="1" applyBorder="1"/>
    <xf numFmtId="0" fontId="9" fillId="0" borderId="0" xfId="0" applyFont="1" applyFill="1" applyBorder="1"/>
    <xf numFmtId="0" fontId="3" fillId="0" borderId="0" xfId="0" applyNumberFormat="1" applyFont="1" applyFill="1" applyBorder="1" applyAlignment="1">
      <alignment horizontal="center"/>
    </xf>
    <xf numFmtId="0" fontId="2" fillId="0" borderId="0" xfId="0" applyNumberFormat="1" applyFont="1" applyFill="1" applyBorder="1" applyAlignment="1">
      <alignment horizontal="centerContinuous"/>
    </xf>
    <xf numFmtId="37" fontId="3" fillId="0" borderId="0" xfId="0" applyNumberFormat="1" applyFont="1" applyFill="1" applyBorder="1" applyAlignment="1">
      <alignment horizontal="right"/>
    </xf>
    <xf numFmtId="177" fontId="2" fillId="0" borderId="0" xfId="0" applyNumberFormat="1" applyFont="1" applyFill="1" applyBorder="1" applyAlignment="1">
      <alignment horizontal="center"/>
    </xf>
    <xf numFmtId="0" fontId="8" fillId="0" borderId="0" xfId="0" applyFont="1" applyFill="1" applyBorder="1" applyAlignment="1"/>
    <xf numFmtId="0" fontId="8" fillId="0" borderId="0" xfId="0" applyFont="1" applyFill="1" applyBorder="1" applyAlignment="1">
      <alignment horizontal="right"/>
    </xf>
    <xf numFmtId="0" fontId="5" fillId="0" borderId="0" xfId="0" applyFont="1" applyFill="1" applyBorder="1" applyAlignment="1">
      <alignment horizontal="right"/>
    </xf>
    <xf numFmtId="165" fontId="7" fillId="0" borderId="0" xfId="0" applyNumberFormat="1" applyFont="1" applyFill="1" applyBorder="1"/>
    <xf numFmtId="165" fontId="8" fillId="0" borderId="0" xfId="0" applyNumberFormat="1" applyFont="1" applyFill="1" applyBorder="1" applyAlignment="1"/>
    <xf numFmtId="165" fontId="8" fillId="0" borderId="0" xfId="0" applyNumberFormat="1" applyFont="1" applyFill="1" applyBorder="1" applyAlignment="1">
      <alignment horizontal="right"/>
    </xf>
    <xf numFmtId="165" fontId="5" fillId="0" borderId="0" xfId="0" applyNumberFormat="1" applyFont="1" applyFill="1" applyBorder="1" applyAlignment="1">
      <alignment horizontal="right"/>
    </xf>
    <xf numFmtId="37" fontId="8" fillId="0" borderId="0" xfId="0" applyNumberFormat="1" applyFont="1" applyFill="1" applyBorder="1"/>
    <xf numFmtId="176" fontId="28" fillId="0" borderId="0" xfId="0" applyNumberFormat="1" applyFont="1" applyFill="1" applyBorder="1"/>
    <xf numFmtId="169" fontId="3" fillId="0" borderId="0" xfId="0" applyNumberFormat="1" applyFont="1" applyFill="1" applyBorder="1"/>
    <xf numFmtId="167" fontId="10" fillId="0" borderId="0" xfId="0" applyNumberFormat="1" applyFont="1" applyFill="1" applyBorder="1"/>
    <xf numFmtId="165" fontId="40" fillId="0" borderId="0" xfId="0" applyNumberFormat="1" applyFont="1" applyFill="1" applyBorder="1"/>
    <xf numFmtId="164" fontId="5" fillId="0" borderId="0" xfId="0" applyNumberFormat="1" applyFont="1" applyFill="1" applyBorder="1"/>
    <xf numFmtId="167" fontId="46" fillId="17" borderId="14" xfId="0" applyNumberFormat="1" applyFont="1" applyFill="1" applyBorder="1" applyAlignment="1"/>
    <xf numFmtId="4" fontId="5" fillId="17" borderId="15" xfId="0" applyNumberFormat="1" applyFont="1" applyFill="1" applyBorder="1"/>
    <xf numFmtId="197" fontId="5" fillId="17" borderId="14" xfId="0" applyNumberFormat="1" applyFont="1" applyFill="1" applyBorder="1"/>
    <xf numFmtId="197" fontId="5" fillId="17" borderId="0" xfId="0" applyNumberFormat="1" applyFont="1" applyFill="1" applyBorder="1"/>
    <xf numFmtId="197" fontId="5" fillId="17" borderId="15" xfId="0" applyNumberFormat="1" applyFont="1" applyFill="1" applyBorder="1"/>
    <xf numFmtId="9" fontId="46" fillId="0" borderId="0" xfId="0" applyNumberFormat="1" applyFont="1" applyFill="1" applyBorder="1"/>
    <xf numFmtId="165" fontId="10" fillId="17" borderId="0" xfId="35" applyNumberFormat="1" applyFont="1" applyFill="1" applyBorder="1" applyAlignment="1">
      <alignment horizontal="right"/>
    </xf>
    <xf numFmtId="41" fontId="5" fillId="0" borderId="0" xfId="0" applyNumberFormat="1" applyFont="1" applyFill="1" applyBorder="1" applyAlignment="1"/>
    <xf numFmtId="41" fontId="26" fillId="0" borderId="15" xfId="0" applyNumberFormat="1" applyFont="1" applyFill="1" applyBorder="1" applyAlignment="1"/>
    <xf numFmtId="167" fontId="10" fillId="0" borderId="15" xfId="52" applyNumberFormat="1" applyFont="1" applyFill="1" applyBorder="1" applyAlignment="1"/>
    <xf numFmtId="167" fontId="5" fillId="17" borderId="15" xfId="0" applyNumberFormat="1" applyFont="1" applyFill="1" applyBorder="1" applyAlignment="1"/>
    <xf numFmtId="167" fontId="3" fillId="17" borderId="15" xfId="0" applyNumberFormat="1" applyFont="1" applyFill="1" applyBorder="1" applyAlignment="1"/>
    <xf numFmtId="5" fontId="1" fillId="17" borderId="15" xfId="0" applyNumberFormat="1" applyFont="1" applyFill="1" applyBorder="1" applyAlignment="1"/>
    <xf numFmtId="41" fontId="1" fillId="17" borderId="15" xfId="0" applyNumberFormat="1" applyFont="1" applyFill="1" applyBorder="1" applyAlignment="1"/>
    <xf numFmtId="182" fontId="1" fillId="17" borderId="15" xfId="0" applyNumberFormat="1" applyFont="1" applyFill="1" applyBorder="1" applyAlignment="1"/>
    <xf numFmtId="0" fontId="1" fillId="17" borderId="15" xfId="0" applyFont="1" applyFill="1" applyBorder="1" applyAlignment="1"/>
    <xf numFmtId="0" fontId="1" fillId="0" borderId="15" xfId="0" applyFont="1" applyFill="1" applyBorder="1" applyAlignment="1"/>
    <xf numFmtId="3" fontId="5" fillId="0" borderId="14" xfId="57" applyNumberFormat="1" applyFont="1" applyFill="1" applyBorder="1" applyAlignment="1"/>
    <xf numFmtId="188" fontId="5" fillId="0" borderId="0" xfId="57" applyNumberFormat="1" applyFont="1" applyFill="1" applyBorder="1" applyAlignment="1"/>
    <xf numFmtId="188" fontId="5" fillId="0" borderId="15" xfId="57" applyNumberFormat="1" applyFont="1" applyFill="1" applyBorder="1" applyAlignment="1"/>
    <xf numFmtId="3" fontId="3" fillId="0" borderId="14" xfId="57" applyNumberFormat="1" applyFont="1" applyFill="1" applyBorder="1" applyAlignment="1"/>
    <xf numFmtId="188" fontId="3" fillId="0" borderId="0" xfId="57" applyNumberFormat="1" applyFont="1" applyFill="1" applyBorder="1" applyAlignment="1"/>
    <xf numFmtId="188" fontId="3" fillId="0" borderId="15" xfId="57" applyNumberFormat="1" applyFont="1" applyFill="1" applyBorder="1" applyAlignment="1"/>
    <xf numFmtId="167" fontId="5" fillId="17" borderId="0" xfId="52" applyNumberFormat="1" applyFont="1" applyFill="1" applyBorder="1" applyAlignment="1">
      <alignment horizontal="right"/>
    </xf>
    <xf numFmtId="165" fontId="1" fillId="17" borderId="14" xfId="35" applyNumberFormat="1" applyFont="1" applyFill="1" applyBorder="1"/>
    <xf numFmtId="165" fontId="1" fillId="17" borderId="0" xfId="35" applyNumberFormat="1" applyFont="1" applyFill="1" applyBorder="1"/>
    <xf numFmtId="165" fontId="1" fillId="17" borderId="15" xfId="35" applyNumberFormat="1" applyFont="1" applyFill="1" applyBorder="1"/>
    <xf numFmtId="49" fontId="0" fillId="0" borderId="0" xfId="0" applyNumberFormat="1"/>
    <xf numFmtId="167" fontId="5" fillId="17" borderId="0" xfId="0" applyNumberFormat="1" applyFont="1" applyFill="1" applyBorder="1" applyAlignment="1"/>
    <xf numFmtId="167" fontId="5" fillId="17" borderId="14" xfId="0" applyNumberFormat="1" applyFont="1" applyFill="1" applyBorder="1" applyAlignment="1"/>
    <xf numFmtId="0" fontId="4" fillId="0" borderId="11" xfId="0" applyNumberFormat="1" applyFont="1" applyBorder="1" applyAlignment="1">
      <alignment horizontal="center"/>
    </xf>
    <xf numFmtId="165" fontId="8" fillId="17" borderId="0" xfId="0" applyNumberFormat="1" applyFont="1" applyFill="1" applyBorder="1"/>
    <xf numFmtId="0" fontId="5" fillId="0" borderId="11" xfId="0" applyNumberFormat="1" applyFont="1" applyFill="1" applyBorder="1" applyAlignment="1">
      <alignment horizontal="centerContinuous"/>
    </xf>
    <xf numFmtId="165" fontId="39" fillId="17" borderId="15" xfId="0" applyNumberFormat="1" applyFont="1" applyFill="1" applyBorder="1"/>
    <xf numFmtId="165" fontId="39" fillId="0" borderId="0" xfId="0" applyNumberFormat="1" applyFont="1" applyFill="1" applyBorder="1"/>
    <xf numFmtId="165" fontId="39" fillId="17" borderId="0" xfId="0" applyNumberFormat="1" applyFont="1" applyFill="1" applyBorder="1"/>
    <xf numFmtId="167" fontId="39" fillId="17" borderId="0" xfId="52" applyNumberFormat="1" applyFont="1" applyFill="1" applyBorder="1" applyAlignment="1"/>
    <xf numFmtId="167" fontId="39" fillId="17" borderId="14" xfId="52" applyNumberFormat="1" applyFont="1" applyFill="1" applyBorder="1" applyAlignment="1"/>
    <xf numFmtId="167" fontId="39" fillId="17" borderId="15" xfId="52" applyNumberFormat="1" applyFont="1" applyFill="1" applyBorder="1" applyAlignment="1"/>
    <xf numFmtId="165" fontId="10" fillId="21" borderId="0" xfId="35" applyNumberFormat="1" applyFont="1" applyFill="1" applyBorder="1"/>
    <xf numFmtId="165" fontId="10" fillId="21" borderId="15" xfId="35" applyNumberFormat="1" applyFont="1" applyFill="1" applyBorder="1"/>
    <xf numFmtId="0" fontId="10" fillId="17" borderId="14" xfId="0" applyFont="1" applyFill="1" applyBorder="1"/>
    <xf numFmtId="9" fontId="10" fillId="17" borderId="0" xfId="52" applyFont="1" applyFill="1" applyBorder="1"/>
    <xf numFmtId="0" fontId="12" fillId="17" borderId="0" xfId="0" applyFont="1" applyFill="1" applyBorder="1"/>
    <xf numFmtId="165" fontId="19" fillId="19" borderId="0" xfId="35" applyNumberFormat="1" applyFont="1" applyFill="1" applyBorder="1"/>
    <xf numFmtId="0" fontId="12" fillId="17" borderId="15" xfId="0" applyFont="1" applyFill="1" applyBorder="1"/>
    <xf numFmtId="165" fontId="12" fillId="0" borderId="14" xfId="35" applyNumberFormat="1" applyFont="1" applyBorder="1"/>
    <xf numFmtId="165" fontId="10" fillId="0" borderId="0" xfId="35" quotePrefix="1" applyNumberFormat="1" applyFont="1" applyBorder="1" applyAlignment="1">
      <alignment horizontal="center"/>
    </xf>
    <xf numFmtId="2" fontId="8" fillId="18" borderId="12" xfId="0" applyNumberFormat="1" applyFont="1" applyFill="1" applyBorder="1"/>
    <xf numFmtId="2" fontId="8" fillId="18" borderId="17" xfId="0" applyNumberFormat="1" applyFont="1" applyFill="1" applyBorder="1"/>
    <xf numFmtId="0" fontId="2" fillId="16" borderId="12" xfId="0" applyNumberFormat="1" applyFont="1" applyFill="1" applyBorder="1" applyAlignment="1">
      <alignment horizontal="right"/>
    </xf>
    <xf numFmtId="37" fontId="2" fillId="16" borderId="12" xfId="0" applyNumberFormat="1" applyFont="1" applyFill="1" applyBorder="1" applyAlignment="1">
      <alignment horizontal="right"/>
    </xf>
    <xf numFmtId="0" fontId="13" fillId="0" borderId="0" xfId="0" applyFont="1" applyBorder="1"/>
    <xf numFmtId="37" fontId="5" fillId="18" borderId="0" xfId="0" applyNumberFormat="1" applyFont="1" applyFill="1" applyBorder="1"/>
    <xf numFmtId="177" fontId="2" fillId="16" borderId="11" xfId="0" applyNumberFormat="1" applyFont="1" applyFill="1" applyBorder="1" applyAlignment="1">
      <alignment horizontal="center"/>
    </xf>
    <xf numFmtId="165" fontId="19" fillId="0" borderId="14" xfId="0" applyNumberFormat="1" applyFont="1" applyFill="1" applyBorder="1"/>
    <xf numFmtId="164" fontId="28" fillId="0" borderId="0" xfId="35" applyNumberFormat="1" applyFont="1" applyBorder="1"/>
    <xf numFmtId="43" fontId="10" fillId="17" borderId="16" xfId="35" applyFont="1" applyFill="1" applyBorder="1"/>
    <xf numFmtId="43" fontId="10" fillId="17" borderId="12" xfId="35" applyFont="1" applyFill="1" applyBorder="1"/>
    <xf numFmtId="43" fontId="10" fillId="17" borderId="17" xfId="35" applyFont="1" applyFill="1" applyBorder="1"/>
    <xf numFmtId="167" fontId="10" fillId="21" borderId="0" xfId="0" applyNumberFormat="1" applyFont="1" applyFill="1" applyBorder="1" applyAlignment="1"/>
    <xf numFmtId="189" fontId="12" fillId="0" borderId="0" xfId="0" applyNumberFormat="1" applyFont="1" applyBorder="1"/>
    <xf numFmtId="165" fontId="5" fillId="0" borderId="18" xfId="35" applyNumberFormat="1" applyFont="1" applyFill="1" applyBorder="1" applyAlignment="1"/>
    <xf numFmtId="165" fontId="5" fillId="0" borderId="19" xfId="35" applyNumberFormat="1" applyFont="1" applyFill="1" applyBorder="1" applyAlignment="1"/>
    <xf numFmtId="9" fontId="46" fillId="0" borderId="15" xfId="0" applyNumberFormat="1" applyFont="1" applyFill="1" applyBorder="1"/>
    <xf numFmtId="0" fontId="5" fillId="0" borderId="18" xfId="0" applyFont="1" applyFill="1" applyBorder="1"/>
    <xf numFmtId="7" fontId="10" fillId="17" borderId="0" xfId="0" applyNumberFormat="1" applyFont="1" applyFill="1" applyBorder="1"/>
    <xf numFmtId="167" fontId="46" fillId="0" borderId="0" xfId="52" applyNumberFormat="1" applyFont="1" applyFill="1" applyBorder="1"/>
    <xf numFmtId="167" fontId="46" fillId="0" borderId="15" xfId="52" applyNumberFormat="1" applyFont="1" applyFill="1" applyBorder="1"/>
    <xf numFmtId="167" fontId="9" fillId="0" borderId="0" xfId="52" applyNumberFormat="1" applyFont="1" applyFill="1" applyBorder="1"/>
    <xf numFmtId="167" fontId="9" fillId="0" borderId="15" xfId="52" applyNumberFormat="1" applyFont="1" applyFill="1" applyBorder="1"/>
    <xf numFmtId="176" fontId="28" fillId="0" borderId="0" xfId="0" applyNumberFormat="1" applyFont="1" applyBorder="1"/>
    <xf numFmtId="165" fontId="10" fillId="0" borderId="22" xfId="0" applyNumberFormat="1" applyFont="1" applyBorder="1"/>
    <xf numFmtId="165" fontId="4" fillId="0" borderId="22" xfId="0" applyNumberFormat="1" applyFont="1" applyBorder="1"/>
    <xf numFmtId="165" fontId="4" fillId="17" borderId="22" xfId="0" applyNumberFormat="1" applyFont="1" applyFill="1" applyBorder="1"/>
    <xf numFmtId="0" fontId="10" fillId="0" borderId="22" xfId="0" applyNumberFormat="1" applyFont="1" applyBorder="1"/>
    <xf numFmtId="165" fontId="29" fillId="0" borderId="28" xfId="0" applyNumberFormat="1" applyFont="1" applyBorder="1"/>
    <xf numFmtId="0" fontId="45" fillId="0" borderId="0" xfId="0" applyFont="1" applyFill="1" applyBorder="1" applyAlignment="1"/>
    <xf numFmtId="0" fontId="45" fillId="17" borderId="0" xfId="0" applyNumberFormat="1" applyFont="1" applyFill="1" applyBorder="1"/>
    <xf numFmtId="0" fontId="45" fillId="17" borderId="0" xfId="0" applyFont="1" applyFill="1" applyBorder="1" applyAlignment="1"/>
    <xf numFmtId="0" fontId="2" fillId="18" borderId="17" xfId="0" applyFont="1" applyFill="1" applyBorder="1" applyAlignment="1"/>
    <xf numFmtId="0" fontId="2" fillId="18" borderId="12" xfId="0" applyFont="1" applyFill="1" applyBorder="1" applyAlignment="1"/>
    <xf numFmtId="2" fontId="8" fillId="18" borderId="16" xfId="0" applyNumberFormat="1" applyFont="1" applyFill="1" applyBorder="1"/>
    <xf numFmtId="168" fontId="5" fillId="0" borderId="0" xfId="0" applyNumberFormat="1" applyFont="1" applyFill="1" applyBorder="1" applyAlignment="1"/>
    <xf numFmtId="167" fontId="10" fillId="0" borderId="0" xfId="52" applyNumberFormat="1" applyFont="1" applyFill="1" applyBorder="1" applyAlignment="1">
      <alignment horizontal="right"/>
    </xf>
    <xf numFmtId="167" fontId="10" fillId="0" borderId="15" xfId="52" applyNumberFormat="1" applyFont="1" applyFill="1" applyBorder="1" applyAlignment="1">
      <alignment horizontal="right"/>
    </xf>
    <xf numFmtId="0" fontId="2" fillId="0" borderId="0" xfId="0" applyFont="1" applyFill="1" applyBorder="1" applyAlignment="1"/>
    <xf numFmtId="0" fontId="2" fillId="0" borderId="15" xfId="0" applyFont="1" applyFill="1" applyBorder="1" applyAlignment="1"/>
    <xf numFmtId="165" fontId="12" fillId="0" borderId="0" xfId="52" applyNumberFormat="1" applyFont="1" applyFill="1" applyBorder="1"/>
    <xf numFmtId="165" fontId="3" fillId="17" borderId="14" xfId="35" applyNumberFormat="1" applyFont="1" applyFill="1" applyBorder="1"/>
    <xf numFmtId="165" fontId="3" fillId="17" borderId="0" xfId="35" applyNumberFormat="1" applyFont="1" applyFill="1" applyBorder="1"/>
    <xf numFmtId="3" fontId="5" fillId="17" borderId="0" xfId="0" applyNumberFormat="1" applyFont="1" applyFill="1" applyBorder="1" applyAlignment="1">
      <alignment horizontal="left"/>
    </xf>
    <xf numFmtId="165" fontId="3" fillId="19" borderId="14" xfId="35" applyNumberFormat="1" applyFont="1" applyFill="1" applyBorder="1" applyAlignment="1"/>
    <xf numFmtId="167" fontId="12" fillId="0" borderId="14" xfId="52" applyNumberFormat="1" applyFont="1" applyFill="1" applyBorder="1" applyAlignment="1"/>
    <xf numFmtId="199" fontId="10" fillId="0" borderId="0" xfId="0" applyNumberFormat="1" applyFont="1" applyFill="1" applyBorder="1"/>
    <xf numFmtId="199" fontId="10" fillId="0" borderId="15" xfId="0" applyNumberFormat="1" applyFont="1" applyFill="1" applyBorder="1"/>
    <xf numFmtId="199" fontId="10" fillId="0" borderId="14" xfId="0" applyNumberFormat="1" applyFont="1" applyBorder="1"/>
    <xf numFmtId="199" fontId="10" fillId="0" borderId="0" xfId="0" applyNumberFormat="1" applyFont="1" applyBorder="1"/>
    <xf numFmtId="199" fontId="10" fillId="0" borderId="15" xfId="0" applyNumberFormat="1" applyFont="1" applyBorder="1"/>
    <xf numFmtId="165" fontId="10" fillId="0" borderId="14" xfId="35" applyNumberFormat="1" applyFont="1" applyBorder="1"/>
    <xf numFmtId="190" fontId="10" fillId="0" borderId="0" xfId="0" applyNumberFormat="1" applyFont="1" applyFill="1" applyBorder="1"/>
    <xf numFmtId="165" fontId="5" fillId="17" borderId="14" xfId="35" applyNumberFormat="1" applyFont="1" applyFill="1" applyBorder="1" applyAlignment="1"/>
    <xf numFmtId="165" fontId="3" fillId="17" borderId="15" xfId="35" applyNumberFormat="1" applyFont="1" applyFill="1" applyBorder="1"/>
    <xf numFmtId="165" fontId="5" fillId="17" borderId="14" xfId="35" applyNumberFormat="1" applyFont="1" applyFill="1" applyBorder="1"/>
    <xf numFmtId="0" fontId="26" fillId="0" borderId="15" xfId="0" applyFont="1" applyFill="1" applyBorder="1" applyAlignment="1">
      <alignment horizontal="left"/>
    </xf>
    <xf numFmtId="165" fontId="3" fillId="0" borderId="15" xfId="35" applyNumberFormat="1" applyFont="1" applyFill="1" applyBorder="1"/>
    <xf numFmtId="167" fontId="10" fillId="0" borderId="14" xfId="52" applyNumberFormat="1" applyFont="1" applyBorder="1"/>
    <xf numFmtId="167" fontId="10" fillId="0" borderId="0" xfId="52" applyNumberFormat="1" applyFont="1" applyBorder="1"/>
    <xf numFmtId="165" fontId="26" fillId="0" borderId="15" xfId="35" applyNumberFormat="1" applyFont="1" applyFill="1" applyBorder="1"/>
    <xf numFmtId="165" fontId="26" fillId="0" borderId="0" xfId="35" applyNumberFormat="1" applyFont="1" applyFill="1" applyBorder="1"/>
    <xf numFmtId="164" fontId="10" fillId="0" borderId="15" xfId="35" applyNumberFormat="1" applyFont="1" applyBorder="1"/>
    <xf numFmtId="0" fontId="5" fillId="0" borderId="0" xfId="0" applyFont="1" applyAlignment="1">
      <alignment horizontal="left"/>
    </xf>
    <xf numFmtId="165" fontId="10" fillId="0" borderId="14" xfId="35" quotePrefix="1" applyNumberFormat="1" applyFont="1" applyBorder="1" applyAlignment="1">
      <alignment horizontal="center"/>
    </xf>
    <xf numFmtId="165" fontId="10" fillId="0" borderId="15" xfId="35" quotePrefix="1" applyNumberFormat="1" applyFont="1" applyBorder="1" applyAlignment="1">
      <alignment horizontal="center"/>
    </xf>
    <xf numFmtId="165" fontId="5" fillId="0" borderId="0" xfId="0" applyNumberFormat="1" applyFont="1" applyBorder="1" applyAlignment="1">
      <alignment horizontal="center"/>
    </xf>
    <xf numFmtId="165" fontId="12" fillId="0" borderId="0" xfId="0" applyNumberFormat="1" applyFont="1" applyBorder="1" applyAlignment="1">
      <alignment horizontal="center"/>
    </xf>
    <xf numFmtId="165" fontId="12" fillId="0" borderId="16" xfId="0" applyNumberFormat="1" applyFont="1" applyBorder="1" applyAlignment="1">
      <alignment horizontal="center"/>
    </xf>
    <xf numFmtId="167" fontId="5" fillId="0" borderId="14" xfId="52" applyNumberFormat="1" applyFont="1" applyFill="1" applyBorder="1" applyAlignment="1">
      <alignment horizontal="right"/>
    </xf>
    <xf numFmtId="167" fontId="5" fillId="0" borderId="15" xfId="52" applyNumberFormat="1" applyFont="1" applyFill="1" applyBorder="1" applyAlignment="1">
      <alignment horizontal="right"/>
    </xf>
    <xf numFmtId="167" fontId="5" fillId="0" borderId="0" xfId="52" applyNumberFormat="1" applyFont="1" applyFill="1" applyBorder="1" applyAlignment="1">
      <alignment horizontal="right"/>
    </xf>
    <xf numFmtId="167" fontId="12" fillId="0" borderId="0" xfId="52" applyNumberFormat="1" applyFont="1" applyFill="1" applyBorder="1" applyAlignment="1">
      <alignment horizontal="right"/>
    </xf>
    <xf numFmtId="199" fontId="12" fillId="17" borderId="0" xfId="0" applyNumberFormat="1" applyFont="1" applyFill="1" applyBorder="1"/>
    <xf numFmtId="199" fontId="12" fillId="17" borderId="15" xfId="0" applyNumberFormat="1" applyFont="1" applyFill="1" applyBorder="1"/>
    <xf numFmtId="0" fontId="4" fillId="0" borderId="0" xfId="0" applyNumberFormat="1" applyFont="1" applyFill="1" applyBorder="1" applyAlignment="1">
      <alignment horizontal="right"/>
    </xf>
    <xf numFmtId="41" fontId="12" fillId="17" borderId="0" xfId="0" applyNumberFormat="1" applyFont="1" applyFill="1" applyBorder="1" applyAlignment="1">
      <alignment horizontal="right"/>
    </xf>
    <xf numFmtId="0" fontId="4" fillId="0" borderId="15" xfId="0" applyNumberFormat="1" applyFont="1" applyFill="1" applyBorder="1" applyAlignment="1">
      <alignment horizontal="right"/>
    </xf>
    <xf numFmtId="41" fontId="12" fillId="17" borderId="15" xfId="0" applyNumberFormat="1" applyFont="1" applyFill="1" applyBorder="1" applyAlignment="1">
      <alignment horizontal="right"/>
    </xf>
    <xf numFmtId="167" fontId="12" fillId="17" borderId="14" xfId="0" applyNumberFormat="1" applyFont="1" applyFill="1" applyBorder="1"/>
    <xf numFmtId="167" fontId="1" fillId="0" borderId="14" xfId="52" applyNumberFormat="1" applyFont="1" applyFill="1" applyBorder="1" applyAlignment="1"/>
    <xf numFmtId="41" fontId="12" fillId="17" borderId="14" xfId="0" applyNumberFormat="1" applyFont="1" applyFill="1" applyBorder="1"/>
    <xf numFmtId="167" fontId="10" fillId="21" borderId="0" xfId="52" applyNumberFormat="1" applyFont="1" applyFill="1" applyBorder="1" applyAlignment="1">
      <alignment horizontal="right"/>
    </xf>
    <xf numFmtId="167" fontId="10" fillId="21" borderId="15" xfId="52" applyNumberFormat="1" applyFont="1" applyFill="1" applyBorder="1" applyAlignment="1">
      <alignment horizontal="right"/>
    </xf>
    <xf numFmtId="165" fontId="10" fillId="0" borderId="0" xfId="35" quotePrefix="1" applyNumberFormat="1" applyFont="1" applyFill="1" applyBorder="1" applyAlignment="1">
      <alignment horizontal="center"/>
    </xf>
    <xf numFmtId="165" fontId="10" fillId="19" borderId="0" xfId="35" quotePrefix="1" applyNumberFormat="1" applyFont="1" applyFill="1" applyBorder="1" applyAlignment="1">
      <alignment horizontal="center"/>
    </xf>
    <xf numFmtId="165" fontId="10" fillId="0" borderId="15" xfId="35" quotePrefix="1" applyNumberFormat="1" applyFont="1" applyFill="1" applyBorder="1" applyAlignment="1">
      <alignment horizontal="center"/>
    </xf>
    <xf numFmtId="165" fontId="10" fillId="19" borderId="15" xfId="35" quotePrefix="1" applyNumberFormat="1" applyFont="1" applyFill="1" applyBorder="1" applyAlignment="1">
      <alignment horizontal="center"/>
    </xf>
    <xf numFmtId="165" fontId="10" fillId="0" borderId="14" xfId="35" quotePrefix="1" applyNumberFormat="1" applyFont="1" applyFill="1" applyBorder="1" applyAlignment="1">
      <alignment horizontal="center"/>
    </xf>
    <xf numFmtId="0" fontId="12" fillId="17" borderId="14" xfId="0" applyFont="1" applyFill="1" applyBorder="1"/>
    <xf numFmtId="165" fontId="5" fillId="0" borderId="15" xfId="35" applyNumberFormat="1" applyFont="1" applyBorder="1" applyAlignment="1">
      <alignment horizontal="center"/>
    </xf>
    <xf numFmtId="165" fontId="5" fillId="0" borderId="0" xfId="35" applyNumberFormat="1" applyFont="1" applyBorder="1" applyAlignment="1">
      <alignment horizontal="center"/>
    </xf>
    <xf numFmtId="165" fontId="5" fillId="0" borderId="14" xfId="35" applyNumberFormat="1" applyFont="1" applyBorder="1" applyAlignment="1">
      <alignment horizontal="center"/>
    </xf>
    <xf numFmtId="165" fontId="5" fillId="0" borderId="14" xfId="35" applyNumberFormat="1" applyFont="1" applyBorder="1" applyAlignment="1"/>
    <xf numFmtId="167" fontId="5" fillId="0" borderId="14" xfId="0" applyNumberFormat="1" applyFont="1" applyBorder="1" applyAlignment="1"/>
    <xf numFmtId="165" fontId="10" fillId="0" borderId="0" xfId="0" applyNumberFormat="1" applyFont="1" applyBorder="1" applyAlignment="1"/>
    <xf numFmtId="165" fontId="3" fillId="0" borderId="14" xfId="35" applyNumberFormat="1" applyFont="1" applyBorder="1" applyAlignment="1"/>
    <xf numFmtId="189" fontId="12" fillId="0" borderId="15" xfId="0" applyNumberFormat="1" applyFont="1" applyBorder="1"/>
    <xf numFmtId="165" fontId="26" fillId="0" borderId="0" xfId="0" applyNumberFormat="1" applyFont="1" applyBorder="1"/>
    <xf numFmtId="165" fontId="26" fillId="0" borderId="15" xfId="0" applyNumberFormat="1" applyFont="1" applyBorder="1"/>
    <xf numFmtId="165" fontId="5" fillId="0" borderId="0" xfId="35" applyNumberFormat="1" applyFont="1" applyFill="1" applyBorder="1" applyAlignment="1">
      <alignment horizontal="right"/>
    </xf>
    <xf numFmtId="165" fontId="10" fillId="0" borderId="12" xfId="0" applyNumberFormat="1" applyFont="1" applyFill="1" applyBorder="1"/>
    <xf numFmtId="165" fontId="10" fillId="0" borderId="14" xfId="35" applyNumberFormat="1" applyFont="1" applyFill="1" applyBorder="1" applyAlignment="1"/>
    <xf numFmtId="165" fontId="10" fillId="0" borderId="15" xfId="35" applyNumberFormat="1" applyFont="1" applyFill="1" applyBorder="1" applyAlignment="1"/>
    <xf numFmtId="165" fontId="10" fillId="0" borderId="0" xfId="0" quotePrefix="1" applyNumberFormat="1" applyFont="1" applyFill="1" applyBorder="1" applyAlignment="1">
      <alignment horizontal="center"/>
    </xf>
    <xf numFmtId="165" fontId="10" fillId="0" borderId="14" xfId="0" quotePrefix="1" applyNumberFormat="1" applyFont="1" applyFill="1" applyBorder="1" applyAlignment="1">
      <alignment horizontal="center"/>
    </xf>
    <xf numFmtId="165" fontId="10" fillId="0" borderId="15" xfId="0" quotePrefix="1" applyNumberFormat="1" applyFont="1" applyFill="1" applyBorder="1" applyAlignment="1">
      <alignment horizontal="center"/>
    </xf>
    <xf numFmtId="37" fontId="10" fillId="0" borderId="0" xfId="0" applyNumberFormat="1" applyFont="1" applyFill="1" applyBorder="1"/>
    <xf numFmtId="43" fontId="9" fillId="0" borderId="0" xfId="35" applyFont="1" applyFill="1" applyBorder="1"/>
    <xf numFmtId="43" fontId="9" fillId="17" borderId="0" xfId="35" applyFont="1" applyFill="1" applyBorder="1"/>
    <xf numFmtId="43" fontId="12" fillId="0" borderId="0" xfId="35" applyFont="1" applyFill="1" applyBorder="1" applyAlignment="1">
      <alignment horizontal="right"/>
    </xf>
    <xf numFmtId="43" fontId="12" fillId="0" borderId="15" xfId="35" applyFont="1" applyFill="1" applyBorder="1" applyAlignment="1">
      <alignment horizontal="right"/>
    </xf>
    <xf numFmtId="7" fontId="5" fillId="0" borderId="15" xfId="0" applyNumberFormat="1" applyFont="1" applyFill="1" applyBorder="1" applyAlignment="1"/>
    <xf numFmtId="7" fontId="5" fillId="0" borderId="14" xfId="0" applyNumberFormat="1" applyFont="1" applyFill="1" applyBorder="1" applyAlignment="1"/>
    <xf numFmtId="165" fontId="4" fillId="0" borderId="0" xfId="0" applyNumberFormat="1" applyFont="1" applyFill="1" applyBorder="1"/>
    <xf numFmtId="167" fontId="5" fillId="0" borderId="16" xfId="52" applyNumberFormat="1" applyFont="1" applyFill="1" applyBorder="1"/>
    <xf numFmtId="167" fontId="5" fillId="17" borderId="12" xfId="52" applyNumberFormat="1" applyFont="1" applyFill="1" applyBorder="1"/>
    <xf numFmtId="0" fontId="4" fillId="0" borderId="0" xfId="0" applyFont="1" applyBorder="1"/>
    <xf numFmtId="0" fontId="10" fillId="0" borderId="15" xfId="0" applyFont="1" applyBorder="1"/>
    <xf numFmtId="165" fontId="10" fillId="0" borderId="20" xfId="35" quotePrefix="1" applyNumberFormat="1" applyFont="1" applyFill="1" applyBorder="1" applyAlignment="1">
      <alignment horizontal="center"/>
    </xf>
    <xf numFmtId="165" fontId="10" fillId="0" borderId="18" xfId="35" quotePrefix="1" applyNumberFormat="1" applyFont="1" applyFill="1" applyBorder="1" applyAlignment="1">
      <alignment horizontal="center"/>
    </xf>
    <xf numFmtId="165" fontId="10" fillId="0" borderId="19" xfId="35" quotePrefix="1" applyNumberFormat="1" applyFont="1" applyFill="1" applyBorder="1" applyAlignment="1">
      <alignment horizontal="center"/>
    </xf>
    <xf numFmtId="165" fontId="26" fillId="0" borderId="14" xfId="35" quotePrefix="1" applyNumberFormat="1" applyFont="1" applyBorder="1" applyAlignment="1">
      <alignment horizontal="center"/>
    </xf>
    <xf numFmtId="165" fontId="26" fillId="0" borderId="0" xfId="35" quotePrefix="1" applyNumberFormat="1" applyFont="1" applyBorder="1" applyAlignment="1">
      <alignment horizontal="center"/>
    </xf>
    <xf numFmtId="165" fontId="26" fillId="0" borderId="15" xfId="35" quotePrefix="1" applyNumberFormat="1" applyFont="1" applyBorder="1" applyAlignment="1">
      <alignment horizontal="center"/>
    </xf>
    <xf numFmtId="0" fontId="42" fillId="17" borderId="0" xfId="0" applyFont="1" applyFill="1" applyBorder="1"/>
    <xf numFmtId="0" fontId="42" fillId="0" borderId="14" xfId="0" applyFont="1" applyBorder="1"/>
    <xf numFmtId="0" fontId="26" fillId="0" borderId="0" xfId="0" applyFont="1"/>
    <xf numFmtId="165" fontId="5" fillId="0" borderId="14" xfId="35" applyNumberFormat="1" applyFont="1" applyFill="1" applyBorder="1" applyAlignment="1">
      <alignment horizontal="right"/>
    </xf>
    <xf numFmtId="165" fontId="4" fillId="17" borderId="0" xfId="35" applyNumberFormat="1" applyFont="1" applyFill="1" applyBorder="1" applyAlignment="1"/>
    <xf numFmtId="165" fontId="4" fillId="17" borderId="15" xfId="35" applyNumberFormat="1" applyFont="1" applyFill="1" applyBorder="1" applyAlignment="1"/>
    <xf numFmtId="165" fontId="12" fillId="0" borderId="14" xfId="35" applyNumberFormat="1" applyFont="1" applyFill="1" applyBorder="1" applyAlignment="1"/>
    <xf numFmtId="165" fontId="10" fillId="0" borderId="0" xfId="35" applyNumberFormat="1" applyFont="1" applyFill="1" applyBorder="1" applyAlignment="1">
      <alignment horizontal="center"/>
    </xf>
    <xf numFmtId="165" fontId="3" fillId="0" borderId="14" xfId="35" applyNumberFormat="1" applyFont="1" applyFill="1" applyBorder="1" applyAlignment="1"/>
    <xf numFmtId="167" fontId="46" fillId="0" borderId="0" xfId="0" applyNumberFormat="1" applyFont="1" applyFill="1" applyBorder="1" applyAlignment="1"/>
    <xf numFmtId="167" fontId="39" fillId="0" borderId="0" xfId="0" applyNumberFormat="1" applyFont="1" applyFill="1" applyBorder="1"/>
    <xf numFmtId="167" fontId="12" fillId="0" borderId="0" xfId="52" applyNumberFormat="1" applyFont="1" applyBorder="1"/>
    <xf numFmtId="165" fontId="19" fillId="17" borderId="14" xfId="0" applyNumberFormat="1" applyFont="1" applyFill="1" applyBorder="1" applyAlignment="1">
      <alignment horizontal="center"/>
    </xf>
    <xf numFmtId="0" fontId="28" fillId="0" borderId="18" xfId="0" applyFont="1" applyBorder="1" applyAlignment="1"/>
    <xf numFmtId="164" fontId="28" fillId="0" borderId="18" xfId="35" applyNumberFormat="1" applyFont="1" applyBorder="1" applyAlignment="1"/>
    <xf numFmtId="164" fontId="28" fillId="0" borderId="18" xfId="35" applyNumberFormat="1" applyFont="1" applyBorder="1"/>
    <xf numFmtId="43" fontId="28" fillId="0" borderId="18" xfId="0" applyNumberFormat="1" applyFont="1" applyBorder="1"/>
    <xf numFmtId="43" fontId="28" fillId="0" borderId="0" xfId="35" applyNumberFormat="1" applyFont="1" applyBorder="1"/>
    <xf numFmtId="43" fontId="28" fillId="0" borderId="18" xfId="35" applyNumberFormat="1" applyFont="1" applyBorder="1"/>
    <xf numFmtId="165" fontId="28" fillId="0" borderId="18" xfId="35" applyNumberFormat="1" applyFont="1" applyBorder="1"/>
    <xf numFmtId="0" fontId="26" fillId="0" borderId="15" xfId="0" applyFont="1" applyBorder="1"/>
    <xf numFmtId="0" fontId="27" fillId="0" borderId="15" xfId="0" applyFont="1" applyBorder="1"/>
    <xf numFmtId="165" fontId="4" fillId="0" borderId="15" xfId="0" applyNumberFormat="1" applyFont="1" applyFill="1" applyBorder="1"/>
    <xf numFmtId="165" fontId="4" fillId="0" borderId="14" xfId="0" applyNumberFormat="1" applyFont="1" applyFill="1" applyBorder="1"/>
    <xf numFmtId="165" fontId="4" fillId="17" borderId="0" xfId="0" applyNumberFormat="1" applyFont="1" applyFill="1" applyBorder="1"/>
    <xf numFmtId="165" fontId="4" fillId="17" borderId="14" xfId="0" applyNumberFormat="1" applyFont="1" applyFill="1" applyBorder="1"/>
    <xf numFmtId="167" fontId="5" fillId="17" borderId="16" xfId="52" applyNumberFormat="1" applyFont="1" applyFill="1" applyBorder="1"/>
    <xf numFmtId="167" fontId="10" fillId="0" borderId="16" xfId="0" applyNumberFormat="1" applyFont="1" applyFill="1" applyBorder="1"/>
    <xf numFmtId="167" fontId="10" fillId="0" borderId="12" xfId="52" applyNumberFormat="1" applyFont="1" applyFill="1" applyBorder="1"/>
    <xf numFmtId="167" fontId="10" fillId="17" borderId="0" xfId="52" applyNumberFormat="1" applyFont="1" applyFill="1" applyBorder="1"/>
    <xf numFmtId="3" fontId="10" fillId="17" borderId="0" xfId="0" applyNumberFormat="1" applyFont="1" applyFill="1" applyBorder="1"/>
    <xf numFmtId="167" fontId="24" fillId="0" borderId="0" xfId="0" applyNumberFormat="1" applyFont="1" applyFill="1" applyBorder="1"/>
    <xf numFmtId="189" fontId="5" fillId="17" borderId="14" xfId="0" applyNumberFormat="1" applyFont="1" applyFill="1" applyBorder="1"/>
    <xf numFmtId="5" fontId="5" fillId="17" borderId="14" xfId="0" applyNumberFormat="1" applyFont="1" applyFill="1" applyBorder="1"/>
    <xf numFmtId="17" fontId="4" fillId="0" borderId="12" xfId="0" applyNumberFormat="1" applyFont="1" applyFill="1" applyBorder="1" applyAlignment="1">
      <alignment horizontal="right"/>
    </xf>
    <xf numFmtId="167" fontId="39" fillId="17" borderId="14" xfId="0" applyNumberFormat="1" applyFont="1" applyFill="1" applyBorder="1"/>
    <xf numFmtId="165" fontId="4" fillId="17" borderId="14" xfId="35" applyNumberFormat="1" applyFont="1" applyFill="1" applyBorder="1" applyAlignment="1"/>
    <xf numFmtId="167" fontId="5" fillId="17" borderId="14" xfId="52" applyNumberFormat="1" applyFont="1" applyFill="1" applyBorder="1" applyAlignment="1"/>
    <xf numFmtId="9" fontId="10" fillId="0" borderId="14" xfId="52" applyFont="1" applyFill="1" applyBorder="1"/>
    <xf numFmtId="7" fontId="5" fillId="0" borderId="14" xfId="0" applyNumberFormat="1" applyFont="1" applyFill="1" applyBorder="1"/>
    <xf numFmtId="164" fontId="5" fillId="0" borderId="14" xfId="35" applyNumberFormat="1" applyFont="1" applyFill="1" applyBorder="1"/>
    <xf numFmtId="165" fontId="10" fillId="21" borderId="14" xfId="35" applyNumberFormat="1" applyFont="1" applyFill="1" applyBorder="1"/>
    <xf numFmtId="187" fontId="12" fillId="17" borderId="14" xfId="57" applyNumberFormat="1" applyFont="1" applyFill="1" applyBorder="1" applyAlignment="1"/>
    <xf numFmtId="167" fontId="12" fillId="0" borderId="15" xfId="52" applyNumberFormat="1" applyFont="1" applyFill="1" applyBorder="1"/>
    <xf numFmtId="167" fontId="3" fillId="0" borderId="0" xfId="52" applyNumberFormat="1" applyFont="1" applyFill="1" applyBorder="1"/>
    <xf numFmtId="171" fontId="13" fillId="0" borderId="12" xfId="0" applyNumberFormat="1" applyFont="1" applyBorder="1"/>
    <xf numFmtId="0" fontId="10" fillId="0" borderId="14" xfId="0" applyFont="1" applyBorder="1" applyAlignment="1"/>
    <xf numFmtId="0" fontId="4" fillId="17" borderId="14" xfId="0" applyFont="1" applyFill="1" applyBorder="1" applyAlignment="1"/>
    <xf numFmtId="43" fontId="28" fillId="0" borderId="16" xfId="0" applyNumberFormat="1" applyFont="1" applyBorder="1"/>
    <xf numFmtId="171" fontId="13" fillId="0" borderId="14" xfId="0" applyNumberFormat="1" applyFont="1" applyBorder="1"/>
    <xf numFmtId="165" fontId="10" fillId="0" borderId="14" xfId="0" applyNumberFormat="1" applyFont="1" applyBorder="1" applyAlignment="1"/>
    <xf numFmtId="165" fontId="3" fillId="0" borderId="14" xfId="0" applyNumberFormat="1" applyFont="1" applyBorder="1" applyAlignment="1"/>
    <xf numFmtId="165" fontId="5" fillId="0" borderId="14" xfId="0" applyNumberFormat="1" applyFont="1" applyBorder="1" applyAlignment="1"/>
    <xf numFmtId="167" fontId="10" fillId="21" borderId="14" xfId="0" applyNumberFormat="1" applyFont="1" applyFill="1" applyBorder="1" applyAlignment="1"/>
    <xf numFmtId="3" fontId="3" fillId="17" borderId="14" xfId="0" applyNumberFormat="1" applyFont="1" applyFill="1" applyBorder="1"/>
    <xf numFmtId="189" fontId="12" fillId="0" borderId="14" xfId="0" applyNumberFormat="1" applyFont="1" applyBorder="1"/>
    <xf numFmtId="189" fontId="3" fillId="0" borderId="14" xfId="0" applyNumberFormat="1" applyFont="1" applyBorder="1"/>
    <xf numFmtId="1" fontId="5" fillId="0" borderId="14" xfId="0" applyNumberFormat="1" applyFont="1" applyBorder="1"/>
    <xf numFmtId="9" fontId="5" fillId="0" borderId="14" xfId="52" applyFont="1" applyBorder="1" applyAlignment="1"/>
    <xf numFmtId="43" fontId="5" fillId="17" borderId="14" xfId="0" applyNumberFormat="1" applyFont="1" applyFill="1" applyBorder="1"/>
    <xf numFmtId="165" fontId="3" fillId="0" borderId="14" xfId="35" applyNumberFormat="1" applyFont="1" applyBorder="1"/>
    <xf numFmtId="165" fontId="28" fillId="17" borderId="14" xfId="0" applyNumberFormat="1" applyFont="1" applyFill="1" applyBorder="1"/>
    <xf numFmtId="167" fontId="10" fillId="21" borderId="14" xfId="52" applyNumberFormat="1" applyFont="1" applyFill="1" applyBorder="1"/>
    <xf numFmtId="165" fontId="10" fillId="17" borderId="14" xfId="0" applyNumberFormat="1" applyFont="1" applyFill="1" applyBorder="1"/>
    <xf numFmtId="167" fontId="3" fillId="17" borderId="14" xfId="0" applyNumberFormat="1" applyFont="1" applyFill="1" applyBorder="1"/>
    <xf numFmtId="179" fontId="1" fillId="17" borderId="14" xfId="0" applyNumberFormat="1" applyFont="1" applyFill="1" applyBorder="1"/>
    <xf numFmtId="167" fontId="9" fillId="17" borderId="14" xfId="0" applyNumberFormat="1" applyFont="1" applyFill="1" applyBorder="1" applyAlignment="1"/>
    <xf numFmtId="43" fontId="5" fillId="17" borderId="14" xfId="35" applyFont="1" applyFill="1" applyBorder="1" applyAlignment="1"/>
    <xf numFmtId="196" fontId="12" fillId="0" borderId="14" xfId="57" applyNumberFormat="1" applyFont="1" applyFill="1" applyBorder="1" applyAlignment="1"/>
    <xf numFmtId="167" fontId="5" fillId="17" borderId="14" xfId="0" applyNumberFormat="1" applyFont="1" applyFill="1" applyBorder="1" applyAlignment="1">
      <alignment horizontal="right"/>
    </xf>
    <xf numFmtId="167" fontId="5" fillId="17" borderId="0" xfId="0" applyNumberFormat="1" applyFont="1" applyFill="1" applyBorder="1" applyAlignment="1">
      <alignment horizontal="right"/>
    </xf>
    <xf numFmtId="167" fontId="5" fillId="17" borderId="15" xfId="0" applyNumberFormat="1" applyFont="1" applyFill="1" applyBorder="1" applyAlignment="1">
      <alignment horizontal="right"/>
    </xf>
    <xf numFmtId="167" fontId="5" fillId="0" borderId="14" xfId="0" applyNumberFormat="1" applyFont="1" applyFill="1" applyBorder="1" applyAlignment="1">
      <alignment horizontal="right"/>
    </xf>
    <xf numFmtId="167" fontId="5" fillId="0" borderId="0" xfId="0" applyNumberFormat="1" applyFont="1" applyFill="1" applyBorder="1" applyAlignment="1">
      <alignment horizontal="right"/>
    </xf>
    <xf numFmtId="167" fontId="5" fillId="0" borderId="15" xfId="0" applyNumberFormat="1" applyFont="1" applyFill="1" applyBorder="1" applyAlignment="1">
      <alignment horizontal="right"/>
    </xf>
    <xf numFmtId="167" fontId="5" fillId="17" borderId="14" xfId="52" applyNumberFormat="1" applyFont="1" applyFill="1" applyBorder="1" applyAlignment="1">
      <alignment horizontal="right"/>
    </xf>
    <xf numFmtId="167" fontId="5" fillId="17" borderId="15" xfId="52" applyNumberFormat="1" applyFont="1" applyFill="1" applyBorder="1" applyAlignment="1">
      <alignment horizontal="right"/>
    </xf>
    <xf numFmtId="167" fontId="3" fillId="17" borderId="14" xfId="0" applyNumberFormat="1" applyFont="1" applyFill="1" applyBorder="1" applyAlignment="1"/>
    <xf numFmtId="167" fontId="3" fillId="17" borderId="0" xfId="0" applyNumberFormat="1" applyFont="1" applyFill="1" applyBorder="1" applyAlignment="1"/>
    <xf numFmtId="167" fontId="12" fillId="17" borderId="14" xfId="52" applyNumberFormat="1" applyFont="1" applyFill="1" applyBorder="1"/>
    <xf numFmtId="177" fontId="2" fillId="16" borderId="11" xfId="0" applyNumberFormat="1" applyFont="1" applyFill="1" applyBorder="1" applyAlignment="1"/>
    <xf numFmtId="37" fontId="10" fillId="0" borderId="0" xfId="0" applyNumberFormat="1" applyFont="1" applyBorder="1"/>
    <xf numFmtId="9" fontId="10" fillId="0" borderId="0" xfId="52" quotePrefix="1" applyFont="1" applyFill="1" applyBorder="1" applyAlignment="1">
      <alignment horizontal="center"/>
    </xf>
    <xf numFmtId="9" fontId="10" fillId="0" borderId="15" xfId="52" quotePrefix="1" applyFont="1" applyFill="1" applyBorder="1" applyAlignment="1">
      <alignment horizontal="center"/>
    </xf>
    <xf numFmtId="9" fontId="10" fillId="0" borderId="14" xfId="52" quotePrefix="1" applyFont="1" applyFill="1" applyBorder="1" applyAlignment="1">
      <alignment horizontal="center"/>
    </xf>
    <xf numFmtId="9" fontId="10" fillId="17" borderId="15" xfId="52" applyFont="1" applyFill="1" applyBorder="1"/>
    <xf numFmtId="167" fontId="10" fillId="17" borderId="14" xfId="52" applyNumberFormat="1" applyFont="1" applyFill="1" applyBorder="1"/>
    <xf numFmtId="167" fontId="12" fillId="17" borderId="0" xfId="52" applyNumberFormat="1" applyFont="1" applyFill="1" applyBorder="1"/>
    <xf numFmtId="37" fontId="10" fillId="0" borderId="14" xfId="48" applyNumberFormat="1" applyFont="1" applyFill="1" applyBorder="1" applyAlignment="1">
      <alignment horizontal="right"/>
    </xf>
    <xf numFmtId="37" fontId="10" fillId="0" borderId="0" xfId="48" applyNumberFormat="1" applyFont="1" applyFill="1" applyBorder="1" applyAlignment="1">
      <alignment horizontal="right"/>
    </xf>
    <xf numFmtId="37" fontId="10" fillId="0" borderId="15" xfId="48" applyNumberFormat="1" applyFont="1" applyFill="1" applyBorder="1" applyAlignment="1">
      <alignment horizontal="right"/>
    </xf>
    <xf numFmtId="37" fontId="10" fillId="0" borderId="0" xfId="35" applyNumberFormat="1" applyFont="1" applyFill="1" applyBorder="1" applyAlignment="1">
      <alignment horizontal="right"/>
    </xf>
    <xf numFmtId="37" fontId="10" fillId="0" borderId="15" xfId="35" applyNumberFormat="1" applyFont="1" applyFill="1" applyBorder="1" applyAlignment="1">
      <alignment horizontal="right"/>
    </xf>
    <xf numFmtId="37" fontId="10" fillId="0" borderId="14" xfId="35" applyNumberFormat="1" applyFont="1" applyFill="1" applyBorder="1" applyAlignment="1">
      <alignment horizontal="right"/>
    </xf>
    <xf numFmtId="37" fontId="10" fillId="0" borderId="15" xfId="0" applyNumberFormat="1" applyFont="1" applyFill="1" applyBorder="1"/>
    <xf numFmtId="165" fontId="5" fillId="0" borderId="0" xfId="35" quotePrefix="1" applyNumberFormat="1" applyFont="1" applyBorder="1" applyAlignment="1">
      <alignment horizontal="center"/>
    </xf>
    <xf numFmtId="165" fontId="5" fillId="0" borderId="15" xfId="35" quotePrefix="1" applyNumberFormat="1" applyFont="1" applyBorder="1" applyAlignment="1">
      <alignment horizontal="center"/>
    </xf>
    <xf numFmtId="164" fontId="4" fillId="0" borderId="15" xfId="0" applyNumberFormat="1" applyFont="1" applyFill="1" applyBorder="1"/>
    <xf numFmtId="164" fontId="19" fillId="0" borderId="0" xfId="0" applyNumberFormat="1" applyFont="1" applyFill="1" applyBorder="1"/>
    <xf numFmtId="164" fontId="12" fillId="0" borderId="0" xfId="0" applyNumberFormat="1" applyFont="1" applyFill="1" applyBorder="1"/>
    <xf numFmtId="164" fontId="10" fillId="17" borderId="0" xfId="0" applyNumberFormat="1" applyFont="1" applyFill="1" applyBorder="1"/>
    <xf numFmtId="164" fontId="3" fillId="17" borderId="0" xfId="0" applyNumberFormat="1" applyFont="1" applyFill="1" applyBorder="1"/>
    <xf numFmtId="164" fontId="5" fillId="0" borderId="15" xfId="0" applyNumberFormat="1" applyFont="1" applyFill="1" applyBorder="1"/>
    <xf numFmtId="164" fontId="5" fillId="0" borderId="14" xfId="0" applyNumberFormat="1" applyFont="1" applyFill="1" applyBorder="1"/>
    <xf numFmtId="164" fontId="5" fillId="17" borderId="0" xfId="0" applyNumberFormat="1" applyFont="1" applyFill="1" applyBorder="1"/>
    <xf numFmtId="164" fontId="5" fillId="17" borderId="15" xfId="0" applyNumberFormat="1" applyFont="1" applyFill="1" applyBorder="1"/>
    <xf numFmtId="164" fontId="3" fillId="17" borderId="15" xfId="0" applyNumberFormat="1" applyFont="1" applyFill="1" applyBorder="1"/>
    <xf numFmtId="164" fontId="3" fillId="17" borderId="14" xfId="0" applyNumberFormat="1" applyFont="1" applyFill="1" applyBorder="1"/>
    <xf numFmtId="199" fontId="10" fillId="0" borderId="0" xfId="35" applyNumberFormat="1" applyFont="1" applyFill="1" applyBorder="1" applyAlignment="1">
      <alignment horizontal="right"/>
    </xf>
    <xf numFmtId="165" fontId="10" fillId="0" borderId="9" xfId="35" applyNumberFormat="1" applyFont="1" applyFill="1" applyBorder="1"/>
    <xf numFmtId="9" fontId="10" fillId="0" borderId="0" xfId="52" quotePrefix="1" applyNumberFormat="1" applyFont="1" applyFill="1" applyBorder="1" applyAlignment="1">
      <alignment horizontal="center"/>
    </xf>
    <xf numFmtId="9" fontId="10" fillId="0" borderId="15" xfId="52" quotePrefix="1" applyNumberFormat="1" applyFont="1" applyFill="1" applyBorder="1" applyAlignment="1">
      <alignment horizontal="center"/>
    </xf>
    <xf numFmtId="9" fontId="10" fillId="0" borderId="14" xfId="52" quotePrefix="1" applyNumberFormat="1" applyFont="1" applyFill="1" applyBorder="1" applyAlignment="1">
      <alignment horizontal="center"/>
    </xf>
    <xf numFmtId="165" fontId="5" fillId="19" borderId="0" xfId="35" quotePrefix="1" applyNumberFormat="1" applyFont="1" applyFill="1" applyBorder="1" applyAlignment="1">
      <alignment horizontal="center"/>
    </xf>
    <xf numFmtId="165" fontId="5" fillId="0" borderId="0" xfId="35" quotePrefix="1" applyNumberFormat="1" applyFont="1" applyFill="1" applyBorder="1" applyAlignment="1">
      <alignment horizontal="center"/>
    </xf>
    <xf numFmtId="9" fontId="5" fillId="0" borderId="0" xfId="52" quotePrefix="1" applyFont="1" applyFill="1" applyBorder="1" applyAlignment="1">
      <alignment horizontal="center"/>
    </xf>
    <xf numFmtId="9" fontId="5" fillId="0" borderId="15" xfId="52" quotePrefix="1" applyFont="1" applyFill="1" applyBorder="1" applyAlignment="1">
      <alignment horizontal="center"/>
    </xf>
    <xf numFmtId="165" fontId="5" fillId="19" borderId="15" xfId="35" quotePrefix="1" applyNumberFormat="1" applyFont="1" applyFill="1" applyBorder="1" applyAlignment="1">
      <alignment horizontal="center"/>
    </xf>
    <xf numFmtId="165" fontId="5" fillId="0" borderId="15" xfId="35" quotePrefix="1" applyNumberFormat="1" applyFont="1" applyFill="1" applyBorder="1" applyAlignment="1">
      <alignment horizontal="center"/>
    </xf>
    <xf numFmtId="167" fontId="10" fillId="0" borderId="0" xfId="52" applyNumberFormat="1" applyFont="1" applyFill="1"/>
    <xf numFmtId="167" fontId="10" fillId="0" borderId="14" xfId="52" applyNumberFormat="1" applyFont="1" applyFill="1" applyBorder="1"/>
    <xf numFmtId="167" fontId="3" fillId="17" borderId="0" xfId="52" applyNumberFormat="1" applyFont="1" applyFill="1" applyBorder="1" applyAlignment="1"/>
    <xf numFmtId="167" fontId="3" fillId="17" borderId="19" xfId="52" applyNumberFormat="1" applyFont="1" applyFill="1" applyBorder="1" applyAlignment="1"/>
    <xf numFmtId="167" fontId="3" fillId="17" borderId="15" xfId="52" applyNumberFormat="1" applyFont="1" applyFill="1" applyBorder="1" applyAlignment="1"/>
    <xf numFmtId="167" fontId="3" fillId="17" borderId="14" xfId="52" applyNumberFormat="1" applyFont="1" applyFill="1" applyBorder="1" applyAlignment="1"/>
    <xf numFmtId="167" fontId="3" fillId="17" borderId="0" xfId="52" applyNumberFormat="1" applyFont="1" applyFill="1" applyBorder="1"/>
    <xf numFmtId="167" fontId="3" fillId="17" borderId="18" xfId="52" applyNumberFormat="1" applyFont="1" applyFill="1" applyBorder="1"/>
    <xf numFmtId="9" fontId="5" fillId="17" borderId="0" xfId="52" applyNumberFormat="1" applyFont="1" applyFill="1" applyBorder="1"/>
    <xf numFmtId="9" fontId="10" fillId="0" borderId="14" xfId="52" quotePrefix="1" applyFont="1" applyFill="1" applyBorder="1" applyAlignment="1">
      <alignment horizontal="right"/>
    </xf>
    <xf numFmtId="9" fontId="10" fillId="0" borderId="0" xfId="52" quotePrefix="1" applyFont="1" applyFill="1" applyBorder="1" applyAlignment="1">
      <alignment horizontal="right"/>
    </xf>
    <xf numFmtId="9" fontId="10" fillId="0" borderId="0" xfId="52" applyFont="1" applyFill="1" applyBorder="1" applyAlignment="1">
      <alignment horizontal="center"/>
    </xf>
    <xf numFmtId="164" fontId="10" fillId="0" borderId="0" xfId="57" applyNumberFormat="1" applyFont="1" applyFill="1" applyBorder="1" applyAlignment="1"/>
    <xf numFmtId="37" fontId="10" fillId="0" borderId="15" xfId="0" applyNumberFormat="1" applyFont="1" applyBorder="1"/>
    <xf numFmtId="37" fontId="10" fillId="0" borderId="14" xfId="0" applyNumberFormat="1" applyFont="1" applyBorder="1"/>
    <xf numFmtId="165" fontId="4" fillId="0" borderId="15" xfId="0" applyNumberFormat="1" applyFont="1" applyFill="1" applyBorder="1" applyAlignment="1"/>
    <xf numFmtId="164" fontId="10" fillId="0" borderId="15" xfId="0" applyNumberFormat="1" applyFont="1" applyFill="1" applyBorder="1"/>
    <xf numFmtId="7" fontId="10" fillId="0" borderId="15" xfId="0" applyNumberFormat="1" applyFont="1" applyFill="1" applyBorder="1" applyAlignment="1"/>
    <xf numFmtId="7" fontId="10" fillId="0" borderId="15" xfId="0" applyNumberFormat="1" applyFont="1" applyFill="1" applyBorder="1"/>
    <xf numFmtId="43" fontId="5" fillId="0" borderId="0" xfId="35" applyFont="1" applyFill="1" applyBorder="1"/>
    <xf numFmtId="164" fontId="10" fillId="0" borderId="0" xfId="35" applyNumberFormat="1" applyFont="1" applyFill="1" applyBorder="1"/>
    <xf numFmtId="166" fontId="5" fillId="17" borderId="0" xfId="0" applyNumberFormat="1" applyFont="1" applyFill="1" applyBorder="1" applyAlignment="1"/>
    <xf numFmtId="166" fontId="5" fillId="17" borderId="0" xfId="0" applyNumberFormat="1" applyFont="1" applyFill="1" applyBorder="1"/>
    <xf numFmtId="177" fontId="2" fillId="16" borderId="13" xfId="0" applyNumberFormat="1" applyFont="1" applyFill="1" applyBorder="1" applyAlignment="1"/>
    <xf numFmtId="165" fontId="10" fillId="0" borderId="17" xfId="0" applyNumberFormat="1" applyFont="1" applyFill="1" applyBorder="1"/>
    <xf numFmtId="167" fontId="39" fillId="0" borderId="14" xfId="52" applyNumberFormat="1" applyFont="1" applyFill="1" applyBorder="1" applyAlignment="1"/>
    <xf numFmtId="3" fontId="5" fillId="17" borderId="14" xfId="0" applyNumberFormat="1" applyFont="1" applyFill="1" applyBorder="1" applyAlignment="1">
      <alignment horizontal="left"/>
    </xf>
    <xf numFmtId="167" fontId="39" fillId="0" borderId="0" xfId="52" applyNumberFormat="1" applyFont="1" applyFill="1" applyBorder="1" applyAlignment="1"/>
    <xf numFmtId="167" fontId="39" fillId="0" borderId="0" xfId="52" applyNumberFormat="1" applyFont="1" applyFill="1" applyBorder="1"/>
    <xf numFmtId="176" fontId="5" fillId="0" borderId="0" xfId="0" applyNumberFormat="1" applyFont="1" applyFill="1" applyBorder="1" applyAlignment="1"/>
    <xf numFmtId="167" fontId="39" fillId="0" borderId="15" xfId="52" applyNumberFormat="1" applyFont="1" applyFill="1" applyBorder="1" applyAlignment="1"/>
    <xf numFmtId="165" fontId="3" fillId="0" borderId="14" xfId="35" applyNumberFormat="1" applyFont="1" applyFill="1" applyBorder="1"/>
    <xf numFmtId="167" fontId="46" fillId="0" borderId="14" xfId="0" applyNumberFormat="1" applyFont="1" applyFill="1" applyBorder="1"/>
    <xf numFmtId="165" fontId="26" fillId="0" borderId="15" xfId="0" applyNumberFormat="1" applyFont="1" applyFill="1" applyBorder="1"/>
    <xf numFmtId="0" fontId="2" fillId="16" borderId="18" xfId="0" applyNumberFormat="1" applyFont="1" applyFill="1" applyBorder="1" applyAlignment="1">
      <alignment horizontal="centerContinuous"/>
    </xf>
    <xf numFmtId="0" fontId="2" fillId="16" borderId="19" xfId="0" applyNumberFormat="1" applyFont="1" applyFill="1" applyBorder="1" applyAlignment="1">
      <alignment horizontal="centerContinuous"/>
    </xf>
    <xf numFmtId="0" fontId="2" fillId="16" borderId="21" xfId="0" applyNumberFormat="1" applyFont="1" applyFill="1" applyBorder="1" applyAlignment="1">
      <alignment horizontal="centerContinuous"/>
    </xf>
    <xf numFmtId="165" fontId="0" fillId="0" borderId="14" xfId="0" applyNumberFormat="1" applyFill="1" applyBorder="1"/>
    <xf numFmtId="165" fontId="10" fillId="17" borderId="14" xfId="35" applyNumberFormat="1" applyFont="1" applyFill="1" applyBorder="1" applyAlignment="1"/>
    <xf numFmtId="43" fontId="19" fillId="17" borderId="12" xfId="0" applyNumberFormat="1" applyFont="1" applyFill="1" applyBorder="1"/>
    <xf numFmtId="165" fontId="10" fillId="17" borderId="12" xfId="0" applyNumberFormat="1" applyFont="1" applyFill="1" applyBorder="1"/>
    <xf numFmtId="9" fontId="10" fillId="0" borderId="0" xfId="52" applyFont="1" applyFill="1" applyBorder="1" applyAlignment="1">
      <alignment horizontal="right"/>
    </xf>
    <xf numFmtId="164" fontId="10" fillId="17" borderId="15" xfId="0" applyNumberFormat="1" applyFont="1" applyFill="1" applyBorder="1"/>
    <xf numFmtId="165" fontId="5" fillId="0" borderId="14" xfId="0" quotePrefix="1" applyNumberFormat="1" applyFont="1" applyFill="1" applyBorder="1" applyAlignment="1">
      <alignment horizontal="center"/>
    </xf>
    <xf numFmtId="165" fontId="5" fillId="0" borderId="0" xfId="0" quotePrefix="1" applyNumberFormat="1" applyFont="1" applyFill="1" applyBorder="1" applyAlignment="1">
      <alignment horizontal="center"/>
    </xf>
    <xf numFmtId="165" fontId="5" fillId="0" borderId="15" xfId="0" quotePrefix="1" applyNumberFormat="1" applyFont="1" applyFill="1" applyBorder="1" applyAlignment="1">
      <alignment horizontal="center"/>
    </xf>
    <xf numFmtId="37" fontId="10" fillId="0" borderId="17" xfId="0" applyNumberFormat="1" applyFont="1" applyFill="1" applyBorder="1"/>
    <xf numFmtId="164" fontId="10" fillId="0" borderId="15" xfId="57" applyNumberFormat="1" applyFont="1" applyFill="1" applyBorder="1" applyAlignment="1"/>
    <xf numFmtId="7" fontId="10" fillId="0" borderId="14" xfId="0" applyNumberFormat="1" applyFont="1" applyFill="1" applyBorder="1"/>
    <xf numFmtId="164" fontId="10" fillId="0" borderId="14" xfId="0" applyNumberFormat="1" applyFont="1" applyFill="1" applyBorder="1"/>
    <xf numFmtId="164" fontId="10" fillId="0" borderId="0" xfId="0" applyNumberFormat="1" applyFont="1" applyFill="1" applyBorder="1"/>
    <xf numFmtId="164" fontId="12" fillId="0" borderId="15" xfId="0" applyNumberFormat="1" applyFont="1" applyFill="1" applyBorder="1"/>
    <xf numFmtId="164" fontId="19" fillId="0" borderId="14" xfId="0" applyNumberFormat="1" applyFont="1" applyFill="1" applyBorder="1"/>
    <xf numFmtId="37" fontId="10" fillId="0" borderId="16" xfId="0" applyNumberFormat="1" applyFont="1" applyFill="1" applyBorder="1"/>
    <xf numFmtId="165" fontId="32" fillId="0" borderId="14" xfId="35" quotePrefix="1" applyNumberFormat="1" applyFont="1" applyBorder="1" applyAlignment="1">
      <alignment horizontal="center"/>
    </xf>
    <xf numFmtId="165" fontId="32" fillId="0" borderId="15" xfId="35" quotePrefix="1" applyNumberFormat="1" applyFont="1" applyBorder="1" applyAlignment="1">
      <alignment horizontal="center"/>
    </xf>
    <xf numFmtId="165" fontId="32" fillId="0" borderId="0" xfId="35" quotePrefix="1" applyNumberFormat="1" applyFont="1" applyBorder="1" applyAlignment="1">
      <alignment horizontal="center"/>
    </xf>
    <xf numFmtId="165" fontId="32" fillId="0" borderId="15" xfId="35" applyNumberFormat="1" applyFont="1" applyBorder="1"/>
    <xf numFmtId="37" fontId="10" fillId="0" borderId="12" xfId="0" applyNumberFormat="1" applyFont="1" applyFill="1" applyBorder="1"/>
    <xf numFmtId="167" fontId="24" fillId="0" borderId="14" xfId="0" applyNumberFormat="1" applyFont="1" applyFill="1" applyBorder="1"/>
    <xf numFmtId="7" fontId="3" fillId="0" borderId="0" xfId="0" applyNumberFormat="1" applyFont="1" applyFill="1" applyBorder="1"/>
    <xf numFmtId="165" fontId="32" fillId="0" borderId="0" xfId="35" applyNumberFormat="1" applyFont="1" applyFill="1" applyBorder="1"/>
    <xf numFmtId="165" fontId="32" fillId="0" borderId="15" xfId="35" applyNumberFormat="1" applyFont="1" applyFill="1" applyBorder="1"/>
    <xf numFmtId="176" fontId="19" fillId="17" borderId="0" xfId="0" applyNumberFormat="1" applyFont="1" applyFill="1" applyBorder="1"/>
    <xf numFmtId="176" fontId="3" fillId="17" borderId="0" xfId="0" applyNumberFormat="1" applyFont="1" applyFill="1" applyBorder="1"/>
    <xf numFmtId="176" fontId="19" fillId="0" borderId="0" xfId="0" applyNumberFormat="1" applyFont="1" applyFill="1" applyBorder="1"/>
    <xf numFmtId="176" fontId="19" fillId="17" borderId="14" xfId="0" applyNumberFormat="1" applyFont="1" applyFill="1" applyBorder="1"/>
    <xf numFmtId="9" fontId="5" fillId="0" borderId="14" xfId="52" quotePrefix="1" applyFont="1" applyFill="1" applyBorder="1" applyAlignment="1">
      <alignment horizontal="center"/>
    </xf>
    <xf numFmtId="165" fontId="4" fillId="0" borderId="15" xfId="35" applyNumberFormat="1" applyFont="1" applyFill="1" applyBorder="1"/>
    <xf numFmtId="165" fontId="4" fillId="0" borderId="0" xfId="0" applyNumberFormat="1" applyFont="1" applyFill="1" applyBorder="1" applyAlignment="1"/>
    <xf numFmtId="165" fontId="4" fillId="0" borderId="14" xfId="0" applyNumberFormat="1" applyFont="1" applyFill="1" applyBorder="1" applyAlignment="1"/>
    <xf numFmtId="165" fontId="19" fillId="0" borderId="15" xfId="35" applyNumberFormat="1" applyFont="1" applyFill="1" applyBorder="1"/>
    <xf numFmtId="165" fontId="12" fillId="0" borderId="0" xfId="0" applyNumberFormat="1" applyFont="1" applyFill="1" applyBorder="1" applyAlignment="1"/>
    <xf numFmtId="165" fontId="12" fillId="0" borderId="15" xfId="0" applyNumberFormat="1" applyFont="1" applyFill="1" applyBorder="1" applyAlignment="1"/>
    <xf numFmtId="164" fontId="5" fillId="0" borderId="0" xfId="35" applyNumberFormat="1" applyFont="1" applyFill="1" applyBorder="1" applyAlignment="1"/>
    <xf numFmtId="164" fontId="5" fillId="0" borderId="14" xfId="35" applyNumberFormat="1" applyFont="1" applyFill="1" applyBorder="1" applyAlignment="1"/>
    <xf numFmtId="164" fontId="19" fillId="0" borderId="0" xfId="35" applyNumberFormat="1" applyFont="1" applyFill="1" applyBorder="1"/>
    <xf numFmtId="165" fontId="5" fillId="0" borderId="14" xfId="0" applyNumberFormat="1" applyFont="1" applyFill="1" applyBorder="1" applyAlignment="1"/>
    <xf numFmtId="165" fontId="10" fillId="0" borderId="15" xfId="0" applyNumberFormat="1" applyFont="1" applyFill="1" applyBorder="1" applyAlignment="1"/>
    <xf numFmtId="165" fontId="4" fillId="0" borderId="0" xfId="0" quotePrefix="1" applyNumberFormat="1" applyFont="1" applyFill="1" applyBorder="1" applyAlignment="1">
      <alignment horizontal="center"/>
    </xf>
    <xf numFmtId="165" fontId="4" fillId="0" borderId="14" xfId="0" quotePrefix="1" applyNumberFormat="1" applyFont="1" applyFill="1" applyBorder="1" applyAlignment="1">
      <alignment horizontal="center"/>
    </xf>
    <xf numFmtId="164" fontId="10" fillId="0" borderId="0" xfId="35" applyNumberFormat="1" applyFont="1" applyFill="1" applyBorder="1" applyAlignment="1"/>
    <xf numFmtId="187" fontId="12" fillId="0" borderId="0" xfId="57" applyNumberFormat="1" applyFont="1" applyFill="1" applyBorder="1" applyAlignment="1"/>
    <xf numFmtId="187" fontId="12" fillId="0" borderId="15" xfId="57" applyNumberFormat="1" applyFont="1" applyFill="1" applyBorder="1" applyAlignment="1"/>
    <xf numFmtId="187" fontId="12" fillId="0" borderId="14" xfId="57" applyNumberFormat="1" applyFont="1" applyFill="1" applyBorder="1" applyAlignment="1"/>
    <xf numFmtId="167" fontId="10" fillId="21" borderId="0" xfId="52" applyNumberFormat="1" applyFont="1" applyFill="1" applyBorder="1" applyAlignment="1"/>
    <xf numFmtId="43" fontId="10" fillId="17" borderId="0" xfId="0" applyNumberFormat="1" applyFont="1" applyFill="1" applyBorder="1"/>
    <xf numFmtId="43" fontId="10" fillId="0" borderId="0" xfId="0" applyNumberFormat="1" applyFont="1" applyFill="1" applyBorder="1"/>
    <xf numFmtId="9" fontId="5" fillId="0" borderId="0" xfId="52" applyNumberFormat="1" applyFont="1" applyFill="1" applyBorder="1"/>
    <xf numFmtId="43" fontId="5" fillId="0" borderId="0" xfId="35" applyFont="1" applyFill="1" applyBorder="1" applyAlignment="1"/>
    <xf numFmtId="43" fontId="5" fillId="0" borderId="0" xfId="0" applyNumberFormat="1" applyFont="1" applyFill="1" applyBorder="1" applyAlignment="1"/>
    <xf numFmtId="165" fontId="3" fillId="0" borderId="0" xfId="0" applyNumberFormat="1" applyFont="1" applyFill="1" applyBorder="1" applyAlignment="1"/>
    <xf numFmtId="43" fontId="3" fillId="19" borderId="0" xfId="0" applyNumberFormat="1" applyFont="1" applyFill="1" applyBorder="1" applyAlignment="1"/>
    <xf numFmtId="167" fontId="3" fillId="17" borderId="20" xfId="52" applyNumberFormat="1" applyFont="1" applyFill="1" applyBorder="1" applyAlignment="1"/>
    <xf numFmtId="7" fontId="3" fillId="19" borderId="0" xfId="0" applyNumberFormat="1" applyFont="1" applyFill="1" applyBorder="1" applyAlignment="1"/>
    <xf numFmtId="167" fontId="3" fillId="17" borderId="18" xfId="52" applyNumberFormat="1" applyFont="1" applyFill="1" applyBorder="1" applyAlignment="1"/>
    <xf numFmtId="165" fontId="5" fillId="17" borderId="14" xfId="0" applyNumberFormat="1" applyFont="1" applyFill="1" applyBorder="1" applyAlignment="1"/>
    <xf numFmtId="199" fontId="10" fillId="0" borderId="14" xfId="35" applyNumberFormat="1" applyFont="1" applyFill="1" applyBorder="1" applyAlignment="1">
      <alignment horizontal="right"/>
    </xf>
    <xf numFmtId="167" fontId="39" fillId="17" borderId="14" xfId="52" applyNumberFormat="1" applyFont="1" applyFill="1" applyBorder="1"/>
    <xf numFmtId="176" fontId="5" fillId="17" borderId="14" xfId="0" applyNumberFormat="1" applyFont="1" applyFill="1" applyBorder="1" applyAlignment="1"/>
    <xf numFmtId="199" fontId="10" fillId="0" borderId="14" xfId="0" applyNumberFormat="1" applyFont="1" applyFill="1" applyBorder="1"/>
    <xf numFmtId="165" fontId="10" fillId="17" borderId="14" xfId="0" applyNumberFormat="1" applyFont="1" applyFill="1" applyBorder="1" applyAlignment="1"/>
    <xf numFmtId="165" fontId="10" fillId="0" borderId="29" xfId="35" applyNumberFormat="1" applyFont="1" applyFill="1" applyBorder="1"/>
    <xf numFmtId="9" fontId="10" fillId="17" borderId="14" xfId="52" applyFont="1" applyFill="1" applyBorder="1"/>
    <xf numFmtId="9" fontId="5" fillId="17" borderId="14" xfId="52" applyNumberFormat="1" applyFont="1" applyFill="1" applyBorder="1"/>
    <xf numFmtId="0" fontId="8" fillId="18" borderId="20" xfId="0" applyFont="1" applyFill="1" applyBorder="1"/>
    <xf numFmtId="167" fontId="19" fillId="17" borderId="14" xfId="0" applyNumberFormat="1" applyFont="1" applyFill="1" applyBorder="1"/>
    <xf numFmtId="199" fontId="12" fillId="17" borderId="14" xfId="0" applyNumberFormat="1" applyFont="1" applyFill="1" applyBorder="1"/>
    <xf numFmtId="164" fontId="10" fillId="0" borderId="14" xfId="35" applyNumberFormat="1" applyFont="1" applyFill="1" applyBorder="1"/>
    <xf numFmtId="164" fontId="12" fillId="0" borderId="14" xfId="0" applyNumberFormat="1" applyFont="1" applyFill="1" applyBorder="1"/>
    <xf numFmtId="164" fontId="10" fillId="17" borderId="14" xfId="0" applyNumberFormat="1" applyFont="1" applyFill="1" applyBorder="1"/>
    <xf numFmtId="9" fontId="12" fillId="0" borderId="14" xfId="0" applyNumberFormat="1" applyFont="1" applyFill="1" applyBorder="1"/>
    <xf numFmtId="9" fontId="10" fillId="17" borderId="14" xfId="52" applyFont="1" applyFill="1" applyBorder="1" applyAlignment="1"/>
    <xf numFmtId="167" fontId="46" fillId="0" borderId="14" xfId="52" applyNumberFormat="1" applyFont="1" applyFill="1" applyBorder="1"/>
    <xf numFmtId="167" fontId="9" fillId="0" borderId="14" xfId="52" applyNumberFormat="1" applyFont="1" applyFill="1" applyBorder="1"/>
    <xf numFmtId="7" fontId="12" fillId="0" borderId="14" xfId="0" applyNumberFormat="1" applyFont="1" applyFill="1" applyBorder="1"/>
    <xf numFmtId="165" fontId="5" fillId="19" borderId="14" xfId="35" quotePrefix="1" applyNumberFormat="1" applyFont="1" applyFill="1" applyBorder="1" applyAlignment="1">
      <alignment horizontal="center"/>
    </xf>
    <xf numFmtId="165" fontId="5" fillId="0" borderId="14" xfId="35" quotePrefix="1" applyNumberFormat="1" applyFont="1" applyFill="1" applyBorder="1" applyAlignment="1">
      <alignment horizontal="center"/>
    </xf>
    <xf numFmtId="0" fontId="2" fillId="16" borderId="16" xfId="0" applyNumberFormat="1" applyFont="1" applyFill="1" applyBorder="1" applyAlignment="1">
      <alignment horizontal="right"/>
    </xf>
    <xf numFmtId="165" fontId="7" fillId="0" borderId="14" xfId="0" applyNumberFormat="1" applyFont="1" applyBorder="1"/>
    <xf numFmtId="165" fontId="12" fillId="0" borderId="14" xfId="0" applyNumberFormat="1" applyFont="1" applyFill="1" applyBorder="1" applyAlignment="1">
      <alignment horizontal="center"/>
    </xf>
    <xf numFmtId="165" fontId="26" fillId="0" borderId="14" xfId="0" applyNumberFormat="1" applyFont="1" applyFill="1" applyBorder="1" applyAlignment="1">
      <alignment horizontal="center"/>
    </xf>
    <xf numFmtId="165" fontId="10" fillId="0" borderId="14" xfId="0" applyNumberFormat="1" applyFont="1" applyFill="1" applyBorder="1" applyAlignment="1">
      <alignment horizontal="center"/>
    </xf>
    <xf numFmtId="165" fontId="10" fillId="0" borderId="14" xfId="0" applyNumberFormat="1" applyFont="1" applyBorder="1" applyAlignment="1">
      <alignment horizontal="center"/>
    </xf>
    <xf numFmtId="165" fontId="19" fillId="17" borderId="16" xfId="0" applyNumberFormat="1" applyFont="1" applyFill="1" applyBorder="1" applyAlignment="1">
      <alignment horizontal="center"/>
    </xf>
    <xf numFmtId="176" fontId="28" fillId="0" borderId="18" xfId="35" applyNumberFormat="1" applyFont="1" applyBorder="1"/>
    <xf numFmtId="165" fontId="5" fillId="0" borderId="14" xfId="35" applyNumberFormat="1" applyFont="1" applyBorder="1"/>
    <xf numFmtId="167" fontId="5" fillId="0" borderId="14" xfId="52" applyNumberFormat="1" applyFont="1" applyBorder="1"/>
    <xf numFmtId="167" fontId="5" fillId="0" borderId="14" xfId="52" applyNumberFormat="1" applyFont="1" applyBorder="1" applyAlignment="1"/>
    <xf numFmtId="187" fontId="5" fillId="0" borderId="14" xfId="0" applyNumberFormat="1" applyFont="1" applyFill="1" applyBorder="1"/>
    <xf numFmtId="188" fontId="10" fillId="0" borderId="0" xfId="57" applyNumberFormat="1" applyFont="1" applyFill="1" applyBorder="1" applyAlignment="1"/>
    <xf numFmtId="187" fontId="5" fillId="0" borderId="0" xfId="0" applyNumberFormat="1" applyFont="1" applyBorder="1"/>
    <xf numFmtId="165" fontId="4" fillId="0" borderId="0" xfId="0" applyNumberFormat="1" applyFont="1" applyBorder="1"/>
    <xf numFmtId="9" fontId="10" fillId="0" borderId="15" xfId="52" applyFont="1" applyFill="1" applyBorder="1" applyAlignment="1">
      <alignment horizontal="center"/>
    </xf>
    <xf numFmtId="167" fontId="24" fillId="0" borderId="15" xfId="0" applyNumberFormat="1" applyFont="1" applyFill="1" applyBorder="1"/>
    <xf numFmtId="187" fontId="5" fillId="0" borderId="15" xfId="0" applyNumberFormat="1" applyFont="1" applyFill="1" applyBorder="1"/>
    <xf numFmtId="165" fontId="10" fillId="0" borderId="14" xfId="35" applyNumberFormat="1" applyFont="1" applyBorder="1" applyAlignment="1"/>
    <xf numFmtId="167" fontId="24" fillId="21" borderId="15" xfId="0" applyNumberFormat="1" applyFont="1" applyFill="1" applyBorder="1"/>
    <xf numFmtId="0" fontId="5" fillId="17" borderId="18" xfId="0" applyNumberFormat="1" applyFont="1" applyFill="1" applyBorder="1" applyAlignment="1"/>
    <xf numFmtId="167" fontId="3" fillId="0" borderId="18" xfId="52" applyNumberFormat="1" applyFont="1" applyFill="1" applyBorder="1"/>
    <xf numFmtId="0" fontId="2" fillId="16" borderId="11" xfId="0" applyNumberFormat="1" applyFont="1" applyFill="1" applyBorder="1" applyAlignment="1">
      <alignment horizontal="centerContinuous"/>
    </xf>
    <xf numFmtId="0" fontId="2" fillId="16" borderId="13" xfId="0" applyNumberFormat="1" applyFont="1" applyFill="1" applyBorder="1" applyAlignment="1">
      <alignment horizontal="centerContinuous"/>
    </xf>
    <xf numFmtId="43" fontId="5" fillId="0" borderId="14" xfId="35" applyFont="1" applyBorder="1"/>
    <xf numFmtId="43" fontId="5" fillId="0" borderId="15" xfId="35" applyFont="1" applyFill="1" applyBorder="1" applyAlignment="1"/>
    <xf numFmtId="43" fontId="5" fillId="0" borderId="0" xfId="35" applyFont="1" applyBorder="1"/>
    <xf numFmtId="43" fontId="5" fillId="0" borderId="15" xfId="35" applyFont="1" applyBorder="1"/>
    <xf numFmtId="43" fontId="7" fillId="0" borderId="22" xfId="35" applyFont="1" applyBorder="1"/>
    <xf numFmtId="165" fontId="7" fillId="0" borderId="22" xfId="35" applyNumberFormat="1" applyFont="1" applyBorder="1"/>
    <xf numFmtId="9" fontId="3" fillId="0" borderId="15" xfId="52" applyFont="1" applyFill="1" applyBorder="1" applyAlignment="1"/>
    <xf numFmtId="9" fontId="7" fillId="0" borderId="22" xfId="52" applyFont="1" applyBorder="1"/>
    <xf numFmtId="196" fontId="10" fillId="0" borderId="14" xfId="57" applyNumberFormat="1" applyFont="1" applyFill="1" applyBorder="1" applyAlignment="1"/>
    <xf numFmtId="187" fontId="10" fillId="17" borderId="14" xfId="57" applyNumberFormat="1" applyFont="1" applyFill="1" applyBorder="1" applyAlignment="1"/>
    <xf numFmtId="2" fontId="5" fillId="0" borderId="14" xfId="0" applyNumberFormat="1" applyFont="1" applyBorder="1" applyAlignment="1"/>
    <xf numFmtId="167" fontId="10" fillId="0" borderId="14" xfId="0" applyNumberFormat="1" applyFont="1" applyFill="1" applyBorder="1"/>
    <xf numFmtId="167" fontId="3" fillId="0" borderId="0" xfId="0" applyNumberFormat="1" applyFont="1" applyFill="1" applyBorder="1"/>
    <xf numFmtId="167" fontId="5" fillId="0" borderId="0" xfId="52" applyNumberFormat="1" applyFont="1" applyFill="1" applyBorder="1" applyAlignment="1"/>
    <xf numFmtId="167" fontId="5" fillId="0" borderId="14" xfId="52" applyNumberFormat="1" applyFont="1" applyFill="1" applyBorder="1" applyAlignment="1"/>
    <xf numFmtId="167" fontId="2" fillId="0" borderId="0" xfId="52" applyNumberFormat="1" applyFont="1" applyFill="1" applyBorder="1" applyAlignment="1"/>
    <xf numFmtId="167" fontId="2" fillId="0" borderId="15" xfId="52" applyNumberFormat="1" applyFont="1" applyFill="1" applyBorder="1" applyAlignment="1"/>
    <xf numFmtId="9" fontId="12" fillId="0" borderId="12" xfId="52" applyFont="1" applyFill="1" applyBorder="1"/>
    <xf numFmtId="43" fontId="5" fillId="17" borderId="0" xfId="35" applyNumberFormat="1" applyFont="1" applyFill="1" applyBorder="1"/>
    <xf numFmtId="168" fontId="5" fillId="0" borderId="12" xfId="0" applyNumberFormat="1" applyFont="1" applyBorder="1" applyAlignment="1"/>
    <xf numFmtId="165" fontId="10" fillId="0" borderId="16" xfId="0" applyNumberFormat="1" applyFont="1" applyFill="1" applyBorder="1"/>
    <xf numFmtId="165" fontId="12" fillId="0" borderId="16" xfId="35" applyNumberFormat="1" applyFont="1" applyFill="1" applyBorder="1"/>
    <xf numFmtId="165" fontId="12" fillId="0" borderId="12" xfId="35" applyNumberFormat="1" applyFont="1" applyFill="1" applyBorder="1"/>
    <xf numFmtId="165" fontId="12" fillId="0" borderId="17" xfId="35" applyNumberFormat="1" applyFont="1" applyFill="1" applyBorder="1"/>
    <xf numFmtId="165" fontId="5" fillId="0" borderId="12" xfId="35" applyNumberFormat="1" applyFont="1" applyFill="1" applyBorder="1"/>
    <xf numFmtId="165" fontId="5" fillId="17" borderId="12" xfId="35" applyNumberFormat="1" applyFont="1" applyFill="1" applyBorder="1"/>
    <xf numFmtId="165" fontId="12" fillId="0" borderId="12" xfId="52" applyNumberFormat="1" applyFont="1" applyFill="1" applyBorder="1"/>
    <xf numFmtId="165" fontId="5" fillId="0" borderId="12" xfId="0" applyNumberFormat="1" applyFont="1" applyFill="1" applyBorder="1" applyAlignment="1"/>
    <xf numFmtId="169" fontId="3" fillId="0" borderId="14" xfId="0" applyNumberFormat="1" applyFont="1" applyFill="1" applyBorder="1"/>
    <xf numFmtId="165" fontId="12" fillId="0" borderId="20" xfId="35" applyNumberFormat="1" applyFont="1" applyFill="1" applyBorder="1"/>
    <xf numFmtId="41" fontId="42" fillId="0" borderId="15" xfId="0" applyNumberFormat="1" applyFont="1" applyFill="1" applyBorder="1" applyAlignment="1"/>
    <xf numFmtId="165" fontId="3" fillId="17" borderId="0" xfId="35" applyNumberFormat="1" applyFont="1" applyFill="1" applyBorder="1" applyAlignment="1"/>
    <xf numFmtId="167" fontId="3" fillId="17" borderId="15" xfId="52" applyNumberFormat="1" applyFont="1" applyFill="1" applyBorder="1"/>
    <xf numFmtId="167" fontId="3" fillId="0" borderId="0" xfId="52" applyNumberFormat="1" applyFont="1" applyFill="1" applyBorder="1" applyAlignment="1"/>
    <xf numFmtId="167" fontId="3" fillId="0" borderId="14" xfId="52" applyNumberFormat="1" applyFont="1" applyFill="1" applyBorder="1" applyAlignment="1"/>
    <xf numFmtId="167" fontId="3" fillId="0" borderId="15" xfId="52" applyNumberFormat="1" applyFont="1" applyFill="1" applyBorder="1" applyAlignment="1"/>
    <xf numFmtId="167" fontId="10" fillId="21" borderId="15" xfId="52" applyNumberFormat="1" applyFont="1" applyFill="1" applyBorder="1" applyAlignment="1"/>
    <xf numFmtId="9" fontId="3" fillId="0" borderId="0" xfId="52" applyFont="1" applyFill="1" applyBorder="1"/>
    <xf numFmtId="167" fontId="3" fillId="17" borderId="0" xfId="0" applyNumberFormat="1" applyFont="1" applyFill="1" applyBorder="1" applyAlignment="1">
      <alignment horizontal="right"/>
    </xf>
    <xf numFmtId="167" fontId="3" fillId="17" borderId="15" xfId="0" applyNumberFormat="1" applyFont="1" applyFill="1" applyBorder="1" applyAlignment="1">
      <alignment horizontal="right"/>
    </xf>
    <xf numFmtId="167" fontId="3" fillId="17" borderId="14" xfId="0" applyNumberFormat="1" applyFont="1" applyFill="1" applyBorder="1" applyAlignment="1">
      <alignment horizontal="right"/>
    </xf>
    <xf numFmtId="167" fontId="3" fillId="17" borderId="14" xfId="52" applyNumberFormat="1" applyFont="1" applyFill="1" applyBorder="1"/>
    <xf numFmtId="41" fontId="3" fillId="0" borderId="15" xfId="0" applyNumberFormat="1" applyFont="1" applyFill="1" applyBorder="1" applyAlignment="1"/>
    <xf numFmtId="0" fontId="42" fillId="0" borderId="14" xfId="0" applyFont="1" applyFill="1" applyBorder="1" applyAlignment="1"/>
    <xf numFmtId="9" fontId="5" fillId="17" borderId="14" xfId="52" applyFont="1" applyFill="1" applyBorder="1" applyAlignment="1"/>
    <xf numFmtId="9" fontId="3" fillId="17" borderId="15" xfId="52" applyFont="1" applyFill="1" applyBorder="1" applyAlignment="1"/>
    <xf numFmtId="9" fontId="3" fillId="17" borderId="14" xfId="52" applyFont="1" applyFill="1" applyBorder="1" applyAlignment="1"/>
    <xf numFmtId="9" fontId="3" fillId="17" borderId="0" xfId="52" applyFont="1" applyFill="1" applyBorder="1" applyAlignment="1"/>
    <xf numFmtId="9" fontId="3" fillId="0" borderId="0" xfId="52" applyFont="1" applyFill="1" applyBorder="1" applyAlignment="1"/>
    <xf numFmtId="169" fontId="3" fillId="0" borderId="15" xfId="0" applyNumberFormat="1" applyFont="1" applyFill="1" applyBorder="1"/>
    <xf numFmtId="164" fontId="5" fillId="17" borderId="0" xfId="35" applyNumberFormat="1" applyFont="1" applyFill="1" applyBorder="1"/>
    <xf numFmtId="9" fontId="10" fillId="21" borderId="15" xfId="52" applyFont="1" applyFill="1" applyBorder="1"/>
    <xf numFmtId="167" fontId="3" fillId="0" borderId="19" xfId="52" applyNumberFormat="1" applyFont="1" applyFill="1" applyBorder="1"/>
    <xf numFmtId="17" fontId="2" fillId="16" borderId="16" xfId="0" applyNumberFormat="1" applyFont="1" applyFill="1" applyBorder="1" applyAlignment="1">
      <alignment horizontal="right"/>
    </xf>
    <xf numFmtId="167" fontId="10" fillId="0" borderId="14" xfId="52" applyNumberFormat="1" applyFont="1" applyFill="1" applyBorder="1" applyAlignment="1"/>
    <xf numFmtId="189" fontId="3" fillId="0" borderId="15" xfId="0" applyNumberFormat="1" applyFont="1" applyBorder="1"/>
    <xf numFmtId="43" fontId="5" fillId="0" borderId="0" xfId="35" applyNumberFormat="1" applyFont="1" applyFill="1" applyBorder="1"/>
    <xf numFmtId="0" fontId="9" fillId="17" borderId="14" xfId="0" applyFont="1" applyFill="1" applyBorder="1" applyAlignment="1"/>
    <xf numFmtId="9" fontId="9" fillId="17" borderId="0" xfId="52" applyFont="1" applyFill="1" applyBorder="1" applyAlignment="1"/>
    <xf numFmtId="0" fontId="3" fillId="17" borderId="20" xfId="0" applyFont="1" applyFill="1" applyBorder="1" applyAlignment="1"/>
    <xf numFmtId="0" fontId="3" fillId="0" borderId="18" xfId="0" applyFont="1" applyFill="1" applyBorder="1"/>
    <xf numFmtId="0" fontId="3" fillId="17" borderId="18" xfId="0" applyFont="1" applyFill="1" applyBorder="1" applyAlignment="1"/>
    <xf numFmtId="0" fontId="3" fillId="17" borderId="19" xfId="0" applyFont="1" applyFill="1" applyBorder="1" applyAlignment="1"/>
    <xf numFmtId="167" fontId="3" fillId="0" borderId="20" xfId="52" applyNumberFormat="1" applyFont="1" applyFill="1" applyBorder="1"/>
    <xf numFmtId="0" fontId="1" fillId="0" borderId="0" xfId="0" applyFont="1" applyBorder="1"/>
    <xf numFmtId="0" fontId="4" fillId="0" borderId="21" xfId="0" applyNumberFormat="1" applyFont="1" applyBorder="1" applyAlignment="1"/>
    <xf numFmtId="0" fontId="4" fillId="0" borderId="11" xfId="0" applyNumberFormat="1" applyFont="1" applyBorder="1" applyAlignment="1"/>
    <xf numFmtId="37" fontId="2" fillId="16" borderId="21" xfId="0" applyNumberFormat="1" applyFont="1" applyFill="1" applyBorder="1" applyAlignment="1">
      <alignment horizontal="right"/>
    </xf>
    <xf numFmtId="0" fontId="13" fillId="0" borderId="14" xfId="0" applyFont="1" applyBorder="1"/>
    <xf numFmtId="0" fontId="8" fillId="18" borderId="12" xfId="0" applyFont="1" applyFill="1" applyBorder="1" applyAlignment="1"/>
    <xf numFmtId="165" fontId="65" fillId="0" borderId="14" xfId="35" applyNumberFormat="1" applyFont="1" applyFill="1" applyBorder="1"/>
    <xf numFmtId="165" fontId="65" fillId="0" borderId="0" xfId="35" applyNumberFormat="1" applyFont="1" applyFill="1"/>
    <xf numFmtId="165" fontId="65" fillId="0" borderId="0" xfId="35" applyNumberFormat="1" applyFont="1" applyFill="1" applyBorder="1"/>
    <xf numFmtId="165" fontId="65" fillId="0" borderId="15" xfId="35" applyNumberFormat="1" applyFont="1" applyFill="1" applyBorder="1"/>
    <xf numFmtId="0" fontId="4" fillId="0" borderId="21" xfId="0" applyNumberFormat="1" applyFont="1" applyBorder="1" applyAlignment="1">
      <alignment horizontal="centerContinuous"/>
    </xf>
    <xf numFmtId="0" fontId="5" fillId="0" borderId="18" xfId="0" applyNumberFormat="1" applyFont="1" applyFill="1" applyBorder="1" applyAlignment="1"/>
    <xf numFmtId="165" fontId="3" fillId="0" borderId="14" xfId="0" applyNumberFormat="1" applyFont="1" applyFill="1" applyBorder="1" applyAlignment="1"/>
    <xf numFmtId="165" fontId="5" fillId="0" borderId="16" xfId="0" applyNumberFormat="1" applyFont="1" applyFill="1" applyBorder="1" applyAlignment="1"/>
    <xf numFmtId="165" fontId="5" fillId="0" borderId="17" xfId="0" applyNumberFormat="1" applyFont="1" applyFill="1" applyBorder="1" applyAlignment="1"/>
    <xf numFmtId="0" fontId="3" fillId="0" borderId="20" xfId="0" applyFont="1" applyFill="1" applyBorder="1"/>
    <xf numFmtId="0" fontId="5" fillId="0" borderId="19" xfId="0" applyFont="1" applyFill="1" applyBorder="1"/>
    <xf numFmtId="164" fontId="5" fillId="0" borderId="17" xfId="0" applyNumberFormat="1" applyFont="1" applyFill="1" applyBorder="1"/>
    <xf numFmtId="165" fontId="5" fillId="0" borderId="18" xfId="0" applyNumberFormat="1" applyFont="1" applyFill="1" applyBorder="1" applyAlignment="1"/>
    <xf numFmtId="9" fontId="10" fillId="0" borderId="12" xfId="52" applyFont="1" applyFill="1" applyBorder="1"/>
    <xf numFmtId="165" fontId="5" fillId="0" borderId="16" xfId="35" applyNumberFormat="1" applyFont="1" applyFill="1" applyBorder="1" applyAlignment="1"/>
    <xf numFmtId="165" fontId="3" fillId="0" borderId="12" xfId="35" applyNumberFormat="1" applyFont="1" applyFill="1" applyBorder="1" applyAlignment="1"/>
    <xf numFmtId="165" fontId="5" fillId="0" borderId="12" xfId="35" applyNumberFormat="1" applyFont="1" applyFill="1" applyBorder="1" applyAlignment="1"/>
    <xf numFmtId="165" fontId="10" fillId="0" borderId="12" xfId="35" quotePrefix="1" applyNumberFormat="1" applyFont="1" applyFill="1" applyBorder="1" applyAlignment="1">
      <alignment horizontal="center"/>
    </xf>
    <xf numFmtId="165" fontId="10" fillId="0" borderId="17" xfId="35" quotePrefix="1" applyNumberFormat="1" applyFont="1" applyFill="1" applyBorder="1" applyAlignment="1">
      <alignment horizontal="center"/>
    </xf>
    <xf numFmtId="165" fontId="10" fillId="0" borderId="16" xfId="35" quotePrefix="1" applyNumberFormat="1" applyFont="1" applyFill="1" applyBorder="1" applyAlignment="1">
      <alignment horizontal="center"/>
    </xf>
    <xf numFmtId="9" fontId="10" fillId="0" borderId="12" xfId="52" quotePrefix="1" applyFont="1" applyFill="1" applyBorder="1" applyAlignment="1">
      <alignment horizontal="center"/>
    </xf>
    <xf numFmtId="9" fontId="10" fillId="0" borderId="17" xfId="52" quotePrefix="1" applyFont="1" applyFill="1" applyBorder="1" applyAlignment="1">
      <alignment horizontal="center"/>
    </xf>
    <xf numFmtId="9" fontId="10" fillId="0" borderId="16" xfId="52" quotePrefix="1" applyFont="1" applyFill="1" applyBorder="1" applyAlignment="1">
      <alignment horizontal="center"/>
    </xf>
    <xf numFmtId="3" fontId="5" fillId="0" borderId="16" xfId="0" applyNumberFormat="1" applyFont="1" applyFill="1" applyBorder="1" applyAlignment="1">
      <alignment horizontal="left"/>
    </xf>
    <xf numFmtId="3" fontId="5" fillId="0" borderId="12" xfId="0" applyNumberFormat="1" applyFont="1" applyFill="1" applyBorder="1" applyAlignment="1">
      <alignment horizontal="left"/>
    </xf>
    <xf numFmtId="3" fontId="5" fillId="17" borderId="12" xfId="0" applyNumberFormat="1" applyFont="1" applyFill="1" applyBorder="1"/>
    <xf numFmtId="3" fontId="5" fillId="0" borderId="17" xfId="0" applyNumberFormat="1" applyFont="1" applyFill="1" applyBorder="1" applyAlignment="1">
      <alignment horizontal="left"/>
    </xf>
    <xf numFmtId="0" fontId="3" fillId="0" borderId="16" xfId="0" applyFont="1" applyFill="1" applyBorder="1" applyAlignment="1"/>
    <xf numFmtId="0" fontId="3" fillId="0" borderId="12" xfId="0" applyFont="1" applyFill="1" applyBorder="1" applyAlignment="1"/>
    <xf numFmtId="0" fontId="3" fillId="0" borderId="17" xfId="0" applyFont="1" applyFill="1" applyBorder="1" applyAlignment="1"/>
    <xf numFmtId="43" fontId="3" fillId="0" borderId="12" xfId="35" applyFont="1" applyFill="1" applyBorder="1" applyAlignment="1"/>
    <xf numFmtId="43" fontId="3" fillId="0" borderId="17" xfId="35" applyFont="1" applyFill="1" applyBorder="1" applyAlignment="1"/>
    <xf numFmtId="43" fontId="3" fillId="0" borderId="16" xfId="35" applyFont="1" applyFill="1" applyBorder="1" applyAlignment="1"/>
    <xf numFmtId="196" fontId="10" fillId="0" borderId="15" xfId="57" applyNumberFormat="1" applyFont="1" applyFill="1" applyBorder="1" applyAlignment="1"/>
    <xf numFmtId="187" fontId="10" fillId="17" borderId="15" xfId="57" applyNumberFormat="1" applyFont="1" applyFill="1" applyBorder="1" applyAlignment="1"/>
    <xf numFmtId="187" fontId="10" fillId="17" borderId="0" xfId="57" applyNumberFormat="1" applyFont="1" applyFill="1" applyBorder="1" applyAlignment="1"/>
    <xf numFmtId="167" fontId="4" fillId="17" borderId="0" xfId="52" applyNumberFormat="1" applyFont="1" applyFill="1" applyBorder="1"/>
    <xf numFmtId="0" fontId="0" fillId="0" borderId="0" xfId="0" applyFill="1"/>
    <xf numFmtId="167" fontId="4" fillId="0" borderId="0" xfId="52" applyNumberFormat="1" applyFont="1" applyFill="1" applyBorder="1"/>
    <xf numFmtId="0" fontId="5" fillId="0" borderId="12" xfId="0" applyNumberFormat="1" applyFont="1" applyFill="1" applyBorder="1" applyAlignment="1"/>
    <xf numFmtId="37" fontId="5" fillId="18" borderId="18" xfId="0" applyNumberFormat="1" applyFont="1" applyFill="1" applyBorder="1"/>
    <xf numFmtId="0" fontId="5" fillId="0" borderId="20" xfId="0" applyNumberFormat="1" applyFont="1" applyFill="1" applyBorder="1"/>
    <xf numFmtId="0" fontId="5" fillId="0" borderId="18" xfId="0" applyNumberFormat="1" applyFont="1" applyFill="1" applyBorder="1"/>
    <xf numFmtId="9" fontId="5" fillId="0" borderId="18" xfId="52" applyFont="1" applyFill="1" applyBorder="1"/>
    <xf numFmtId="0" fontId="2" fillId="16" borderId="21" xfId="0" applyNumberFormat="1" applyFont="1" applyFill="1" applyBorder="1" applyAlignment="1">
      <alignment horizontal="right"/>
    </xf>
    <xf numFmtId="165" fontId="39" fillId="0" borderId="14" xfId="0" applyNumberFormat="1" applyFont="1" applyFill="1" applyBorder="1"/>
    <xf numFmtId="165" fontId="40" fillId="0" borderId="14" xfId="0" applyNumberFormat="1" applyFont="1" applyFill="1" applyBorder="1"/>
    <xf numFmtId="0" fontId="3" fillId="0" borderId="18" xfId="0" applyNumberFormat="1" applyFont="1" applyFill="1" applyBorder="1" applyAlignment="1"/>
    <xf numFmtId="0" fontId="5" fillId="0" borderId="20" xfId="0" applyFont="1" applyFill="1" applyBorder="1"/>
    <xf numFmtId="167" fontId="5" fillId="0" borderId="18" xfId="0" applyNumberFormat="1" applyFont="1" applyFill="1" applyBorder="1"/>
    <xf numFmtId="4" fontId="3" fillId="0" borderId="0" xfId="35" applyNumberFormat="1" applyFont="1" applyFill="1" applyBorder="1"/>
    <xf numFmtId="2" fontId="29" fillId="0" borderId="0" xfId="36" applyNumberFormat="1" applyFont="1" applyFill="1" applyBorder="1"/>
    <xf numFmtId="167" fontId="29" fillId="17" borderId="14" xfId="0" applyNumberFormat="1" applyFont="1" applyFill="1" applyBorder="1" applyAlignment="1"/>
    <xf numFmtId="167" fontId="29" fillId="17" borderId="0" xfId="0" applyNumberFormat="1" applyFont="1" applyFill="1" applyBorder="1" applyAlignment="1"/>
    <xf numFmtId="9" fontId="12" fillId="0" borderId="16" xfId="52" applyFont="1" applyFill="1" applyBorder="1"/>
    <xf numFmtId="165" fontId="26" fillId="17" borderId="14" xfId="0" applyNumberFormat="1" applyFont="1" applyFill="1" applyBorder="1"/>
    <xf numFmtId="0" fontId="8" fillId="18" borderId="11" xfId="0" applyFont="1" applyFill="1" applyBorder="1" applyAlignment="1"/>
    <xf numFmtId="0" fontId="8" fillId="18" borderId="16" xfId="0" applyFont="1" applyFill="1" applyBorder="1" applyAlignment="1"/>
    <xf numFmtId="165" fontId="10" fillId="0" borderId="16" xfId="35" applyNumberFormat="1" applyFont="1" applyFill="1" applyBorder="1" applyAlignment="1">
      <alignment horizontal="center"/>
    </xf>
    <xf numFmtId="188" fontId="10" fillId="0" borderId="14" xfId="57" applyNumberFormat="1" applyFont="1" applyFill="1" applyBorder="1" applyAlignment="1"/>
    <xf numFmtId="7" fontId="5" fillId="17" borderId="0" xfId="35" applyNumberFormat="1" applyFont="1" applyFill="1" applyBorder="1"/>
    <xf numFmtId="44" fontId="10" fillId="0" borderId="14" xfId="36" applyFont="1" applyFill="1" applyBorder="1"/>
    <xf numFmtId="44" fontId="10" fillId="0" borderId="0" xfId="36" applyFont="1" applyFill="1" applyBorder="1"/>
    <xf numFmtId="165" fontId="5" fillId="19" borderId="14" xfId="35" quotePrefix="1" applyNumberFormat="1" applyFont="1" applyFill="1" applyBorder="1" applyAlignment="1">
      <alignment horizontal="right"/>
    </xf>
    <xf numFmtId="165" fontId="5" fillId="19" borderId="0" xfId="35" quotePrefix="1" applyNumberFormat="1" applyFont="1" applyFill="1" applyBorder="1" applyAlignment="1">
      <alignment horizontal="right"/>
    </xf>
    <xf numFmtId="165" fontId="5" fillId="0" borderId="14" xfId="35" quotePrefix="1" applyNumberFormat="1" applyFont="1" applyFill="1" applyBorder="1" applyAlignment="1">
      <alignment horizontal="right"/>
    </xf>
    <xf numFmtId="165" fontId="5" fillId="0" borderId="0" xfId="35" quotePrefix="1" applyNumberFormat="1" applyFont="1" applyFill="1" applyBorder="1" applyAlignment="1">
      <alignment horizontal="right"/>
    </xf>
    <xf numFmtId="0" fontId="10" fillId="17" borderId="14" xfId="0" applyNumberFormat="1" applyFont="1" applyFill="1" applyBorder="1" applyAlignment="1">
      <alignment horizontal="right"/>
    </xf>
    <xf numFmtId="0" fontId="10" fillId="17" borderId="0" xfId="0" applyNumberFormat="1" applyFont="1" applyFill="1" applyBorder="1" applyAlignment="1">
      <alignment horizontal="right"/>
    </xf>
    <xf numFmtId="0" fontId="10" fillId="17" borderId="15" xfId="0" applyNumberFormat="1" applyFont="1" applyFill="1" applyBorder="1" applyAlignment="1">
      <alignment horizontal="right"/>
    </xf>
    <xf numFmtId="0" fontId="10" fillId="17" borderId="14" xfId="0" applyFont="1" applyFill="1" applyBorder="1" applyAlignment="1">
      <alignment horizontal="right"/>
    </xf>
    <xf numFmtId="0" fontId="10" fillId="17" borderId="0" xfId="0" applyFont="1" applyFill="1" applyBorder="1" applyAlignment="1">
      <alignment horizontal="right"/>
    </xf>
    <xf numFmtId="165" fontId="10" fillId="17" borderId="15" xfId="0" applyNumberFormat="1" applyFont="1" applyFill="1" applyBorder="1" applyAlignment="1">
      <alignment horizontal="right"/>
    </xf>
    <xf numFmtId="9" fontId="10" fillId="0" borderId="0" xfId="52" quotePrefix="1" applyNumberFormat="1" applyFont="1" applyFill="1" applyBorder="1" applyAlignment="1">
      <alignment horizontal="right"/>
    </xf>
    <xf numFmtId="9" fontId="10" fillId="0" borderId="15" xfId="52" quotePrefix="1" applyNumberFormat="1" applyFont="1" applyFill="1" applyBorder="1" applyAlignment="1">
      <alignment horizontal="right"/>
    </xf>
    <xf numFmtId="9" fontId="10" fillId="0" borderId="14" xfId="52" quotePrefix="1" applyNumberFormat="1" applyFont="1" applyFill="1" applyBorder="1" applyAlignment="1">
      <alignment horizontal="right"/>
    </xf>
    <xf numFmtId="9" fontId="12" fillId="0" borderId="0" xfId="52" applyFont="1" applyFill="1" applyBorder="1" applyAlignment="1">
      <alignment horizontal="right"/>
    </xf>
    <xf numFmtId="9" fontId="12" fillId="0" borderId="15" xfId="52" applyFont="1" applyFill="1" applyBorder="1" applyAlignment="1">
      <alignment horizontal="right"/>
    </xf>
    <xf numFmtId="9" fontId="12" fillId="0" borderId="14" xfId="52" applyFont="1" applyFill="1" applyBorder="1" applyAlignment="1">
      <alignment horizontal="right"/>
    </xf>
    <xf numFmtId="0" fontId="12" fillId="17" borderId="0" xfId="0" applyFont="1" applyFill="1" applyBorder="1" applyAlignment="1">
      <alignment horizontal="right"/>
    </xf>
    <xf numFmtId="0" fontId="12" fillId="17" borderId="15" xfId="0" applyFont="1" applyFill="1" applyBorder="1" applyAlignment="1">
      <alignment horizontal="right"/>
    </xf>
    <xf numFmtId="0" fontId="12" fillId="17" borderId="14" xfId="0" applyFont="1" applyFill="1" applyBorder="1" applyAlignment="1">
      <alignment horizontal="right"/>
    </xf>
    <xf numFmtId="9" fontId="5" fillId="0" borderId="14" xfId="52" quotePrefix="1" applyFont="1" applyFill="1" applyBorder="1" applyAlignment="1">
      <alignment horizontal="right"/>
    </xf>
    <xf numFmtId="9" fontId="5" fillId="0" borderId="0" xfId="52" quotePrefix="1" applyFont="1" applyFill="1" applyBorder="1" applyAlignment="1">
      <alignment horizontal="right"/>
    </xf>
    <xf numFmtId="9" fontId="10" fillId="0" borderId="15" xfId="52" quotePrefix="1" applyFont="1" applyFill="1" applyBorder="1" applyAlignment="1">
      <alignment horizontal="right"/>
    </xf>
    <xf numFmtId="165" fontId="10" fillId="0" borderId="0" xfId="35" quotePrefix="1" applyNumberFormat="1" applyFont="1" applyFill="1" applyBorder="1" applyAlignment="1">
      <alignment horizontal="right"/>
    </xf>
    <xf numFmtId="165" fontId="10" fillId="0" borderId="15" xfId="35" quotePrefix="1" applyNumberFormat="1" applyFont="1" applyFill="1" applyBorder="1" applyAlignment="1">
      <alignment horizontal="right"/>
    </xf>
    <xf numFmtId="165" fontId="5" fillId="19" borderId="15" xfId="35" quotePrefix="1" applyNumberFormat="1" applyFont="1" applyFill="1" applyBorder="1" applyAlignment="1">
      <alignment horizontal="right"/>
    </xf>
    <xf numFmtId="165" fontId="5" fillId="0" borderId="15" xfId="35" quotePrefix="1" applyNumberFormat="1" applyFont="1" applyFill="1" applyBorder="1" applyAlignment="1">
      <alignment horizontal="right"/>
    </xf>
    <xf numFmtId="9" fontId="5" fillId="0" borderId="15" xfId="52" quotePrefix="1" applyFont="1" applyFill="1" applyBorder="1" applyAlignment="1">
      <alignment horizontal="right"/>
    </xf>
    <xf numFmtId="10" fontId="5" fillId="17" borderId="0" xfId="0" applyNumberFormat="1" applyFont="1" applyFill="1" applyBorder="1" applyAlignment="1"/>
    <xf numFmtId="0" fontId="29" fillId="17" borderId="0" xfId="0" applyNumberFormat="1" applyFont="1" applyFill="1" applyBorder="1" applyAlignment="1"/>
    <xf numFmtId="2" fontId="28" fillId="17" borderId="0" xfId="0" applyNumberFormat="1" applyFont="1" applyFill="1" applyBorder="1" applyAlignment="1"/>
    <xf numFmtId="165" fontId="0" fillId="0" borderId="0" xfId="0" applyNumberFormat="1"/>
    <xf numFmtId="165" fontId="29" fillId="17" borderId="0" xfId="35" applyNumberFormat="1" applyFont="1" applyFill="1" applyBorder="1" applyAlignment="1"/>
    <xf numFmtId="164" fontId="12" fillId="17" borderId="0" xfId="0" applyNumberFormat="1" applyFont="1" applyFill="1" applyBorder="1"/>
    <xf numFmtId="7" fontId="28" fillId="17" borderId="14" xfId="0" applyNumberFormat="1" applyFont="1" applyFill="1" applyBorder="1" applyAlignment="1"/>
    <xf numFmtId="7" fontId="28" fillId="17" borderId="0" xfId="0" applyNumberFormat="1" applyFont="1" applyFill="1" applyBorder="1" applyAlignment="1"/>
    <xf numFmtId="7" fontId="28" fillId="17" borderId="15" xfId="0" applyNumberFormat="1" applyFont="1" applyFill="1" applyBorder="1" applyAlignment="1"/>
    <xf numFmtId="165" fontId="10" fillId="17" borderId="0" xfId="52" applyNumberFormat="1" applyFont="1" applyFill="1" applyBorder="1"/>
    <xf numFmtId="9" fontId="29" fillId="0" borderId="0" xfId="52" applyFont="1" applyFill="1" applyBorder="1"/>
    <xf numFmtId="165" fontId="29" fillId="0" borderId="0" xfId="0" applyNumberFormat="1" applyFont="1" applyFill="1" applyBorder="1"/>
    <xf numFmtId="17" fontId="2" fillId="16" borderId="21" xfId="0" applyNumberFormat="1" applyFont="1" applyFill="1" applyBorder="1" applyAlignment="1">
      <alignment horizontal="right"/>
    </xf>
    <xf numFmtId="43" fontId="29" fillId="0" borderId="0" xfId="35" applyFont="1" applyFill="1" applyBorder="1"/>
    <xf numFmtId="176" fontId="29" fillId="0" borderId="0" xfId="0" applyNumberFormat="1" applyFont="1" applyFill="1" applyBorder="1"/>
    <xf numFmtId="17" fontId="2" fillId="16" borderId="17" xfId="0" applyNumberFormat="1" applyFont="1" applyFill="1" applyBorder="1" applyAlignment="1">
      <alignment horizontal="right"/>
    </xf>
    <xf numFmtId="7" fontId="5" fillId="17" borderId="0" xfId="36" applyNumberFormat="1" applyFont="1" applyFill="1" applyBorder="1"/>
    <xf numFmtId="187" fontId="5" fillId="17" borderId="0" xfId="57" applyNumberFormat="1" applyFont="1" applyFill="1" applyBorder="1" applyAlignment="1">
      <alignment horizontal="right"/>
    </xf>
    <xf numFmtId="165" fontId="26" fillId="0" borderId="14" xfId="0" applyNumberFormat="1" applyFont="1" applyBorder="1"/>
    <xf numFmtId="165" fontId="19" fillId="17" borderId="14" xfId="35" applyNumberFormat="1" applyFont="1" applyFill="1" applyBorder="1"/>
    <xf numFmtId="188" fontId="10" fillId="0" borderId="15" xfId="57" applyNumberFormat="1" applyFont="1" applyFill="1" applyBorder="1" applyAlignment="1"/>
    <xf numFmtId="164" fontId="28" fillId="17" borderId="0" xfId="35" applyNumberFormat="1" applyFont="1" applyFill="1" applyBorder="1"/>
    <xf numFmtId="7" fontId="0" fillId="0" borderId="0" xfId="0" applyNumberFormat="1"/>
    <xf numFmtId="164" fontId="5" fillId="0" borderId="18" xfId="0" applyNumberFormat="1" applyFont="1" applyFill="1" applyBorder="1"/>
    <xf numFmtId="164" fontId="5" fillId="0" borderId="12" xfId="0" applyNumberFormat="1" applyFont="1" applyFill="1" applyBorder="1"/>
    <xf numFmtId="167" fontId="10" fillId="0" borderId="15" xfId="0" applyNumberFormat="1" applyFont="1" applyFill="1" applyBorder="1"/>
    <xf numFmtId="43" fontId="4" fillId="17" borderId="0" xfId="35" applyNumberFormat="1" applyFont="1" applyFill="1" applyBorder="1"/>
    <xf numFmtId="167" fontId="12" fillId="17" borderId="15" xfId="52" applyNumberFormat="1" applyFont="1" applyFill="1" applyBorder="1"/>
    <xf numFmtId="165" fontId="69" fillId="0" borderId="0" xfId="0" applyNumberFormat="1" applyFont="1" applyFill="1" applyBorder="1"/>
    <xf numFmtId="165" fontId="69" fillId="17" borderId="0" xfId="0" applyNumberFormat="1" applyFont="1" applyFill="1" applyBorder="1"/>
    <xf numFmtId="7" fontId="69" fillId="21" borderId="0" xfId="0" applyNumberFormat="1" applyFont="1" applyFill="1" applyBorder="1"/>
    <xf numFmtId="7" fontId="69" fillId="21" borderId="15" xfId="0" applyNumberFormat="1" applyFont="1" applyFill="1" applyBorder="1"/>
    <xf numFmtId="7" fontId="69" fillId="17" borderId="14" xfId="0" applyNumberFormat="1" applyFont="1" applyFill="1" applyBorder="1"/>
    <xf numFmtId="7" fontId="69" fillId="17" borderId="0" xfId="0" applyNumberFormat="1" applyFont="1" applyFill="1" applyBorder="1"/>
    <xf numFmtId="7" fontId="69" fillId="17" borderId="15" xfId="0" applyNumberFormat="1" applyFont="1" applyFill="1" applyBorder="1"/>
    <xf numFmtId="8" fontId="5" fillId="17" borderId="0" xfId="0" applyNumberFormat="1" applyFont="1" applyFill="1" applyBorder="1"/>
    <xf numFmtId="167" fontId="10" fillId="17" borderId="14" xfId="0" applyNumberFormat="1" applyFont="1" applyFill="1" applyBorder="1"/>
    <xf numFmtId="165" fontId="68" fillId="0" borderId="14" xfId="0" applyNumberFormat="1" applyFont="1" applyFill="1" applyBorder="1"/>
    <xf numFmtId="164" fontId="69" fillId="17" borderId="14" xfId="0" applyNumberFormat="1" applyFont="1" applyFill="1" applyBorder="1"/>
    <xf numFmtId="7" fontId="69" fillId="0" borderId="14" xfId="0" applyNumberFormat="1" applyFont="1" applyFill="1" applyBorder="1"/>
    <xf numFmtId="188" fontId="12" fillId="0" borderId="0" xfId="57" applyNumberFormat="1" applyFont="1" applyFill="1" applyBorder="1" applyAlignment="1"/>
    <xf numFmtId="188" fontId="12" fillId="0" borderId="15" xfId="57" applyNumberFormat="1" applyFont="1" applyFill="1" applyBorder="1" applyAlignment="1"/>
    <xf numFmtId="187" fontId="69" fillId="17" borderId="14" xfId="57" applyNumberFormat="1" applyFont="1" applyFill="1" applyBorder="1" applyAlignment="1"/>
    <xf numFmtId="165" fontId="71" fillId="17" borderId="0" xfId="0" applyNumberFormat="1" applyFont="1" applyFill="1" applyBorder="1"/>
    <xf numFmtId="165" fontId="71" fillId="0" borderId="0" xfId="0" applyNumberFormat="1" applyFont="1" applyFill="1" applyBorder="1"/>
    <xf numFmtId="165" fontId="71" fillId="0" borderId="12" xfId="0" applyNumberFormat="1" applyFont="1" applyFill="1" applyBorder="1"/>
    <xf numFmtId="169" fontId="70" fillId="0" borderId="0" xfId="0" applyNumberFormat="1" applyFont="1" applyFill="1" applyBorder="1"/>
    <xf numFmtId="165" fontId="71" fillId="0" borderId="0" xfId="35" applyNumberFormat="1" applyFont="1" applyBorder="1" applyAlignment="1"/>
    <xf numFmtId="187" fontId="10" fillId="17" borderId="0" xfId="0" applyNumberFormat="1" applyFont="1" applyFill="1" applyBorder="1"/>
    <xf numFmtId="188" fontId="71" fillId="0" borderId="0" xfId="57" applyNumberFormat="1" applyFont="1" applyFill="1" applyBorder="1" applyAlignment="1"/>
    <xf numFmtId="5" fontId="19" fillId="17" borderId="0" xfId="0" applyNumberFormat="1" applyFont="1" applyFill="1" applyBorder="1"/>
    <xf numFmtId="9" fontId="5" fillId="17" borderId="0" xfId="0" applyNumberFormat="1" applyFont="1" applyFill="1" applyBorder="1"/>
    <xf numFmtId="165" fontId="28" fillId="17" borderId="0" xfId="35" applyNumberFormat="1" applyFont="1" applyFill="1" applyBorder="1"/>
    <xf numFmtId="165" fontId="73" fillId="0" borderId="0" xfId="0" applyNumberFormat="1" applyFont="1" applyFill="1" applyBorder="1"/>
    <xf numFmtId="165" fontId="73" fillId="0" borderId="0" xfId="0" applyNumberFormat="1" applyFont="1" applyBorder="1"/>
    <xf numFmtId="165" fontId="73" fillId="17" borderId="0" xfId="0" applyNumberFormat="1" applyFont="1" applyFill="1" applyBorder="1"/>
    <xf numFmtId="165" fontId="73" fillId="17" borderId="0" xfId="35" applyNumberFormat="1" applyFont="1" applyFill="1" applyBorder="1" applyAlignment="1"/>
    <xf numFmtId="165" fontId="73" fillId="0" borderId="0" xfId="35" applyNumberFormat="1" applyFont="1" applyBorder="1"/>
    <xf numFmtId="165" fontId="74" fillId="0" borderId="0" xfId="0" applyNumberFormat="1" applyFont="1" applyFill="1" applyBorder="1"/>
    <xf numFmtId="164" fontId="73" fillId="17" borderId="0" xfId="0" applyNumberFormat="1" applyFont="1" applyFill="1" applyBorder="1"/>
    <xf numFmtId="7" fontId="73" fillId="0" borderId="0" xfId="0" applyNumberFormat="1" applyFont="1" applyFill="1" applyBorder="1"/>
    <xf numFmtId="187" fontId="73" fillId="0" borderId="14" xfId="0" applyNumberFormat="1" applyFont="1" applyFill="1" applyBorder="1"/>
    <xf numFmtId="187" fontId="73" fillId="0" borderId="0" xfId="0" applyNumberFormat="1" applyFont="1" applyFill="1" applyBorder="1"/>
    <xf numFmtId="187" fontId="73" fillId="0" borderId="15" xfId="0" applyNumberFormat="1" applyFont="1" applyFill="1" applyBorder="1"/>
    <xf numFmtId="187" fontId="5" fillId="21" borderId="0" xfId="0" applyNumberFormat="1" applyFont="1" applyFill="1" applyBorder="1"/>
    <xf numFmtId="187" fontId="5" fillId="21" borderId="15" xfId="0" applyNumberFormat="1" applyFont="1" applyFill="1" applyBorder="1"/>
    <xf numFmtId="187" fontId="73" fillId="17" borderId="0" xfId="57" applyNumberFormat="1" applyFont="1" applyFill="1" applyBorder="1" applyAlignment="1"/>
    <xf numFmtId="17" fontId="75" fillId="16" borderId="12" xfId="0" applyNumberFormat="1" applyFont="1" applyFill="1" applyBorder="1" applyAlignment="1">
      <alignment horizontal="right"/>
    </xf>
    <xf numFmtId="165" fontId="73" fillId="0" borderId="12" xfId="0" applyNumberFormat="1" applyFont="1" applyFill="1" applyBorder="1"/>
    <xf numFmtId="165" fontId="73" fillId="0" borderId="0" xfId="35" applyNumberFormat="1" applyFont="1" applyFill="1" applyBorder="1"/>
    <xf numFmtId="165" fontId="73" fillId="0" borderId="0" xfId="35" applyNumberFormat="1" applyFont="1" applyBorder="1" applyAlignment="1"/>
    <xf numFmtId="188" fontId="73" fillId="0" borderId="0" xfId="57" applyNumberFormat="1" applyFont="1" applyFill="1" applyBorder="1" applyAlignment="1"/>
    <xf numFmtId="7" fontId="69" fillId="0" borderId="0" xfId="0" applyNumberFormat="1" applyFont="1" applyFill="1" applyBorder="1"/>
    <xf numFmtId="165" fontId="10" fillId="17" borderId="0" xfId="0" applyNumberFormat="1" applyFont="1" applyFill="1" applyBorder="1" applyAlignment="1">
      <alignment horizontal="right"/>
    </xf>
    <xf numFmtId="165" fontId="9" fillId="17" borderId="15" xfId="0" applyNumberFormat="1" applyFont="1" applyFill="1" applyBorder="1"/>
    <xf numFmtId="17" fontId="4" fillId="0" borderId="13" xfId="0" applyNumberFormat="1" applyFont="1" applyFill="1" applyBorder="1" applyAlignment="1">
      <alignment horizontal="right"/>
    </xf>
    <xf numFmtId="43" fontId="10" fillId="17" borderId="15" xfId="35" applyFont="1" applyFill="1" applyBorder="1"/>
    <xf numFmtId="43" fontId="10" fillId="17" borderId="0" xfId="35" applyFont="1" applyFill="1" applyBorder="1"/>
    <xf numFmtId="0" fontId="5" fillId="0" borderId="0" xfId="0" applyFont="1" applyBorder="1" applyAlignment="1">
      <alignment horizontal="right"/>
    </xf>
    <xf numFmtId="165" fontId="13" fillId="17" borderId="15" xfId="0" applyNumberFormat="1" applyFont="1" applyFill="1" applyBorder="1"/>
    <xf numFmtId="43" fontId="5" fillId="17" borderId="15" xfId="35" applyFont="1" applyFill="1" applyBorder="1"/>
    <xf numFmtId="168" fontId="5" fillId="17" borderId="15" xfId="52" applyNumberFormat="1" applyFont="1" applyFill="1" applyBorder="1"/>
    <xf numFmtId="165" fontId="3" fillId="0" borderId="15" xfId="0" applyNumberFormat="1" applyFont="1" applyBorder="1"/>
    <xf numFmtId="164" fontId="28" fillId="0" borderId="14" xfId="35" applyNumberFormat="1" applyFont="1" applyBorder="1"/>
    <xf numFmtId="165" fontId="28" fillId="0" borderId="14" xfId="0" applyNumberFormat="1" applyFont="1" applyBorder="1"/>
    <xf numFmtId="43" fontId="10" fillId="17" borderId="14" xfId="35" applyFont="1" applyFill="1" applyBorder="1"/>
    <xf numFmtId="167" fontId="5" fillId="0" borderId="14" xfId="52" quotePrefix="1" applyNumberFormat="1" applyFont="1" applyFill="1" applyBorder="1" applyAlignment="1">
      <alignment horizontal="right"/>
    </xf>
    <xf numFmtId="0" fontId="5" fillId="0" borderId="14" xfId="0" applyFont="1" applyBorder="1" applyAlignment="1">
      <alignment horizontal="right"/>
    </xf>
    <xf numFmtId="174" fontId="5" fillId="0" borderId="14" xfId="0" applyNumberFormat="1" applyFont="1" applyFill="1" applyBorder="1" applyAlignment="1">
      <alignment horizontal="right"/>
    </xf>
    <xf numFmtId="165" fontId="10" fillId="0" borderId="15" xfId="0" applyNumberFormat="1" applyFont="1" applyBorder="1" applyAlignment="1"/>
    <xf numFmtId="167" fontId="10" fillId="21" borderId="15" xfId="0" applyNumberFormat="1" applyFont="1" applyFill="1" applyBorder="1" applyAlignment="1"/>
    <xf numFmtId="167" fontId="39" fillId="17" borderId="14" xfId="0" applyNumberFormat="1" applyFont="1" applyFill="1" applyBorder="1" applyProtection="1">
      <protection locked="0"/>
    </xf>
    <xf numFmtId="0" fontId="5" fillId="17" borderId="14" xfId="0" applyFont="1" applyFill="1" applyBorder="1" applyAlignment="1" applyProtection="1">
      <protection locked="0"/>
    </xf>
    <xf numFmtId="165" fontId="19" fillId="17" borderId="14" xfId="0" applyNumberFormat="1" applyFont="1" applyFill="1" applyBorder="1" applyProtection="1">
      <protection locked="0"/>
    </xf>
    <xf numFmtId="165" fontId="5" fillId="17" borderId="14" xfId="0" applyNumberFormat="1" applyFont="1" applyFill="1" applyBorder="1" applyProtection="1">
      <protection locked="0"/>
    </xf>
    <xf numFmtId="165" fontId="12" fillId="17" borderId="14" xfId="0" applyNumberFormat="1" applyFont="1" applyFill="1" applyBorder="1" applyProtection="1">
      <protection locked="0"/>
    </xf>
    <xf numFmtId="165" fontId="3" fillId="0" borderId="14" xfId="0" applyNumberFormat="1" applyFont="1" applyFill="1" applyBorder="1" applyProtection="1">
      <protection locked="0"/>
    </xf>
    <xf numFmtId="165" fontId="5" fillId="0" borderId="14" xfId="0" applyNumberFormat="1" applyFont="1" applyFill="1" applyBorder="1" applyProtection="1">
      <protection locked="0"/>
    </xf>
    <xf numFmtId="165" fontId="12" fillId="0" borderId="14" xfId="35" applyNumberFormat="1" applyFont="1" applyBorder="1" applyProtection="1">
      <protection locked="0"/>
    </xf>
    <xf numFmtId="167" fontId="24" fillId="0" borderId="14" xfId="0" applyNumberFormat="1" applyFont="1" applyFill="1" applyBorder="1" applyProtection="1">
      <protection locked="0"/>
    </xf>
    <xf numFmtId="165" fontId="3" fillId="17" borderId="14" xfId="0" applyNumberFormat="1" applyFont="1" applyFill="1" applyBorder="1" applyProtection="1">
      <protection locked="0"/>
    </xf>
    <xf numFmtId="165" fontId="19" fillId="0" borderId="14" xfId="0" applyNumberFormat="1" applyFont="1" applyFill="1" applyBorder="1" applyProtection="1">
      <protection locked="0"/>
    </xf>
    <xf numFmtId="165" fontId="10" fillId="17" borderId="14" xfId="0" applyNumberFormat="1" applyFont="1" applyFill="1" applyBorder="1" applyProtection="1">
      <protection locked="0"/>
    </xf>
    <xf numFmtId="43" fontId="5" fillId="0" borderId="12" xfId="35" applyFont="1" applyFill="1" applyBorder="1"/>
    <xf numFmtId="0" fontId="7" fillId="0" borderId="19" xfId="0" applyFont="1" applyBorder="1"/>
    <xf numFmtId="0" fontId="0" fillId="0" borderId="18" xfId="0" applyBorder="1"/>
    <xf numFmtId="37" fontId="2" fillId="16" borderId="0" xfId="0" applyNumberFormat="1" applyFont="1" applyFill="1" applyBorder="1" applyAlignment="1">
      <alignment horizontal="right"/>
    </xf>
    <xf numFmtId="37" fontId="2" fillId="16" borderId="18" xfId="0" applyNumberFormat="1" applyFont="1" applyFill="1" applyBorder="1" applyAlignment="1">
      <alignment horizontal="right"/>
    </xf>
    <xf numFmtId="165" fontId="12" fillId="0" borderId="0" xfId="0" applyNumberFormat="1" applyFont="1" applyFill="1" applyBorder="1" applyAlignment="1">
      <alignment horizontal="center"/>
    </xf>
    <xf numFmtId="165" fontId="10" fillId="17" borderId="22" xfId="0" applyNumberFormat="1" applyFont="1" applyFill="1" applyBorder="1"/>
    <xf numFmtId="165" fontId="73" fillId="0" borderId="0" xfId="35" applyNumberFormat="1" applyFont="1" applyFill="1" applyBorder="1" applyAlignment="1"/>
    <xf numFmtId="37" fontId="73" fillId="0" borderId="0" xfId="0" applyNumberFormat="1" applyFont="1" applyBorder="1"/>
    <xf numFmtId="0" fontId="5" fillId="20" borderId="19" xfId="0" applyFont="1" applyFill="1" applyBorder="1"/>
    <xf numFmtId="167" fontId="10" fillId="0" borderId="17" xfId="52" applyNumberFormat="1" applyFont="1" applyFill="1" applyBorder="1"/>
    <xf numFmtId="3" fontId="10" fillId="17" borderId="15" xfId="0" applyNumberFormat="1" applyFont="1" applyFill="1" applyBorder="1"/>
    <xf numFmtId="2" fontId="10" fillId="21" borderId="15" xfId="0" applyNumberFormat="1" applyFont="1" applyFill="1" applyBorder="1" applyAlignment="1"/>
    <xf numFmtId="17" fontId="75" fillId="16" borderId="16" xfId="0" applyNumberFormat="1" applyFont="1" applyFill="1" applyBorder="1" applyAlignment="1">
      <alignment horizontal="right"/>
    </xf>
    <xf numFmtId="17" fontId="75" fillId="16" borderId="17" xfId="0" applyNumberFormat="1" applyFont="1" applyFill="1" applyBorder="1" applyAlignment="1">
      <alignment horizontal="right"/>
    </xf>
    <xf numFmtId="37" fontId="75" fillId="16" borderId="11" xfId="0" applyNumberFormat="1" applyFont="1" applyFill="1" applyBorder="1" applyAlignment="1">
      <alignment horizontal="right"/>
    </xf>
    <xf numFmtId="165" fontId="73" fillId="0" borderId="15" xfId="0" applyNumberFormat="1" applyFont="1" applyFill="1" applyBorder="1"/>
    <xf numFmtId="165" fontId="73" fillId="0" borderId="17" xfId="0" applyNumberFormat="1" applyFont="1" applyFill="1" applyBorder="1"/>
    <xf numFmtId="165" fontId="73" fillId="17" borderId="15" xfId="0" applyNumberFormat="1" applyFont="1" applyFill="1" applyBorder="1"/>
    <xf numFmtId="165" fontId="73" fillId="0" borderId="15" xfId="35" applyNumberFormat="1" applyFont="1" applyFill="1" applyBorder="1"/>
    <xf numFmtId="165" fontId="73" fillId="0" borderId="15" xfId="0" applyNumberFormat="1" applyFont="1" applyBorder="1"/>
    <xf numFmtId="165" fontId="73" fillId="0" borderId="15" xfId="35" applyNumberFormat="1" applyFont="1" applyBorder="1" applyAlignment="1"/>
    <xf numFmtId="7" fontId="69" fillId="0" borderId="15" xfId="0" applyNumberFormat="1" applyFont="1" applyFill="1" applyBorder="1"/>
    <xf numFmtId="188" fontId="73" fillId="0" borderId="15" xfId="57" applyNumberFormat="1" applyFont="1" applyFill="1" applyBorder="1" applyAlignment="1"/>
    <xf numFmtId="165" fontId="73" fillId="0" borderId="14" xfId="35" applyNumberFormat="1" applyFont="1" applyBorder="1" applyAlignment="1"/>
    <xf numFmtId="165" fontId="73" fillId="0" borderId="16" xfId="0" applyNumberFormat="1" applyFont="1" applyFill="1" applyBorder="1"/>
    <xf numFmtId="165" fontId="73" fillId="17" borderId="14" xfId="0" applyNumberFormat="1" applyFont="1" applyFill="1" applyBorder="1"/>
    <xf numFmtId="165" fontId="73" fillId="0" borderId="14" xfId="0" applyNumberFormat="1" applyFont="1" applyFill="1" applyBorder="1"/>
    <xf numFmtId="169" fontId="74" fillId="0" borderId="14" xfId="0" applyNumberFormat="1" applyFont="1" applyFill="1" applyBorder="1"/>
    <xf numFmtId="167" fontId="0" fillId="0" borderId="0" xfId="52" applyNumberFormat="1" applyFont="1"/>
    <xf numFmtId="167" fontId="3" fillId="0" borderId="14" xfId="0" applyNumberFormat="1" applyFont="1" applyFill="1" applyBorder="1" applyAlignment="1"/>
    <xf numFmtId="167" fontId="3" fillId="0" borderId="15" xfId="0" applyNumberFormat="1" applyFont="1" applyFill="1" applyBorder="1" applyAlignment="1"/>
    <xf numFmtId="167" fontId="3" fillId="0" borderId="0" xfId="0" applyNumberFormat="1" applyFont="1" applyFill="1" applyBorder="1" applyAlignment="1"/>
    <xf numFmtId="167" fontId="3" fillId="0" borderId="14" xfId="0" applyNumberFormat="1" applyFont="1" applyFill="1" applyBorder="1"/>
    <xf numFmtId="167" fontId="0" fillId="0" borderId="0" xfId="0" applyNumberFormat="1"/>
    <xf numFmtId="167" fontId="42" fillId="0" borderId="14" xfId="0" applyNumberFormat="1" applyFont="1" applyFill="1" applyBorder="1" applyAlignment="1"/>
    <xf numFmtId="167" fontId="3" fillId="0" borderId="0" xfId="0" applyNumberFormat="1" applyFont="1" applyBorder="1"/>
    <xf numFmtId="167" fontId="42" fillId="0" borderId="15" xfId="0" applyNumberFormat="1" applyFont="1" applyFill="1" applyBorder="1" applyAlignment="1"/>
    <xf numFmtId="167" fontId="26" fillId="0" borderId="14" xfId="0" applyNumberFormat="1" applyFont="1" applyFill="1" applyBorder="1" applyAlignment="1"/>
    <xf numFmtId="167" fontId="1" fillId="0" borderId="0" xfId="0" applyNumberFormat="1" applyFont="1" applyBorder="1"/>
    <xf numFmtId="167" fontId="26" fillId="0" borderId="15" xfId="0" applyNumberFormat="1" applyFont="1" applyFill="1" applyBorder="1" applyAlignment="1"/>
    <xf numFmtId="167" fontId="5" fillId="0" borderId="0" xfId="0" applyNumberFormat="1" applyFont="1" applyFill="1" applyBorder="1" applyAlignment="1"/>
    <xf numFmtId="165" fontId="10" fillId="0" borderId="14" xfId="0" applyNumberFormat="1" applyFont="1" applyFill="1" applyBorder="1" applyAlignment="1"/>
    <xf numFmtId="164" fontId="1" fillId="0" borderId="0" xfId="0" applyNumberFormat="1" applyFont="1" applyFill="1" applyBorder="1"/>
    <xf numFmtId="167" fontId="79" fillId="17" borderId="0" xfId="0" applyNumberFormat="1" applyFont="1" applyFill="1" applyBorder="1"/>
    <xf numFmtId="167" fontId="5" fillId="0" borderId="0" xfId="52" applyNumberFormat="1" applyFont="1"/>
    <xf numFmtId="9" fontId="79" fillId="17" borderId="14" xfId="52" applyFont="1" applyFill="1" applyBorder="1" applyAlignment="1"/>
    <xf numFmtId="9" fontId="79" fillId="17" borderId="0" xfId="52" applyFont="1" applyFill="1" applyBorder="1" applyAlignment="1"/>
    <xf numFmtId="9" fontId="79" fillId="17" borderId="15" xfId="52" applyFont="1" applyFill="1" applyBorder="1" applyAlignment="1"/>
    <xf numFmtId="3" fontId="80" fillId="17" borderId="0" xfId="0" applyNumberFormat="1" applyFont="1" applyFill="1" applyBorder="1" applyAlignment="1"/>
    <xf numFmtId="165" fontId="9" fillId="0" borderId="0" xfId="0" applyNumberFormat="1" applyFont="1" applyFill="1" applyBorder="1"/>
    <xf numFmtId="172" fontId="17" fillId="0" borderId="0" xfId="57" applyNumberFormat="1" applyFont="1" applyFill="1" applyBorder="1" applyAlignment="1"/>
    <xf numFmtId="43" fontId="0" fillId="0" borderId="0" xfId="0" applyNumberFormat="1" applyBorder="1"/>
    <xf numFmtId="0" fontId="81" fillId="17" borderId="0" xfId="0" applyFont="1" applyFill="1" applyBorder="1"/>
    <xf numFmtId="166" fontId="79" fillId="17" borderId="15" xfId="0" applyNumberFormat="1" applyFont="1" applyFill="1" applyBorder="1" applyAlignment="1"/>
    <xf numFmtId="166" fontId="79" fillId="17" borderId="0" xfId="0" applyNumberFormat="1" applyFont="1" applyFill="1" applyBorder="1" applyAlignment="1"/>
    <xf numFmtId="167" fontId="79" fillId="0" borderId="0" xfId="52" applyNumberFormat="1" applyFont="1" applyFill="1" applyBorder="1" applyAlignment="1"/>
    <xf numFmtId="0" fontId="10" fillId="17" borderId="15" xfId="0" applyFont="1" applyFill="1" applyBorder="1" applyAlignment="1">
      <alignment horizontal="right"/>
    </xf>
    <xf numFmtId="10" fontId="3" fillId="17" borderId="15" xfId="35" applyNumberFormat="1" applyFont="1" applyFill="1" applyBorder="1"/>
    <xf numFmtId="43" fontId="26" fillId="0" borderId="14" xfId="0" applyNumberFormat="1" applyFont="1" applyBorder="1"/>
    <xf numFmtId="2" fontId="10" fillId="21" borderId="0" xfId="0" applyNumberFormat="1" applyFont="1" applyFill="1" applyBorder="1" applyAlignment="1"/>
    <xf numFmtId="167" fontId="82" fillId="17" borderId="0" xfId="52" applyNumberFormat="1" applyFont="1" applyFill="1" applyBorder="1" applyAlignment="1"/>
    <xf numFmtId="167" fontId="79" fillId="17" borderId="0" xfId="52" applyNumberFormat="1" applyFont="1" applyFill="1" applyBorder="1" applyAlignment="1"/>
    <xf numFmtId="0" fontId="79" fillId="17" borderId="0" xfId="0" applyFont="1" applyFill="1" applyBorder="1" applyAlignment="1"/>
    <xf numFmtId="167" fontId="82" fillId="0" borderId="0" xfId="52" applyNumberFormat="1" applyFont="1" applyFill="1" applyBorder="1" applyAlignment="1"/>
    <xf numFmtId="167" fontId="82" fillId="17" borderId="15" xfId="52" applyNumberFormat="1" applyFont="1" applyFill="1" applyBorder="1" applyAlignment="1"/>
    <xf numFmtId="167" fontId="79" fillId="17" borderId="15" xfId="52" applyNumberFormat="1" applyFont="1" applyFill="1" applyBorder="1" applyAlignment="1"/>
    <xf numFmtId="0" fontId="79" fillId="17" borderId="15" xfId="0" applyFont="1" applyFill="1" applyBorder="1" applyAlignment="1"/>
    <xf numFmtId="167" fontId="82" fillId="0" borderId="15" xfId="52" applyNumberFormat="1" applyFont="1" applyFill="1" applyBorder="1" applyAlignment="1"/>
    <xf numFmtId="167" fontId="79" fillId="0" borderId="15" xfId="52" applyNumberFormat="1" applyFont="1" applyFill="1" applyBorder="1" applyAlignment="1"/>
    <xf numFmtId="0" fontId="5" fillId="0" borderId="12" xfId="0" applyFont="1" applyFill="1" applyBorder="1" applyAlignment="1"/>
    <xf numFmtId="179" fontId="5" fillId="0" borderId="0" xfId="0" applyNumberFormat="1" applyFont="1" applyFill="1" applyBorder="1"/>
    <xf numFmtId="0" fontId="83" fillId="17" borderId="0" xfId="0" applyFont="1" applyFill="1" applyBorder="1"/>
    <xf numFmtId="43" fontId="81" fillId="17" borderId="0" xfId="0" applyNumberFormat="1" applyFont="1" applyFill="1" applyBorder="1"/>
    <xf numFmtId="165" fontId="81" fillId="17" borderId="13" xfId="0" applyNumberFormat="1" applyFont="1" applyFill="1" applyBorder="1"/>
    <xf numFmtId="0" fontId="81" fillId="17" borderId="15" xfId="0" applyNumberFormat="1" applyFont="1" applyFill="1" applyBorder="1" applyAlignment="1"/>
    <xf numFmtId="165" fontId="81" fillId="17" borderId="17" xfId="0" applyNumberFormat="1" applyFont="1" applyFill="1" applyBorder="1"/>
    <xf numFmtId="9" fontId="81" fillId="17" borderId="15" xfId="52" applyFont="1" applyFill="1" applyBorder="1"/>
    <xf numFmtId="165" fontId="83" fillId="17" borderId="15" xfId="0" applyNumberFormat="1" applyFont="1" applyFill="1" applyBorder="1"/>
    <xf numFmtId="165" fontId="81" fillId="17" borderId="15" xfId="0" applyNumberFormat="1" applyFont="1" applyFill="1" applyBorder="1"/>
    <xf numFmtId="43" fontId="84" fillId="17" borderId="15" xfId="0" applyNumberFormat="1" applyFont="1" applyFill="1" applyBorder="1"/>
    <xf numFmtId="167" fontId="81" fillId="17" borderId="15" xfId="52" applyNumberFormat="1" applyFont="1" applyFill="1" applyBorder="1"/>
    <xf numFmtId="167" fontId="84" fillId="17" borderId="15" xfId="0" applyNumberFormat="1" applyFont="1" applyFill="1" applyBorder="1"/>
    <xf numFmtId="165" fontId="83" fillId="0" borderId="15" xfId="0" applyNumberFormat="1" applyFont="1" applyFill="1" applyBorder="1"/>
    <xf numFmtId="9" fontId="84" fillId="17" borderId="15" xfId="52" applyFont="1" applyFill="1" applyBorder="1"/>
    <xf numFmtId="165" fontId="84" fillId="17" borderId="15" xfId="0" applyNumberFormat="1" applyFont="1" applyFill="1" applyBorder="1"/>
    <xf numFmtId="165" fontId="81" fillId="0" borderId="15" xfId="0" applyNumberFormat="1" applyFont="1" applyFill="1" applyBorder="1"/>
    <xf numFmtId="0" fontId="81" fillId="17" borderId="15" xfId="0" applyFont="1" applyFill="1" applyBorder="1"/>
    <xf numFmtId="176" fontId="83" fillId="17" borderId="15" xfId="35" applyNumberFormat="1" applyFont="1" applyFill="1" applyBorder="1"/>
    <xf numFmtId="0" fontId="83" fillId="17" borderId="15" xfId="0" applyFont="1" applyFill="1" applyBorder="1"/>
    <xf numFmtId="165" fontId="81" fillId="17" borderId="18" xfId="0" applyNumberFormat="1" applyFont="1" applyFill="1" applyBorder="1"/>
    <xf numFmtId="165" fontId="81" fillId="17" borderId="0" xfId="0" applyNumberFormat="1" applyFont="1" applyFill="1" applyBorder="1"/>
    <xf numFmtId="0" fontId="81" fillId="0" borderId="12" xfId="0" applyFont="1" applyFill="1" applyBorder="1"/>
    <xf numFmtId="9" fontId="83" fillId="17" borderId="15" xfId="52" applyFont="1" applyFill="1" applyBorder="1"/>
    <xf numFmtId="167" fontId="83" fillId="17" borderId="15" xfId="0" applyNumberFormat="1" applyFont="1" applyFill="1" applyBorder="1"/>
    <xf numFmtId="167" fontId="81" fillId="17" borderId="15" xfId="0" applyNumberFormat="1" applyFont="1" applyFill="1" applyBorder="1"/>
    <xf numFmtId="0" fontId="81" fillId="17" borderId="17" xfId="0" applyFont="1" applyFill="1" applyBorder="1"/>
    <xf numFmtId="0" fontId="81" fillId="18" borderId="13" xfId="0" applyFont="1" applyFill="1" applyBorder="1"/>
    <xf numFmtId="0" fontId="83" fillId="0" borderId="15" xfId="0" applyFont="1" applyFill="1" applyBorder="1"/>
    <xf numFmtId="0" fontId="81" fillId="0" borderId="15" xfId="0" applyFont="1" applyFill="1" applyBorder="1"/>
    <xf numFmtId="188" fontId="81" fillId="17" borderId="15" xfId="57" applyNumberFormat="1" applyFont="1" applyFill="1" applyBorder="1" applyAlignment="1"/>
    <xf numFmtId="188" fontId="83" fillId="17" borderId="15" xfId="57" applyNumberFormat="1" applyFont="1" applyFill="1" applyBorder="1" applyAlignment="1"/>
    <xf numFmtId="0" fontId="84" fillId="17" borderId="15" xfId="0" applyFont="1" applyFill="1" applyBorder="1"/>
    <xf numFmtId="0" fontId="81" fillId="18" borderId="15" xfId="0" applyFont="1" applyFill="1" applyBorder="1"/>
    <xf numFmtId="165" fontId="81" fillId="17" borderId="15" xfId="35" applyNumberFormat="1" applyFont="1" applyFill="1" applyBorder="1"/>
    <xf numFmtId="165" fontId="81" fillId="17" borderId="17" xfId="35" applyNumberFormat="1" applyFont="1" applyFill="1" applyBorder="1"/>
    <xf numFmtId="0" fontId="81" fillId="0" borderId="0" xfId="0" applyFont="1" applyBorder="1"/>
    <xf numFmtId="165" fontId="82" fillId="0" borderId="0" xfId="0" applyNumberFormat="1" applyFont="1" applyFill="1" applyBorder="1" applyAlignment="1"/>
    <xf numFmtId="9" fontId="0" fillId="0" borderId="0" xfId="0" applyNumberFormat="1"/>
    <xf numFmtId="167" fontId="82" fillId="17" borderId="0" xfId="0" applyNumberFormat="1" applyFont="1" applyFill="1" applyBorder="1" applyAlignment="1"/>
    <xf numFmtId="167" fontId="82" fillId="17" borderId="15" xfId="0" applyNumberFormat="1" applyFont="1" applyFill="1" applyBorder="1" applyAlignment="1"/>
    <xf numFmtId="165" fontId="8" fillId="18" borderId="15" xfId="0" applyNumberFormat="1" applyFont="1" applyFill="1" applyBorder="1"/>
    <xf numFmtId="37" fontId="5" fillId="18" borderId="19" xfId="0" applyNumberFormat="1" applyFont="1" applyFill="1" applyBorder="1"/>
    <xf numFmtId="37" fontId="4" fillId="0" borderId="11" xfId="0" applyNumberFormat="1" applyFont="1" applyFill="1" applyBorder="1" applyAlignment="1">
      <alignment horizontal="right"/>
    </xf>
    <xf numFmtId="0" fontId="5" fillId="17" borderId="12" xfId="0" applyNumberFormat="1" applyFont="1" applyFill="1" applyBorder="1"/>
    <xf numFmtId="189" fontId="19" fillId="0" borderId="0" xfId="0" applyNumberFormat="1" applyFont="1" applyBorder="1"/>
    <xf numFmtId="0" fontId="7" fillId="0" borderId="18" xfId="0" applyFont="1" applyBorder="1"/>
    <xf numFmtId="171" fontId="13" fillId="0" borderId="18" xfId="0" applyNumberFormat="1" applyFont="1" applyBorder="1"/>
    <xf numFmtId="164" fontId="28" fillId="0" borderId="15" xfId="35" applyNumberFormat="1" applyFont="1" applyBorder="1"/>
    <xf numFmtId="165" fontId="28" fillId="0" borderId="17" xfId="0" applyNumberFormat="1" applyFont="1" applyBorder="1"/>
    <xf numFmtId="0" fontId="5" fillId="20" borderId="15" xfId="0" applyFont="1" applyFill="1" applyBorder="1"/>
    <xf numFmtId="0" fontId="81" fillId="17" borderId="0" xfId="0" applyNumberFormat="1" applyFont="1" applyFill="1" applyBorder="1" applyAlignment="1"/>
    <xf numFmtId="9" fontId="81" fillId="17" borderId="0" xfId="52" applyFont="1" applyFill="1" applyBorder="1"/>
    <xf numFmtId="165" fontId="83" fillId="17" borderId="0" xfId="0" applyNumberFormat="1" applyFont="1" applyFill="1" applyBorder="1"/>
    <xf numFmtId="167" fontId="81" fillId="17" borderId="0" xfId="52" applyNumberFormat="1" applyFont="1" applyFill="1" applyBorder="1"/>
    <xf numFmtId="167" fontId="84" fillId="17" borderId="0" xfId="0" applyNumberFormat="1" applyFont="1" applyFill="1" applyBorder="1"/>
    <xf numFmtId="165" fontId="83" fillId="0" borderId="0" xfId="0" applyNumberFormat="1" applyFont="1" applyFill="1" applyBorder="1"/>
    <xf numFmtId="9" fontId="84" fillId="17" borderId="0" xfId="52" applyFont="1" applyFill="1" applyBorder="1"/>
    <xf numFmtId="165" fontId="84" fillId="17" borderId="0" xfId="0" applyNumberFormat="1" applyFont="1" applyFill="1" applyBorder="1"/>
    <xf numFmtId="165" fontId="81" fillId="0" borderId="0" xfId="0" applyNumberFormat="1" applyFont="1" applyFill="1" applyBorder="1"/>
    <xf numFmtId="176" fontId="83" fillId="17" borderId="0" xfId="35" applyNumberFormat="1" applyFont="1" applyFill="1" applyBorder="1"/>
    <xf numFmtId="0" fontId="81" fillId="0" borderId="0" xfId="0" applyFont="1" applyFill="1" applyBorder="1"/>
    <xf numFmtId="9" fontId="83" fillId="17" borderId="0" xfId="52" applyFont="1" applyFill="1" applyBorder="1"/>
    <xf numFmtId="167" fontId="83" fillId="17" borderId="0" xfId="0" applyNumberFormat="1" applyFont="1" applyFill="1" applyBorder="1"/>
    <xf numFmtId="167" fontId="81" fillId="17" borderId="0" xfId="0" applyNumberFormat="1" applyFont="1" applyFill="1" applyBorder="1"/>
    <xf numFmtId="0" fontId="83" fillId="0" borderId="0" xfId="0" applyFont="1" applyFill="1" applyBorder="1"/>
    <xf numFmtId="188" fontId="81" fillId="17" borderId="0" xfId="57" applyNumberFormat="1" applyFont="1" applyFill="1" applyBorder="1" applyAlignment="1"/>
    <xf numFmtId="188" fontId="83" fillId="17" borderId="0" xfId="57" applyNumberFormat="1" applyFont="1" applyFill="1" applyBorder="1" applyAlignment="1"/>
    <xf numFmtId="0" fontId="84" fillId="17" borderId="0" xfId="0" applyFont="1" applyFill="1" applyBorder="1"/>
    <xf numFmtId="165" fontId="81" fillId="17" borderId="0" xfId="35" applyNumberFormat="1" applyFont="1" applyFill="1" applyBorder="1"/>
    <xf numFmtId="0" fontId="5" fillId="0" borderId="20" xfId="0" applyNumberFormat="1" applyFont="1" applyFill="1" applyBorder="1" applyAlignment="1"/>
    <xf numFmtId="7" fontId="3" fillId="19" borderId="14" xfId="0" applyNumberFormat="1" applyFont="1" applyFill="1" applyBorder="1" applyAlignment="1"/>
    <xf numFmtId="43" fontId="5" fillId="0" borderId="14" xfId="0" applyNumberFormat="1" applyFont="1" applyFill="1" applyBorder="1" applyAlignment="1"/>
    <xf numFmtId="165" fontId="5" fillId="0" borderId="20" xfId="0" applyNumberFormat="1" applyFont="1" applyFill="1" applyBorder="1" applyAlignment="1"/>
    <xf numFmtId="0" fontId="4" fillId="0" borderId="11" xfId="0" applyNumberFormat="1" applyFont="1" applyFill="1" applyBorder="1" applyAlignment="1">
      <alignment horizontal="centerContinuous"/>
    </xf>
    <xf numFmtId="0" fontId="4" fillId="0" borderId="18" xfId="0" applyNumberFormat="1" applyFont="1" applyFill="1" applyBorder="1" applyAlignment="1">
      <alignment horizontal="centerContinuous"/>
    </xf>
    <xf numFmtId="165" fontId="81" fillId="17" borderId="13" xfId="0" applyNumberFormat="1" applyFont="1" applyFill="1" applyBorder="1" applyAlignment="1">
      <alignment horizontal="centerContinuous"/>
    </xf>
    <xf numFmtId="0" fontId="5" fillId="20" borderId="20" xfId="0" applyFont="1" applyFill="1" applyBorder="1"/>
    <xf numFmtId="3" fontId="10" fillId="17" borderId="14" xfId="0" applyNumberFormat="1" applyFont="1" applyFill="1" applyBorder="1"/>
    <xf numFmtId="167" fontId="5" fillId="0" borderId="14" xfId="0" applyNumberFormat="1" applyFont="1" applyBorder="1"/>
    <xf numFmtId="0" fontId="10" fillId="0" borderId="14" xfId="0" applyFont="1" applyBorder="1"/>
    <xf numFmtId="0" fontId="4" fillId="0" borderId="14" xfId="0" applyFont="1" applyBorder="1"/>
    <xf numFmtId="167" fontId="10" fillId="0" borderId="16" xfId="52" applyNumberFormat="1" applyFont="1" applyFill="1" applyBorder="1"/>
    <xf numFmtId="167" fontId="79" fillId="17" borderId="0" xfId="52" applyNumberFormat="1" applyFont="1" applyFill="1" applyBorder="1"/>
    <xf numFmtId="43" fontId="79" fillId="17" borderId="0" xfId="35" applyFont="1" applyFill="1" applyBorder="1"/>
    <xf numFmtId="4" fontId="5" fillId="17" borderId="0" xfId="52" applyNumberFormat="1" applyFont="1" applyFill="1" applyBorder="1" applyAlignment="1"/>
    <xf numFmtId="165" fontId="10" fillId="0" borderId="0" xfId="0" applyNumberFormat="1" applyFont="1" applyFill="1" applyBorder="1" applyAlignment="1"/>
    <xf numFmtId="0" fontId="5" fillId="17" borderId="0" xfId="0" quotePrefix="1" applyFont="1" applyFill="1" applyBorder="1" applyAlignment="1"/>
    <xf numFmtId="165" fontId="82" fillId="17" borderId="0" xfId="0" applyNumberFormat="1" applyFont="1" applyFill="1" applyBorder="1"/>
    <xf numFmtId="43" fontId="82" fillId="17" borderId="0" xfId="0" applyNumberFormat="1" applyFont="1" applyFill="1" applyBorder="1"/>
    <xf numFmtId="9" fontId="82" fillId="17" borderId="0" xfId="0" applyNumberFormat="1" applyFont="1" applyFill="1" applyBorder="1"/>
    <xf numFmtId="9" fontId="79" fillId="17" borderId="0" xfId="35" applyNumberFormat="1" applyFont="1" applyFill="1" applyBorder="1" applyAlignment="1"/>
    <xf numFmtId="9" fontId="79" fillId="17" borderId="15" xfId="35" applyNumberFormat="1" applyFont="1" applyFill="1" applyBorder="1" applyAlignment="1"/>
    <xf numFmtId="9" fontId="79" fillId="17" borderId="14" xfId="35" applyNumberFormat="1" applyFont="1" applyFill="1" applyBorder="1" applyAlignment="1"/>
    <xf numFmtId="3" fontId="79" fillId="17" borderId="0" xfId="52" applyNumberFormat="1" applyFont="1" applyFill="1" applyBorder="1" applyAlignment="1"/>
    <xf numFmtId="165" fontId="85" fillId="19" borderId="0" xfId="35" applyNumberFormat="1" applyFont="1" applyFill="1" applyBorder="1" applyAlignment="1"/>
    <xf numFmtId="165" fontId="85" fillId="19" borderId="15" xfId="35" applyNumberFormat="1" applyFont="1" applyFill="1" applyBorder="1" applyAlignment="1"/>
    <xf numFmtId="1" fontId="5" fillId="17" borderId="0" xfId="0" applyNumberFormat="1" applyFont="1" applyFill="1" applyBorder="1" applyAlignment="1"/>
    <xf numFmtId="1" fontId="5" fillId="17" borderId="15" xfId="0" applyNumberFormat="1" applyFont="1" applyFill="1" applyBorder="1" applyAlignment="1"/>
    <xf numFmtId="1" fontId="5" fillId="17" borderId="14" xfId="0" applyNumberFormat="1" applyFont="1" applyFill="1" applyBorder="1" applyAlignment="1"/>
    <xf numFmtId="1" fontId="5" fillId="0" borderId="15" xfId="35" applyNumberFormat="1" applyFont="1" applyFill="1" applyBorder="1" applyAlignment="1"/>
    <xf numFmtId="167" fontId="12" fillId="0" borderId="15" xfId="52" applyNumberFormat="1" applyFont="1" applyFill="1" applyBorder="1" applyAlignment="1">
      <alignment horizontal="right"/>
    </xf>
    <xf numFmtId="167" fontId="12" fillId="0" borderId="14" xfId="52" applyNumberFormat="1" applyFont="1" applyFill="1" applyBorder="1" applyAlignment="1">
      <alignment horizontal="right"/>
    </xf>
    <xf numFmtId="9" fontId="10" fillId="0" borderId="0" xfId="35" quotePrefix="1" applyNumberFormat="1" applyFont="1" applyFill="1" applyBorder="1" applyAlignment="1">
      <alignment horizontal="center"/>
    </xf>
    <xf numFmtId="9" fontId="5" fillId="0" borderId="0" xfId="35" quotePrefix="1" applyNumberFormat="1" applyFont="1" applyFill="1" applyBorder="1" applyAlignment="1">
      <alignment horizontal="center"/>
    </xf>
    <xf numFmtId="9" fontId="10" fillId="0" borderId="15" xfId="35" quotePrefix="1" applyNumberFormat="1" applyFont="1" applyFill="1" applyBorder="1" applyAlignment="1">
      <alignment horizontal="center"/>
    </xf>
    <xf numFmtId="7" fontId="82" fillId="17" borderId="0" xfId="0" applyNumberFormat="1" applyFont="1" applyFill="1" applyBorder="1"/>
    <xf numFmtId="37" fontId="82" fillId="17" borderId="0" xfId="0" applyNumberFormat="1" applyFont="1" applyFill="1" applyBorder="1"/>
    <xf numFmtId="0" fontId="3" fillId="0" borderId="20" xfId="0" applyFont="1" applyFill="1" applyBorder="1" applyAlignment="1"/>
    <xf numFmtId="41" fontId="3" fillId="0" borderId="19" xfId="0" applyNumberFormat="1" applyFont="1" applyFill="1" applyBorder="1" applyAlignment="1"/>
    <xf numFmtId="3" fontId="3" fillId="17" borderId="0" xfId="52" applyNumberFormat="1" applyFont="1" applyFill="1" applyBorder="1" applyAlignment="1"/>
    <xf numFmtId="3" fontId="3" fillId="17" borderId="15" xfId="52" applyNumberFormat="1" applyFont="1" applyFill="1" applyBorder="1" applyAlignment="1"/>
    <xf numFmtId="3" fontId="3" fillId="17" borderId="14" xfId="52" applyNumberFormat="1" applyFont="1" applyFill="1" applyBorder="1" applyAlignment="1"/>
    <xf numFmtId="3" fontId="5" fillId="17" borderId="0" xfId="52" applyNumberFormat="1" applyFont="1" applyFill="1" applyBorder="1" applyAlignment="1"/>
    <xf numFmtId="3" fontId="5" fillId="17" borderId="15" xfId="52" applyNumberFormat="1" applyFont="1" applyFill="1" applyBorder="1" applyAlignment="1"/>
    <xf numFmtId="3" fontId="5" fillId="17" borderId="14" xfId="52" applyNumberFormat="1" applyFont="1" applyFill="1" applyBorder="1" applyAlignment="1"/>
    <xf numFmtId="3" fontId="3" fillId="0" borderId="0" xfId="52" applyNumberFormat="1" applyFont="1" applyFill="1" applyBorder="1"/>
    <xf numFmtId="3" fontId="5" fillId="0" borderId="0" xfId="52" applyNumberFormat="1" applyFont="1" applyFill="1" applyBorder="1"/>
    <xf numFmtId="3" fontId="5" fillId="17" borderId="0" xfId="0" applyNumberFormat="1" applyFont="1" applyFill="1" applyBorder="1" applyAlignment="1"/>
    <xf numFmtId="3" fontId="3" fillId="0" borderId="14" xfId="52" applyNumberFormat="1" applyFont="1" applyFill="1" applyBorder="1"/>
    <xf numFmtId="3" fontId="3" fillId="0" borderId="0" xfId="0" applyNumberFormat="1" applyFont="1" applyFill="1" applyBorder="1"/>
    <xf numFmtId="3" fontId="3" fillId="0" borderId="15" xfId="0" applyNumberFormat="1" applyFont="1" applyFill="1" applyBorder="1"/>
    <xf numFmtId="3" fontId="5" fillId="0" borderId="14" xfId="52" applyNumberFormat="1" applyFont="1" applyFill="1" applyBorder="1"/>
    <xf numFmtId="3" fontId="5" fillId="0" borderId="15" xfId="0" applyNumberFormat="1" applyFont="1" applyFill="1" applyBorder="1"/>
    <xf numFmtId="3" fontId="3" fillId="0" borderId="15" xfId="52" applyNumberFormat="1" applyFont="1" applyFill="1" applyBorder="1"/>
    <xf numFmtId="9" fontId="5" fillId="17" borderId="0" xfId="52" applyNumberFormat="1" applyFont="1" applyFill="1" applyBorder="1" applyAlignment="1"/>
    <xf numFmtId="9" fontId="5" fillId="17" borderId="15" xfId="52" applyNumberFormat="1" applyFont="1" applyFill="1" applyBorder="1" applyAlignment="1"/>
    <xf numFmtId="9" fontId="5" fillId="17" borderId="0" xfId="0" applyNumberFormat="1" applyFont="1" applyFill="1" applyBorder="1" applyAlignment="1"/>
    <xf numFmtId="3" fontId="12" fillId="17" borderId="0" xfId="0" applyNumberFormat="1" applyFont="1" applyFill="1" applyBorder="1"/>
    <xf numFmtId="3" fontId="12" fillId="17" borderId="15" xfId="0" applyNumberFormat="1" applyFont="1" applyFill="1" applyBorder="1"/>
    <xf numFmtId="3" fontId="12" fillId="17" borderId="14" xfId="0" applyNumberFormat="1" applyFont="1" applyFill="1" applyBorder="1"/>
    <xf numFmtId="167" fontId="5" fillId="0" borderId="15" xfId="0" applyNumberFormat="1" applyFont="1" applyFill="1" applyBorder="1" applyAlignment="1"/>
    <xf numFmtId="167" fontId="12" fillId="0" borderId="15" xfId="0" applyNumberFormat="1" applyFont="1" applyFill="1" applyBorder="1"/>
    <xf numFmtId="167" fontId="12" fillId="0" borderId="14" xfId="0" applyNumberFormat="1" applyFont="1" applyFill="1" applyBorder="1"/>
    <xf numFmtId="167" fontId="78" fillId="0" borderId="0" xfId="0" applyNumberFormat="1" applyFont="1" applyFill="1" applyBorder="1"/>
    <xf numFmtId="167" fontId="78" fillId="0" borderId="14" xfId="0" applyNumberFormat="1" applyFont="1" applyFill="1" applyBorder="1"/>
    <xf numFmtId="167" fontId="78" fillId="0" borderId="15" xfId="0" applyNumberFormat="1" applyFont="1" applyFill="1" applyBorder="1"/>
    <xf numFmtId="167" fontId="4" fillId="0" borderId="0" xfId="52" applyNumberFormat="1" applyFont="1" applyFill="1" applyBorder="1" applyAlignment="1">
      <alignment horizontal="right"/>
    </xf>
    <xf numFmtId="167" fontId="86" fillId="0" borderId="0" xfId="52" applyNumberFormat="1" applyFont="1" applyFill="1" applyBorder="1" applyAlignment="1"/>
    <xf numFmtId="167" fontId="86" fillId="0" borderId="15" xfId="52" applyNumberFormat="1" applyFont="1" applyFill="1" applyBorder="1" applyAlignment="1"/>
    <xf numFmtId="167" fontId="86" fillId="0" borderId="14" xfId="52" applyNumberFormat="1" applyFont="1" applyFill="1" applyBorder="1" applyAlignment="1"/>
    <xf numFmtId="167" fontId="86" fillId="17" borderId="0" xfId="52" applyNumberFormat="1" applyFont="1" applyFill="1" applyBorder="1" applyAlignment="1"/>
    <xf numFmtId="167" fontId="86" fillId="17" borderId="14" xfId="52" applyNumberFormat="1" applyFont="1" applyFill="1" applyBorder="1" applyAlignment="1"/>
    <xf numFmtId="3" fontId="19" fillId="0" borderId="0" xfId="0" applyNumberFormat="1" applyFont="1" applyFill="1" applyBorder="1"/>
    <xf numFmtId="3" fontId="12" fillId="0" borderId="0" xfId="0" applyNumberFormat="1" applyFont="1" applyFill="1" applyBorder="1"/>
    <xf numFmtId="7" fontId="79" fillId="17" borderId="0" xfId="0" applyNumberFormat="1" applyFont="1" applyFill="1" applyBorder="1"/>
    <xf numFmtId="7" fontId="29" fillId="17" borderId="15" xfId="0" applyNumberFormat="1" applyFont="1" applyFill="1" applyBorder="1" applyAlignment="1"/>
    <xf numFmtId="165" fontId="87" fillId="0" borderId="0" xfId="35" applyNumberFormat="1" applyFont="1" applyFill="1" applyBorder="1"/>
    <xf numFmtId="165" fontId="87" fillId="0" borderId="15" xfId="35" applyNumberFormat="1" applyFont="1" applyFill="1" applyBorder="1"/>
    <xf numFmtId="9" fontId="5" fillId="17" borderId="15" xfId="0" applyNumberFormat="1" applyFont="1" applyFill="1" applyBorder="1" applyAlignment="1"/>
    <xf numFmtId="37" fontId="5" fillId="0" borderId="14" xfId="0" applyNumberFormat="1" applyFont="1" applyFill="1" applyBorder="1"/>
    <xf numFmtId="37" fontId="5" fillId="0" borderId="15" xfId="0" applyNumberFormat="1" applyFont="1" applyFill="1" applyBorder="1"/>
    <xf numFmtId="9" fontId="3" fillId="0" borderId="0" xfId="0" applyNumberFormat="1" applyFont="1"/>
    <xf numFmtId="43" fontId="10" fillId="0" borderId="0" xfId="35" applyNumberFormat="1" applyFont="1" applyBorder="1"/>
    <xf numFmtId="165" fontId="4" fillId="0" borderId="0" xfId="52" applyNumberFormat="1" applyFont="1" applyFill="1" applyBorder="1" applyAlignment="1"/>
    <xf numFmtId="4" fontId="5" fillId="17" borderId="0" xfId="0" applyNumberFormat="1" applyFont="1" applyFill="1" applyBorder="1" applyAlignment="1"/>
    <xf numFmtId="165" fontId="82" fillId="17" borderId="15" xfId="0" applyNumberFormat="1" applyFont="1" applyFill="1" applyBorder="1" applyAlignment="1"/>
    <xf numFmtId="7" fontId="3" fillId="0" borderId="0" xfId="35" applyNumberFormat="1" applyFont="1"/>
    <xf numFmtId="3" fontId="79" fillId="17" borderId="0" xfId="0" applyNumberFormat="1" applyFont="1" applyFill="1" applyBorder="1" applyAlignment="1"/>
    <xf numFmtId="3" fontId="79" fillId="17" borderId="15" xfId="0" applyNumberFormat="1" applyFont="1" applyFill="1" applyBorder="1" applyAlignment="1"/>
    <xf numFmtId="172" fontId="79" fillId="17" borderId="0" xfId="0" applyNumberFormat="1" applyFont="1" applyFill="1" applyBorder="1" applyAlignment="1"/>
    <xf numFmtId="172" fontId="79" fillId="17" borderId="15" xfId="0" applyNumberFormat="1" applyFont="1" applyFill="1" applyBorder="1" applyAlignment="1"/>
    <xf numFmtId="4" fontId="3" fillId="0" borderId="0" xfId="52" applyNumberFormat="1" applyFont="1"/>
    <xf numFmtId="3" fontId="3" fillId="0" borderId="14" xfId="0" applyNumberFormat="1" applyFont="1" applyFill="1" applyBorder="1"/>
    <xf numFmtId="169" fontId="70" fillId="0" borderId="15" xfId="0" applyNumberFormat="1" applyFont="1" applyFill="1" applyBorder="1"/>
    <xf numFmtId="9" fontId="5" fillId="0" borderId="15" xfId="35" quotePrefix="1" applyNumberFormat="1" applyFont="1" applyFill="1" applyBorder="1" applyAlignment="1">
      <alignment horizontal="center"/>
    </xf>
    <xf numFmtId="3" fontId="82" fillId="0" borderId="0" xfId="0" applyNumberFormat="1" applyFont="1" applyFill="1" applyBorder="1"/>
    <xf numFmtId="9" fontId="82" fillId="0" borderId="0" xfId="0" applyNumberFormat="1" applyFont="1" applyFill="1" applyBorder="1"/>
    <xf numFmtId="165" fontId="79" fillId="0" borderId="0" xfId="35" applyNumberFormat="1" applyFont="1" applyBorder="1" applyAlignment="1"/>
    <xf numFmtId="165" fontId="79" fillId="0" borderId="14" xfId="35" applyNumberFormat="1" applyFont="1" applyBorder="1" applyAlignment="1"/>
    <xf numFmtId="165" fontId="82" fillId="17" borderId="14" xfId="0" applyNumberFormat="1" applyFont="1" applyFill="1" applyBorder="1"/>
    <xf numFmtId="165" fontId="3" fillId="0" borderId="0" xfId="35" applyNumberFormat="1" applyFont="1"/>
    <xf numFmtId="165" fontId="5" fillId="0" borderId="0" xfId="35" applyNumberFormat="1" applyFont="1"/>
    <xf numFmtId="43" fontId="28" fillId="17" borderId="0" xfId="35" applyNumberFormat="1" applyFont="1" applyFill="1" applyBorder="1"/>
    <xf numFmtId="0" fontId="81" fillId="0" borderId="0" xfId="0" applyNumberFormat="1" applyFont="1" applyFill="1" applyBorder="1"/>
    <xf numFmtId="37" fontId="81" fillId="0" borderId="0" xfId="0" applyNumberFormat="1" applyFont="1" applyFill="1" applyBorder="1" applyAlignment="1">
      <alignment horizontal="right"/>
    </xf>
    <xf numFmtId="0" fontId="81" fillId="0" borderId="0" xfId="0" applyNumberFormat="1" applyFont="1" applyFill="1" applyBorder="1" applyAlignment="1"/>
    <xf numFmtId="43" fontId="84" fillId="0" borderId="0" xfId="0" applyNumberFormat="1" applyFont="1" applyFill="1" applyBorder="1"/>
    <xf numFmtId="43" fontId="83" fillId="0" borderId="0" xfId="0" applyNumberFormat="1" applyFont="1" applyFill="1" applyBorder="1"/>
    <xf numFmtId="9" fontId="81" fillId="0" borderId="0" xfId="0" applyNumberFormat="1" applyFont="1" applyFill="1" applyBorder="1"/>
    <xf numFmtId="7" fontId="83" fillId="0" borderId="0" xfId="0" applyNumberFormat="1" applyFont="1" applyFill="1" applyBorder="1"/>
    <xf numFmtId="5" fontId="81" fillId="0" borderId="0" xfId="0" applyNumberFormat="1" applyFont="1" applyFill="1" applyBorder="1"/>
    <xf numFmtId="5" fontId="83" fillId="0" borderId="0" xfId="0" applyNumberFormat="1" applyFont="1" applyFill="1" applyBorder="1"/>
    <xf numFmtId="167" fontId="83" fillId="0" borderId="0" xfId="0" applyNumberFormat="1" applyFont="1" applyFill="1" applyBorder="1"/>
    <xf numFmtId="167" fontId="81" fillId="0" borderId="0" xfId="0" applyNumberFormat="1" applyFont="1" applyFill="1" applyBorder="1"/>
    <xf numFmtId="167" fontId="81" fillId="0" borderId="0" xfId="52" applyNumberFormat="1" applyFont="1" applyFill="1" applyBorder="1"/>
    <xf numFmtId="172" fontId="88" fillId="0" borderId="0" xfId="57" applyNumberFormat="1" applyFont="1" applyFill="1" applyBorder="1" applyAlignment="1"/>
    <xf numFmtId="0" fontId="84" fillId="0" borderId="0" xfId="0" applyFont="1" applyFill="1" applyBorder="1"/>
    <xf numFmtId="165" fontId="81" fillId="0" borderId="0" xfId="35" applyNumberFormat="1" applyFont="1" applyFill="1" applyBorder="1"/>
    <xf numFmtId="0" fontId="81" fillId="0" borderId="0" xfId="0" applyFont="1"/>
    <xf numFmtId="165" fontId="8" fillId="18" borderId="15" xfId="0" applyNumberFormat="1" applyFont="1" applyFill="1" applyBorder="1" applyAlignment="1"/>
    <xf numFmtId="171" fontId="13" fillId="0" borderId="19" xfId="0" applyNumberFormat="1" applyFont="1" applyBorder="1"/>
    <xf numFmtId="165" fontId="13" fillId="17" borderId="0" xfId="0" applyNumberFormat="1" applyFont="1" applyFill="1" applyBorder="1"/>
    <xf numFmtId="37" fontId="82" fillId="17" borderId="0" xfId="0" applyNumberFormat="1" applyFont="1" applyFill="1" applyBorder="1" applyAlignment="1">
      <alignment horizontal="right"/>
    </xf>
    <xf numFmtId="165" fontId="3" fillId="0" borderId="0" xfId="52" applyNumberFormat="1" applyFont="1" applyFill="1" applyBorder="1"/>
    <xf numFmtId="165" fontId="5" fillId="0" borderId="0" xfId="52" applyNumberFormat="1" applyFont="1" applyFill="1" applyBorder="1"/>
    <xf numFmtId="165" fontId="5" fillId="0" borderId="15" xfId="52" applyNumberFormat="1" applyFont="1" applyFill="1" applyBorder="1"/>
    <xf numFmtId="169" fontId="82" fillId="0" borderId="14" xfId="0" applyNumberFormat="1" applyFont="1" applyFill="1" applyBorder="1"/>
    <xf numFmtId="169" fontId="82" fillId="0" borderId="0" xfId="0" applyNumberFormat="1" applyFont="1" applyFill="1" applyBorder="1"/>
    <xf numFmtId="169" fontId="82" fillId="0" borderId="15" xfId="0" applyNumberFormat="1" applyFont="1" applyFill="1" applyBorder="1"/>
    <xf numFmtId="43" fontId="82" fillId="0" borderId="14" xfId="52" applyNumberFormat="1" applyFont="1" applyFill="1" applyBorder="1"/>
    <xf numFmtId="43" fontId="82" fillId="0" borderId="0" xfId="35" applyFont="1" applyFill="1" applyBorder="1"/>
    <xf numFmtId="43" fontId="82" fillId="0" borderId="15" xfId="35" applyFont="1" applyFill="1" applyBorder="1"/>
    <xf numFmtId="43" fontId="82" fillId="0" borderId="14" xfId="35" applyFont="1" applyFill="1" applyBorder="1"/>
    <xf numFmtId="43" fontId="82" fillId="17" borderId="0" xfId="35" applyFont="1" applyFill="1" applyBorder="1"/>
    <xf numFmtId="0" fontId="3" fillId="21" borderId="0" xfId="0" applyFont="1" applyFill="1" applyBorder="1" applyAlignment="1"/>
    <xf numFmtId="0" fontId="3" fillId="21" borderId="0" xfId="0" applyFont="1" applyFill="1" applyBorder="1"/>
    <xf numFmtId="168" fontId="5" fillId="21" borderId="0" xfId="0" applyNumberFormat="1" applyFont="1" applyFill="1" applyBorder="1" applyAlignment="1"/>
    <xf numFmtId="3" fontId="82" fillId="17" borderId="0" xfId="52" applyNumberFormat="1" applyFont="1" applyFill="1" applyBorder="1" applyAlignment="1"/>
    <xf numFmtId="3" fontId="82" fillId="17" borderId="15" xfId="52" applyNumberFormat="1" applyFont="1" applyFill="1" applyBorder="1" applyAlignment="1"/>
    <xf numFmtId="3" fontId="79" fillId="17" borderId="14" xfId="52" applyNumberFormat="1" applyFont="1" applyFill="1" applyBorder="1" applyAlignment="1"/>
    <xf numFmtId="3" fontId="82" fillId="0" borderId="14" xfId="0" applyNumberFormat="1" applyFont="1" applyFill="1" applyBorder="1"/>
    <xf numFmtId="3" fontId="82" fillId="0" borderId="15" xfId="0" applyNumberFormat="1" applyFont="1" applyFill="1" applyBorder="1"/>
    <xf numFmtId="0" fontId="89" fillId="17" borderId="0" xfId="0" applyNumberFormat="1" applyFont="1" applyFill="1" applyBorder="1" applyAlignment="1"/>
    <xf numFmtId="0" fontId="89" fillId="17" borderId="14" xfId="0" applyNumberFormat="1" applyFont="1" applyFill="1" applyBorder="1" applyAlignment="1"/>
    <xf numFmtId="41" fontId="89" fillId="0" borderId="0" xfId="0" applyNumberFormat="1" applyFont="1" applyFill="1" applyBorder="1" applyAlignment="1"/>
    <xf numFmtId="0" fontId="89" fillId="17" borderId="15" xfId="0" applyNumberFormat="1" applyFont="1" applyFill="1" applyBorder="1" applyAlignment="1"/>
    <xf numFmtId="165" fontId="89" fillId="17" borderId="0" xfId="0" applyNumberFormat="1" applyFont="1" applyFill="1" applyBorder="1" applyAlignment="1"/>
    <xf numFmtId="165" fontId="89" fillId="0" borderId="15" xfId="0" applyNumberFormat="1" applyFont="1" applyFill="1" applyBorder="1" applyAlignment="1"/>
    <xf numFmtId="165" fontId="89" fillId="0" borderId="0" xfId="0" applyNumberFormat="1" applyFont="1" applyFill="1" applyBorder="1" applyAlignment="1"/>
    <xf numFmtId="165" fontId="89" fillId="17" borderId="14" xfId="0" applyNumberFormat="1" applyFont="1" applyFill="1" applyBorder="1" applyAlignment="1"/>
    <xf numFmtId="165" fontId="86" fillId="17" borderId="0" xfId="35" applyNumberFormat="1" applyFont="1" applyFill="1" applyBorder="1" applyAlignment="1"/>
    <xf numFmtId="0" fontId="89" fillId="17" borderId="0" xfId="0" applyFont="1" applyFill="1" applyBorder="1" applyAlignment="1"/>
    <xf numFmtId="0" fontId="89" fillId="17" borderId="15" xfId="0" applyFont="1" applyFill="1" applyBorder="1" applyAlignment="1"/>
    <xf numFmtId="165" fontId="89" fillId="17" borderId="0" xfId="35" applyNumberFormat="1" applyFont="1" applyFill="1" applyBorder="1" applyAlignment="1"/>
    <xf numFmtId="0" fontId="89" fillId="0" borderId="0" xfId="0" applyNumberFormat="1" applyFont="1" applyFill="1" applyBorder="1" applyAlignment="1"/>
    <xf numFmtId="0" fontId="89" fillId="0" borderId="14" xfId="0" applyNumberFormat="1" applyFont="1" applyFill="1" applyBorder="1" applyAlignment="1"/>
    <xf numFmtId="0" fontId="89" fillId="0" borderId="0" xfId="0" applyFont="1"/>
    <xf numFmtId="165" fontId="89" fillId="17" borderId="0" xfId="0" applyNumberFormat="1" applyFont="1" applyFill="1" applyBorder="1"/>
    <xf numFmtId="0" fontId="89" fillId="17" borderId="14" xfId="0" applyFont="1" applyFill="1" applyBorder="1" applyAlignment="1"/>
    <xf numFmtId="41" fontId="89" fillId="0" borderId="15" xfId="0" applyNumberFormat="1" applyFont="1" applyFill="1" applyBorder="1" applyAlignment="1"/>
    <xf numFmtId="165" fontId="89" fillId="17" borderId="15" xfId="35" applyNumberFormat="1" applyFont="1" applyFill="1" applyBorder="1" applyAlignment="1"/>
    <xf numFmtId="165" fontId="89" fillId="0" borderId="15" xfId="35" applyNumberFormat="1" applyFont="1" applyFill="1" applyBorder="1" applyAlignment="1"/>
    <xf numFmtId="165" fontId="89" fillId="0" borderId="0" xfId="35" applyNumberFormat="1" applyFont="1" applyFill="1" applyBorder="1" applyAlignment="1"/>
    <xf numFmtId="165" fontId="89" fillId="17" borderId="14" xfId="35" applyNumberFormat="1" applyFont="1" applyFill="1" applyBorder="1" applyAlignment="1"/>
    <xf numFmtId="165" fontId="89" fillId="17" borderId="15" xfId="0" applyNumberFormat="1" applyFont="1" applyFill="1" applyBorder="1"/>
    <xf numFmtId="9" fontId="89" fillId="17" borderId="15" xfId="52" applyFont="1" applyFill="1" applyBorder="1"/>
    <xf numFmtId="165" fontId="89" fillId="0" borderId="0" xfId="0" applyNumberFormat="1" applyFont="1" applyFill="1" applyBorder="1"/>
    <xf numFmtId="165" fontId="89" fillId="0" borderId="14" xfId="0" applyNumberFormat="1" applyFont="1" applyFill="1" applyBorder="1"/>
    <xf numFmtId="165" fontId="89" fillId="0" borderId="14" xfId="0" applyNumberFormat="1" applyFont="1" applyFill="1" applyBorder="1" applyAlignment="1"/>
    <xf numFmtId="9" fontId="89" fillId="0" borderId="0" xfId="52" applyFont="1" applyFill="1" applyBorder="1"/>
    <xf numFmtId="165" fontId="86" fillId="17" borderId="0" xfId="0" applyNumberFormat="1" applyFont="1" applyFill="1" applyBorder="1"/>
    <xf numFmtId="0" fontId="86" fillId="17" borderId="14" xfId="0" applyFont="1" applyFill="1" applyBorder="1" applyAlignment="1"/>
    <xf numFmtId="0" fontId="86" fillId="0" borderId="0" xfId="0" applyFont="1"/>
    <xf numFmtId="41" fontId="86" fillId="0" borderId="15" xfId="0" applyNumberFormat="1" applyFont="1" applyFill="1" applyBorder="1" applyAlignment="1"/>
    <xf numFmtId="165" fontId="86" fillId="17" borderId="15" xfId="35" applyNumberFormat="1" applyFont="1" applyFill="1" applyBorder="1" applyAlignment="1"/>
    <xf numFmtId="165" fontId="86" fillId="0" borderId="15" xfId="35" applyNumberFormat="1" applyFont="1" applyFill="1" applyBorder="1" applyAlignment="1"/>
    <xf numFmtId="165" fontId="86" fillId="0" borderId="0" xfId="35" applyNumberFormat="1" applyFont="1" applyFill="1" applyBorder="1" applyAlignment="1"/>
    <xf numFmtId="165" fontId="86" fillId="17" borderId="14" xfId="35" applyNumberFormat="1" applyFont="1" applyFill="1" applyBorder="1" applyAlignment="1"/>
    <xf numFmtId="165" fontId="86" fillId="17" borderId="15" xfId="0" applyNumberFormat="1" applyFont="1" applyFill="1" applyBorder="1"/>
    <xf numFmtId="165" fontId="86" fillId="0" borderId="0" xfId="0" applyNumberFormat="1" applyFont="1" applyFill="1" applyBorder="1"/>
    <xf numFmtId="165" fontId="86" fillId="0" borderId="14" xfId="0" applyNumberFormat="1" applyFont="1" applyFill="1" applyBorder="1"/>
    <xf numFmtId="165" fontId="86" fillId="0" borderId="0" xfId="0" applyNumberFormat="1" applyFont="1" applyFill="1" applyBorder="1" applyAlignment="1"/>
    <xf numFmtId="165" fontId="86" fillId="0" borderId="14" xfId="0" applyNumberFormat="1" applyFont="1" applyFill="1" applyBorder="1" applyAlignment="1"/>
    <xf numFmtId="165" fontId="86" fillId="17" borderId="0" xfId="0" applyNumberFormat="1" applyFont="1" applyFill="1" applyBorder="1" applyAlignment="1"/>
    <xf numFmtId="0" fontId="86" fillId="17" borderId="15" xfId="0" applyFont="1" applyFill="1" applyBorder="1" applyAlignment="1"/>
    <xf numFmtId="165" fontId="86" fillId="17" borderId="14" xfId="35" applyNumberFormat="1" applyFont="1" applyFill="1" applyBorder="1"/>
    <xf numFmtId="165" fontId="86" fillId="17" borderId="0" xfId="35" applyNumberFormat="1" applyFont="1" applyFill="1" applyBorder="1"/>
    <xf numFmtId="165" fontId="86" fillId="17" borderId="15" xfId="35" applyNumberFormat="1" applyFont="1" applyFill="1" applyBorder="1"/>
    <xf numFmtId="165" fontId="86" fillId="0" borderId="15" xfId="35" applyNumberFormat="1" applyFont="1" applyFill="1" applyBorder="1"/>
    <xf numFmtId="165" fontId="86" fillId="0" borderId="14" xfId="35" applyNumberFormat="1" applyFont="1" applyFill="1" applyBorder="1"/>
    <xf numFmtId="165" fontId="86" fillId="0" borderId="0" xfId="35" applyNumberFormat="1" applyFont="1" applyFill="1" applyBorder="1"/>
    <xf numFmtId="165" fontId="89" fillId="17" borderId="14" xfId="35" applyNumberFormat="1" applyFont="1" applyFill="1" applyBorder="1"/>
    <xf numFmtId="165" fontId="89" fillId="17" borderId="0" xfId="35" applyNumberFormat="1" applyFont="1" applyFill="1" applyBorder="1"/>
    <xf numFmtId="165" fontId="89" fillId="17" borderId="15" xfId="35" applyNumberFormat="1" applyFont="1" applyFill="1" applyBorder="1"/>
    <xf numFmtId="165" fontId="89" fillId="0" borderId="15" xfId="35" applyNumberFormat="1" applyFont="1" applyFill="1" applyBorder="1"/>
    <xf numFmtId="165" fontId="89" fillId="0" borderId="14" xfId="35" applyNumberFormat="1" applyFont="1" applyFill="1" applyBorder="1"/>
    <xf numFmtId="165" fontId="89" fillId="0" borderId="0" xfId="35" applyNumberFormat="1" applyFont="1" applyFill="1" applyBorder="1"/>
    <xf numFmtId="0" fontId="3" fillId="0" borderId="15" xfId="0" applyNumberFormat="1" applyFont="1" applyFill="1" applyBorder="1" applyAlignment="1"/>
    <xf numFmtId="165" fontId="90" fillId="17" borderId="0" xfId="0" applyNumberFormat="1" applyFont="1" applyFill="1" applyBorder="1"/>
    <xf numFmtId="0" fontId="91" fillId="17" borderId="14" xfId="0" applyFont="1" applyFill="1" applyBorder="1" applyAlignment="1"/>
    <xf numFmtId="0" fontId="91" fillId="17" borderId="0" xfId="0" applyFont="1" applyFill="1" applyBorder="1" applyAlignment="1"/>
    <xf numFmtId="0" fontId="91" fillId="17" borderId="15" xfId="0" applyFont="1" applyFill="1" applyBorder="1" applyAlignment="1"/>
    <xf numFmtId="165" fontId="91" fillId="17" borderId="0" xfId="0" applyNumberFormat="1" applyFont="1" applyFill="1" applyBorder="1"/>
    <xf numFmtId="165" fontId="91" fillId="17" borderId="15" xfId="0" applyNumberFormat="1" applyFont="1" applyFill="1" applyBorder="1"/>
    <xf numFmtId="165" fontId="91" fillId="0" borderId="15" xfId="0" applyNumberFormat="1" applyFont="1" applyFill="1" applyBorder="1"/>
    <xf numFmtId="165" fontId="91" fillId="0" borderId="0" xfId="0" applyNumberFormat="1" applyFont="1" applyFill="1" applyBorder="1"/>
    <xf numFmtId="165" fontId="91" fillId="17" borderId="14" xfId="0" applyNumberFormat="1" applyFont="1" applyFill="1" applyBorder="1"/>
    <xf numFmtId="165" fontId="90" fillId="17" borderId="15" xfId="0" applyNumberFormat="1" applyFont="1" applyFill="1" applyBorder="1"/>
    <xf numFmtId="0" fontId="90" fillId="17" borderId="0" xfId="0" applyNumberFormat="1" applyFont="1" applyFill="1" applyBorder="1" applyAlignment="1"/>
    <xf numFmtId="165" fontId="90" fillId="0" borderId="14" xfId="0" applyNumberFormat="1" applyFont="1" applyFill="1" applyBorder="1"/>
    <xf numFmtId="165" fontId="90" fillId="0" borderId="0" xfId="0" applyNumberFormat="1" applyFont="1" applyFill="1" applyBorder="1"/>
    <xf numFmtId="165" fontId="91" fillId="0" borderId="0" xfId="0" applyNumberFormat="1" applyFont="1" applyFill="1" applyBorder="1" applyAlignment="1"/>
    <xf numFmtId="165" fontId="91" fillId="0" borderId="14" xfId="0" applyNumberFormat="1" applyFont="1" applyFill="1" applyBorder="1" applyAlignment="1"/>
    <xf numFmtId="165" fontId="91" fillId="0" borderId="15" xfId="0" applyNumberFormat="1" applyFont="1" applyFill="1" applyBorder="1" applyAlignment="1"/>
    <xf numFmtId="0" fontId="90" fillId="0" borderId="0" xfId="0" applyFont="1"/>
    <xf numFmtId="165" fontId="92" fillId="17" borderId="0" xfId="0" applyNumberFormat="1" applyFont="1" applyFill="1" applyBorder="1"/>
    <xf numFmtId="0" fontId="92" fillId="17" borderId="14" xfId="0" applyFont="1" applyFill="1" applyBorder="1" applyAlignment="1"/>
    <xf numFmtId="0" fontId="92" fillId="17" borderId="0" xfId="0" applyFont="1" applyFill="1" applyBorder="1" applyAlignment="1"/>
    <xf numFmtId="0" fontId="92" fillId="17" borderId="15" xfId="0" applyFont="1" applyFill="1" applyBorder="1" applyAlignment="1"/>
    <xf numFmtId="167" fontId="92" fillId="17" borderId="0" xfId="52" applyNumberFormat="1" applyFont="1" applyFill="1" applyBorder="1" applyAlignment="1"/>
    <xf numFmtId="167" fontId="92" fillId="17" borderId="15" xfId="52" applyNumberFormat="1" applyFont="1" applyFill="1" applyBorder="1" applyAlignment="1"/>
    <xf numFmtId="167" fontId="92" fillId="17" borderId="14" xfId="52" applyNumberFormat="1" applyFont="1" applyFill="1" applyBorder="1" applyAlignment="1"/>
    <xf numFmtId="167" fontId="92" fillId="0" borderId="15" xfId="52" applyNumberFormat="1" applyFont="1" applyFill="1" applyBorder="1" applyAlignment="1"/>
    <xf numFmtId="167" fontId="92" fillId="0" borderId="14" xfId="52" applyNumberFormat="1" applyFont="1" applyFill="1" applyBorder="1" applyAlignment="1"/>
    <xf numFmtId="167" fontId="92" fillId="0" borderId="0" xfId="52" applyNumberFormat="1" applyFont="1" applyFill="1" applyBorder="1" applyAlignment="1"/>
    <xf numFmtId="165" fontId="92" fillId="17" borderId="15" xfId="0" applyNumberFormat="1" applyFont="1" applyFill="1" applyBorder="1"/>
    <xf numFmtId="43" fontId="92" fillId="17" borderId="15" xfId="0" applyNumberFormat="1" applyFont="1" applyFill="1" applyBorder="1"/>
    <xf numFmtId="165" fontId="92" fillId="0" borderId="0" xfId="0" applyNumberFormat="1" applyFont="1" applyFill="1" applyBorder="1"/>
    <xf numFmtId="165" fontId="92" fillId="0" borderId="14" xfId="0" applyNumberFormat="1" applyFont="1" applyFill="1" applyBorder="1"/>
    <xf numFmtId="43" fontId="92" fillId="0" borderId="0" xfId="0" applyNumberFormat="1" applyFont="1" applyFill="1" applyBorder="1"/>
    <xf numFmtId="41" fontId="90" fillId="0" borderId="15" xfId="0" applyNumberFormat="1" applyFont="1" applyFill="1" applyBorder="1" applyAlignment="1"/>
    <xf numFmtId="165" fontId="90" fillId="17" borderId="14" xfId="0" applyNumberFormat="1" applyFont="1" applyFill="1" applyBorder="1"/>
    <xf numFmtId="165" fontId="90" fillId="0" borderId="0" xfId="0" applyNumberFormat="1" applyFont="1" applyFill="1" applyBorder="1" applyAlignment="1"/>
    <xf numFmtId="165" fontId="90" fillId="0" borderId="14" xfId="0" applyNumberFormat="1" applyFont="1" applyFill="1" applyBorder="1" applyAlignment="1"/>
    <xf numFmtId="165" fontId="90" fillId="0" borderId="15" xfId="0" applyNumberFormat="1" applyFont="1" applyFill="1" applyBorder="1" applyAlignment="1"/>
    <xf numFmtId="165" fontId="93" fillId="17" borderId="0" xfId="0" applyNumberFormat="1" applyFont="1" applyFill="1" applyBorder="1"/>
    <xf numFmtId="0" fontId="93" fillId="17" borderId="14" xfId="0" applyFont="1" applyFill="1" applyBorder="1" applyAlignment="1"/>
    <xf numFmtId="0" fontId="91" fillId="0" borderId="0" xfId="0" applyFont="1"/>
    <xf numFmtId="41" fontId="91" fillId="0" borderId="15" xfId="0" applyNumberFormat="1" applyFont="1" applyFill="1" applyBorder="1" applyAlignment="1"/>
    <xf numFmtId="167" fontId="93" fillId="17" borderId="0" xfId="52" applyNumberFormat="1" applyFont="1" applyFill="1" applyBorder="1" applyAlignment="1"/>
    <xf numFmtId="167" fontId="93" fillId="17" borderId="15" xfId="52" applyNumberFormat="1" applyFont="1" applyFill="1" applyBorder="1" applyAlignment="1"/>
    <xf numFmtId="167" fontId="93" fillId="17" borderId="14" xfId="52" applyNumberFormat="1" applyFont="1" applyFill="1" applyBorder="1" applyAlignment="1"/>
    <xf numFmtId="167" fontId="93" fillId="0" borderId="15" xfId="52" applyNumberFormat="1" applyFont="1" applyFill="1" applyBorder="1" applyAlignment="1"/>
    <xf numFmtId="167" fontId="93" fillId="0" borderId="14" xfId="52" applyNumberFormat="1" applyFont="1" applyFill="1" applyBorder="1" applyAlignment="1"/>
    <xf numFmtId="167" fontId="93" fillId="0" borderId="0" xfId="52" applyNumberFormat="1" applyFont="1" applyFill="1" applyBorder="1" applyAlignment="1"/>
    <xf numFmtId="165" fontId="93" fillId="17" borderId="15" xfId="0" applyNumberFormat="1" applyFont="1" applyFill="1" applyBorder="1"/>
    <xf numFmtId="43" fontId="93" fillId="17" borderId="15" xfId="0" applyNumberFormat="1" applyFont="1" applyFill="1" applyBorder="1"/>
    <xf numFmtId="43" fontId="93" fillId="17" borderId="0" xfId="0" applyNumberFormat="1" applyFont="1" applyFill="1" applyBorder="1"/>
    <xf numFmtId="165" fontId="93" fillId="0" borderId="0" xfId="0" applyNumberFormat="1" applyFont="1" applyFill="1" applyBorder="1"/>
    <xf numFmtId="165" fontId="93" fillId="0" borderId="14" xfId="0" applyNumberFormat="1" applyFont="1" applyFill="1" applyBorder="1"/>
    <xf numFmtId="43" fontId="92" fillId="17" borderId="0" xfId="0" applyNumberFormat="1" applyFont="1" applyFill="1" applyBorder="1"/>
    <xf numFmtId="165" fontId="91" fillId="17" borderId="0" xfId="35" applyNumberFormat="1" applyFont="1" applyFill="1" applyBorder="1"/>
    <xf numFmtId="0" fontId="90" fillId="0" borderId="15" xfId="0" applyFont="1" applyFill="1" applyBorder="1"/>
    <xf numFmtId="0" fontId="91" fillId="0" borderId="15" xfId="0" applyFont="1" applyFill="1" applyBorder="1"/>
    <xf numFmtId="167" fontId="90" fillId="0" borderId="15" xfId="52" applyNumberFormat="1" applyFont="1" applyFill="1" applyBorder="1"/>
    <xf numFmtId="9" fontId="90" fillId="0" borderId="0" xfId="52" applyFont="1" applyFill="1" applyBorder="1"/>
    <xf numFmtId="167" fontId="91" fillId="0" borderId="0" xfId="52" applyNumberFormat="1" applyFont="1" applyFill="1" applyBorder="1"/>
    <xf numFmtId="9" fontId="90" fillId="0" borderId="15" xfId="52" applyFont="1" applyFill="1" applyBorder="1"/>
    <xf numFmtId="0" fontId="90" fillId="0" borderId="0" xfId="0" applyFont="1" applyFill="1" applyBorder="1"/>
    <xf numFmtId="0" fontId="91" fillId="0" borderId="0" xfId="0" applyFont="1" applyFill="1" applyBorder="1"/>
    <xf numFmtId="165" fontId="91" fillId="0" borderId="0" xfId="35" applyNumberFormat="1" applyFont="1" applyFill="1" applyBorder="1"/>
    <xf numFmtId="0" fontId="90" fillId="17" borderId="14" xfId="0" applyNumberFormat="1" applyFont="1" applyFill="1" applyBorder="1" applyAlignment="1"/>
    <xf numFmtId="9" fontId="90" fillId="0" borderId="0" xfId="52" applyFont="1" applyFill="1" applyBorder="1" applyAlignment="1"/>
    <xf numFmtId="0" fontId="90" fillId="17" borderId="15" xfId="0" applyNumberFormat="1" applyFont="1" applyFill="1" applyBorder="1" applyAlignment="1"/>
    <xf numFmtId="167" fontId="90" fillId="0" borderId="0" xfId="52" applyNumberFormat="1" applyFont="1" applyFill="1" applyBorder="1" applyAlignment="1">
      <alignment horizontal="right"/>
    </xf>
    <xf numFmtId="167" fontId="90" fillId="0" borderId="15" xfId="52" applyNumberFormat="1" applyFont="1" applyFill="1" applyBorder="1" applyAlignment="1">
      <alignment horizontal="right"/>
    </xf>
    <xf numFmtId="0" fontId="90" fillId="17" borderId="15" xfId="0" applyFont="1" applyFill="1" applyBorder="1"/>
    <xf numFmtId="0" fontId="90" fillId="0" borderId="0" xfId="0" applyNumberFormat="1" applyFont="1" applyFill="1" applyBorder="1" applyAlignment="1"/>
    <xf numFmtId="0" fontId="90" fillId="17" borderId="0" xfId="0" applyFont="1" applyFill="1" applyBorder="1"/>
    <xf numFmtId="168" fontId="91" fillId="0" borderId="0" xfId="0" applyNumberFormat="1" applyFont="1" applyBorder="1" applyAlignment="1"/>
    <xf numFmtId="0" fontId="91" fillId="0" borderId="15" xfId="0" applyFont="1" applyFill="1" applyBorder="1" applyAlignment="1"/>
    <xf numFmtId="165" fontId="91" fillId="0" borderId="14" xfId="0" applyNumberFormat="1" applyFont="1" applyFill="1" applyBorder="1"/>
    <xf numFmtId="165" fontId="91" fillId="0" borderId="14" xfId="35" applyNumberFormat="1" applyFont="1" applyFill="1" applyBorder="1"/>
    <xf numFmtId="165" fontId="91" fillId="0" borderId="15" xfId="35" applyNumberFormat="1" applyFont="1" applyFill="1" applyBorder="1"/>
    <xf numFmtId="0" fontId="91" fillId="17" borderId="15" xfId="0" applyFont="1" applyFill="1" applyBorder="1"/>
    <xf numFmtId="5" fontId="91" fillId="0" borderId="0" xfId="0" applyNumberFormat="1" applyFont="1" applyFill="1" applyBorder="1"/>
    <xf numFmtId="5" fontId="91" fillId="17" borderId="0" xfId="0" applyNumberFormat="1" applyFont="1" applyFill="1" applyBorder="1"/>
    <xf numFmtId="167" fontId="90" fillId="0" borderId="0" xfId="52" applyNumberFormat="1" applyFont="1" applyFill="1" applyBorder="1" applyAlignment="1"/>
    <xf numFmtId="167" fontId="90" fillId="17" borderId="0" xfId="52" applyNumberFormat="1" applyFont="1" applyFill="1" applyBorder="1" applyAlignment="1"/>
    <xf numFmtId="167" fontId="90" fillId="0" borderId="15" xfId="52" applyNumberFormat="1" applyFont="1" applyFill="1" applyBorder="1" applyAlignment="1"/>
    <xf numFmtId="167" fontId="90" fillId="0" borderId="14" xfId="52" applyNumberFormat="1" applyFont="1" applyFill="1" applyBorder="1"/>
    <xf numFmtId="167" fontId="90" fillId="0" borderId="0" xfId="52" applyNumberFormat="1" applyFont="1" applyFill="1" applyBorder="1"/>
    <xf numFmtId="167" fontId="90" fillId="17" borderId="15" xfId="52" applyNumberFormat="1" applyFont="1" applyFill="1" applyBorder="1"/>
    <xf numFmtId="167" fontId="90" fillId="17" borderId="0" xfId="52" applyNumberFormat="1" applyFont="1" applyFill="1" applyBorder="1"/>
    <xf numFmtId="167" fontId="90" fillId="0" borderId="14" xfId="52" applyNumberFormat="1" applyFont="1" applyFill="1" applyBorder="1" applyAlignment="1"/>
    <xf numFmtId="9" fontId="90" fillId="0" borderId="14" xfId="52" applyFont="1" applyFill="1" applyBorder="1" applyAlignment="1"/>
    <xf numFmtId="0" fontId="90" fillId="0" borderId="0" xfId="0" applyFont="1" applyBorder="1"/>
    <xf numFmtId="0" fontId="90" fillId="0" borderId="0" xfId="0" applyFont="1" applyFill="1"/>
    <xf numFmtId="0" fontId="91" fillId="0" borderId="0" xfId="0" applyFont="1" applyFill="1" applyBorder="1" applyAlignment="1"/>
    <xf numFmtId="168" fontId="90" fillId="0" borderId="0" xfId="0" applyNumberFormat="1" applyFont="1" applyBorder="1" applyAlignment="1"/>
    <xf numFmtId="168" fontId="90" fillId="0" borderId="15" xfId="0" applyNumberFormat="1" applyFont="1" applyBorder="1" applyAlignment="1"/>
    <xf numFmtId="43" fontId="90" fillId="0" borderId="0" xfId="35" quotePrefix="1" applyFont="1" applyFill="1" applyBorder="1" applyAlignment="1">
      <alignment horizontal="center"/>
    </xf>
    <xf numFmtId="43" fontId="90" fillId="0" borderId="15" xfId="35" quotePrefix="1" applyFont="1" applyFill="1" applyBorder="1" applyAlignment="1">
      <alignment horizontal="center"/>
    </xf>
    <xf numFmtId="165" fontId="90" fillId="0" borderId="0" xfId="35" quotePrefix="1" applyNumberFormat="1" applyFont="1" applyFill="1" applyBorder="1" applyAlignment="1">
      <alignment horizontal="center"/>
    </xf>
    <xf numFmtId="165" fontId="90" fillId="0" borderId="15" xfId="35" quotePrefix="1" applyNumberFormat="1" applyFont="1" applyFill="1" applyBorder="1" applyAlignment="1">
      <alignment horizontal="center"/>
    </xf>
    <xf numFmtId="6" fontId="91" fillId="21" borderId="0" xfId="52" applyNumberFormat="1" applyFont="1" applyFill="1" applyBorder="1"/>
    <xf numFmtId="6" fontId="91" fillId="21" borderId="15" xfId="52" applyNumberFormat="1" applyFont="1" applyFill="1" applyBorder="1"/>
    <xf numFmtId="169" fontId="91" fillId="21" borderId="0" xfId="0" applyNumberFormat="1" applyFont="1" applyFill="1" applyBorder="1"/>
    <xf numFmtId="169" fontId="91" fillId="21" borderId="15" xfId="0" applyNumberFormat="1" applyFont="1" applyFill="1" applyBorder="1"/>
    <xf numFmtId="169" fontId="91" fillId="21" borderId="14" xfId="0" applyNumberFormat="1" applyFont="1" applyFill="1" applyBorder="1"/>
    <xf numFmtId="169" fontId="91" fillId="0" borderId="0" xfId="0" applyNumberFormat="1" applyFont="1" applyFill="1" applyBorder="1"/>
    <xf numFmtId="169" fontId="91" fillId="0" borderId="15" xfId="0" applyNumberFormat="1" applyFont="1" applyFill="1" applyBorder="1"/>
    <xf numFmtId="0" fontId="90" fillId="0" borderId="14" xfId="0" applyFont="1" applyFill="1" applyBorder="1"/>
    <xf numFmtId="164" fontId="90" fillId="0" borderId="0" xfId="0" applyNumberFormat="1" applyFont="1" applyFill="1" applyBorder="1"/>
    <xf numFmtId="167" fontId="91" fillId="0" borderId="0" xfId="52" applyNumberFormat="1" applyFont="1" applyFill="1" applyBorder="1" applyAlignment="1"/>
    <xf numFmtId="167" fontId="91" fillId="0" borderId="15" xfId="52" applyNumberFormat="1" applyFont="1" applyFill="1" applyBorder="1" applyAlignment="1"/>
    <xf numFmtId="167" fontId="90" fillId="21" borderId="0" xfId="52" applyNumberFormat="1" applyFont="1" applyFill="1" applyBorder="1" applyAlignment="1">
      <alignment horizontal="right"/>
    </xf>
    <xf numFmtId="9" fontId="90" fillId="0" borderId="0" xfId="52" applyFont="1" applyBorder="1" applyAlignment="1"/>
    <xf numFmtId="9" fontId="90" fillId="0" borderId="15" xfId="52" applyFont="1" applyBorder="1" applyAlignment="1"/>
    <xf numFmtId="9" fontId="90" fillId="0" borderId="0" xfId="52" applyFont="1" applyBorder="1"/>
    <xf numFmtId="9" fontId="90" fillId="0" borderId="15" xfId="52" applyFont="1" applyBorder="1"/>
    <xf numFmtId="9" fontId="90" fillId="0" borderId="14" xfId="52" applyFont="1" applyBorder="1"/>
    <xf numFmtId="167" fontId="90" fillId="0" borderId="14" xfId="52" applyNumberFormat="1" applyFont="1" applyFill="1" applyBorder="1" applyAlignment="1">
      <alignment horizontal="right"/>
    </xf>
    <xf numFmtId="9" fontId="90" fillId="17" borderId="15" xfId="52" applyFont="1" applyFill="1" applyBorder="1"/>
    <xf numFmtId="9" fontId="90" fillId="0" borderId="14" xfId="52" applyFont="1" applyBorder="1" applyAlignment="1">
      <alignment horizontal="right"/>
    </xf>
    <xf numFmtId="9" fontId="90" fillId="17" borderId="0" xfId="52" applyFont="1" applyFill="1" applyBorder="1"/>
    <xf numFmtId="9" fontId="90" fillId="0" borderId="14" xfId="52" applyFont="1" applyFill="1" applyBorder="1"/>
    <xf numFmtId="43" fontId="90" fillId="0" borderId="0" xfId="35" applyFont="1" applyFill="1" applyBorder="1" applyAlignment="1">
      <alignment horizontal="right"/>
    </xf>
    <xf numFmtId="43" fontId="90" fillId="0" borderId="15" xfId="35" applyFont="1" applyFill="1" applyBorder="1" applyAlignment="1">
      <alignment horizontal="right"/>
    </xf>
    <xf numFmtId="43" fontId="90" fillId="0" borderId="14" xfId="35" applyFont="1" applyFill="1" applyBorder="1" applyAlignment="1">
      <alignment horizontal="right"/>
    </xf>
    <xf numFmtId="9" fontId="90" fillId="0" borderId="0" xfId="52" applyFont="1" applyBorder="1" applyAlignment="1">
      <alignment horizontal="right"/>
    </xf>
    <xf numFmtId="6" fontId="91" fillId="17" borderId="0" xfId="52" applyNumberFormat="1" applyFont="1" applyFill="1" applyBorder="1"/>
    <xf numFmtId="6" fontId="91" fillId="17" borderId="15" xfId="52" applyNumberFormat="1" applyFont="1" applyFill="1" applyBorder="1"/>
    <xf numFmtId="169" fontId="91" fillId="17" borderId="0" xfId="0" applyNumberFormat="1" applyFont="1" applyFill="1" applyBorder="1"/>
    <xf numFmtId="169" fontId="91" fillId="17" borderId="15" xfId="0" applyNumberFormat="1" applyFont="1" applyFill="1" applyBorder="1"/>
    <xf numFmtId="169" fontId="91" fillId="17" borderId="14" xfId="0" applyNumberFormat="1" applyFont="1" applyFill="1" applyBorder="1"/>
    <xf numFmtId="169" fontId="91" fillId="0" borderId="14" xfId="0" applyNumberFormat="1" applyFont="1" applyFill="1" applyBorder="1"/>
    <xf numFmtId="167" fontId="90" fillId="17" borderId="14" xfId="52" applyNumberFormat="1" applyFont="1" applyFill="1" applyBorder="1"/>
    <xf numFmtId="167" fontId="91" fillId="0" borderId="15" xfId="52" applyNumberFormat="1" applyFont="1" applyFill="1" applyBorder="1"/>
    <xf numFmtId="9" fontId="90" fillId="17" borderId="14" xfId="52" applyFont="1" applyFill="1" applyBorder="1"/>
    <xf numFmtId="167" fontId="90" fillId="17" borderId="14" xfId="52" applyNumberFormat="1" applyFont="1" applyFill="1" applyBorder="1" applyAlignment="1">
      <alignment horizontal="right"/>
    </xf>
    <xf numFmtId="167" fontId="90" fillId="17" borderId="0" xfId="52" applyNumberFormat="1" applyFont="1" applyFill="1" applyBorder="1" applyAlignment="1">
      <alignment horizontal="right"/>
    </xf>
    <xf numFmtId="9" fontId="90" fillId="17" borderId="14" xfId="52" applyFont="1" applyFill="1" applyBorder="1" applyAlignment="1"/>
    <xf numFmtId="9" fontId="90" fillId="17" borderId="0" xfId="52" applyFont="1" applyFill="1" applyBorder="1" applyAlignment="1"/>
    <xf numFmtId="9" fontId="90" fillId="17" borderId="15" xfId="52" applyFont="1" applyFill="1" applyBorder="1" applyAlignment="1"/>
    <xf numFmtId="43" fontId="90" fillId="17" borderId="0" xfId="35" applyFont="1" applyFill="1" applyBorder="1" applyAlignment="1">
      <alignment horizontal="right"/>
    </xf>
    <xf numFmtId="43" fontId="90" fillId="17" borderId="15" xfId="35" applyFont="1" applyFill="1" applyBorder="1" applyAlignment="1">
      <alignment horizontal="right"/>
    </xf>
    <xf numFmtId="43" fontId="90" fillId="17" borderId="14" xfId="35" applyFont="1" applyFill="1" applyBorder="1" applyAlignment="1">
      <alignment horizontal="right"/>
    </xf>
    <xf numFmtId="165" fontId="90" fillId="17" borderId="14" xfId="35" applyNumberFormat="1" applyFont="1" applyFill="1" applyBorder="1" applyAlignment="1">
      <alignment horizontal="right"/>
    </xf>
    <xf numFmtId="167" fontId="90" fillId="17" borderId="15" xfId="52" applyNumberFormat="1" applyFont="1" applyFill="1" applyBorder="1" applyAlignment="1">
      <alignment horizontal="right"/>
    </xf>
    <xf numFmtId="9" fontId="90" fillId="17" borderId="0" xfId="52" applyFont="1" applyFill="1" applyBorder="1" applyAlignment="1">
      <alignment horizontal="right"/>
    </xf>
    <xf numFmtId="0" fontId="90" fillId="17" borderId="0" xfId="0" applyFont="1" applyFill="1"/>
    <xf numFmtId="0" fontId="90" fillId="0" borderId="16" xfId="0" applyFont="1" applyFill="1" applyBorder="1" applyAlignment="1"/>
    <xf numFmtId="168" fontId="90" fillId="0" borderId="12" xfId="0" applyNumberFormat="1" applyFont="1" applyBorder="1" applyAlignment="1"/>
    <xf numFmtId="0" fontId="90" fillId="17" borderId="12" xfId="0" applyFont="1" applyFill="1" applyBorder="1" applyAlignment="1"/>
    <xf numFmtId="0" fontId="90" fillId="0" borderId="17" xfId="0" applyFont="1" applyFill="1" applyBorder="1" applyAlignment="1"/>
    <xf numFmtId="165" fontId="90" fillId="0" borderId="16" xfId="0" applyNumberFormat="1" applyFont="1" applyFill="1" applyBorder="1"/>
    <xf numFmtId="165" fontId="90" fillId="0" borderId="12" xfId="0" applyNumberFormat="1" applyFont="1" applyFill="1" applyBorder="1"/>
    <xf numFmtId="165" fontId="90" fillId="0" borderId="17" xfId="0" applyNumberFormat="1" applyFont="1" applyFill="1" applyBorder="1"/>
    <xf numFmtId="165" fontId="90" fillId="0" borderId="16" xfId="35" applyNumberFormat="1" applyFont="1" applyFill="1" applyBorder="1"/>
    <xf numFmtId="165" fontId="90" fillId="0" borderId="12" xfId="35" applyNumberFormat="1" applyFont="1" applyFill="1" applyBorder="1"/>
    <xf numFmtId="165" fontId="90" fillId="0" borderId="17" xfId="35" applyNumberFormat="1" applyFont="1" applyFill="1" applyBorder="1"/>
    <xf numFmtId="165" fontId="90" fillId="17" borderId="12" xfId="35" applyNumberFormat="1" applyFont="1" applyFill="1" applyBorder="1"/>
    <xf numFmtId="165" fontId="90" fillId="0" borderId="12" xfId="52" applyNumberFormat="1" applyFont="1" applyFill="1" applyBorder="1"/>
    <xf numFmtId="0" fontId="90" fillId="17" borderId="17" xfId="0" applyFont="1" applyFill="1" applyBorder="1"/>
    <xf numFmtId="165" fontId="90" fillId="0" borderId="16" xfId="0" applyNumberFormat="1" applyFont="1" applyFill="1" applyBorder="1" applyAlignment="1"/>
    <xf numFmtId="165" fontId="90" fillId="0" borderId="12" xfId="0" applyNumberFormat="1" applyFont="1" applyFill="1" applyBorder="1" applyAlignment="1"/>
    <xf numFmtId="164" fontId="90" fillId="0" borderId="12" xfId="0" applyNumberFormat="1" applyFont="1" applyFill="1" applyBorder="1"/>
    <xf numFmtId="164" fontId="90" fillId="0" borderId="17" xfId="0" applyNumberFormat="1" applyFont="1" applyFill="1" applyBorder="1"/>
    <xf numFmtId="0" fontId="90" fillId="0" borderId="14" xfId="0" applyFont="1" applyFill="1" applyBorder="1" applyAlignment="1"/>
    <xf numFmtId="0" fontId="90" fillId="17" borderId="0" xfId="0" applyFont="1" applyFill="1" applyBorder="1" applyAlignment="1"/>
    <xf numFmtId="0" fontId="90" fillId="0" borderId="15" xfId="0" applyFont="1" applyFill="1" applyBorder="1" applyAlignment="1"/>
    <xf numFmtId="165" fontId="90" fillId="0" borderId="15" xfId="0" applyNumberFormat="1" applyFont="1" applyFill="1" applyBorder="1"/>
    <xf numFmtId="165" fontId="90" fillId="0" borderId="0" xfId="35" applyNumberFormat="1" applyFont="1" applyFill="1" applyBorder="1"/>
    <xf numFmtId="165" fontId="90" fillId="0" borderId="15" xfId="35" applyNumberFormat="1" applyFont="1" applyFill="1" applyBorder="1"/>
    <xf numFmtId="165" fontId="90" fillId="0" borderId="14" xfId="35" applyNumberFormat="1" applyFont="1" applyFill="1" applyBorder="1"/>
    <xf numFmtId="165" fontId="90" fillId="17" borderId="0" xfId="35" applyNumberFormat="1" applyFont="1" applyFill="1" applyBorder="1"/>
    <xf numFmtId="165" fontId="90" fillId="0" borderId="0" xfId="52" applyNumberFormat="1" applyFont="1" applyFill="1" applyBorder="1"/>
    <xf numFmtId="165" fontId="90" fillId="0" borderId="18" xfId="0" applyNumberFormat="1" applyFont="1" applyFill="1" applyBorder="1" applyAlignment="1"/>
    <xf numFmtId="165" fontId="90" fillId="0" borderId="20" xfId="0" applyNumberFormat="1" applyFont="1" applyFill="1" applyBorder="1" applyAlignment="1"/>
    <xf numFmtId="164" fontId="90" fillId="0" borderId="18" xfId="0" applyNumberFormat="1" applyFont="1" applyFill="1" applyBorder="1"/>
    <xf numFmtId="164" fontId="90" fillId="0" borderId="15" xfId="0" applyNumberFormat="1" applyFont="1" applyFill="1" applyBorder="1"/>
    <xf numFmtId="0" fontId="91" fillId="0" borderId="14" xfId="0" applyFont="1" applyFill="1" applyBorder="1" applyAlignment="1"/>
    <xf numFmtId="0" fontId="91" fillId="17" borderId="0" xfId="0" applyNumberFormat="1" applyFont="1" applyFill="1" applyBorder="1" applyAlignment="1"/>
    <xf numFmtId="6" fontId="91" fillId="0" borderId="14" xfId="52" applyNumberFormat="1" applyFont="1" applyFill="1" applyBorder="1"/>
    <xf numFmtId="6" fontId="91" fillId="0" borderId="0" xfId="52" applyNumberFormat="1" applyFont="1" applyFill="1" applyBorder="1"/>
    <xf numFmtId="6" fontId="91" fillId="0" borderId="15" xfId="52" applyNumberFormat="1" applyFont="1" applyFill="1" applyBorder="1"/>
    <xf numFmtId="169" fontId="91" fillId="0" borderId="0" xfId="35" applyNumberFormat="1" applyFont="1" applyFill="1" applyBorder="1"/>
    <xf numFmtId="6" fontId="91" fillId="17" borderId="15" xfId="0" applyNumberFormat="1" applyFont="1" applyFill="1" applyBorder="1"/>
    <xf numFmtId="6" fontId="91" fillId="0" borderId="0" xfId="35" applyNumberFormat="1" applyFont="1" applyFill="1" applyBorder="1"/>
    <xf numFmtId="6" fontId="91" fillId="17" borderId="0" xfId="35" applyNumberFormat="1" applyFont="1" applyFill="1" applyBorder="1"/>
    <xf numFmtId="6" fontId="91" fillId="17" borderId="0" xfId="0" applyNumberFormat="1" applyFont="1" applyFill="1" applyBorder="1"/>
    <xf numFmtId="6" fontId="91" fillId="0" borderId="0" xfId="0" applyNumberFormat="1" applyFont="1" applyFill="1" applyBorder="1"/>
    <xf numFmtId="6" fontId="91" fillId="0" borderId="14" xfId="0" applyNumberFormat="1" applyFont="1" applyFill="1" applyBorder="1" applyAlignment="1"/>
    <xf numFmtId="6" fontId="91" fillId="0" borderId="0" xfId="0" applyNumberFormat="1" applyFont="1" applyFill="1" applyBorder="1" applyAlignment="1"/>
    <xf numFmtId="6" fontId="91" fillId="0" borderId="15" xfId="0" applyNumberFormat="1" applyFont="1" applyFill="1" applyBorder="1" applyAlignment="1"/>
    <xf numFmtId="168" fontId="91" fillId="0" borderId="0" xfId="0" applyNumberFormat="1" applyFont="1" applyFill="1" applyBorder="1" applyAlignment="1"/>
    <xf numFmtId="165" fontId="91" fillId="0" borderId="14" xfId="52" applyNumberFormat="1" applyFont="1" applyFill="1" applyBorder="1"/>
    <xf numFmtId="165" fontId="91" fillId="0" borderId="0" xfId="52" applyNumberFormat="1" applyFont="1" applyFill="1" applyBorder="1"/>
    <xf numFmtId="165" fontId="91" fillId="0" borderId="15" xfId="52" applyNumberFormat="1" applyFont="1" applyFill="1" applyBorder="1"/>
    <xf numFmtId="0" fontId="91" fillId="17" borderId="0" xfId="0" applyFont="1" applyFill="1" applyBorder="1"/>
    <xf numFmtId="43" fontId="91" fillId="0" borderId="0" xfId="52" applyNumberFormat="1" applyFont="1" applyFill="1" applyBorder="1"/>
    <xf numFmtId="43" fontId="90" fillId="17" borderId="0" xfId="35" applyNumberFormat="1" applyFont="1" applyFill="1" applyBorder="1"/>
    <xf numFmtId="43" fontId="90" fillId="17" borderId="14" xfId="35" applyNumberFormat="1" applyFont="1" applyFill="1" applyBorder="1"/>
    <xf numFmtId="43" fontId="90" fillId="17" borderId="15" xfId="35" applyNumberFormat="1" applyFont="1" applyFill="1" applyBorder="1"/>
    <xf numFmtId="165" fontId="90" fillId="0" borderId="20" xfId="35" applyNumberFormat="1" applyFont="1" applyFill="1" applyBorder="1"/>
    <xf numFmtId="168" fontId="90" fillId="17" borderId="0" xfId="0" applyNumberFormat="1" applyFont="1" applyFill="1" applyBorder="1" applyAlignment="1"/>
    <xf numFmtId="165" fontId="90" fillId="0" borderId="14" xfId="52" applyNumberFormat="1" applyFont="1" applyFill="1" applyBorder="1"/>
    <xf numFmtId="165" fontId="90" fillId="0" borderId="15" xfId="52" applyNumberFormat="1" applyFont="1" applyFill="1" applyBorder="1"/>
    <xf numFmtId="168" fontId="90" fillId="0" borderId="0" xfId="0" applyNumberFormat="1" applyFont="1" applyFill="1" applyBorder="1" applyAlignment="1"/>
    <xf numFmtId="43" fontId="91" fillId="0" borderId="14" xfId="35" applyFont="1" applyFill="1" applyBorder="1"/>
    <xf numFmtId="43" fontId="91" fillId="0" borderId="0" xfId="35" applyFont="1" applyFill="1" applyBorder="1"/>
    <xf numFmtId="43" fontId="91" fillId="0" borderId="15" xfId="35" applyFont="1" applyFill="1" applyBorder="1"/>
    <xf numFmtId="170" fontId="91" fillId="0" borderId="0" xfId="0" applyNumberFormat="1" applyFont="1" applyFill="1" applyBorder="1"/>
    <xf numFmtId="170" fontId="91" fillId="0" borderId="15" xfId="0" applyNumberFormat="1" applyFont="1" applyFill="1" applyBorder="1"/>
    <xf numFmtId="9" fontId="90" fillId="0" borderId="0" xfId="52" applyNumberFormat="1" applyFont="1" applyFill="1" applyBorder="1"/>
    <xf numFmtId="167" fontId="90" fillId="0" borderId="0" xfId="35" applyNumberFormat="1" applyFont="1" applyFill="1" applyBorder="1" applyAlignment="1">
      <alignment horizontal="right"/>
    </xf>
    <xf numFmtId="167" fontId="90" fillId="0" borderId="15" xfId="35" applyNumberFormat="1" applyFont="1" applyFill="1" applyBorder="1" applyAlignment="1">
      <alignment horizontal="right"/>
    </xf>
    <xf numFmtId="6" fontId="91" fillId="0" borderId="14" xfId="0" applyNumberFormat="1" applyFont="1" applyFill="1" applyBorder="1"/>
    <xf numFmtId="169" fontId="91" fillId="0" borderId="15" xfId="35" applyNumberFormat="1" applyFont="1" applyFill="1" applyBorder="1"/>
    <xf numFmtId="169" fontId="91" fillId="0" borderId="14" xfId="35" applyNumberFormat="1" applyFont="1" applyFill="1" applyBorder="1"/>
    <xf numFmtId="167" fontId="90" fillId="0" borderId="0" xfId="0" applyNumberFormat="1" applyFont="1" applyFill="1" applyBorder="1"/>
    <xf numFmtId="167" fontId="90" fillId="0" borderId="15" xfId="0" applyNumberFormat="1" applyFont="1" applyFill="1" applyBorder="1"/>
    <xf numFmtId="167" fontId="90" fillId="0" borderId="14" xfId="0" applyNumberFormat="1" applyFont="1" applyFill="1" applyBorder="1"/>
    <xf numFmtId="168" fontId="91" fillId="0" borderId="15" xfId="0" applyNumberFormat="1" applyFont="1" applyBorder="1" applyAlignment="1"/>
    <xf numFmtId="0" fontId="91" fillId="21" borderId="0" xfId="0" applyFont="1" applyFill="1" applyBorder="1"/>
    <xf numFmtId="165" fontId="91" fillId="21" borderId="14" xfId="35" applyNumberFormat="1" applyFont="1" applyFill="1" applyBorder="1"/>
    <xf numFmtId="165" fontId="91" fillId="21" borderId="0" xfId="52" applyNumberFormat="1" applyFont="1" applyFill="1" applyBorder="1"/>
    <xf numFmtId="165" fontId="91" fillId="21" borderId="15" xfId="52" applyNumberFormat="1" applyFont="1" applyFill="1" applyBorder="1"/>
    <xf numFmtId="165" fontId="91" fillId="17" borderId="14" xfId="52" applyNumberFormat="1" applyFont="1" applyFill="1" applyBorder="1"/>
    <xf numFmtId="167" fontId="90" fillId="21" borderId="0" xfId="52" applyNumberFormat="1" applyFont="1" applyFill="1" applyBorder="1"/>
    <xf numFmtId="9" fontId="91" fillId="0" borderId="14" xfId="52" applyFont="1" applyFill="1" applyBorder="1"/>
    <xf numFmtId="44" fontId="91" fillId="0" borderId="0" xfId="52" applyNumberFormat="1" applyFont="1" applyFill="1" applyBorder="1"/>
    <xf numFmtId="44" fontId="91" fillId="0" borderId="0" xfId="36" applyNumberFormat="1" applyFont="1" applyFill="1" applyBorder="1"/>
    <xf numFmtId="44" fontId="91" fillId="0" borderId="14" xfId="36" applyNumberFormat="1" applyFont="1" applyFill="1" applyBorder="1"/>
    <xf numFmtId="44" fontId="91" fillId="0" borderId="15" xfId="36" applyNumberFormat="1" applyFont="1" applyFill="1" applyBorder="1"/>
    <xf numFmtId="43" fontId="91" fillId="17" borderId="14" xfId="35" applyNumberFormat="1" applyFont="1" applyFill="1" applyBorder="1"/>
    <xf numFmtId="43" fontId="91" fillId="0" borderId="0" xfId="35" applyNumberFormat="1" applyFont="1" applyFill="1" applyBorder="1"/>
    <xf numFmtId="43" fontId="91" fillId="0" borderId="15" xfId="35" applyNumberFormat="1" applyFont="1" applyFill="1" applyBorder="1"/>
    <xf numFmtId="43" fontId="91" fillId="0" borderId="14" xfId="35" applyNumberFormat="1" applyFont="1" applyFill="1" applyBorder="1"/>
    <xf numFmtId="165" fontId="90" fillId="17" borderId="14" xfId="52" applyNumberFormat="1" applyFont="1" applyFill="1" applyBorder="1"/>
    <xf numFmtId="165" fontId="90" fillId="17" borderId="0" xfId="52" applyNumberFormat="1" applyFont="1" applyFill="1" applyBorder="1"/>
    <xf numFmtId="169" fontId="91" fillId="17" borderId="14" xfId="35" applyNumberFormat="1" applyFont="1" applyFill="1" applyBorder="1"/>
    <xf numFmtId="169" fontId="91" fillId="17" borderId="0" xfId="35" applyNumberFormat="1" applyFont="1" applyFill="1" applyBorder="1"/>
    <xf numFmtId="167" fontId="90" fillId="17" borderId="14" xfId="0" applyNumberFormat="1" applyFont="1" applyFill="1" applyBorder="1"/>
    <xf numFmtId="167" fontId="90" fillId="17" borderId="0" xfId="0" applyNumberFormat="1" applyFont="1" applyFill="1" applyBorder="1"/>
    <xf numFmtId="168" fontId="91" fillId="17" borderId="0" xfId="0" applyNumberFormat="1" applyFont="1" applyFill="1" applyBorder="1" applyAlignment="1"/>
    <xf numFmtId="165" fontId="91" fillId="0" borderId="0" xfId="35" applyNumberFormat="1" applyFont="1" applyBorder="1"/>
    <xf numFmtId="165" fontId="91" fillId="17" borderId="0" xfId="52" applyNumberFormat="1" applyFont="1" applyFill="1" applyBorder="1"/>
    <xf numFmtId="43" fontId="91" fillId="21" borderId="0" xfId="35" applyFont="1" applyFill="1" applyBorder="1"/>
    <xf numFmtId="43" fontId="91" fillId="21" borderId="14" xfId="35" applyFont="1" applyFill="1" applyBorder="1"/>
    <xf numFmtId="43" fontId="91" fillId="17" borderId="0" xfId="35" applyFont="1" applyFill="1" applyBorder="1"/>
    <xf numFmtId="165" fontId="91" fillId="0" borderId="14" xfId="35" applyNumberFormat="1" applyFont="1" applyFill="1" applyBorder="1" applyAlignment="1"/>
    <xf numFmtId="165" fontId="91" fillId="0" borderId="0" xfId="35" applyNumberFormat="1" applyFont="1" applyFill="1" applyBorder="1" applyAlignment="1"/>
    <xf numFmtId="165" fontId="91" fillId="0" borderId="15" xfId="35" applyNumberFormat="1" applyFont="1" applyFill="1" applyBorder="1" applyAlignment="1"/>
    <xf numFmtId="165" fontId="91" fillId="0" borderId="14" xfId="35" applyNumberFormat="1" applyFont="1" applyBorder="1"/>
    <xf numFmtId="43" fontId="90" fillId="0" borderId="14" xfId="35" applyFont="1" applyFill="1" applyBorder="1"/>
    <xf numFmtId="43" fontId="90" fillId="0" borderId="0" xfId="35" applyFont="1" applyFill="1" applyBorder="1"/>
    <xf numFmtId="43" fontId="91" fillId="0" borderId="14" xfId="52" applyNumberFormat="1" applyFont="1" applyFill="1" applyBorder="1"/>
    <xf numFmtId="43" fontId="91" fillId="0" borderId="15" xfId="52" applyNumberFormat="1" applyFont="1" applyFill="1" applyBorder="1"/>
    <xf numFmtId="43" fontId="91" fillId="17" borderId="0" xfId="52" applyNumberFormat="1" applyFont="1" applyFill="1" applyBorder="1"/>
    <xf numFmtId="2" fontId="90" fillId="0" borderId="14" xfId="0" applyNumberFormat="1" applyFont="1" applyFill="1" applyBorder="1"/>
    <xf numFmtId="2" fontId="90" fillId="0" borderId="0" xfId="0" applyNumberFormat="1" applyFont="1" applyFill="1" applyBorder="1"/>
    <xf numFmtId="165" fontId="90" fillId="0" borderId="19" xfId="35" applyNumberFormat="1" applyFont="1" applyFill="1" applyBorder="1"/>
    <xf numFmtId="0" fontId="90" fillId="0" borderId="0" xfId="0" applyFont="1" applyFill="1" applyBorder="1" applyAlignment="1"/>
    <xf numFmtId="165" fontId="90" fillId="0" borderId="18" xfId="35" applyNumberFormat="1" applyFont="1" applyFill="1" applyBorder="1"/>
    <xf numFmtId="0" fontId="90" fillId="17" borderId="18" xfId="0" applyFont="1" applyFill="1" applyBorder="1"/>
    <xf numFmtId="164" fontId="90" fillId="0" borderId="11" xfId="0" applyNumberFormat="1" applyFont="1" applyFill="1" applyBorder="1"/>
    <xf numFmtId="0" fontId="91" fillId="18" borderId="21" xfId="0" applyFont="1" applyFill="1" applyBorder="1" applyAlignment="1"/>
    <xf numFmtId="0" fontId="91" fillId="18" borderId="11" xfId="0" applyFont="1" applyFill="1" applyBorder="1" applyAlignment="1"/>
    <xf numFmtId="0" fontId="91" fillId="18" borderId="13" xfId="0" applyFont="1" applyFill="1" applyBorder="1" applyAlignment="1"/>
    <xf numFmtId="0" fontId="90" fillId="18" borderId="11" xfId="0" applyFont="1" applyFill="1" applyBorder="1"/>
    <xf numFmtId="0" fontId="90" fillId="18" borderId="13" xfId="0" applyFont="1" applyFill="1" applyBorder="1"/>
    <xf numFmtId="0" fontId="90" fillId="18" borderId="16" xfId="0" applyFont="1" applyFill="1" applyBorder="1"/>
    <xf numFmtId="0" fontId="90" fillId="18" borderId="12" xfId="0" applyFont="1" applyFill="1" applyBorder="1"/>
    <xf numFmtId="0" fontId="90" fillId="18" borderId="17" xfId="0" applyFont="1" applyFill="1" applyBorder="1"/>
    <xf numFmtId="0" fontId="90" fillId="18" borderId="0" xfId="0" applyFont="1" applyFill="1" applyBorder="1"/>
    <xf numFmtId="0" fontId="90" fillId="18" borderId="14" xfId="0" applyFont="1" applyFill="1" applyBorder="1"/>
    <xf numFmtId="5" fontId="90" fillId="18" borderId="0" xfId="0" applyNumberFormat="1" applyFont="1" applyFill="1" applyBorder="1"/>
    <xf numFmtId="9" fontId="91" fillId="18" borderId="0" xfId="0" applyNumberFormat="1" applyFont="1" applyFill="1" applyBorder="1"/>
    <xf numFmtId="0" fontId="90" fillId="18" borderId="15" xfId="0" applyFont="1" applyFill="1" applyBorder="1"/>
    <xf numFmtId="0" fontId="90" fillId="18" borderId="19" xfId="0" applyFont="1" applyFill="1" applyBorder="1"/>
    <xf numFmtId="0" fontId="90" fillId="0" borderId="20" xfId="0" applyFont="1" applyFill="1" applyBorder="1"/>
    <xf numFmtId="0" fontId="90" fillId="0" borderId="18" xfId="0" applyFont="1" applyFill="1" applyBorder="1"/>
    <xf numFmtId="0" fontId="90" fillId="0" borderId="18" xfId="0" applyNumberFormat="1" applyFont="1" applyFill="1" applyBorder="1" applyAlignment="1"/>
    <xf numFmtId="167" fontId="90" fillId="0" borderId="18" xfId="0" applyNumberFormat="1" applyFont="1" applyFill="1" applyBorder="1"/>
    <xf numFmtId="0" fontId="90" fillId="0" borderId="19" xfId="0" applyFont="1" applyFill="1" applyBorder="1"/>
    <xf numFmtId="5" fontId="91" fillId="0" borderId="14" xfId="0" applyNumberFormat="1" applyFont="1" applyFill="1" applyBorder="1"/>
    <xf numFmtId="5" fontId="91" fillId="0" borderId="15" xfId="0" applyNumberFormat="1" applyFont="1" applyFill="1" applyBorder="1"/>
    <xf numFmtId="5" fontId="91" fillId="0" borderId="19" xfId="0" applyNumberFormat="1" applyFont="1" applyFill="1" applyBorder="1"/>
    <xf numFmtId="5" fontId="91" fillId="0" borderId="20" xfId="0" applyNumberFormat="1" applyFont="1" applyFill="1" applyBorder="1"/>
    <xf numFmtId="169" fontId="91" fillId="0" borderId="14" xfId="0" applyNumberFormat="1" applyFont="1" applyFill="1" applyBorder="1" applyAlignment="1"/>
    <xf numFmtId="169" fontId="91" fillId="0" borderId="0" xfId="0" applyNumberFormat="1" applyFont="1" applyFill="1" applyBorder="1" applyAlignment="1"/>
    <xf numFmtId="168" fontId="90" fillId="0" borderId="15" xfId="0" applyNumberFormat="1" applyFont="1" applyFill="1" applyBorder="1" applyAlignment="1"/>
    <xf numFmtId="168" fontId="91" fillId="0" borderId="15" xfId="0" applyNumberFormat="1" applyFont="1" applyFill="1" applyBorder="1" applyAlignment="1"/>
    <xf numFmtId="9" fontId="90" fillId="0" borderId="14" xfId="52" applyNumberFormat="1" applyFont="1" applyFill="1" applyBorder="1"/>
    <xf numFmtId="9" fontId="90" fillId="0" borderId="15" xfId="52" applyNumberFormat="1" applyFont="1" applyFill="1" applyBorder="1"/>
    <xf numFmtId="43" fontId="91" fillId="17" borderId="0" xfId="35" applyNumberFormat="1" applyFont="1" applyFill="1" applyBorder="1"/>
    <xf numFmtId="43" fontId="91" fillId="17" borderId="15" xfId="35" applyNumberFormat="1" applyFont="1" applyFill="1" applyBorder="1"/>
    <xf numFmtId="170" fontId="91" fillId="0" borderId="14" xfId="0" applyNumberFormat="1" applyFont="1" applyFill="1" applyBorder="1"/>
    <xf numFmtId="165" fontId="79" fillId="17" borderId="0" xfId="0" applyNumberFormat="1" applyFont="1" applyFill="1" applyBorder="1" applyAlignment="1"/>
    <xf numFmtId="165" fontId="79" fillId="0" borderId="0" xfId="0" applyNumberFormat="1" applyFont="1" applyFill="1" applyBorder="1" applyAlignment="1"/>
    <xf numFmtId="0" fontId="89" fillId="17" borderId="0" xfId="0" applyFont="1" applyFill="1" applyBorder="1"/>
    <xf numFmtId="167" fontId="86" fillId="17" borderId="15" xfId="52" applyNumberFormat="1" applyFont="1" applyFill="1" applyBorder="1" applyAlignment="1"/>
    <xf numFmtId="0" fontId="89" fillId="17" borderId="15" xfId="0" applyFont="1" applyFill="1" applyBorder="1"/>
    <xf numFmtId="167" fontId="86" fillId="17" borderId="0" xfId="52" applyNumberFormat="1" applyFont="1" applyFill="1" applyBorder="1"/>
    <xf numFmtId="0" fontId="89" fillId="0" borderId="0" xfId="0" applyFont="1" applyFill="1" applyBorder="1"/>
    <xf numFmtId="0" fontId="86" fillId="17" borderId="14" xfId="0" applyNumberFormat="1" applyFont="1" applyFill="1" applyBorder="1" applyAlignment="1"/>
    <xf numFmtId="0" fontId="86" fillId="17" borderId="0" xfId="0" applyNumberFormat="1" applyFont="1" applyFill="1" applyBorder="1" applyAlignment="1"/>
    <xf numFmtId="0" fontId="86" fillId="17" borderId="15" xfId="0" applyNumberFormat="1" applyFont="1" applyFill="1" applyBorder="1" applyAlignment="1"/>
    <xf numFmtId="0" fontId="89" fillId="0" borderId="0" xfId="0" applyFont="1" applyBorder="1"/>
    <xf numFmtId="167" fontId="89" fillId="17" borderId="14" xfId="52" applyNumberFormat="1" applyFont="1" applyFill="1" applyBorder="1" applyAlignment="1"/>
    <xf numFmtId="167" fontId="89" fillId="17" borderId="0" xfId="52" applyNumberFormat="1" applyFont="1" applyFill="1" applyBorder="1" applyAlignment="1"/>
    <xf numFmtId="167" fontId="89" fillId="0" borderId="0" xfId="52" applyNumberFormat="1" applyFont="1" applyFill="1" applyBorder="1" applyAlignment="1"/>
    <xf numFmtId="167" fontId="89" fillId="0" borderId="14" xfId="52" applyNumberFormat="1" applyFont="1" applyFill="1" applyBorder="1" applyAlignment="1"/>
    <xf numFmtId="167" fontId="89" fillId="0" borderId="15" xfId="52" applyNumberFormat="1" applyFont="1" applyFill="1" applyBorder="1" applyAlignment="1"/>
    <xf numFmtId="0" fontId="86" fillId="17" borderId="0" xfId="0" applyFont="1" applyFill="1" applyBorder="1"/>
    <xf numFmtId="0" fontId="86" fillId="17" borderId="15" xfId="0" applyFont="1" applyFill="1" applyBorder="1"/>
    <xf numFmtId="167" fontId="89" fillId="0" borderId="0" xfId="52" applyNumberFormat="1" applyFont="1" applyFill="1" applyBorder="1" applyAlignment="1">
      <alignment horizontal="right"/>
    </xf>
    <xf numFmtId="0" fontId="86" fillId="0" borderId="0" xfId="0" applyFont="1" applyFill="1" applyBorder="1"/>
    <xf numFmtId="0" fontId="86" fillId="0" borderId="0" xfId="0" applyNumberFormat="1" applyFont="1" applyFill="1" applyBorder="1" applyAlignment="1"/>
    <xf numFmtId="8" fontId="82" fillId="17" borderId="0" xfId="0" applyNumberFormat="1" applyFont="1" applyFill="1" applyBorder="1"/>
    <xf numFmtId="8" fontId="82" fillId="17" borderId="15" xfId="0" applyNumberFormat="1" applyFont="1" applyFill="1" applyBorder="1"/>
    <xf numFmtId="0" fontId="82" fillId="17" borderId="14" xfId="0" applyFont="1" applyFill="1" applyBorder="1" applyAlignment="1"/>
    <xf numFmtId="0" fontId="82" fillId="17" borderId="0" xfId="0" applyFont="1" applyFill="1" applyBorder="1" applyAlignment="1"/>
    <xf numFmtId="0" fontId="82" fillId="17" borderId="15" xfId="0" applyFont="1" applyFill="1" applyBorder="1" applyAlignment="1"/>
    <xf numFmtId="176" fontId="82" fillId="17" borderId="0" xfId="0" applyNumberFormat="1" applyFont="1" applyFill="1" applyBorder="1"/>
    <xf numFmtId="165" fontId="82" fillId="17" borderId="15" xfId="0" applyNumberFormat="1" applyFont="1" applyFill="1" applyBorder="1"/>
    <xf numFmtId="165" fontId="82" fillId="0" borderId="0" xfId="0" applyNumberFormat="1" applyFont="1" applyFill="1" applyBorder="1"/>
    <xf numFmtId="165" fontId="82" fillId="0" borderId="14" xfId="0" applyNumberFormat="1" applyFont="1" applyFill="1" applyBorder="1"/>
    <xf numFmtId="165" fontId="82" fillId="17" borderId="14" xfId="0" applyNumberFormat="1" applyFont="1" applyFill="1" applyBorder="1" applyProtection="1">
      <protection locked="0"/>
    </xf>
    <xf numFmtId="165" fontId="79" fillId="17" borderId="15" xfId="0" applyNumberFormat="1" applyFont="1" applyFill="1" applyBorder="1"/>
    <xf numFmtId="0" fontId="79" fillId="0" borderId="0" xfId="0" applyFont="1"/>
    <xf numFmtId="164" fontId="82" fillId="0" borderId="0" xfId="0" applyNumberFormat="1" applyFont="1" applyFill="1" applyBorder="1"/>
    <xf numFmtId="164" fontId="3" fillId="0" borderId="0" xfId="0" applyNumberFormat="1" applyFont="1" applyFill="1" applyBorder="1"/>
    <xf numFmtId="0" fontId="5" fillId="17" borderId="14" xfId="0" quotePrefix="1" applyFont="1" applyFill="1" applyBorder="1" applyAlignment="1"/>
    <xf numFmtId="4" fontId="5" fillId="0" borderId="0" xfId="52" applyNumberFormat="1" applyFont="1" applyFill="1"/>
    <xf numFmtId="4" fontId="3" fillId="0" borderId="0" xfId="0" applyNumberFormat="1" applyFont="1" applyFill="1"/>
    <xf numFmtId="167" fontId="79" fillId="0" borderId="0" xfId="52" applyNumberFormat="1" applyFont="1" applyBorder="1"/>
    <xf numFmtId="9" fontId="82" fillId="17" borderId="0" xfId="52" applyNumberFormat="1" applyFont="1" applyFill="1" applyBorder="1"/>
    <xf numFmtId="169" fontId="5" fillId="0" borderId="14" xfId="0" applyNumberFormat="1" applyFont="1" applyFill="1" applyBorder="1"/>
    <xf numFmtId="169" fontId="5" fillId="0" borderId="0" xfId="0" applyNumberFormat="1" applyFont="1" applyFill="1" applyBorder="1"/>
    <xf numFmtId="169" fontId="5" fillId="0" borderId="15" xfId="0" applyNumberFormat="1" applyFont="1" applyFill="1" applyBorder="1"/>
    <xf numFmtId="165" fontId="10" fillId="0" borderId="14" xfId="52" applyNumberFormat="1" applyFont="1" applyFill="1" applyBorder="1"/>
    <xf numFmtId="165" fontId="10" fillId="0" borderId="0" xfId="52" applyNumberFormat="1" applyFont="1" applyFill="1" applyBorder="1"/>
    <xf numFmtId="165" fontId="10" fillId="0" borderId="15" xfId="52" applyNumberFormat="1" applyFont="1" applyFill="1" applyBorder="1"/>
    <xf numFmtId="165" fontId="87" fillId="0" borderId="15" xfId="52" applyNumberFormat="1" applyFont="1" applyFill="1" applyBorder="1"/>
    <xf numFmtId="165" fontId="87" fillId="0" borderId="0" xfId="52" applyNumberFormat="1" applyFont="1" applyFill="1" applyBorder="1"/>
    <xf numFmtId="43" fontId="10" fillId="0" borderId="14" xfId="52" applyNumberFormat="1" applyFont="1" applyFill="1" applyBorder="1"/>
    <xf numFmtId="43" fontId="12" fillId="0" borderId="0" xfId="35" applyFont="1" applyFill="1" applyBorder="1"/>
    <xf numFmtId="43" fontId="12" fillId="0" borderId="15" xfId="35" applyFont="1" applyFill="1" applyBorder="1"/>
    <xf numFmtId="43" fontId="12" fillId="0" borderId="14" xfId="35" applyFont="1" applyFill="1" applyBorder="1"/>
    <xf numFmtId="43" fontId="12" fillId="17" borderId="0" xfId="35" applyFont="1" applyFill="1" applyBorder="1"/>
    <xf numFmtId="43" fontId="79" fillId="0" borderId="14" xfId="52" applyNumberFormat="1" applyFont="1" applyFill="1" applyBorder="1"/>
    <xf numFmtId="43" fontId="79" fillId="0" borderId="0" xfId="35" applyFont="1" applyFill="1" applyBorder="1"/>
    <xf numFmtId="43" fontId="79" fillId="0" borderId="15" xfId="35" applyFont="1" applyFill="1" applyBorder="1"/>
    <xf numFmtId="43" fontId="79" fillId="0" borderId="14" xfId="35" applyFont="1" applyFill="1" applyBorder="1"/>
    <xf numFmtId="169" fontId="79" fillId="0" borderId="0" xfId="0" applyNumberFormat="1" applyFont="1" applyFill="1" applyBorder="1"/>
    <xf numFmtId="165" fontId="5" fillId="0" borderId="14" xfId="52" applyNumberFormat="1" applyFont="1" applyFill="1" applyBorder="1"/>
    <xf numFmtId="165" fontId="5" fillId="17" borderId="14" xfId="52" applyNumberFormat="1" applyFont="1" applyFill="1" applyBorder="1"/>
    <xf numFmtId="165" fontId="87" fillId="0" borderId="14" xfId="52" applyNumberFormat="1" applyFont="1" applyFill="1" applyBorder="1"/>
    <xf numFmtId="165" fontId="10" fillId="17" borderId="14" xfId="52" applyNumberFormat="1" applyFont="1" applyFill="1" applyBorder="1"/>
    <xf numFmtId="187" fontId="73" fillId="0" borderId="14" xfId="0" applyNumberFormat="1" applyFont="1" applyFill="1" applyBorder="1" applyAlignment="1">
      <alignment horizontal="right"/>
    </xf>
    <xf numFmtId="9" fontId="79" fillId="17" borderId="0" xfId="35" applyNumberFormat="1" applyFont="1" applyFill="1" applyBorder="1"/>
    <xf numFmtId="10" fontId="3" fillId="0" borderId="0" xfId="52" applyNumberFormat="1" applyFont="1"/>
    <xf numFmtId="9" fontId="5" fillId="0" borderId="0" xfId="0" applyNumberFormat="1" applyFont="1" applyFill="1" applyBorder="1" applyAlignment="1"/>
    <xf numFmtId="7" fontId="3" fillId="0" borderId="0" xfId="52" applyNumberFormat="1" applyFont="1"/>
    <xf numFmtId="0" fontId="90" fillId="0" borderId="15" xfId="0" applyFont="1" applyBorder="1"/>
    <xf numFmtId="0" fontId="90" fillId="0" borderId="14" xfId="0" applyFont="1" applyBorder="1"/>
    <xf numFmtId="0" fontId="90" fillId="0" borderId="15" xfId="0" applyNumberFormat="1" applyFont="1" applyFill="1" applyBorder="1" applyAlignment="1"/>
    <xf numFmtId="164" fontId="79" fillId="17" borderId="0" xfId="0" applyNumberFormat="1" applyFont="1" applyFill="1" applyBorder="1"/>
    <xf numFmtId="165" fontId="79" fillId="0" borderId="0" xfId="0" applyNumberFormat="1" applyFont="1" applyBorder="1"/>
    <xf numFmtId="3" fontId="5" fillId="0" borderId="0" xfId="52" applyNumberFormat="1" applyFont="1" applyFill="1"/>
    <xf numFmtId="172" fontId="74" fillId="0" borderId="14" xfId="0" applyNumberFormat="1" applyFont="1" applyFill="1" applyBorder="1"/>
    <xf numFmtId="172" fontId="70" fillId="0" borderId="0" xfId="0" applyNumberFormat="1" applyFont="1" applyFill="1" applyBorder="1"/>
    <xf numFmtId="172" fontId="70" fillId="0" borderId="15" xfId="0" applyNumberFormat="1" applyFont="1" applyFill="1" applyBorder="1"/>
    <xf numFmtId="172" fontId="3" fillId="0" borderId="14" xfId="0" applyNumberFormat="1" applyFont="1" applyFill="1" applyBorder="1"/>
    <xf numFmtId="172" fontId="3" fillId="0" borderId="0" xfId="0" applyNumberFormat="1" applyFont="1" applyFill="1" applyBorder="1"/>
    <xf numFmtId="172" fontId="3" fillId="0" borderId="15" xfId="0" applyNumberFormat="1" applyFont="1" applyFill="1" applyBorder="1"/>
    <xf numFmtId="165" fontId="87" fillId="0" borderId="0" xfId="0" applyNumberFormat="1" applyFont="1" applyFill="1" applyBorder="1"/>
    <xf numFmtId="1" fontId="5" fillId="0" borderId="11" xfId="0" applyNumberFormat="1" applyFont="1" applyBorder="1"/>
    <xf numFmtId="43" fontId="5" fillId="0" borderId="14" xfId="35" applyFont="1" applyFill="1" applyBorder="1" applyAlignment="1"/>
    <xf numFmtId="9" fontId="3" fillId="0" borderId="0" xfId="0" applyNumberFormat="1" applyFont="1" applyFill="1"/>
    <xf numFmtId="9" fontId="82" fillId="0" borderId="0" xfId="35" applyNumberFormat="1" applyFont="1" applyFill="1" applyBorder="1"/>
    <xf numFmtId="9" fontId="82" fillId="0" borderId="15" xfId="35" applyNumberFormat="1" applyFont="1" applyFill="1" applyBorder="1"/>
    <xf numFmtId="9" fontId="82" fillId="0" borderId="14" xfId="0" applyNumberFormat="1" applyFont="1" applyFill="1" applyBorder="1"/>
    <xf numFmtId="9" fontId="82" fillId="0" borderId="15" xfId="0" applyNumberFormat="1" applyFont="1" applyFill="1" applyBorder="1"/>
    <xf numFmtId="3" fontId="79" fillId="17" borderId="0" xfId="0" applyNumberFormat="1" applyFont="1" applyFill="1" applyBorder="1"/>
    <xf numFmtId="3" fontId="79" fillId="17" borderId="15" xfId="0" applyNumberFormat="1" applyFont="1" applyFill="1" applyBorder="1"/>
    <xf numFmtId="9" fontId="5" fillId="0" borderId="0" xfId="0" applyNumberFormat="1" applyFont="1" applyBorder="1"/>
    <xf numFmtId="9" fontId="79" fillId="17" borderId="15" xfId="52" applyNumberFormat="1" applyFont="1" applyFill="1" applyBorder="1" applyAlignment="1"/>
    <xf numFmtId="3" fontId="79" fillId="0" borderId="0" xfId="52" applyNumberFormat="1" applyFont="1" applyFill="1" applyBorder="1" applyAlignment="1"/>
    <xf numFmtId="3" fontId="79" fillId="0" borderId="15" xfId="52" applyNumberFormat="1" applyFont="1" applyFill="1" applyBorder="1" applyAlignment="1"/>
    <xf numFmtId="3" fontId="82" fillId="0" borderId="0" xfId="52" applyNumberFormat="1" applyFont="1" applyFill="1" applyBorder="1" applyAlignment="1"/>
    <xf numFmtId="3" fontId="82" fillId="0" borderId="15" xfId="52" applyNumberFormat="1" applyFont="1" applyFill="1" applyBorder="1" applyAlignment="1"/>
    <xf numFmtId="8" fontId="5" fillId="0" borderId="0" xfId="0" applyNumberFormat="1" applyFont="1" applyFill="1" applyBorder="1" applyAlignment="1"/>
    <xf numFmtId="3" fontId="19" fillId="17" borderId="0" xfId="0" applyNumberFormat="1" applyFont="1" applyFill="1" applyBorder="1"/>
    <xf numFmtId="3" fontId="19" fillId="17" borderId="15" xfId="0" applyNumberFormat="1" applyFont="1" applyFill="1" applyBorder="1"/>
    <xf numFmtId="3" fontId="19" fillId="17" borderId="14" xfId="0" applyNumberFormat="1" applyFont="1" applyFill="1" applyBorder="1"/>
    <xf numFmtId="3" fontId="5" fillId="0" borderId="11" xfId="0" applyNumberFormat="1" applyFont="1" applyBorder="1"/>
    <xf numFmtId="2" fontId="0" fillId="0" borderId="0" xfId="0" applyNumberFormat="1"/>
    <xf numFmtId="166" fontId="0" fillId="0" borderId="0" xfId="0" applyNumberFormat="1"/>
    <xf numFmtId="165" fontId="68" fillId="0" borderId="0" xfId="0" applyNumberFormat="1" applyFont="1" applyFill="1" applyBorder="1"/>
    <xf numFmtId="165" fontId="5" fillId="19" borderId="18" xfId="35" quotePrefix="1" applyNumberFormat="1" applyFont="1" applyFill="1" applyBorder="1" applyAlignment="1">
      <alignment horizontal="right"/>
    </xf>
    <xf numFmtId="9" fontId="24" fillId="0" borderId="0" xfId="52" quotePrefix="1" applyFont="1" applyFill="1" applyBorder="1" applyAlignment="1">
      <alignment horizontal="right"/>
    </xf>
    <xf numFmtId="43" fontId="5" fillId="0" borderId="14" xfId="0" applyNumberFormat="1" applyFont="1" applyFill="1" applyBorder="1"/>
    <xf numFmtId="2" fontId="5" fillId="0" borderId="14" xfId="0" applyNumberFormat="1" applyFont="1" applyFill="1" applyBorder="1" applyAlignment="1"/>
    <xf numFmtId="2" fontId="5" fillId="0" borderId="0" xfId="0" applyNumberFormat="1" applyFont="1" applyFill="1" applyBorder="1" applyAlignment="1"/>
    <xf numFmtId="1" fontId="5" fillId="0" borderId="14" xfId="0" applyNumberFormat="1" applyFont="1" applyFill="1" applyBorder="1"/>
    <xf numFmtId="1" fontId="5" fillId="0" borderId="0" xfId="0" applyNumberFormat="1" applyFont="1" applyFill="1" applyBorder="1"/>
    <xf numFmtId="190" fontId="5" fillId="17" borderId="0" xfId="0" applyNumberFormat="1" applyFont="1" applyFill="1" applyBorder="1" applyAlignment="1"/>
    <xf numFmtId="3" fontId="3" fillId="0" borderId="0" xfId="52" applyNumberFormat="1" applyFont="1" applyFill="1"/>
    <xf numFmtId="9" fontId="10" fillId="0" borderId="0" xfId="52" quotePrefix="1" applyFont="1" applyFill="1" applyBorder="1"/>
    <xf numFmtId="10" fontId="80" fillId="17" borderId="0" xfId="52" applyNumberFormat="1" applyFont="1" applyFill="1" applyBorder="1" applyAlignment="1"/>
    <xf numFmtId="167" fontId="8" fillId="0" borderId="0" xfId="52" applyNumberFormat="1" applyFont="1" applyFill="1" applyBorder="1" applyAlignment="1"/>
    <xf numFmtId="187" fontId="79" fillId="0" borderId="14" xfId="0" applyNumberFormat="1" applyFont="1" applyFill="1" applyBorder="1"/>
    <xf numFmtId="9" fontId="79" fillId="0" borderId="0" xfId="35" applyNumberFormat="1" applyFont="1" applyFill="1" applyBorder="1"/>
    <xf numFmtId="9" fontId="79" fillId="0" borderId="15" xfId="35" applyNumberFormat="1" applyFont="1" applyFill="1" applyBorder="1"/>
    <xf numFmtId="9" fontId="79" fillId="0" borderId="14" xfId="0" applyNumberFormat="1" applyFont="1" applyFill="1" applyBorder="1"/>
    <xf numFmtId="9" fontId="79" fillId="0" borderId="0" xfId="0" applyNumberFormat="1" applyFont="1" applyFill="1" applyBorder="1"/>
    <xf numFmtId="9" fontId="79" fillId="0" borderId="15" xfId="0" applyNumberFormat="1" applyFont="1" applyFill="1" applyBorder="1"/>
    <xf numFmtId="164" fontId="3" fillId="0" borderId="0" xfId="52" applyNumberFormat="1" applyFont="1" applyFill="1" applyBorder="1"/>
    <xf numFmtId="165" fontId="79" fillId="0" borderId="0" xfId="0" applyNumberFormat="1" applyFont="1" applyFill="1" applyBorder="1"/>
    <xf numFmtId="167" fontId="79" fillId="0" borderId="0" xfId="52" applyNumberFormat="1" applyFont="1" applyFill="1" applyBorder="1"/>
    <xf numFmtId="167" fontId="79" fillId="0" borderId="15" xfId="52" applyNumberFormat="1" applyFont="1" applyFill="1" applyBorder="1"/>
    <xf numFmtId="3" fontId="85" fillId="0" borderId="0" xfId="0" applyNumberFormat="1" applyFont="1" applyFill="1" applyBorder="1"/>
    <xf numFmtId="4" fontId="79" fillId="17" borderId="0" xfId="0" applyNumberFormat="1" applyFont="1" applyFill="1" applyBorder="1"/>
    <xf numFmtId="10" fontId="5" fillId="0" borderId="0" xfId="0" applyNumberFormat="1" applyFont="1" applyFill="1" applyBorder="1" applyAlignment="1"/>
    <xf numFmtId="9" fontId="5" fillId="0" borderId="0" xfId="52" applyNumberFormat="1" applyFont="1"/>
    <xf numFmtId="165" fontId="29" fillId="0" borderId="0" xfId="52" applyNumberFormat="1" applyFont="1" applyFill="1" applyBorder="1"/>
    <xf numFmtId="43" fontId="0" fillId="0" borderId="0" xfId="0" applyNumberFormat="1"/>
    <xf numFmtId="9" fontId="82" fillId="17" borderId="0" xfId="52" applyNumberFormat="1" applyFont="1" applyFill="1" applyBorder="1" applyAlignment="1"/>
    <xf numFmtId="4" fontId="3" fillId="0" borderId="0" xfId="0" quotePrefix="1" applyNumberFormat="1" applyFont="1" applyFill="1"/>
    <xf numFmtId="9" fontId="94" fillId="17" borderId="0" xfId="52" applyNumberFormat="1" applyFont="1" applyFill="1" applyBorder="1"/>
    <xf numFmtId="7" fontId="5" fillId="0" borderId="0" xfId="52" applyNumberFormat="1" applyFont="1" applyFill="1"/>
    <xf numFmtId="3" fontId="79" fillId="17" borderId="0" xfId="52" applyNumberFormat="1" applyFont="1" applyFill="1" applyBorder="1" applyAlignment="1">
      <alignment horizontal="center"/>
    </xf>
    <xf numFmtId="9" fontId="79" fillId="17" borderId="15" xfId="52" applyNumberFormat="1" applyFont="1" applyFill="1" applyBorder="1" applyAlignment="1">
      <alignment horizontal="center"/>
    </xf>
    <xf numFmtId="3" fontId="82" fillId="17" borderId="0" xfId="52" applyNumberFormat="1" applyFont="1" applyFill="1" applyBorder="1" applyAlignment="1">
      <alignment horizontal="center"/>
    </xf>
    <xf numFmtId="3" fontId="82" fillId="17" borderId="19" xfId="52" applyNumberFormat="1" applyFont="1" applyFill="1" applyBorder="1" applyAlignment="1">
      <alignment horizontal="center"/>
    </xf>
    <xf numFmtId="165" fontId="71" fillId="0" borderId="0" xfId="35" applyNumberFormat="1" applyFont="1" applyFill="1" applyBorder="1" applyAlignment="1"/>
    <xf numFmtId="165" fontId="79" fillId="0" borderId="15" xfId="35" applyNumberFormat="1" applyFont="1" applyBorder="1" applyAlignment="1"/>
    <xf numFmtId="7" fontId="5" fillId="17" borderId="0" xfId="0" applyNumberFormat="1" applyFont="1" applyFill="1" applyBorder="1" applyAlignment="1"/>
    <xf numFmtId="7" fontId="5" fillId="17" borderId="15" xfId="0" applyNumberFormat="1" applyFont="1" applyFill="1" applyBorder="1" applyAlignment="1"/>
    <xf numFmtId="190" fontId="5" fillId="17" borderId="15" xfId="0" applyNumberFormat="1" applyFont="1" applyFill="1" applyBorder="1" applyAlignment="1"/>
    <xf numFmtId="165" fontId="68" fillId="0" borderId="15" xfId="0" applyNumberFormat="1" applyFont="1" applyFill="1" applyBorder="1"/>
    <xf numFmtId="9" fontId="78" fillId="0" borderId="15" xfId="52" quotePrefix="1" applyNumberFormat="1" applyFont="1" applyFill="1" applyBorder="1" applyAlignment="1">
      <alignment horizontal="right"/>
    </xf>
    <xf numFmtId="9" fontId="5" fillId="0" borderId="15" xfId="0" applyNumberFormat="1" applyFont="1" applyFill="1" applyBorder="1"/>
    <xf numFmtId="165" fontId="12" fillId="21" borderId="0" xfId="35" applyNumberFormat="1" applyFont="1" applyFill="1" applyBorder="1" applyAlignment="1"/>
    <xf numFmtId="167" fontId="12" fillId="0" borderId="14" xfId="52" applyNumberFormat="1" applyFont="1" applyFill="1" applyBorder="1"/>
    <xf numFmtId="9" fontId="82" fillId="0" borderId="14" xfId="35" applyNumberFormat="1" applyFont="1" applyFill="1" applyBorder="1"/>
    <xf numFmtId="3" fontId="85" fillId="0" borderId="14" xfId="0" applyNumberFormat="1" applyFont="1" applyFill="1" applyBorder="1"/>
    <xf numFmtId="165" fontId="12" fillId="21" borderId="14" xfId="0" applyNumberFormat="1" applyFont="1" applyFill="1" applyBorder="1"/>
    <xf numFmtId="165" fontId="5" fillId="21" borderId="14" xfId="0" applyNumberFormat="1" applyFont="1" applyFill="1" applyBorder="1" applyProtection="1">
      <protection locked="0"/>
    </xf>
    <xf numFmtId="172" fontId="0" fillId="0" borderId="0" xfId="0" applyNumberFormat="1"/>
    <xf numFmtId="167" fontId="79" fillId="0" borderId="0" xfId="52" applyNumberFormat="1" applyFont="1" applyFill="1" applyBorder="1" applyAlignment="1">
      <alignment horizontal="right"/>
    </xf>
    <xf numFmtId="167" fontId="79" fillId="0" borderId="15" xfId="52" applyNumberFormat="1" applyFont="1" applyFill="1" applyBorder="1" applyAlignment="1">
      <alignment horizontal="right"/>
    </xf>
    <xf numFmtId="165" fontId="79" fillId="0" borderId="0" xfId="35" applyNumberFormat="1" applyFont="1" applyFill="1" applyBorder="1"/>
    <xf numFmtId="9" fontId="80" fillId="0" borderId="0" xfId="35" applyNumberFormat="1" applyFont="1" applyFill="1" applyBorder="1"/>
    <xf numFmtId="7" fontId="79" fillId="0" borderId="0" xfId="0" applyNumberFormat="1" applyFont="1"/>
    <xf numFmtId="3" fontId="0" fillId="0" borderId="0" xfId="0" applyNumberFormat="1"/>
    <xf numFmtId="167" fontId="82" fillId="17" borderId="0" xfId="35" applyNumberFormat="1" applyFont="1" applyFill="1" applyBorder="1" applyAlignment="1"/>
    <xf numFmtId="167" fontId="82" fillId="17" borderId="15" xfId="35" applyNumberFormat="1" applyFont="1" applyFill="1" applyBorder="1" applyAlignment="1"/>
    <xf numFmtId="169" fontId="9" fillId="0" borderId="0" xfId="0" applyNumberFormat="1" applyFont="1"/>
    <xf numFmtId="1" fontId="0" fillId="0" borderId="0" xfId="0" applyNumberFormat="1" applyBorder="1"/>
    <xf numFmtId="1" fontId="0" fillId="0" borderId="0" xfId="0" applyNumberFormat="1"/>
    <xf numFmtId="3" fontId="0" fillId="0" borderId="0" xfId="0" applyNumberFormat="1" applyBorder="1"/>
    <xf numFmtId="164" fontId="79" fillId="0" borderId="0" xfId="35" applyNumberFormat="1" applyFont="1" applyFill="1" applyBorder="1" applyAlignment="1">
      <alignment horizontal="right"/>
    </xf>
    <xf numFmtId="166" fontId="3" fillId="0" borderId="0" xfId="0" applyNumberFormat="1" applyFont="1" applyFill="1" applyBorder="1"/>
    <xf numFmtId="172" fontId="5" fillId="0" borderId="0" xfId="0" applyNumberFormat="1" applyFont="1" applyFill="1" applyBorder="1" applyAlignment="1"/>
    <xf numFmtId="0" fontId="17" fillId="0" borderId="0" xfId="46"/>
    <xf numFmtId="0" fontId="81" fillId="0" borderId="0" xfId="0" applyFont="1" applyFill="1"/>
    <xf numFmtId="0" fontId="5" fillId="17" borderId="32" xfId="0" applyNumberFormat="1" applyFont="1" applyFill="1" applyBorder="1" applyAlignment="1"/>
    <xf numFmtId="165" fontId="3" fillId="17" borderId="32" xfId="35" applyNumberFormat="1" applyFont="1" applyFill="1" applyBorder="1"/>
    <xf numFmtId="165" fontId="5" fillId="17" borderId="32" xfId="35" applyNumberFormat="1" applyFont="1" applyFill="1" applyBorder="1"/>
    <xf numFmtId="167" fontId="39" fillId="17" borderId="32" xfId="52" applyNumberFormat="1" applyFont="1" applyFill="1" applyBorder="1" applyAlignment="1"/>
    <xf numFmtId="3" fontId="96" fillId="0" borderId="0" xfId="0" applyNumberFormat="1" applyFont="1" applyBorder="1"/>
    <xf numFmtId="3" fontId="96" fillId="0" borderId="0" xfId="0" applyNumberFormat="1" applyFont="1"/>
    <xf numFmtId="165" fontId="5" fillId="0" borderId="32" xfId="0" applyNumberFormat="1" applyFont="1" applyFill="1" applyBorder="1" applyAlignment="1"/>
    <xf numFmtId="165" fontId="3" fillId="19" borderId="32" xfId="35" applyNumberFormat="1" applyFont="1" applyFill="1" applyBorder="1" applyAlignment="1"/>
    <xf numFmtId="165" fontId="5" fillId="17" borderId="32" xfId="35" applyNumberFormat="1" applyFont="1" applyFill="1" applyBorder="1" applyAlignment="1"/>
    <xf numFmtId="0" fontId="5" fillId="0" borderId="32" xfId="0" applyNumberFormat="1" applyFont="1" applyFill="1" applyBorder="1" applyAlignment="1"/>
    <xf numFmtId="165" fontId="3" fillId="0" borderId="32" xfId="0" applyNumberFormat="1" applyFont="1" applyFill="1" applyBorder="1" applyAlignment="1"/>
    <xf numFmtId="165" fontId="5" fillId="0" borderId="32" xfId="0" applyNumberFormat="1" applyFont="1" applyFill="1" applyBorder="1"/>
    <xf numFmtId="165" fontId="3" fillId="0" borderId="32" xfId="0" applyNumberFormat="1" applyFont="1" applyFill="1" applyBorder="1"/>
    <xf numFmtId="0" fontId="89" fillId="0" borderId="32" xfId="0" applyNumberFormat="1" applyFont="1" applyFill="1" applyBorder="1" applyAlignment="1"/>
    <xf numFmtId="165" fontId="89" fillId="0" borderId="32" xfId="0" applyNumberFormat="1" applyFont="1" applyFill="1" applyBorder="1" applyAlignment="1"/>
    <xf numFmtId="165" fontId="86" fillId="0" borderId="32" xfId="0" applyNumberFormat="1" applyFont="1" applyFill="1" applyBorder="1" applyAlignment="1"/>
    <xf numFmtId="165" fontId="89" fillId="0" borderId="32" xfId="0" applyNumberFormat="1" applyFont="1" applyFill="1" applyBorder="1"/>
    <xf numFmtId="165" fontId="86" fillId="0" borderId="32" xfId="0" applyNumberFormat="1" applyFont="1" applyFill="1" applyBorder="1"/>
    <xf numFmtId="165" fontId="91" fillId="0" borderId="32" xfId="0" applyNumberFormat="1" applyFont="1" applyFill="1" applyBorder="1" applyAlignment="1"/>
    <xf numFmtId="167" fontId="92" fillId="17" borderId="32" xfId="52" applyNumberFormat="1" applyFont="1" applyFill="1" applyBorder="1" applyAlignment="1"/>
    <xf numFmtId="165" fontId="90" fillId="0" borderId="32" xfId="0" applyNumberFormat="1" applyFont="1" applyFill="1" applyBorder="1" applyAlignment="1"/>
    <xf numFmtId="167" fontId="39" fillId="17" borderId="32" xfId="0" applyNumberFormat="1" applyFont="1" applyFill="1" applyBorder="1"/>
    <xf numFmtId="167" fontId="46" fillId="0" borderId="32" xfId="0" applyNumberFormat="1" applyFont="1" applyFill="1" applyBorder="1"/>
    <xf numFmtId="167" fontId="46" fillId="17" borderId="32" xfId="0" applyNumberFormat="1" applyFont="1" applyFill="1" applyBorder="1" applyAlignment="1"/>
    <xf numFmtId="165" fontId="82" fillId="17" borderId="32" xfId="0" applyNumberFormat="1" applyFont="1" applyFill="1" applyBorder="1"/>
    <xf numFmtId="165" fontId="3" fillId="17" borderId="32" xfId="0" applyNumberFormat="1" applyFont="1" applyFill="1" applyBorder="1"/>
    <xf numFmtId="165" fontId="5" fillId="17" borderId="32" xfId="0" applyNumberFormat="1" applyFont="1" applyFill="1" applyBorder="1"/>
    <xf numFmtId="7" fontId="5" fillId="0" borderId="32" xfId="0" applyNumberFormat="1" applyFont="1" applyFill="1" applyBorder="1"/>
    <xf numFmtId="7" fontId="3" fillId="19" borderId="32" xfId="0" applyNumberFormat="1" applyFont="1" applyFill="1" applyBorder="1" applyAlignment="1"/>
    <xf numFmtId="187" fontId="9" fillId="0" borderId="0" xfId="0" applyNumberFormat="1" applyFont="1"/>
    <xf numFmtId="9" fontId="97" fillId="0" borderId="32" xfId="0" applyNumberFormat="1" applyFont="1" applyFill="1" applyBorder="1" applyAlignment="1"/>
    <xf numFmtId="7" fontId="96" fillId="17" borderId="0" xfId="0" applyNumberFormat="1" applyFont="1" applyFill="1" applyBorder="1" applyAlignment="1"/>
    <xf numFmtId="7" fontId="96" fillId="17" borderId="15" xfId="0" applyNumberFormat="1" applyFont="1" applyFill="1" applyBorder="1" applyAlignment="1"/>
    <xf numFmtId="9" fontId="3" fillId="17" borderId="0" xfId="35" applyNumberFormat="1" applyFont="1" applyFill="1" applyBorder="1" applyAlignment="1"/>
    <xf numFmtId="167" fontId="5" fillId="17" borderId="0" xfId="35" applyNumberFormat="1" applyFont="1" applyFill="1" applyBorder="1"/>
    <xf numFmtId="9" fontId="5" fillId="0" borderId="0" xfId="35" applyNumberFormat="1" applyFont="1" applyFill="1" applyBorder="1"/>
    <xf numFmtId="176" fontId="28" fillId="0" borderId="0" xfId="35" applyNumberFormat="1" applyFont="1" applyBorder="1"/>
    <xf numFmtId="17" fontId="75" fillId="16" borderId="14" xfId="0" applyNumberFormat="1" applyFont="1" applyFill="1" applyBorder="1" applyAlignment="1">
      <alignment horizontal="right"/>
    </xf>
    <xf numFmtId="165" fontId="12" fillId="21" borderId="0" xfId="0" applyNumberFormat="1" applyFont="1" applyFill="1" applyBorder="1"/>
    <xf numFmtId="165" fontId="0" fillId="0" borderId="18" xfId="0" applyNumberFormat="1" applyBorder="1"/>
    <xf numFmtId="165" fontId="10" fillId="23" borderId="0" xfId="0" applyNumberFormat="1" applyFont="1" applyFill="1" applyBorder="1" applyAlignment="1"/>
    <xf numFmtId="165" fontId="5" fillId="21" borderId="0" xfId="0" applyNumberFormat="1" applyFont="1" applyFill="1" applyBorder="1" applyProtection="1">
      <protection locked="0"/>
    </xf>
    <xf numFmtId="169" fontId="74" fillId="0" borderId="0" xfId="0" applyNumberFormat="1" applyFont="1" applyFill="1" applyBorder="1"/>
    <xf numFmtId="172" fontId="74" fillId="0" borderId="0" xfId="0" applyNumberFormat="1" applyFont="1" applyFill="1" applyBorder="1"/>
    <xf numFmtId="176" fontId="3" fillId="17" borderId="0" xfId="35" applyNumberFormat="1" applyFont="1" applyFill="1" applyBorder="1"/>
    <xf numFmtId="165" fontId="12" fillId="24" borderId="0" xfId="35" applyNumberFormat="1" applyFont="1" applyFill="1" applyBorder="1"/>
    <xf numFmtId="165" fontId="12" fillId="22" borderId="0" xfId="35" applyNumberFormat="1" applyFont="1" applyFill="1" applyBorder="1"/>
    <xf numFmtId="187" fontId="73" fillId="0" borderId="0" xfId="0" applyNumberFormat="1" applyFont="1" applyFill="1" applyBorder="1" applyAlignment="1">
      <alignment horizontal="right"/>
    </xf>
    <xf numFmtId="0" fontId="4" fillId="0" borderId="21" xfId="0" applyFont="1" applyFill="1" applyBorder="1" applyAlignment="1">
      <alignment horizontal="center"/>
    </xf>
    <xf numFmtId="0" fontId="4" fillId="0" borderId="11" xfId="0" applyFont="1" applyFill="1" applyBorder="1" applyAlignment="1">
      <alignment horizontal="center"/>
    </xf>
    <xf numFmtId="0" fontId="4" fillId="0" borderId="13" xfId="0" applyFont="1" applyFill="1" applyBorder="1" applyAlignment="1">
      <alignment horizontal="center"/>
    </xf>
    <xf numFmtId="0" fontId="2" fillId="16" borderId="21" xfId="0" applyNumberFormat="1" applyFont="1" applyFill="1" applyBorder="1" applyAlignment="1">
      <alignment horizontal="center"/>
    </xf>
    <xf numFmtId="0" fontId="2" fillId="16" borderId="11" xfId="0" applyNumberFormat="1" applyFont="1" applyFill="1" applyBorder="1" applyAlignment="1">
      <alignment horizontal="center"/>
    </xf>
    <xf numFmtId="0" fontId="2" fillId="16" borderId="13" xfId="0" applyNumberFormat="1" applyFont="1" applyFill="1" applyBorder="1" applyAlignment="1">
      <alignment horizontal="center"/>
    </xf>
    <xf numFmtId="0" fontId="75" fillId="16" borderId="21" xfId="0" applyFont="1" applyFill="1" applyBorder="1" applyAlignment="1">
      <alignment horizontal="center"/>
    </xf>
    <xf numFmtId="0" fontId="75" fillId="16" borderId="11" xfId="0" applyFont="1" applyFill="1" applyBorder="1" applyAlignment="1">
      <alignment horizontal="center"/>
    </xf>
    <xf numFmtId="0" fontId="75" fillId="16" borderId="13" xfId="0" applyFont="1" applyFill="1" applyBorder="1" applyAlignment="1">
      <alignment horizontal="center"/>
    </xf>
    <xf numFmtId="0" fontId="2" fillId="16" borderId="21" xfId="0" applyFont="1" applyFill="1" applyBorder="1" applyAlignment="1">
      <alignment horizontal="center"/>
    </xf>
    <xf numFmtId="0" fontId="2" fillId="16" borderId="11" xfId="0" applyFont="1" applyFill="1" applyBorder="1" applyAlignment="1">
      <alignment horizontal="center"/>
    </xf>
    <xf numFmtId="0" fontId="2" fillId="16" borderId="13" xfId="0" applyFont="1" applyFill="1" applyBorder="1" applyAlignment="1">
      <alignment horizontal="center"/>
    </xf>
    <xf numFmtId="0" fontId="2" fillId="16" borderId="30" xfId="0" applyFont="1" applyFill="1" applyBorder="1" applyAlignment="1">
      <alignment horizontal="center"/>
    </xf>
    <xf numFmtId="0" fontId="2" fillId="16" borderId="31" xfId="0" applyFont="1" applyFill="1" applyBorder="1" applyAlignment="1">
      <alignment horizontal="center"/>
    </xf>
    <xf numFmtId="0" fontId="17" fillId="25" borderId="0" xfId="121" applyFont="1" applyFill="1" applyAlignment="1">
      <alignment vertical="top"/>
    </xf>
    <xf numFmtId="0" fontId="17" fillId="25" borderId="0" xfId="46" applyFill="1" applyAlignment="1">
      <alignment vertical="top"/>
    </xf>
    <xf numFmtId="0" fontId="17" fillId="25" borderId="0" xfId="46" applyFill="1"/>
    <xf numFmtId="0" fontId="44" fillId="25" borderId="0" xfId="121" applyFont="1" applyFill="1" applyAlignment="1">
      <alignment horizontal="left" vertical="top"/>
    </xf>
    <xf numFmtId="0" fontId="17" fillId="25" borderId="0" xfId="46" applyFont="1" applyFill="1" applyAlignment="1">
      <alignment vertical="top"/>
    </xf>
    <xf numFmtId="0" fontId="98" fillId="25" borderId="0" xfId="121" applyFont="1" applyFill="1" applyAlignment="1">
      <alignment vertical="top"/>
    </xf>
    <xf numFmtId="0" fontId="0" fillId="25" borderId="0" xfId="0" applyFill="1" applyAlignment="1">
      <alignment vertical="top"/>
    </xf>
    <xf numFmtId="0" fontId="111" fillId="25" borderId="0" xfId="0" applyFont="1" applyFill="1" applyAlignment="1">
      <alignment vertical="top"/>
    </xf>
    <xf numFmtId="0" fontId="112" fillId="25" borderId="0" xfId="0" applyFont="1" applyFill="1" applyAlignment="1">
      <alignment vertical="top"/>
    </xf>
    <xf numFmtId="0" fontId="112" fillId="25" borderId="0" xfId="0" applyFont="1" applyFill="1" applyAlignment="1">
      <alignment vertical="top"/>
    </xf>
    <xf numFmtId="0" fontId="111" fillId="25" borderId="0" xfId="0" applyFont="1" applyFill="1" applyAlignment="1">
      <alignment vertical="top"/>
    </xf>
    <xf numFmtId="0" fontId="0" fillId="25" borderId="0" xfId="0" applyFill="1" applyAlignment="1">
      <alignment vertical="top"/>
    </xf>
    <xf numFmtId="0" fontId="0" fillId="25" borderId="37" xfId="0" applyFill="1" applyBorder="1" applyAlignment="1">
      <alignment vertical="top"/>
    </xf>
    <xf numFmtId="0" fontId="111" fillId="25" borderId="33" xfId="0" applyFont="1" applyFill="1" applyBorder="1" applyAlignment="1">
      <alignment vertical="top"/>
    </xf>
    <xf numFmtId="0" fontId="111" fillId="25" borderId="34" xfId="0" applyFont="1" applyFill="1" applyBorder="1" applyAlignment="1">
      <alignment vertical="top"/>
    </xf>
    <xf numFmtId="0" fontId="111" fillId="25" borderId="35" xfId="0" applyFont="1" applyFill="1" applyBorder="1" applyAlignment="1">
      <alignment vertical="top"/>
    </xf>
    <xf numFmtId="0" fontId="111" fillId="25" borderId="36" xfId="0" applyFont="1" applyFill="1" applyBorder="1" applyAlignment="1">
      <alignment vertical="top"/>
    </xf>
    <xf numFmtId="9" fontId="111" fillId="25" borderId="33" xfId="0" applyNumberFormat="1" applyFont="1" applyFill="1" applyBorder="1" applyAlignment="1">
      <alignment vertical="top"/>
    </xf>
    <xf numFmtId="3" fontId="111" fillId="25" borderId="33" xfId="0" applyNumberFormat="1" applyFont="1" applyFill="1" applyBorder="1" applyAlignment="1">
      <alignment vertical="top"/>
    </xf>
    <xf numFmtId="0" fontId="0" fillId="25" borderId="38" xfId="0" applyFill="1" applyBorder="1" applyAlignment="1">
      <alignment vertical="top"/>
    </xf>
    <xf numFmtId="2" fontId="17" fillId="0" borderId="0" xfId="46" applyNumberFormat="1" applyAlignment="1">
      <alignment horizontal="left"/>
    </xf>
    <xf numFmtId="0" fontId="17" fillId="0" borderId="0" xfId="46" applyNumberFormat="1" applyAlignment="1">
      <alignment horizontal="left"/>
    </xf>
    <xf numFmtId="1" fontId="17" fillId="0" borderId="0" xfId="46" applyNumberFormat="1" applyAlignment="1">
      <alignment horizontal="left"/>
    </xf>
    <xf numFmtId="0" fontId="17" fillId="0" borderId="0" xfId="46" applyFont="1"/>
    <xf numFmtId="229" fontId="17" fillId="0" borderId="0" xfId="46" applyNumberFormat="1" applyAlignment="1">
      <alignment horizontal="left"/>
    </xf>
    <xf numFmtId="49" fontId="17" fillId="0" borderId="0" xfId="46" applyNumberFormat="1"/>
  </cellXfs>
  <cellStyles count="122">
    <cellStyle name=" 1" xfId="66"/>
    <cellStyle name=" 1 2" xfId="67"/>
    <cellStyle name="_x000a_386grabber=M" xfId="1"/>
    <cellStyle name="_x000a_386grabber=M 2" xfId="2"/>
    <cellStyle name="?@疾_2332JT3_2313COP2 " xfId="69"/>
    <cellStyle name="_By Technology, Market Share_Copy of Model2018_AAC_(WIP) " xfId="70"/>
    <cellStyle name="_Chartered_Copy of Model2018_AAC_(WIP) " xfId="71"/>
    <cellStyle name="_Chartered_Ichia Model2402_Modelware_Copy of Model2018_AAC_(WIP) " xfId="72"/>
    <cellStyle name="_Chartered_Model_2402(New)_Modelware_Copy of Model2018_AAC_(WIP) " xfId="73"/>
    <cellStyle name="_Chartered_Model_3311(New)_Copy of Model2018_AAC_(WIP) " xfId="74"/>
    <cellStyle name="_Copy of Model2018_AAC_(WIP) " xfId="75"/>
    <cellStyle name="—_GS_Cash " xfId="76"/>
    <cellStyle name="_Ichia Model2402_Modelware_Copy of Model2018_AAC_(WIP) " xfId="77"/>
    <cellStyle name="_LXK_MS_Model_wip" xfId="3"/>
    <cellStyle name="_Model_2402(New)_Modelware_Copy of Model2018_AAC_(WIP) " xfId="78"/>
    <cellStyle name="_Model_3311(New)_Copy of Model2018_AAC_(WIP) " xfId="79"/>
    <cellStyle name="_SUMMARY " xfId="4"/>
    <cellStyle name="_US GAAP_Copy of Model2018_AAC_(WIP) " xfId="80"/>
    <cellStyle name="_Wireline Tel Forecast " xfId="81"/>
    <cellStyle name="0_Capex &amp; Depreciation " xfId="5"/>
    <cellStyle name="0_Copy of Model2018_AAC_(WIP) " xfId="82"/>
    <cellStyle name="0_Handset component data_Copy of Model2018_AAC_(WIP) " xfId="83"/>
    <cellStyle name="0_Valuing BP " xfId="6"/>
    <cellStyle name="0_Vendor revenues_Copy of Model2018_AAC_(WIP) " xfId="84"/>
    <cellStyle name="0_Wireline Tel Forecast " xfId="85"/>
    <cellStyle name="¹eºÐA²_AIAIC°AuCoE² " xfId="86"/>
    <cellStyle name="20% - Accent1" xfId="7" builtinId="30" customBuiltin="1"/>
    <cellStyle name="20% - Accent2" xfId="8" builtinId="34" customBuiltin="1"/>
    <cellStyle name="20% - Accent3" xfId="9" builtinId="38" customBuiltin="1"/>
    <cellStyle name="20% - Accent4" xfId="10" builtinId="42" customBuiltin="1"/>
    <cellStyle name="20% - Accent5" xfId="11" builtinId="46" customBuiltin="1"/>
    <cellStyle name="20% - Accent6" xfId="12" builtinId="50" customBuiltin="1"/>
    <cellStyle name="40% - Accent1" xfId="13" builtinId="31" customBuiltin="1"/>
    <cellStyle name="40% - Accent2" xfId="14" builtinId="35" customBuiltin="1"/>
    <cellStyle name="40% - Accent3" xfId="15" builtinId="39" customBuiltin="1"/>
    <cellStyle name="40% - Accent4" xfId="16" builtinId="43" customBuiltin="1"/>
    <cellStyle name="40% - Accent5" xfId="17" builtinId="47" customBuiltin="1"/>
    <cellStyle name="40% - Accent6" xfId="18" builtinId="51" customBuiltin="1"/>
    <cellStyle name="60% - Accent1" xfId="19" builtinId="32" customBuiltin="1"/>
    <cellStyle name="60% - Accent2" xfId="20" builtinId="36" customBuiltin="1"/>
    <cellStyle name="60% - Accent3" xfId="21" builtinId="40" customBuiltin="1"/>
    <cellStyle name="60% - Accent4" xfId="22" builtinId="44" customBuiltin="1"/>
    <cellStyle name="60% - Accent5" xfId="23" builtinId="48" customBuiltin="1"/>
    <cellStyle name="60% - Accent6" xfId="24" builtinId="52" customBuiltin="1"/>
    <cellStyle name="A¨­￠￢￠O [0]_¨oCAuCoEⓒ÷ " xfId="87"/>
    <cellStyle name="A¨­￠￢￠O_¨oCAuCoEⓒ÷ " xfId="88"/>
    <cellStyle name="Accent1" xfId="25" builtinId="29" customBuiltin="1"/>
    <cellStyle name="Accent2" xfId="26" builtinId="33" customBuiltin="1"/>
    <cellStyle name="Accent3" xfId="27" builtinId="37" customBuiltin="1"/>
    <cellStyle name="Accent4" xfId="28" builtinId="41" customBuiltin="1"/>
    <cellStyle name="Accent5" xfId="29" builtinId="45" customBuiltin="1"/>
    <cellStyle name="Accent6" xfId="30" builtinId="49" customBuiltin="1"/>
    <cellStyle name="AeE­ [0]_¼oAa½CAu " xfId="89"/>
    <cellStyle name="ÅëÈ­ [0]_cover " xfId="90"/>
    <cellStyle name="AeE­ [0]_INQUIRY ¿μ¾÷AßAø " xfId="91"/>
    <cellStyle name="AeE­_¼oAa½CAu " xfId="92"/>
    <cellStyle name="ÅëÈ­_cover " xfId="93"/>
    <cellStyle name="AeE­_INQUIRY ¿μ¾÷AßAø " xfId="94"/>
    <cellStyle name="AeE¡ⓒ [0]_¨oCAuCoEⓒ÷ " xfId="95"/>
    <cellStyle name="AeE¡ⓒ_¨oCAuCoEⓒ÷ " xfId="96"/>
    <cellStyle name="AÞ¸¶ [0]_¼oAa½CAu " xfId="97"/>
    <cellStyle name="ÄÞ¸¶ [0]_cover " xfId="98"/>
    <cellStyle name="AÞ¸¶ [0]_INQUIRY ¿μ¾÷AßAø " xfId="99"/>
    <cellStyle name="AÞ¸¶_¼oAa½CAu " xfId="100"/>
    <cellStyle name="ÄÞ¸¶_cover " xfId="101"/>
    <cellStyle name="AÞ¸¶_INQUIRY ¿μ¾÷AßAø " xfId="102"/>
    <cellStyle name="Bad" xfId="31" builtinId="27" customBuiltin="1"/>
    <cellStyle name="c_HardInc " xfId="32"/>
    <cellStyle name="C¡IA¨ª_¡ic¨u¡A¨￢I¨￢¡Æ AN¡Æe " xfId="103"/>
    <cellStyle name="C￥AØ_  FAB AIA¤  " xfId="104"/>
    <cellStyle name="Ç¥ÁØ_»ç¾÷ºÎº° ÃÑ°è " xfId="105"/>
    <cellStyle name="C￥AØ_≫c¾÷ºIº° AN°e " xfId="106"/>
    <cellStyle name="Ç¥ÁØ_0N-HANDLING " xfId="107"/>
    <cellStyle name="C￥AØ_¼±AoAc°i_1_³≫ºI°eE¹´e AßA¤A÷AI " xfId="108"/>
    <cellStyle name="Ç¥ÁØ_5-1±¤°í " xfId="109"/>
    <cellStyle name="C￥AØ_5-1±¤°i _6RCB1 " xfId="110"/>
    <cellStyle name="Ç¥ÁØ_Áý°èÇ¥(2¿ù) " xfId="111"/>
    <cellStyle name="C￥AØ_CoAo¹yAI °A¾×¿ⓒ½A " xfId="112"/>
    <cellStyle name="Ç¥ÁØ_cover " xfId="113"/>
    <cellStyle name="Calculation" xfId="33" builtinId="22" customBuiltin="1"/>
    <cellStyle name="Check Cell" xfId="34" builtinId="23" customBuiltin="1"/>
    <cellStyle name="Comma" xfId="35" builtinId="3"/>
    <cellStyle name="Comma 10" xfId="62"/>
    <cellStyle name="Comma 3" xfId="64"/>
    <cellStyle name="Currency" xfId="36" builtinId="4"/>
    <cellStyle name="Currency 10" xfId="65"/>
    <cellStyle name="Explanatory Text" xfId="37" builtinId="53" customBuiltin="1"/>
    <cellStyle name="Good" xfId="38" builtinId="26" customBuiltin="1"/>
    <cellStyle name="Heading 1" xfId="39" builtinId="16" customBuiltin="1"/>
    <cellStyle name="Heading 2" xfId="40" builtinId="17" customBuiltin="1"/>
    <cellStyle name="Heading 3" xfId="41" builtinId="18" customBuiltin="1"/>
    <cellStyle name="Heading 4" xfId="42" builtinId="19" customBuiltin="1"/>
    <cellStyle name="Input" xfId="43" builtinId="20" customBuiltin="1"/>
    <cellStyle name="Linked Cell" xfId="44" builtinId="24" customBuiltin="1"/>
    <cellStyle name="Neutral" xfId="45" builtinId="28" customBuiltin="1"/>
    <cellStyle name="Normal" xfId="0" builtinId="0"/>
    <cellStyle name="Normal 2" xfId="46"/>
    <cellStyle name="Normal 3" xfId="47"/>
    <cellStyle name="Normal 5" xfId="61"/>
    <cellStyle name="Normal_DisclaimerSheet Samples" xfId="121"/>
    <cellStyle name="Normal_Income Statement" xfId="48"/>
    <cellStyle name="Note" xfId="49" builtinId="10" customBuiltin="1"/>
    <cellStyle name="Onedec_FT Valuation " xfId="114"/>
    <cellStyle name="Output" xfId="50" builtinId="21" customBuiltin="1"/>
    <cellStyle name="p " xfId="51"/>
    <cellStyle name="Percent" xfId="52" builtinId="5"/>
    <cellStyle name="Percent 10 3" xfId="63"/>
    <cellStyle name="RRSInstruction" xfId="68"/>
    <cellStyle name="RRSInstruction 2" xfId="53"/>
    <cellStyle name="s_DCFLBO Code_Wireline Tel Forecast " xfId="115"/>
    <cellStyle name="s_HardInc " xfId="54"/>
    <cellStyle name="s_Valuation " xfId="55"/>
    <cellStyle name="ssp " xfId="56"/>
    <cellStyle name="Style 1" xfId="57"/>
    <cellStyle name="Title" xfId="58" builtinId="15" customBuiltin="1"/>
    <cellStyle name="Total" xfId="59" builtinId="25" customBuiltin="1"/>
    <cellStyle name="Warning Text" xfId="60" builtinId="11" customBuiltin="1"/>
    <cellStyle name="뷭?_BOOKSHIP_실적현황 " xfId="116"/>
    <cellStyle name="콤마 [0]_   " xfId="117"/>
    <cellStyle name="콤마_   " xfId="118"/>
    <cellStyle name="표준_0N-HANDLING " xfId="119"/>
    <cellStyle name="하이퍼링크_000727 IMT-2000 시설투자물량(4210) 4FA고려 필요 " xfId="12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32C464"/>
      <rgbColor rgb="00CCFFFF"/>
      <rgbColor rgb="00660066"/>
      <rgbColor rgb="00F37B53"/>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3399FF"/>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externalLinks/externalLink2.xml" Type="http://schemas.openxmlformats.org/officeDocument/2006/relationships/externalLink"/>
<Relationship Id="rId11" Target="externalLinks/externalLink3.xml" Type="http://schemas.openxmlformats.org/officeDocument/2006/relationships/externalLink"/>
<Relationship Id="rId12" Target="externalLinks/externalLink4.xml" Type="http://schemas.openxmlformats.org/officeDocument/2006/relationships/externalLink"/>
<Relationship Id="rId13" Target="externalLinks/externalLink5.xml" Type="http://schemas.openxmlformats.org/officeDocument/2006/relationships/externalLink"/>
<Relationship Id="rId14" Target="externalLinks/externalLink6.xml" Type="http://schemas.openxmlformats.org/officeDocument/2006/relationships/externalLink"/>
<Relationship Id="rId15" Target="externalLinks/externalLink7.xml" Type="http://schemas.openxmlformats.org/officeDocument/2006/relationships/externalLink"/>
<Relationship Id="rId16" Target="theme/theme1.xml" Type="http://schemas.openxmlformats.org/officeDocument/2006/relationships/theme"/>
<Relationship Id="rId17" Target="styles.xml" Type="http://schemas.openxmlformats.org/officeDocument/2006/relationships/styles"/>
<Relationship Id="rId18" Target="sharedStrings.xml" Type="http://schemas.openxmlformats.org/officeDocument/2006/relationships/sharedStrings"/>
<Relationship Id="rId19" Target="calcChain.xml" Type="http://schemas.openxmlformats.org/officeDocument/2006/relationships/calcChain"/>
<Relationship Id="rId2" Target="worksheets/sheet2.xml" Type="http://schemas.openxmlformats.org/officeDocument/2006/relationships/worksheet"/>
<Relationship Id="rId20" Target="../customXml/item1.xml" Type="http://schemas.openxmlformats.org/officeDocument/2006/relationships/customXml"/>
<Relationship Id="rId21" Target="../customXml/item2.xml" Type="http://schemas.openxmlformats.org/officeDocument/2006/relationships/customXml"/>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externalLinks/externalLink1.xml" Type="http://schemas.openxmlformats.org/officeDocument/2006/relationships/externalLink"/>
</Relationships>

</file>

<file path=xl/ctrlProps/ctrlProp1.xml><?xml version="1.0" encoding="utf-8"?>
<formControlPr xmlns="http://schemas.microsoft.com/office/spreadsheetml/2009/9/main" objectType="Drop" dropLines="3" dropStyle="combo" dx="16" fmlaLink="#REF!" fmlaRange="#REF!" sel="0" val="0"/>
</file>

<file path=xl/ctrlProps/ctrlProp2.xml><?xml version="1.0" encoding="utf-8"?>
<formControlPr xmlns="http://schemas.microsoft.com/office/spreadsheetml/2009/9/main" objectType="Drop" dropLines="3" dropStyle="combo" dx="16" fmlaLink="#REF!" fmlaRange="#REF!" sel="0" val="0"/>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104775</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2</xdr:col>
      <xdr:colOff>228600</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161</xdr:row>
      <xdr:rowOff>0</xdr:rowOff>
    </xdr:from>
    <xdr:to>
      <xdr:col>9</xdr:col>
      <xdr:colOff>114300</xdr:colOff>
      <xdr:row>184</xdr:row>
      <xdr:rowOff>104775</xdr:rowOff>
    </xdr:to>
    <xdr:pic>
      <xdr:nvPicPr>
        <xdr:cNvPr id="4306945" name="Picture 1" descr="C:\Users\sarlinde\AppData\Local\Temp\MercuryPriceRatingHistoryChart\WDC.O_2018_01_25_18_34_16.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5022175"/>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1914525</xdr:colOff>
          <xdr:row>0</xdr:row>
          <xdr:rowOff>28575</xdr:rowOff>
        </xdr:from>
        <xdr:to>
          <xdr:col>66</xdr:col>
          <xdr:colOff>238125</xdr:colOff>
          <xdr:row>2</xdr:row>
          <xdr:rowOff>76200</xdr:rowOff>
        </xdr:to>
        <xdr:sp macro="" textlink="">
          <xdr:nvSpPr>
            <xdr:cNvPr id="13561" name="Drop Down 1273" hidden="1">
              <a:extLst>
                <a:ext uri="{63B3BB69-23CF-44E3-9099-C40C66FF867C}">
                  <a14:compatExt spid="_x0000_s13561"/>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0</xdr:row>
          <xdr:rowOff>66675</xdr:rowOff>
        </xdr:from>
        <xdr:to>
          <xdr:col>66</xdr:col>
          <xdr:colOff>447675</xdr:colOff>
          <xdr:row>2</xdr:row>
          <xdr:rowOff>123825</xdr:rowOff>
        </xdr:to>
        <xdr:sp macro="" textlink="">
          <xdr:nvSpPr>
            <xdr:cNvPr id="4883" name="Drop Down 787" hidden="1">
              <a:extLst>
                <a:ext uri="{63B3BB69-23CF-44E3-9099-C40C66FF867C}">
                  <a14:compatExt spid="_x0000_s4883"/>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
<Relationship Id="rId1" Target="na/ny/users/johndasc/Docs/ID/Charts/Chart_Gallery/From%20Vlad/B11_BarSingle_AverageLine.xls" TargetMode="External" Type="http://schemas.microsoft.com/office/2006/relationships/xlExternalLinkPath/xlAlternateStartup"/>
</Relationships>

</file>

<file path=xl/externalLinks/_rels/externalLink2.xml.rels><?xml version="1.0" encoding="UTF-8" standalone="yes"?>
<Relationships xmlns="http://schemas.openxmlformats.org/package/2006/relationships">
<Relationship Id="rId1" Target="/Documents%20and%20Settings/changgin/Local%20Settings/Temporary%20Internet%20Files/Content.IE5/Y2YG6BEY/Backup/TSMC%20Model%202013-10-18_old%20data.xls" TargetMode="External" Type="http://schemas.openxmlformats.org/officeDocument/2006/relationships/externalLinkPath"/>
</Relationships>

</file>

<file path=xl/externalLinks/_rels/externalLink3.xml.rels><?xml version="1.0" encoding="UTF-8" standalone="yes"?>
<Relationships xmlns="http://schemas.openxmlformats.org/package/2006/relationships">
<Relationship Id="rId1" Target="Quickstrike_Amba/Andres%20Gonzalez/Starters%20Initiation/AMAT/New%20Model/AMAT%20WIP.xls" TargetMode="External" Type="http://schemas.microsoft.com/office/2006/relationships/xlExternalLinkPath/xlStartup"/>
</Relationships>

</file>

<file path=xl/externalLinks/_rels/externalLink4.xml.rels><?xml version="1.0" encoding="UTF-8" standalone="yes"?>
<Relationships xmlns="http://schemas.openxmlformats.org/package/2006/relationships">
<Relationship Id="rId1" Target="c1" TargetMode="External" Type="http://schemas.microsoft.com/office/2006/relationships/xlExternalLinkPath/xlPathMissing"/>
</Relationships>

</file>

<file path=xl/externalLinks/_rels/externalLink5.xml.rels><?xml version="1.0" encoding="UTF-8" standalone="yes"?>
<Relationships xmlns="http://schemas.openxmlformats.org/package/2006/relationships">
<Relationship Id="rId1" Target="NA/NY/LIB/ER/SEMI%20CAP/Joe%20Files/Companies/APH/APH_WIP_2017.xls" TargetMode="External" Type="http://schemas.microsoft.com/office/2006/relationships/xlExternalLinkPath/xlAlternateStartup"/>
</Relationships>

</file>

<file path=xl/externalLinks/_rels/externalLink6.xml.rels><?xml version="1.0" encoding="UTF-8" standalone="yes"?>
<Relationships xmlns="http://schemas.openxmlformats.org/package/2006/relationships">
<Relationship Id="rId1" Target="file:///P:/asialink/DDIC.XLS" TargetMode="External" Type="http://schemas.openxmlformats.org/officeDocument/2006/relationships/externalLinkPath"/>
</Relationships>

</file>

<file path=xl/externalLinks/_rels/externalLink7.xml.rels><?xml version="1.0" encoding="UTF-8" standalone="yes"?>
<Relationships xmlns="http://schemas.openxmlformats.org/package/2006/relationships">
<Relationship Id="rId1" Target="SEMI%20CAP/Joe%20Files/Companies/AMAT/Model/AMAT_WIP.xlsm" TargetMode="External" Type="http://schemas.microsoft.com/office/2006/relationships/xlExternalLinkPath/xlAlternateStartup"/>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Cash"/>
      <sheetName val="Exhibit 3"/>
      <sheetName val="Cash_published"/>
      <sheetName val="NVF_published"/>
      <sheetName val="Exhibit 5"/>
      <sheetName val="IFRS"/>
      <sheetName val="Exhibit 4"/>
      <sheetName val="IFRS Life"/>
      <sheetName val="Exhibit 1"/>
      <sheetName val="Exhibit 2"/>
      <sheetName val="MCEV Roll-up"/>
      <sheetName val="Weekahead"/>
      <sheetName val="MCEV_Capital"/>
      <sheetName val="Assets(new)"/>
      <sheetName val="MCEV P&amp;L"/>
      <sheetName val="Cash Flow"/>
      <sheetName val="upside_downside"/>
      <sheetName val="Income Statement"/>
      <sheetName val="Balance Sheet"/>
      <sheetName val="RI"/>
      <sheetName val="BULLBEAR"/>
      <sheetName val="Sheet2"/>
      <sheetName val="DCF"/>
      <sheetName val="MWA RR"/>
      <sheetName val="REVENUE BY GEOGRAPHY"/>
      <sheetName val="NonQtr"/>
      <sheetName val="Data 20d"/>
      <sheetName val="Data"/>
      <sheetName val="Risk-Reward_View_Chart"/>
      <sheetName val="Valsum"/>
      <sheetName val="Interims"/>
      <sheetName val="Financial Statements"/>
      <sheetName val="Inputs"/>
      <sheetName val="Good 12-00 (2)"/>
      <sheetName val="Good 11-36"/>
      <sheetName val="Good 11-50"/>
      <sheetName val="Sheet3 (5)"/>
      <sheetName val="FX"/>
      <sheetName val="Summary"/>
      <sheetName val="Floater Demand"/>
      <sheetName val="CPB"/>
      <sheetName val="Total_Food_Promo"/>
      <sheetName val="CPB_2yr"/>
      <sheetName val="B11_BarSingle_AverageLine"/>
      <sheetName val="Quero_Sales"/>
      <sheetName val="L2005"/>
      <sheetName val="C2000"/>
      <sheetName val="Cell Reference"/>
      <sheetName val="Shading Period-Level"/>
      <sheetName val="Sources of Change"/>
      <sheetName val="Basic (gridlines)"/>
      <sheetName val="Average (reference) Line"/>
      <sheetName val="Double (overlapping)"/>
      <sheetName val="Reference Step Line"/>
      <sheetName val="Double (gridlines)"/>
      <sheetName val="Growth Line"/>
      <sheetName val="Reference Marks"/>
      <sheetName val="Single-point highlighting"/>
      <sheetName val="CPNO"/>
      <sheetName val="MMP"/>
      <sheetName val="PAA"/>
      <sheetName val="EEP"/>
      <sheetName val="KMP"/>
      <sheetName val="ETP"/>
      <sheetName val="BPL"/>
      <sheetName val="NS"/>
      <sheetName val="BWP"/>
      <sheetName val="EPD"/>
      <sheetName val="RGNC"/>
      <sheetName val="画像1"/>
      <sheetName val="業績推移"/>
      <sheetName val="バリュエーション比較"/>
      <sheetName val="自動車設備投資"/>
      <sheetName val="ロボット機械統計年"/>
      <sheetName val="ロボット機械統計"/>
      <sheetName val="株価と関連指標"/>
      <sheetName val="画像3"/>
      <sheetName val="利益率比較"/>
      <sheetName val="ロボット試算"/>
      <sheetName val="画像2"/>
      <sheetName val="内訳"/>
      <sheetName val="株価(過去1年) "/>
      <sheetName val="WWロボット出荷台数"/>
      <sheetName val="長期営業利益"/>
      <sheetName val="中国NC化率"/>
      <sheetName val="画像4"/>
      <sheetName val="成長率比較"/>
      <sheetName val="バリュエーション"/>
      <sheetName val="四半期"/>
      <sheetName val="画像5"/>
      <sheetName val="RRBox"/>
      <sheetName val="シェアと競合"/>
      <sheetName val="Model"/>
      <sheetName val="Sheet4"/>
      <sheetName val="ForeignStake"/>
      <sheetName val="WP Detail "/>
      <sheetName val="WPZ"/>
      <sheetName val="TPP"/>
      <sheetName val="EPE"/>
      <sheetName val="WMZ"/>
      <sheetName val="HEP"/>
      <sheetName val="MGG"/>
      <sheetName val="ETE"/>
      <sheetName val="BGH"/>
      <sheetName val="SEP"/>
      <sheetName val="TCLP"/>
      <sheetName val="SXL"/>
      <sheetName val="WES"/>
      <sheetName val="rev change analysis"/>
      <sheetName val="rev contribution analysis"/>
      <sheetName val="HTC"/>
      <sheetName val="MS Tele Rep"/>
      <sheetName val="China Handset"/>
      <sheetName val="Smartphone"/>
      <sheetName val="IDC"/>
      <sheetName val="CW"/>
      <sheetName val="R2000"/>
      <sheetName val="__FDS_DOWNL_SCRATCH_SHEET__"/>
      <sheetName val="FIH"/>
      <sheetName val="MIC"/>
      <sheetName val="Valuation"/>
      <sheetName val="Sales by App"/>
      <sheetName val="Net Income &amp; EPS"/>
      <sheetName val="IDC_2"/>
      <sheetName val="Sales by Region Comp"/>
      <sheetName val="What's Changed"/>
      <sheetName val="Outsourcing"/>
      <sheetName val="Nokia vs HTC"/>
      <sheetName val="2012 Outlook"/>
    </sheetNames>
    <sheetDataSet>
      <sheetData sheetId="0" refreshError="1">
        <row r="5">
          <cell r="F5" t="str">
            <v>Display horizontal line for the average?</v>
          </cell>
        </row>
        <row r="10">
          <cell r="Y10" t="str">
            <v>invisible1</v>
          </cell>
        </row>
        <row r="11">
          <cell r="D11" t="str">
            <v>Jupiter</v>
          </cell>
          <cell r="E11">
            <v>78</v>
          </cell>
          <cell r="X11" t="str">
            <v xml:space="preserve">  </v>
          </cell>
          <cell r="Y11">
            <v>44.5</v>
          </cell>
        </row>
        <row r="12">
          <cell r="D12" t="str">
            <v>Juno</v>
          </cell>
          <cell r="E12">
            <v>58</v>
          </cell>
        </row>
        <row r="13">
          <cell r="D13" t="str">
            <v>Neptune</v>
          </cell>
          <cell r="E13">
            <v>45</v>
          </cell>
          <cell r="X13" t="str">
            <v>width</v>
          </cell>
          <cell r="Y13">
            <v>0.624</v>
          </cell>
        </row>
        <row r="14">
          <cell r="D14" t="str">
            <v>Pluto</v>
          </cell>
          <cell r="E14">
            <v>37</v>
          </cell>
        </row>
        <row r="15">
          <cell r="D15" t="str">
            <v>Minerva</v>
          </cell>
          <cell r="E15">
            <v>26</v>
          </cell>
          <cell r="X15" t="str">
            <v>scaling</v>
          </cell>
          <cell r="Y15">
            <v>8.0000000000000002E-3</v>
          </cell>
        </row>
        <row r="16">
          <cell r="D16" t="str">
            <v>Hermes</v>
          </cell>
          <cell r="E16">
            <v>23</v>
          </cell>
        </row>
        <row r="17">
          <cell r="X17" t="str">
            <v>label</v>
          </cell>
          <cell r="Y17" t="str">
            <v>average: 44.5</v>
          </cell>
        </row>
        <row r="28">
          <cell r="R28" t="b">
            <v>1</v>
          </cell>
        </row>
        <row r="34">
          <cell r="R34" t="str">
            <v>Notes:</v>
          </cell>
        </row>
        <row r="35">
          <cell r="R35" t="str">
            <v>-doesn't work for negative average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wareTaxoPres"/>
      <sheetName val="mwareValPrintout"/>
      <sheetName val="Debt"/>
      <sheetName val="Monthly Old"/>
      <sheetName val="Investments"/>
      <sheetName val="Capital"/>
      <sheetName val="Q_Actual_Con"/>
      <sheetName val="Shares_old"/>
      <sheetName val="BACK UP&gt;&gt;&gt;"/>
      <sheetName val="Q_Actual_OLD"/>
      <sheetName val="GM Analysis"/>
      <sheetName val="Y_Actual_OLD"/>
      <sheetName val="Old Capacity Data"/>
      <sheetName val="For Client - Operational"/>
      <sheetName val="Emp Bonus"/>
      <sheetName val="EB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v>1993</v>
          </cell>
          <cell r="C1">
            <v>1994</v>
          </cell>
          <cell r="D1">
            <v>1995</v>
          </cell>
          <cell r="E1">
            <v>1996</v>
          </cell>
          <cell r="F1">
            <v>1997</v>
          </cell>
          <cell r="G1">
            <v>1998</v>
          </cell>
          <cell r="H1">
            <v>1999</v>
          </cell>
          <cell r="I1">
            <v>2000</v>
          </cell>
          <cell r="J1">
            <v>2001</v>
          </cell>
          <cell r="K1">
            <v>2002</v>
          </cell>
          <cell r="L1">
            <v>2003</v>
          </cell>
          <cell r="M1">
            <v>2004</v>
          </cell>
          <cell r="N1">
            <v>2005</v>
          </cell>
          <cell r="O1">
            <v>2006</v>
          </cell>
          <cell r="P1">
            <v>2007</v>
          </cell>
          <cell r="Q1">
            <v>2008</v>
          </cell>
          <cell r="R1">
            <v>2009</v>
          </cell>
          <cell r="S1">
            <v>2010</v>
          </cell>
          <cell r="T1">
            <v>2011</v>
          </cell>
          <cell r="U1">
            <v>2012</v>
          </cell>
          <cell r="V1">
            <v>2013</v>
          </cell>
          <cell r="W1">
            <v>2014</v>
          </cell>
          <cell r="X1">
            <v>2015</v>
          </cell>
          <cell r="Y1">
            <v>2016</v>
          </cell>
          <cell r="Z1">
            <v>2017</v>
          </cell>
        </row>
        <row r="2">
          <cell r="A2" t="str">
            <v>Beginning of Year, Shares Outstanding</v>
          </cell>
          <cell r="C2">
            <v>14858.129886129262</v>
          </cell>
          <cell r="D2">
            <v>15995.292722178512</v>
          </cell>
          <cell r="E2">
            <v>14203.403157343262</v>
          </cell>
          <cell r="F2">
            <v>14555.447850292283</v>
          </cell>
          <cell r="G2">
            <v>15967.656763354455</v>
          </cell>
          <cell r="H2">
            <v>16559.508758674274</v>
          </cell>
          <cell r="I2">
            <v>18234.374009670941</v>
          </cell>
          <cell r="J2">
            <v>20104.771354767843</v>
          </cell>
          <cell r="K2">
            <v>21156.262440511353</v>
          </cell>
          <cell r="L2">
            <v>23908.394794410437</v>
          </cell>
          <cell r="M2">
            <v>24282.337853496341</v>
          </cell>
          <cell r="N2">
            <v>23818.16957955308</v>
          </cell>
          <cell r="O2">
            <v>25009.779692186152</v>
          </cell>
          <cell r="P2">
            <v>25582.010802225908</v>
          </cell>
          <cell r="Q2">
            <v>26346.581999999999</v>
          </cell>
          <cell r="R2">
            <v>25909.643</v>
          </cell>
          <cell r="S2">
            <v>25835.802</v>
          </cell>
          <cell r="T2">
            <v>25905.831999999999</v>
          </cell>
          <cell r="U2">
            <v>25914.076000000001</v>
          </cell>
          <cell r="V2">
            <v>25919.154750000002</v>
          </cell>
          <cell r="W2">
            <v>25926.834750000002</v>
          </cell>
          <cell r="X2">
            <v>25927.13</v>
          </cell>
          <cell r="Y2">
            <v>25927.13</v>
          </cell>
          <cell r="Z2">
            <v>25927.13</v>
          </cell>
        </row>
        <row r="3">
          <cell r="A3" t="str">
            <v>Stock Dividend Payout (as % of NI)</v>
          </cell>
          <cell r="F3">
            <v>0.68653558911825319</v>
          </cell>
          <cell r="G3">
            <v>1.0403178869467813</v>
          </cell>
          <cell r="H3">
            <v>0.90643384996926835</v>
          </cell>
          <cell r="I3">
            <v>0.79801284892062174</v>
          </cell>
          <cell r="J3">
            <v>0.71817219111287645</v>
          </cell>
          <cell r="K3">
            <v>1.1999104801522997</v>
          </cell>
          <cell r="L3">
            <v>0.69</v>
          </cell>
          <cell r="M3">
            <v>0.60038186999999998</v>
          </cell>
          <cell r="N3">
            <v>0.126</v>
          </cell>
          <cell r="O3">
            <v>0.03</v>
          </cell>
          <cell r="P3">
            <v>0</v>
          </cell>
          <cell r="Q3">
            <v>0</v>
          </cell>
          <cell r="R3">
            <v>0</v>
          </cell>
          <cell r="S3">
            <v>0</v>
          </cell>
          <cell r="T3">
            <v>0</v>
          </cell>
          <cell r="U3">
            <v>0</v>
          </cell>
          <cell r="V3">
            <v>0</v>
          </cell>
          <cell r="W3">
            <v>0</v>
          </cell>
          <cell r="X3">
            <v>0</v>
          </cell>
          <cell r="Y3">
            <v>0</v>
          </cell>
          <cell r="Z3">
            <v>0</v>
          </cell>
        </row>
        <row r="4">
          <cell r="A4" t="str">
            <v>Stock Div Per Share (NT$)</v>
          </cell>
          <cell r="F4">
            <v>0.91175483822254977</v>
          </cell>
          <cell r="G4">
            <v>1.150190680585605</v>
          </cell>
          <cell r="H4">
            <v>0.83991048301565019</v>
          </cell>
          <cell r="I4">
            <v>1.0748437533202539</v>
          </cell>
          <cell r="J4">
            <v>2.3256896174007706</v>
          </cell>
          <cell r="K4">
            <v>0.79562980688724871</v>
          </cell>
          <cell r="L4">
            <v>0.62367636632326562</v>
          </cell>
          <cell r="M4">
            <v>1.1684734332812039</v>
          </cell>
          <cell r="N4">
            <v>0.48811576226161663</v>
          </cell>
          <cell r="O4">
            <v>0.29664427641151647</v>
          </cell>
          <cell r="P4">
            <v>0</v>
          </cell>
          <cell r="Q4">
            <v>0</v>
          </cell>
          <cell r="R4">
            <v>0</v>
          </cell>
          <cell r="S4">
            <v>0</v>
          </cell>
          <cell r="T4">
            <v>0</v>
          </cell>
          <cell r="U4">
            <v>0</v>
          </cell>
          <cell r="V4">
            <v>0</v>
          </cell>
          <cell r="W4">
            <v>0</v>
          </cell>
          <cell r="X4">
            <v>0</v>
          </cell>
          <cell r="Y4">
            <v>0</v>
          </cell>
          <cell r="Z4">
            <v>0</v>
          </cell>
        </row>
        <row r="5">
          <cell r="A5" t="str">
            <v>Shares issued for Stock Dividends</v>
          </cell>
          <cell r="F5">
            <v>1327.1</v>
          </cell>
          <cell r="G5">
            <v>1836.585</v>
          </cell>
          <cell r="H5">
            <v>1390.8505</v>
          </cell>
          <cell r="I5">
            <v>1959.9103</v>
          </cell>
          <cell r="J5">
            <v>4675.7457999999997</v>
          </cell>
          <cell r="K5">
            <v>1683.2553</v>
          </cell>
          <cell r="L5">
            <v>1491.110078999998</v>
          </cell>
          <cell r="M5">
            <v>2837.3266679769013</v>
          </cell>
          <cell r="N5">
            <v>1162.6024</v>
          </cell>
          <cell r="O5">
            <v>741.9008</v>
          </cell>
          <cell r="P5">
            <v>0</v>
          </cell>
          <cell r="Q5">
            <v>0</v>
          </cell>
          <cell r="R5">
            <v>0</v>
          </cell>
          <cell r="S5">
            <v>0</v>
          </cell>
          <cell r="T5">
            <v>0</v>
          </cell>
          <cell r="U5">
            <v>0</v>
          </cell>
          <cell r="V5">
            <v>0</v>
          </cell>
          <cell r="W5">
            <v>0</v>
          </cell>
          <cell r="X5">
            <v>0</v>
          </cell>
          <cell r="Y5">
            <v>0</v>
          </cell>
          <cell r="Z5">
            <v>0</v>
          </cell>
        </row>
        <row r="6">
          <cell r="A6" t="str">
            <v>Adjustment Factor (for stock dividend)</v>
          </cell>
          <cell r="B6">
            <v>4.1434328631617515E-2</v>
          </cell>
          <cell r="C6">
            <v>4.3920388349514561E-2</v>
          </cell>
          <cell r="D6">
            <v>7.9056310679611649E-2</v>
          </cell>
          <cell r="E6">
            <v>0.1423009708737864</v>
          </cell>
          <cell r="F6">
            <v>0.2134514563106796</v>
          </cell>
          <cell r="G6">
            <v>0.30950388349514563</v>
          </cell>
          <cell r="H6">
            <v>0.38069029126213588</v>
          </cell>
          <cell r="I6">
            <v>0.48728349514563102</v>
          </cell>
          <cell r="J6">
            <v>0.68219611650485434</v>
          </cell>
          <cell r="K6">
            <v>0.75041650485436884</v>
          </cell>
          <cell r="L6">
            <v>0.81044951456310677</v>
          </cell>
          <cell r="M6">
            <v>0.92464174757281559</v>
          </cell>
          <cell r="N6">
            <v>0.970873786407767</v>
          </cell>
          <cell r="O6">
            <v>1</v>
          </cell>
          <cell r="P6">
            <v>1</v>
          </cell>
          <cell r="Q6">
            <v>1</v>
          </cell>
          <cell r="R6">
            <v>1</v>
          </cell>
          <cell r="S6">
            <v>1</v>
          </cell>
          <cell r="T6">
            <v>1</v>
          </cell>
          <cell r="U6">
            <v>1</v>
          </cell>
          <cell r="V6">
            <v>1</v>
          </cell>
          <cell r="W6">
            <v>1</v>
          </cell>
          <cell r="X6">
            <v>1</v>
          </cell>
          <cell r="Y6">
            <v>1</v>
          </cell>
          <cell r="Z6">
            <v>1</v>
          </cell>
        </row>
        <row r="8">
          <cell r="A8" t="str">
            <v>Adj Factor (for stock divedend + Emp Bonus)</v>
          </cell>
          <cell r="L8">
            <v>1.0688047605514941</v>
          </cell>
          <cell r="M8">
            <v>1.1280757267582908</v>
          </cell>
          <cell r="N8">
            <v>1.0617689741055074</v>
          </cell>
          <cell r="O8">
            <v>1.0433875753147486</v>
          </cell>
          <cell r="P8">
            <v>1.0178750530415777</v>
          </cell>
          <cell r="Q8">
            <v>1.0149540574181501</v>
          </cell>
          <cell r="R8">
            <v>1.0054755636733397</v>
          </cell>
          <cell r="S8">
            <v>1</v>
          </cell>
          <cell r="T8">
            <v>1</v>
          </cell>
          <cell r="U8">
            <v>1</v>
          </cell>
          <cell r="V8">
            <v>1</v>
          </cell>
          <cell r="W8">
            <v>1</v>
          </cell>
          <cell r="X8">
            <v>1</v>
          </cell>
          <cell r="Y8">
            <v>1</v>
          </cell>
          <cell r="Z8">
            <v>1</v>
          </cell>
        </row>
        <row r="9">
          <cell r="A9" t="str">
            <v>Ex-Div. Date past? "Y" to Apply Stock Dividend Shares</v>
          </cell>
          <cell r="B9" t="str">
            <v>Y</v>
          </cell>
          <cell r="C9" t="str">
            <v>Y</v>
          </cell>
          <cell r="D9" t="str">
            <v>Y</v>
          </cell>
          <cell r="E9" t="str">
            <v>Y</v>
          </cell>
          <cell r="F9" t="str">
            <v>Y</v>
          </cell>
          <cell r="G9" t="str">
            <v>Y</v>
          </cell>
          <cell r="H9" t="str">
            <v>Y</v>
          </cell>
          <cell r="I9" t="str">
            <v>Y</v>
          </cell>
          <cell r="J9" t="str">
            <v>Y</v>
          </cell>
          <cell r="K9" t="str">
            <v>Y</v>
          </cell>
          <cell r="L9" t="str">
            <v>Y</v>
          </cell>
          <cell r="M9" t="str">
            <v>Y</v>
          </cell>
          <cell r="N9" t="str">
            <v>N</v>
          </cell>
          <cell r="O9" t="str">
            <v>N</v>
          </cell>
          <cell r="P9" t="str">
            <v>N</v>
          </cell>
          <cell r="Q9" t="str">
            <v>N</v>
          </cell>
          <cell r="R9" t="str">
            <v>N</v>
          </cell>
          <cell r="S9" t="str">
            <v>N</v>
          </cell>
          <cell r="T9" t="str">
            <v>N</v>
          </cell>
          <cell r="U9" t="str">
            <v>N</v>
          </cell>
          <cell r="V9" t="str">
            <v>N</v>
          </cell>
          <cell r="W9" t="str">
            <v>N</v>
          </cell>
          <cell r="X9" t="str">
            <v>N</v>
          </cell>
          <cell r="Y9" t="str">
            <v>N</v>
          </cell>
          <cell r="Z9" t="str">
            <v>N</v>
          </cell>
        </row>
        <row r="11">
          <cell r="A11" t="str">
            <v>Employees Bonus Shares</v>
          </cell>
          <cell r="F11">
            <v>100</v>
          </cell>
          <cell r="G11">
            <v>129.291</v>
          </cell>
          <cell r="H11">
            <v>110.45659999999999</v>
          </cell>
          <cell r="I11">
            <v>172.1208</v>
          </cell>
          <cell r="J11">
            <v>467.44260000000003</v>
          </cell>
          <cell r="K11">
            <v>107.0784</v>
          </cell>
          <cell r="L11">
            <v>153.90129999999999</v>
          </cell>
          <cell r="M11">
            <v>272.65140000000002</v>
          </cell>
          <cell r="N11">
            <v>308.62150000000003</v>
          </cell>
          <cell r="O11">
            <v>343.21289999999999</v>
          </cell>
          <cell r="P11">
            <v>457.27980000000002</v>
          </cell>
          <cell r="Q11">
            <v>393.98829999999998</v>
          </cell>
          <cell r="R11">
            <v>141.8699</v>
          </cell>
          <cell r="S11">
            <v>0</v>
          </cell>
          <cell r="T11">
            <v>0</v>
          </cell>
          <cell r="U11">
            <v>0</v>
          </cell>
          <cell r="V11">
            <v>0</v>
          </cell>
          <cell r="W11">
            <v>0</v>
          </cell>
          <cell r="X11">
            <v>0</v>
          </cell>
          <cell r="Y11">
            <v>0</v>
          </cell>
          <cell r="Z11">
            <v>0</v>
          </cell>
        </row>
        <row r="12">
          <cell r="A12" t="str">
            <v xml:space="preserve">     Cumm Emp Bonus Shares</v>
          </cell>
          <cell r="O12">
            <v>343.21289999999999</v>
          </cell>
          <cell r="P12">
            <v>800.49270000000001</v>
          </cell>
          <cell r="Q12">
            <v>1194.481</v>
          </cell>
          <cell r="R12">
            <v>1336.3508999999999</v>
          </cell>
          <cell r="S12">
            <v>1336.3508999999999</v>
          </cell>
          <cell r="T12">
            <v>1336.3508999999999</v>
          </cell>
          <cell r="U12">
            <v>1336.3508999999999</v>
          </cell>
          <cell r="V12">
            <v>1336.3508999999999</v>
          </cell>
          <cell r="W12">
            <v>1336.3508999999999</v>
          </cell>
          <cell r="X12">
            <v>1336.3508999999999</v>
          </cell>
          <cell r="Y12">
            <v>1336.3508999999999</v>
          </cell>
          <cell r="Z12">
            <v>1336.3508999999999</v>
          </cell>
        </row>
        <row r="13">
          <cell r="A13" t="str">
            <v>Month of Employee Bonus Share Payout</v>
          </cell>
          <cell r="B13">
            <v>5</v>
          </cell>
          <cell r="C13">
            <v>5</v>
          </cell>
          <cell r="D13">
            <v>5</v>
          </cell>
          <cell r="E13">
            <v>5</v>
          </cell>
          <cell r="F13">
            <v>5</v>
          </cell>
          <cell r="G13">
            <v>5</v>
          </cell>
          <cell r="H13">
            <v>5</v>
          </cell>
          <cell r="I13">
            <v>5</v>
          </cell>
          <cell r="J13">
            <v>5</v>
          </cell>
          <cell r="K13">
            <v>6</v>
          </cell>
          <cell r="L13">
            <v>6</v>
          </cell>
          <cell r="M13">
            <v>5</v>
          </cell>
          <cell r="N13">
            <v>5</v>
          </cell>
          <cell r="O13">
            <v>5</v>
          </cell>
          <cell r="P13">
            <v>5</v>
          </cell>
          <cell r="Q13">
            <v>5</v>
          </cell>
          <cell r="R13">
            <v>5</v>
          </cell>
          <cell r="S13">
            <v>6</v>
          </cell>
          <cell r="T13">
            <v>7</v>
          </cell>
          <cell r="U13">
            <v>6</v>
          </cell>
          <cell r="V13">
            <v>6</v>
          </cell>
          <cell r="W13">
            <v>6</v>
          </cell>
          <cell r="X13">
            <v>6</v>
          </cell>
          <cell r="Y13">
            <v>6</v>
          </cell>
          <cell r="Z13">
            <v>7</v>
          </cell>
        </row>
        <row r="14">
          <cell r="A14" t="str">
            <v>Employee Bonus Share Dilution</v>
          </cell>
          <cell r="F14">
            <v>2.4501996912748389E-2</v>
          </cell>
          <cell r="G14">
            <v>2.1380393095884756E-2</v>
          </cell>
          <cell r="H14">
            <v>1.4399465970124399E-2</v>
          </cell>
          <cell r="I14">
            <v>1.4724564241926376E-2</v>
          </cell>
          <cell r="J14">
            <v>2.777015448714076E-2</v>
          </cell>
          <cell r="K14">
            <v>5.7498282167510149E-3</v>
          </cell>
          <cell r="L14">
            <v>6.0592244127212151E-3</v>
          </cell>
          <cell r="M14">
            <v>1.0053642064197208E-2</v>
          </cell>
          <cell r="N14">
            <v>1.9E-2</v>
          </cell>
          <cell r="O14">
            <v>0.02</v>
          </cell>
          <cell r="P14">
            <v>0.02</v>
          </cell>
          <cell r="Q14">
            <v>0.02</v>
          </cell>
          <cell r="R14">
            <v>0.02</v>
          </cell>
          <cell r="S14">
            <v>1.9E-2</v>
          </cell>
          <cell r="T14">
            <v>1.9E-2</v>
          </cell>
          <cell r="U14">
            <v>1.9E-2</v>
          </cell>
          <cell r="V14">
            <v>1.9E-2</v>
          </cell>
          <cell r="W14">
            <v>1.9E-2</v>
          </cell>
          <cell r="X14">
            <v>1.9E-2</v>
          </cell>
          <cell r="Y14">
            <v>1.9E-2</v>
          </cell>
          <cell r="Z14">
            <v>1.9E-2</v>
          </cell>
        </row>
        <row r="16">
          <cell r="A16" t="str">
            <v>New Issuance Shares</v>
          </cell>
          <cell r="I16">
            <v>187.9366</v>
          </cell>
          <cell r="N16">
            <v>-559.36887955307884</v>
          </cell>
          <cell r="O16">
            <v>7.9439000000000002</v>
          </cell>
        </row>
        <row r="17">
          <cell r="A17" t="str">
            <v>Share Buyback</v>
          </cell>
          <cell r="M17">
            <v>-124.7</v>
          </cell>
          <cell r="N17">
            <v>0</v>
          </cell>
          <cell r="O17">
            <v>0</v>
          </cell>
          <cell r="P17">
            <v>-800</v>
          </cell>
          <cell r="Q17">
            <v>0</v>
          </cell>
          <cell r="R17">
            <v>0</v>
          </cell>
          <cell r="S17">
            <v>-28.373980000000003</v>
          </cell>
          <cell r="T17">
            <v>0</v>
          </cell>
          <cell r="U17">
            <v>0</v>
          </cell>
          <cell r="V17">
            <v>0</v>
          </cell>
          <cell r="W17">
            <v>0</v>
          </cell>
          <cell r="X17">
            <v>0</v>
          </cell>
          <cell r="Y17">
            <v>0</v>
          </cell>
          <cell r="Z17">
            <v>0</v>
          </cell>
        </row>
        <row r="18">
          <cell r="A18" t="str">
            <v>Change Due to Merger</v>
          </cell>
          <cell r="I18">
            <v>1698.5151000000001</v>
          </cell>
        </row>
        <row r="20">
          <cell r="A20" t="str">
            <v>Year End Shares Outstanding</v>
          </cell>
          <cell r="B20">
            <v>608.30399999999997</v>
          </cell>
          <cell r="C20">
            <v>780</v>
          </cell>
          <cell r="D20">
            <v>1439</v>
          </cell>
          <cell r="E20">
            <v>2654.2</v>
          </cell>
          <cell r="F20">
            <v>4081.3</v>
          </cell>
          <cell r="G20">
            <v>6047.1760000000004</v>
          </cell>
          <cell r="H20">
            <v>7670.8816999999999</v>
          </cell>
          <cell r="I20">
            <v>22252.856809670942</v>
          </cell>
          <cell r="J20">
            <v>25247.959754767842</v>
          </cell>
          <cell r="K20">
            <v>22946.596140511352</v>
          </cell>
          <cell r="L20">
            <v>25553.406173410436</v>
          </cell>
          <cell r="M20">
            <v>27267.61592147324</v>
          </cell>
          <cell r="N20">
            <v>24730.024600000001</v>
          </cell>
          <cell r="O20">
            <v>26102.837292186148</v>
          </cell>
          <cell r="P20">
            <v>25239.290602225909</v>
          </cell>
          <cell r="Q20">
            <v>26740.570299999999</v>
          </cell>
          <cell r="R20">
            <v>26051.512900000002</v>
          </cell>
          <cell r="S20">
            <v>25807.428019999999</v>
          </cell>
          <cell r="T20">
            <v>25905.831999999999</v>
          </cell>
          <cell r="U20">
            <v>25914.076000000001</v>
          </cell>
          <cell r="V20">
            <v>25919.154750000002</v>
          </cell>
          <cell r="W20">
            <v>25926.834750000002</v>
          </cell>
          <cell r="X20">
            <v>25927.13</v>
          </cell>
          <cell r="Y20">
            <v>25927.13</v>
          </cell>
          <cell r="Z20">
            <v>25927.13</v>
          </cell>
        </row>
        <row r="21">
          <cell r="A21" t="str">
            <v>Share count for RI Valuation</v>
          </cell>
          <cell r="M21">
            <v>27148.865821473242</v>
          </cell>
          <cell r="N21">
            <v>28024.750741920161</v>
          </cell>
          <cell r="O21">
            <v>29083.21694192016</v>
          </cell>
          <cell r="P21">
            <v>28641.023721819416</v>
          </cell>
          <cell r="Q21">
            <v>29093.579420077411</v>
          </cell>
          <cell r="R21">
            <v>29492.972653591863</v>
          </cell>
          <cell r="S21">
            <v>29607.705625880761</v>
          </cell>
          <cell r="T21">
            <v>29607.705625880761</v>
          </cell>
          <cell r="U21">
            <v>29607.705625880761</v>
          </cell>
          <cell r="V21">
            <v>29607.705625880761</v>
          </cell>
          <cell r="W21">
            <v>29607.705625880761</v>
          </cell>
          <cell r="X21">
            <v>29607.705625880761</v>
          </cell>
          <cell r="Y21">
            <v>29607.705625880761</v>
          </cell>
          <cell r="Z21">
            <v>29607.705625880761</v>
          </cell>
        </row>
        <row r="23">
          <cell r="A23" t="str">
            <v>Weighted Average Shares</v>
          </cell>
          <cell r="C23">
            <v>694.15200000000004</v>
          </cell>
          <cell r="D23">
            <v>1109.5</v>
          </cell>
          <cell r="E23">
            <v>2046.6</v>
          </cell>
          <cell r="F23">
            <v>3367.75</v>
          </cell>
          <cell r="G23">
            <v>5064.2380000000003</v>
          </cell>
          <cell r="H23">
            <v>6859.0288500000006</v>
          </cell>
          <cell r="I23">
            <v>14961.86925483547</v>
          </cell>
          <cell r="J23">
            <v>23750.408282219392</v>
          </cell>
          <cell r="K23">
            <v>24097.277947639595</v>
          </cell>
          <cell r="L23">
            <v>24250.001156960894</v>
          </cell>
          <cell r="M23">
            <v>26410.51104744184</v>
          </cell>
          <cell r="N23">
            <v>25998.820260736618</v>
          </cell>
          <cell r="O23">
            <v>25416.430946093074</v>
          </cell>
          <cell r="P23">
            <v>25671.063947206028</v>
          </cell>
          <cell r="Q23">
            <v>25989.930451112952</v>
          </cell>
          <cell r="R23">
            <v>26396.0416</v>
          </cell>
          <cell r="S23">
            <v>25929.47046</v>
          </cell>
          <cell r="T23">
            <v>25856.630010000001</v>
          </cell>
          <cell r="U23">
            <v>25909.953999999998</v>
          </cell>
          <cell r="V23">
            <v>25916.615375000001</v>
          </cell>
          <cell r="W23">
            <v>25922.994750000002</v>
          </cell>
          <cell r="X23">
            <v>25926.982375</v>
          </cell>
          <cell r="Y23">
            <v>25927.13</v>
          </cell>
          <cell r="Z23">
            <v>25927.13</v>
          </cell>
        </row>
        <row r="24">
          <cell r="A24" t="str">
            <v xml:space="preserve">Retroactively Adjusted Shares outstanding </v>
          </cell>
          <cell r="B24">
            <v>14681.159803704848</v>
          </cell>
          <cell r="C24">
            <v>17759.405809275388</v>
          </cell>
          <cell r="D24">
            <v>18202.215454143537</v>
          </cell>
          <cell r="E24">
            <v>18652.016101521458</v>
          </cell>
          <cell r="F24">
            <v>19120.506697596145</v>
          </cell>
          <cell r="G24">
            <v>19538.287958492921</v>
          </cell>
          <cell r="H24">
            <v>20149.927319049966</v>
          </cell>
          <cell r="I24">
            <v>45667.16712418176</v>
          </cell>
          <cell r="J24">
            <v>37009.826271252576</v>
          </cell>
          <cell r="K24">
            <v>30578.480073495361</v>
          </cell>
          <cell r="L24">
            <v>31529.9173042082</v>
          </cell>
          <cell r="M24">
            <v>29489.92514457705</v>
          </cell>
          <cell r="N24">
            <v>25471.925338000001</v>
          </cell>
          <cell r="O24">
            <v>26102.837292186148</v>
          </cell>
          <cell r="P24">
            <v>25239.290602225909</v>
          </cell>
          <cell r="Q24">
            <v>26740.570299999999</v>
          </cell>
          <cell r="R24">
            <v>26051.512900000002</v>
          </cell>
          <cell r="S24">
            <v>25807.428019999999</v>
          </cell>
          <cell r="T24">
            <v>25905.831999999999</v>
          </cell>
          <cell r="U24">
            <v>25914.076000000001</v>
          </cell>
          <cell r="V24">
            <v>25919.154750000002</v>
          </cell>
          <cell r="W24">
            <v>25926.834750000002</v>
          </cell>
          <cell r="X24">
            <v>25927.13</v>
          </cell>
          <cell r="Y24">
            <v>25927.13</v>
          </cell>
          <cell r="Z24">
            <v>25927.13</v>
          </cell>
        </row>
        <row r="26">
          <cell r="A26" t="str">
            <v xml:space="preserve">     Likely Stock Div (% of NP)</v>
          </cell>
          <cell r="M26">
            <v>0</v>
          </cell>
          <cell r="N26">
            <v>0</v>
          </cell>
          <cell r="O26">
            <v>0.03</v>
          </cell>
          <cell r="P26">
            <v>1.9999999999999997E-2</v>
          </cell>
          <cell r="Q26">
            <v>1.9999999999999997E-2</v>
          </cell>
          <cell r="R26">
            <v>1.9999999999999997E-2</v>
          </cell>
          <cell r="S26">
            <v>1.9999999999999997E-2</v>
          </cell>
          <cell r="T26">
            <v>1.9999999999999997E-2</v>
          </cell>
          <cell r="U26">
            <v>1.9999999999999997E-2</v>
          </cell>
          <cell r="V26">
            <v>1.9999999999999997E-2</v>
          </cell>
          <cell r="W26">
            <v>1.9999999999999997E-2</v>
          </cell>
          <cell r="X26">
            <v>1.9999999999999997E-2</v>
          </cell>
          <cell r="Y26">
            <v>1.9999999999999997E-2</v>
          </cell>
          <cell r="Z26">
            <v>1.9999999999999997E-2</v>
          </cell>
        </row>
        <row r="27">
          <cell r="A27" t="str">
            <v xml:space="preserve">     Likely Stock Div Shares (m)</v>
          </cell>
          <cell r="M27">
            <v>0</v>
          </cell>
          <cell r="N27">
            <v>0</v>
          </cell>
          <cell r="O27">
            <v>381.02770199999998</v>
          </cell>
          <cell r="P27">
            <v>218.35418599999994</v>
          </cell>
          <cell r="Q27">
            <v>229.84628639999997</v>
          </cell>
          <cell r="R27">
            <v>205.20102279999998</v>
          </cell>
          <cell r="S27">
            <v>371.69152069999996</v>
          </cell>
          <cell r="T27">
            <v>308.66294169999992</v>
          </cell>
          <cell r="U27">
            <v>382.16524459999994</v>
          </cell>
          <cell r="V27">
            <v>427.65063421919319</v>
          </cell>
          <cell r="W27">
            <v>447.30958634931983</v>
          </cell>
          <cell r="X27">
            <v>479.81911894052536</v>
          </cell>
          <cell r="Y27">
            <v>0</v>
          </cell>
          <cell r="Z27">
            <v>0</v>
          </cell>
        </row>
        <row r="28">
          <cell r="A28" t="str">
            <v xml:space="preserve">     Likely Cumm Stock Div Shares (m)</v>
          </cell>
          <cell r="M28">
            <v>0</v>
          </cell>
          <cell r="N28">
            <v>0</v>
          </cell>
          <cell r="O28">
            <v>381.02770199999998</v>
          </cell>
          <cell r="P28">
            <v>599.38188799999989</v>
          </cell>
          <cell r="Q28">
            <v>829.22817439999983</v>
          </cell>
          <cell r="R28">
            <v>1034.4291971999999</v>
          </cell>
          <cell r="S28">
            <v>1406.1207178999998</v>
          </cell>
          <cell r="T28">
            <v>1714.7836595999997</v>
          </cell>
          <cell r="U28">
            <v>2096.9489041999996</v>
          </cell>
          <cell r="V28">
            <v>2524.5995384191929</v>
          </cell>
          <cell r="W28">
            <v>2971.9091247685128</v>
          </cell>
          <cell r="X28">
            <v>3451.728243709038</v>
          </cell>
          <cell r="Y28">
            <v>3451.728243709038</v>
          </cell>
          <cell r="Z28">
            <v>3451.728243709038</v>
          </cell>
        </row>
        <row r="29">
          <cell r="A29" t="str">
            <v xml:space="preserve">     Likely Outstanding # of Shares</v>
          </cell>
          <cell r="M29">
            <v>27267.61592147324</v>
          </cell>
          <cell r="N29">
            <v>24730.024600000001</v>
          </cell>
          <cell r="O29">
            <v>26483.864994186148</v>
          </cell>
          <cell r="P29">
            <v>25838.672490225908</v>
          </cell>
          <cell r="Q29">
            <v>27569.798474399999</v>
          </cell>
          <cell r="R29">
            <v>27085.942097200001</v>
          </cell>
          <cell r="S29">
            <v>27213.548737900001</v>
          </cell>
          <cell r="T29">
            <v>27620.6156596</v>
          </cell>
          <cell r="U29">
            <v>28011.0249042</v>
          </cell>
          <cell r="V29">
            <v>28443.754288419193</v>
          </cell>
          <cell r="W29">
            <v>28898.743874768516</v>
          </cell>
          <cell r="X29">
            <v>29378.858243709037</v>
          </cell>
          <cell r="Y29">
            <v>29378.858243709037</v>
          </cell>
          <cell r="Z29">
            <v>29378.858243709037</v>
          </cell>
        </row>
        <row r="30">
          <cell r="A30" t="str">
            <v xml:space="preserve">     Likely Adjustment Factor</v>
          </cell>
          <cell r="M30">
            <v>1</v>
          </cell>
          <cell r="N30">
            <v>1</v>
          </cell>
          <cell r="O30">
            <v>1</v>
          </cell>
          <cell r="P30">
            <v>0.95921295872771106</v>
          </cell>
          <cell r="Q30">
            <v>1.0104387189470556</v>
          </cell>
          <cell r="R30">
            <v>0.98646713799607166</v>
          </cell>
          <cell r="S30">
            <v>0.9913557498841824</v>
          </cell>
          <cell r="T30">
            <v>1.0069504883849605</v>
          </cell>
          <cell r="U30">
            <v>1.0219070710824616</v>
          </cell>
          <cell r="V30">
            <v>1.0384849388205688</v>
          </cell>
          <cell r="W30">
            <v>1.0559155951609629</v>
          </cell>
          <cell r="X30">
            <v>1.0743087822143964</v>
          </cell>
          <cell r="Y30">
            <v>1.0743087822143964</v>
          </cell>
          <cell r="Z30">
            <v>1.0743087822143964</v>
          </cell>
        </row>
        <row r="33">
          <cell r="A33" t="str">
            <v>Share Buy Back</v>
          </cell>
          <cell r="F33">
            <v>0</v>
          </cell>
          <cell r="G33">
            <v>0</v>
          </cell>
          <cell r="H33">
            <v>0</v>
          </cell>
          <cell r="I33">
            <v>0</v>
          </cell>
          <cell r="J33">
            <v>0</v>
          </cell>
          <cell r="K33">
            <v>0</v>
          </cell>
          <cell r="L33">
            <v>0</v>
          </cell>
          <cell r="M33">
            <v>124.7</v>
          </cell>
          <cell r="N33">
            <v>0</v>
          </cell>
          <cell r="O33">
            <v>0</v>
          </cell>
          <cell r="P33">
            <v>800</v>
          </cell>
          <cell r="Q33">
            <v>0</v>
          </cell>
          <cell r="R33">
            <v>0</v>
          </cell>
          <cell r="S33">
            <v>28.373980000000003</v>
          </cell>
          <cell r="T33">
            <v>0</v>
          </cell>
          <cell r="U33">
            <v>0</v>
          </cell>
          <cell r="V33">
            <v>0</v>
          </cell>
          <cell r="W33">
            <v>0</v>
          </cell>
          <cell r="X33">
            <v>0</v>
          </cell>
        </row>
        <row r="38">
          <cell r="A38" t="str">
            <v>Outstanding Stock Options</v>
          </cell>
        </row>
        <row r="39">
          <cell r="A39" t="str">
            <v>Start of the Year</v>
          </cell>
          <cell r="L39">
            <v>19.369</v>
          </cell>
          <cell r="M39">
            <v>49.356999999999992</v>
          </cell>
          <cell r="N39">
            <v>64.36699999999999</v>
          </cell>
        </row>
        <row r="40">
          <cell r="A40" t="str">
            <v xml:space="preserve">   New Option Issued</v>
          </cell>
          <cell r="L40">
            <v>32.873999999999995</v>
          </cell>
          <cell r="M40">
            <v>20.399999999999999</v>
          </cell>
        </row>
        <row r="41">
          <cell r="A41" t="str">
            <v xml:space="preserve">   Options Exercised</v>
          </cell>
          <cell r="M41">
            <v>-8.6999999999999994E-2</v>
          </cell>
          <cell r="N41">
            <v>-0.89900000000000002</v>
          </cell>
        </row>
        <row r="42">
          <cell r="A42" t="str">
            <v xml:space="preserve">   Options Expired</v>
          </cell>
          <cell r="L42">
            <v>-2.8859999999999997</v>
          </cell>
          <cell r="M42">
            <v>-5.3029999999999999</v>
          </cell>
          <cell r="N42">
            <v>-1.6879999999999999</v>
          </cell>
        </row>
        <row r="43">
          <cell r="A43" t="str">
            <v>End of the Year</v>
          </cell>
          <cell r="K43">
            <v>19.369</v>
          </cell>
          <cell r="L43">
            <v>49.356999999999992</v>
          </cell>
          <cell r="M43">
            <v>64.36699999999999</v>
          </cell>
          <cell r="N43">
            <v>61.779999999999987</v>
          </cell>
        </row>
        <row r="46">
          <cell r="K46" t="str">
            <v>Breakdown of outstanding stock options</v>
          </cell>
        </row>
        <row r="47">
          <cell r="K47" t="str">
            <v>Issuance</v>
          </cell>
          <cell r="L47" t="str">
            <v>units</v>
          </cell>
          <cell r="M47" t="str">
            <v>o/s units</v>
          </cell>
          <cell r="N47" t="str">
            <v>Time to Maturity (Years)</v>
          </cell>
          <cell r="O47" t="str">
            <v>Exercise Price</v>
          </cell>
        </row>
        <row r="48">
          <cell r="K48" t="str">
            <v>2002 plan</v>
          </cell>
          <cell r="M48">
            <v>12.637</v>
          </cell>
          <cell r="N48">
            <v>9.34</v>
          </cell>
          <cell r="O48">
            <v>50.3</v>
          </cell>
        </row>
        <row r="49">
          <cell r="K49" t="str">
            <v>2003 plan</v>
          </cell>
          <cell r="M49">
            <v>51.73</v>
          </cell>
          <cell r="N49">
            <v>8.09</v>
          </cell>
          <cell r="O49">
            <v>42.6</v>
          </cell>
        </row>
        <row r="50">
          <cell r="K50" t="str">
            <v>Total</v>
          </cell>
          <cell r="M50">
            <v>64.36699999999999</v>
          </cell>
          <cell r="N50">
            <v>8.33</v>
          </cell>
          <cell r="O50">
            <v>44.1</v>
          </cell>
        </row>
      </sheetData>
      <sheetData sheetId="8" refreshError="1"/>
      <sheetData sheetId="9" refreshError="1"/>
      <sheetData sheetId="10" refreshError="1">
        <row r="1">
          <cell r="A1" t="str">
            <v>Trailing vs. Leading</v>
          </cell>
        </row>
        <row r="4">
          <cell r="D4">
            <v>1996</v>
          </cell>
          <cell r="E4">
            <v>1997</v>
          </cell>
          <cell r="F4">
            <v>1998</v>
          </cell>
          <cell r="G4">
            <v>1999</v>
          </cell>
          <cell r="H4">
            <v>2000</v>
          </cell>
          <cell r="I4">
            <v>2001</v>
          </cell>
          <cell r="J4">
            <v>2002</v>
          </cell>
          <cell r="K4">
            <v>2003</v>
          </cell>
          <cell r="L4">
            <v>2004</v>
          </cell>
          <cell r="M4">
            <v>2005</v>
          </cell>
          <cell r="N4">
            <v>2006</v>
          </cell>
          <cell r="O4">
            <v>2007</v>
          </cell>
          <cell r="P4">
            <v>2008</v>
          </cell>
          <cell r="Q4" t="str">
            <v>2009E</v>
          </cell>
          <cell r="R4" t="str">
            <v>2010</v>
          </cell>
          <cell r="S4" t="str">
            <v>2011</v>
          </cell>
        </row>
        <row r="5">
          <cell r="A5" t="str">
            <v>% of 90nm and below capacity</v>
          </cell>
          <cell r="D5">
            <v>0</v>
          </cell>
          <cell r="E5">
            <v>0</v>
          </cell>
          <cell r="F5">
            <v>0</v>
          </cell>
          <cell r="G5">
            <v>0</v>
          </cell>
          <cell r="H5">
            <v>0</v>
          </cell>
          <cell r="I5">
            <v>0</v>
          </cell>
          <cell r="J5">
            <v>0</v>
          </cell>
          <cell r="K5">
            <v>3.3638084087423631E-3</v>
          </cell>
          <cell r="L5">
            <v>1.1224518288868394E-2</v>
          </cell>
          <cell r="M5">
            <v>6.916378779939128E-2</v>
          </cell>
          <cell r="N5">
            <v>0.16501713434947241</v>
          </cell>
          <cell r="O5">
            <v>0.24342616975531559</v>
          </cell>
          <cell r="P5">
            <v>0.32013028377951841</v>
          </cell>
          <cell r="Q5">
            <v>0.37046564657326542</v>
          </cell>
          <cell r="R5">
            <v>0.44597634952398668</v>
          </cell>
          <cell r="S5">
            <v>0.46922174236706904</v>
          </cell>
        </row>
        <row r="6">
          <cell r="A6" t="str">
            <v>% of above 90nm capacity</v>
          </cell>
          <cell r="D6">
            <v>1</v>
          </cell>
          <cell r="E6">
            <v>1</v>
          </cell>
          <cell r="F6">
            <v>1</v>
          </cell>
          <cell r="G6">
            <v>1</v>
          </cell>
          <cell r="H6">
            <v>1</v>
          </cell>
          <cell r="I6">
            <v>1</v>
          </cell>
          <cell r="J6">
            <v>1</v>
          </cell>
          <cell r="K6">
            <v>0.9966361915912576</v>
          </cell>
          <cell r="L6">
            <v>0.98877548171113161</v>
          </cell>
          <cell r="M6">
            <v>0.93083621220060875</v>
          </cell>
          <cell r="N6">
            <v>0.83498286565052759</v>
          </cell>
          <cell r="O6">
            <v>0.75657383024468439</v>
          </cell>
          <cell r="P6">
            <v>0.67986971622048165</v>
          </cell>
          <cell r="Q6">
            <v>0.62953435342673458</v>
          </cell>
          <cell r="R6">
            <v>0.55402365047601332</v>
          </cell>
          <cell r="S6">
            <v>0.53077825763293096</v>
          </cell>
        </row>
        <row r="8">
          <cell r="A8" t="str">
            <v>Total Depreciation - Total</v>
          </cell>
          <cell r="D8">
            <v>6539.1989999999996</v>
          </cell>
          <cell r="E8">
            <v>9762.5439999999999</v>
          </cell>
          <cell r="F8">
            <v>14592.897000000001</v>
          </cell>
          <cell r="G8">
            <v>18041.32</v>
          </cell>
          <cell r="H8">
            <v>33051.197</v>
          </cell>
          <cell r="I8">
            <v>48875.754000000001</v>
          </cell>
          <cell r="J8">
            <v>57621.462</v>
          </cell>
          <cell r="K8">
            <v>61786.114000000001</v>
          </cell>
          <cell r="L8">
            <v>63072.14</v>
          </cell>
          <cell r="M8">
            <v>63068.654999999999</v>
          </cell>
          <cell r="N8">
            <v>67700</v>
          </cell>
          <cell r="O8">
            <v>74472.515076469863</v>
          </cell>
          <cell r="P8">
            <v>74883.566319999998</v>
          </cell>
          <cell r="Q8">
            <v>74650</v>
          </cell>
          <cell r="R8">
            <v>77480</v>
          </cell>
          <cell r="S8">
            <v>98840</v>
          </cell>
        </row>
        <row r="9">
          <cell r="A9" t="str">
            <v>Depreciation for trailing edge</v>
          </cell>
          <cell r="D9" t="e">
            <v>#REF!</v>
          </cell>
          <cell r="E9" t="e">
            <v>#REF!</v>
          </cell>
          <cell r="F9" t="e">
            <v>#REF!</v>
          </cell>
          <cell r="G9" t="e">
            <v>#REF!</v>
          </cell>
          <cell r="H9" t="e">
            <v>#REF!</v>
          </cell>
          <cell r="I9" t="e">
            <v>#REF!</v>
          </cell>
          <cell r="J9" t="e">
            <v>#REF!</v>
          </cell>
          <cell r="K9" t="e">
            <v>#REF!</v>
          </cell>
          <cell r="L9" t="e">
            <v>#REF!</v>
          </cell>
          <cell r="M9" t="e">
            <v>#REF!</v>
          </cell>
          <cell r="N9" t="e">
            <v>#REF!</v>
          </cell>
          <cell r="O9" t="e">
            <v>#REF!</v>
          </cell>
          <cell r="P9" t="e">
            <v>#REF!</v>
          </cell>
          <cell r="Q9" t="e">
            <v>#REF!</v>
          </cell>
          <cell r="R9" t="e">
            <v>#REF!</v>
          </cell>
          <cell r="S9" t="e">
            <v>#REF!</v>
          </cell>
        </row>
        <row r="10">
          <cell r="A10" t="str">
            <v xml:space="preserve">  % of Total Depreciation</v>
          </cell>
          <cell r="D10" t="e">
            <v>#REF!</v>
          </cell>
          <cell r="E10" t="e">
            <v>#REF!</v>
          </cell>
          <cell r="F10" t="e">
            <v>#REF!</v>
          </cell>
          <cell r="G10" t="e">
            <v>#REF!</v>
          </cell>
          <cell r="H10" t="e">
            <v>#REF!</v>
          </cell>
          <cell r="I10" t="e">
            <v>#REF!</v>
          </cell>
          <cell r="J10" t="e">
            <v>#REF!</v>
          </cell>
          <cell r="K10" t="e">
            <v>#REF!</v>
          </cell>
          <cell r="L10" t="e">
            <v>#REF!</v>
          </cell>
          <cell r="M10" t="e">
            <v>#REF!</v>
          </cell>
          <cell r="N10" t="e">
            <v>#REF!</v>
          </cell>
          <cell r="O10" t="e">
            <v>#REF!</v>
          </cell>
          <cell r="P10" t="e">
            <v>#REF!</v>
          </cell>
          <cell r="Q10" t="e">
            <v>#REF!</v>
          </cell>
          <cell r="R10" t="e">
            <v>#REF!</v>
          </cell>
          <cell r="S10" t="e">
            <v>#REF!</v>
          </cell>
        </row>
        <row r="16">
          <cell r="A16" t="str">
            <v>Total Capex</v>
          </cell>
        </row>
        <row r="17">
          <cell r="A17" t="str">
            <v xml:space="preserve">     Maintenance Capex</v>
          </cell>
          <cell r="D17" t="e">
            <v>#REF!</v>
          </cell>
          <cell r="E17" t="e">
            <v>#REF!</v>
          </cell>
          <cell r="F17" t="e">
            <v>#REF!</v>
          </cell>
          <cell r="G17" t="e">
            <v>#REF!</v>
          </cell>
          <cell r="H17" t="e">
            <v>#REF!</v>
          </cell>
          <cell r="I17" t="e">
            <v>#REF!</v>
          </cell>
          <cell r="J17" t="e">
            <v>#REF!</v>
          </cell>
          <cell r="K17" t="e">
            <v>#REF!</v>
          </cell>
          <cell r="L17" t="e">
            <v>#REF!</v>
          </cell>
          <cell r="M17" t="e">
            <v>#REF!</v>
          </cell>
          <cell r="N17" t="e">
            <v>#REF!</v>
          </cell>
          <cell r="O17" t="e">
            <v>#REF!</v>
          </cell>
          <cell r="P17" t="e">
            <v>#REF!</v>
          </cell>
          <cell r="Q17" t="e">
            <v>#REF!</v>
          </cell>
          <cell r="R17" t="e">
            <v>#REF!</v>
          </cell>
          <cell r="S17" t="e">
            <v>#REF!</v>
          </cell>
        </row>
        <row r="18">
          <cell r="A18" t="str">
            <v xml:space="preserve">     Building and construction</v>
          </cell>
          <cell r="D18" t="e">
            <v>#REF!</v>
          </cell>
          <cell r="E18" t="e">
            <v>#REF!</v>
          </cell>
          <cell r="F18" t="e">
            <v>#REF!</v>
          </cell>
          <cell r="G18" t="e">
            <v>#REF!</v>
          </cell>
          <cell r="H18">
            <v>0</v>
          </cell>
          <cell r="I18">
            <v>0</v>
          </cell>
          <cell r="J18">
            <v>0</v>
          </cell>
          <cell r="K18">
            <v>0</v>
          </cell>
          <cell r="L18">
            <v>0</v>
          </cell>
          <cell r="M18">
            <v>0</v>
          </cell>
          <cell r="N18">
            <v>0</v>
          </cell>
          <cell r="O18">
            <v>0</v>
          </cell>
          <cell r="P18">
            <v>0</v>
          </cell>
          <cell r="Q18">
            <v>0</v>
          </cell>
          <cell r="R18">
            <v>0</v>
          </cell>
          <cell r="S18">
            <v>0</v>
          </cell>
        </row>
        <row r="19">
          <cell r="A19" t="str">
            <v xml:space="preserve">     Upgrade for existing fab</v>
          </cell>
          <cell r="D19" t="e">
            <v>#REF!</v>
          </cell>
          <cell r="E19" t="e">
            <v>#REF!</v>
          </cell>
          <cell r="F19" t="e">
            <v>#REF!</v>
          </cell>
          <cell r="G19" t="e">
            <v>#REF!</v>
          </cell>
          <cell r="H19" t="e">
            <v>#REF!</v>
          </cell>
          <cell r="I19" t="e">
            <v>#REF!</v>
          </cell>
          <cell r="J19" t="e">
            <v>#REF!</v>
          </cell>
          <cell r="K19" t="e">
            <v>#REF!</v>
          </cell>
        </row>
        <row r="20">
          <cell r="A20" t="str">
            <v xml:space="preserve">     New Capacity</v>
          </cell>
          <cell r="D20" t="e">
            <v>#REF!</v>
          </cell>
          <cell r="E20" t="e">
            <v>#REF!</v>
          </cell>
          <cell r="F20" t="e">
            <v>#REF!</v>
          </cell>
          <cell r="G20" t="e">
            <v>#REF!</v>
          </cell>
          <cell r="H20" t="e">
            <v>#REF!</v>
          </cell>
          <cell r="I20" t="e">
            <v>#REF!</v>
          </cell>
          <cell r="J20" t="e">
            <v>#REF!</v>
          </cell>
          <cell r="K20" t="e">
            <v>#REF!</v>
          </cell>
          <cell r="L20" t="e">
            <v>#REF!</v>
          </cell>
          <cell r="M20" t="e">
            <v>#REF!</v>
          </cell>
          <cell r="N20" t="e">
            <v>#REF!</v>
          </cell>
          <cell r="O20" t="e">
            <v>#REF!</v>
          </cell>
          <cell r="P20" t="e">
            <v>#REF!</v>
          </cell>
          <cell r="Q20" t="e">
            <v>#REF!</v>
          </cell>
          <cell r="R20" t="e">
            <v>#REF!</v>
          </cell>
          <cell r="S20" t="e">
            <v>#REF!</v>
          </cell>
        </row>
        <row r="21">
          <cell r="A21" t="str">
            <v xml:space="preserve">     Total (US$)</v>
          </cell>
          <cell r="D21" t="e">
            <v>#REF!</v>
          </cell>
          <cell r="E21" t="e">
            <v>#REF!</v>
          </cell>
          <cell r="F21" t="e">
            <v>#REF!</v>
          </cell>
          <cell r="G21" t="e">
            <v>#REF!</v>
          </cell>
          <cell r="H21" t="e">
            <v>#REF!</v>
          </cell>
          <cell r="I21" t="e">
            <v>#REF!</v>
          </cell>
          <cell r="J21" t="e">
            <v>#REF!</v>
          </cell>
          <cell r="K21" t="e">
            <v>#REF!</v>
          </cell>
          <cell r="L21" t="e">
            <v>#REF!</v>
          </cell>
          <cell r="M21" t="e">
            <v>#REF!</v>
          </cell>
          <cell r="N21" t="e">
            <v>#REF!</v>
          </cell>
          <cell r="O21" t="e">
            <v>#REF!</v>
          </cell>
          <cell r="P21" t="e">
            <v>#REF!</v>
          </cell>
          <cell r="Q21" t="e">
            <v>#REF!</v>
          </cell>
          <cell r="R21" t="e">
            <v>#REF!</v>
          </cell>
          <cell r="S21" t="e">
            <v>#REF!</v>
          </cell>
        </row>
        <row r="22">
          <cell r="A22" t="str">
            <v xml:space="preserve">     Total (NT$)</v>
          </cell>
          <cell r="D22" t="e">
            <v>#REF!</v>
          </cell>
          <cell r="E22" t="e">
            <v>#REF!</v>
          </cell>
          <cell r="F22" t="e">
            <v>#REF!</v>
          </cell>
          <cell r="G22" t="e">
            <v>#REF!</v>
          </cell>
          <cell r="H22" t="e">
            <v>#REF!</v>
          </cell>
          <cell r="I22" t="e">
            <v>#REF!</v>
          </cell>
          <cell r="J22" t="e">
            <v>#REF!</v>
          </cell>
          <cell r="K22" t="e">
            <v>#REF!</v>
          </cell>
          <cell r="L22" t="e">
            <v>#REF!</v>
          </cell>
          <cell r="M22" t="e">
            <v>#REF!</v>
          </cell>
          <cell r="N22" t="e">
            <v>#REF!</v>
          </cell>
          <cell r="O22" t="e">
            <v>#REF!</v>
          </cell>
          <cell r="P22" t="e">
            <v>#REF!</v>
          </cell>
          <cell r="Q22" t="e">
            <v>#REF!</v>
          </cell>
          <cell r="R22" t="e">
            <v>#REF!</v>
          </cell>
          <cell r="S22" t="e">
            <v>#REF!</v>
          </cell>
        </row>
        <row r="24">
          <cell r="C24">
            <v>1996</v>
          </cell>
          <cell r="D24" t="e">
            <v>#REF!</v>
          </cell>
          <cell r="E24" t="e">
            <v>#REF!</v>
          </cell>
          <cell r="F24" t="e">
            <v>#REF!</v>
          </cell>
          <cell r="G24" t="e">
            <v>#REF!</v>
          </cell>
          <cell r="H24" t="e">
            <v>#REF!</v>
          </cell>
        </row>
        <row r="25">
          <cell r="C25">
            <v>1997</v>
          </cell>
          <cell r="E25" t="e">
            <v>#REF!</v>
          </cell>
          <cell r="F25" t="e">
            <v>#REF!</v>
          </cell>
          <cell r="G25" t="e">
            <v>#REF!</v>
          </cell>
          <cell r="H25" t="e">
            <v>#REF!</v>
          </cell>
          <cell r="I25" t="e">
            <v>#REF!</v>
          </cell>
        </row>
        <row r="26">
          <cell r="C26">
            <v>1998</v>
          </cell>
          <cell r="F26" t="e">
            <v>#REF!</v>
          </cell>
          <cell r="G26" t="e">
            <v>#REF!</v>
          </cell>
          <cell r="H26" t="e">
            <v>#REF!</v>
          </cell>
          <cell r="I26" t="e">
            <v>#REF!</v>
          </cell>
          <cell r="J26" t="e">
            <v>#REF!</v>
          </cell>
        </row>
        <row r="27">
          <cell r="C27">
            <v>1999</v>
          </cell>
          <cell r="G27" t="e">
            <v>#REF!</v>
          </cell>
          <cell r="H27" t="e">
            <v>#REF!</v>
          </cell>
          <cell r="I27" t="e">
            <v>#REF!</v>
          </cell>
          <cell r="J27" t="e">
            <v>#REF!</v>
          </cell>
          <cell r="K27" t="e">
            <v>#REF!</v>
          </cell>
        </row>
        <row r="28">
          <cell r="C28">
            <v>2000</v>
          </cell>
          <cell r="H28" t="e">
            <v>#REF!</v>
          </cell>
          <cell r="I28" t="e">
            <v>#REF!</v>
          </cell>
          <cell r="J28" t="e">
            <v>#REF!</v>
          </cell>
          <cell r="K28" t="e">
            <v>#REF!</v>
          </cell>
          <cell r="L28" t="e">
            <v>#REF!</v>
          </cell>
        </row>
        <row r="29">
          <cell r="C29">
            <v>2001</v>
          </cell>
          <cell r="I29" t="e">
            <v>#REF!</v>
          </cell>
          <cell r="J29" t="e">
            <v>#REF!</v>
          </cell>
          <cell r="K29" t="e">
            <v>#REF!</v>
          </cell>
          <cell r="L29" t="e">
            <v>#REF!</v>
          </cell>
          <cell r="M29" t="e">
            <v>#REF!</v>
          </cell>
        </row>
        <row r="30">
          <cell r="C30">
            <v>2002</v>
          </cell>
          <cell r="J30" t="e">
            <v>#REF!</v>
          </cell>
          <cell r="K30" t="e">
            <v>#REF!</v>
          </cell>
          <cell r="L30" t="e">
            <v>#REF!</v>
          </cell>
          <cell r="M30" t="e">
            <v>#REF!</v>
          </cell>
          <cell r="N30" t="e">
            <v>#REF!</v>
          </cell>
        </row>
        <row r="31">
          <cell r="C31">
            <v>2003</v>
          </cell>
          <cell r="K31" t="e">
            <v>#REF!</v>
          </cell>
          <cell r="L31" t="e">
            <v>#REF!</v>
          </cell>
          <cell r="M31" t="e">
            <v>#REF!</v>
          </cell>
          <cell r="N31" t="e">
            <v>#REF!</v>
          </cell>
          <cell r="O31" t="e">
            <v>#REF!</v>
          </cell>
        </row>
        <row r="32">
          <cell r="C32">
            <v>2004</v>
          </cell>
          <cell r="L32" t="e">
            <v>#REF!</v>
          </cell>
          <cell r="M32" t="e">
            <v>#REF!</v>
          </cell>
          <cell r="N32" t="e">
            <v>#REF!</v>
          </cell>
          <cell r="O32" t="e">
            <v>#REF!</v>
          </cell>
          <cell r="P32" t="e">
            <v>#REF!</v>
          </cell>
        </row>
        <row r="33">
          <cell r="C33">
            <v>2005</v>
          </cell>
          <cell r="M33" t="e">
            <v>#REF!</v>
          </cell>
          <cell r="N33" t="e">
            <v>#REF!</v>
          </cell>
          <cell r="O33" t="e">
            <v>#REF!</v>
          </cell>
          <cell r="P33" t="e">
            <v>#REF!</v>
          </cell>
          <cell r="Q33" t="e">
            <v>#REF!</v>
          </cell>
        </row>
        <row r="34">
          <cell r="C34">
            <v>2006</v>
          </cell>
          <cell r="N34" t="e">
            <v>#REF!</v>
          </cell>
          <cell r="O34" t="e">
            <v>#REF!</v>
          </cell>
          <cell r="P34" t="e">
            <v>#REF!</v>
          </cell>
          <cell r="Q34" t="e">
            <v>#REF!</v>
          </cell>
          <cell r="R34" t="e">
            <v>#REF!</v>
          </cell>
        </row>
        <row r="35">
          <cell r="C35">
            <v>2007</v>
          </cell>
          <cell r="O35" t="e">
            <v>#REF!</v>
          </cell>
          <cell r="P35" t="e">
            <v>#REF!</v>
          </cell>
          <cell r="Q35" t="e">
            <v>#REF!</v>
          </cell>
          <cell r="R35" t="e">
            <v>#REF!</v>
          </cell>
          <cell r="S35" t="e">
            <v>#REF!</v>
          </cell>
        </row>
        <row r="36">
          <cell r="C36">
            <v>2008</v>
          </cell>
          <cell r="P36" t="e">
            <v>#REF!</v>
          </cell>
          <cell r="Q36" t="e">
            <v>#REF!</v>
          </cell>
          <cell r="R36" t="e">
            <v>#REF!</v>
          </cell>
          <cell r="S36" t="e">
            <v>#REF!</v>
          </cell>
          <cell r="T36" t="e">
            <v>#REF!</v>
          </cell>
        </row>
        <row r="37">
          <cell r="C37">
            <v>2009</v>
          </cell>
          <cell r="Q37" t="e">
            <v>#REF!</v>
          </cell>
          <cell r="R37" t="e">
            <v>#REF!</v>
          </cell>
          <cell r="S37" t="e">
            <v>#REF!</v>
          </cell>
          <cell r="T37" t="e">
            <v>#REF!</v>
          </cell>
          <cell r="U37" t="e">
            <v>#REF!</v>
          </cell>
        </row>
        <row r="38">
          <cell r="C38">
            <v>2010</v>
          </cell>
          <cell r="R38" t="e">
            <v>#REF!</v>
          </cell>
          <cell r="S38" t="e">
            <v>#REF!</v>
          </cell>
          <cell r="T38" t="e">
            <v>#REF!</v>
          </cell>
          <cell r="U38" t="e">
            <v>#REF!</v>
          </cell>
          <cell r="V38" t="e">
            <v>#REF!</v>
          </cell>
        </row>
        <row r="39">
          <cell r="S39" t="e">
            <v>#REF!</v>
          </cell>
          <cell r="T39" t="e">
            <v>#REF!</v>
          </cell>
          <cell r="U39" t="e">
            <v>#REF!</v>
          </cell>
          <cell r="V39" t="e">
            <v>#REF!</v>
          </cell>
          <cell r="W39" t="e">
            <v>#REF!</v>
          </cell>
        </row>
        <row r="41">
          <cell r="A41" t="str">
            <v>Depreciation for trailing edge</v>
          </cell>
          <cell r="D41" t="e">
            <v>#REF!</v>
          </cell>
          <cell r="E41" t="e">
            <v>#REF!</v>
          </cell>
          <cell r="F41" t="e">
            <v>#REF!</v>
          </cell>
          <cell r="G41" t="e">
            <v>#REF!</v>
          </cell>
          <cell r="H41" t="e">
            <v>#REF!</v>
          </cell>
          <cell r="I41" t="e">
            <v>#REF!</v>
          </cell>
          <cell r="J41" t="e">
            <v>#REF!</v>
          </cell>
          <cell r="K41" t="e">
            <v>#REF!</v>
          </cell>
          <cell r="L41" t="e">
            <v>#REF!</v>
          </cell>
          <cell r="M41" t="e">
            <v>#REF!</v>
          </cell>
          <cell r="N41" t="e">
            <v>#REF!</v>
          </cell>
          <cell r="O41" t="e">
            <v>#REF!</v>
          </cell>
          <cell r="P41" t="e">
            <v>#REF!</v>
          </cell>
          <cell r="Q41" t="e">
            <v>#REF!</v>
          </cell>
          <cell r="R41" t="e">
            <v>#REF!</v>
          </cell>
          <cell r="S41" t="e">
            <v>#REF!</v>
          </cell>
          <cell r="T41" t="e">
            <v>#REF!</v>
          </cell>
          <cell r="U41" t="e">
            <v>#REF!</v>
          </cell>
          <cell r="V41" t="e">
            <v>#REF!</v>
          </cell>
          <cell r="W41" t="e">
            <v>#REF!</v>
          </cell>
        </row>
        <row r="44">
          <cell r="A44" t="str">
            <v>Gross Margin</v>
          </cell>
        </row>
        <row r="45">
          <cell r="A45" t="str">
            <v>Revenues</v>
          </cell>
          <cell r="D45">
            <v>39400.178999999996</v>
          </cell>
          <cell r="E45">
            <v>43935.627</v>
          </cell>
          <cell r="F45">
            <v>50233.008000000002</v>
          </cell>
          <cell r="G45">
            <v>73131.206000000006</v>
          </cell>
          <cell r="H45">
            <v>166228.41999999998</v>
          </cell>
          <cell r="I45">
            <v>125888.003</v>
          </cell>
          <cell r="J45">
            <v>160961.32899999997</v>
          </cell>
          <cell r="K45">
            <v>201904.34100000001</v>
          </cell>
          <cell r="L45">
            <v>255992.42700000003</v>
          </cell>
          <cell r="M45">
            <v>264588.364</v>
          </cell>
          <cell r="N45">
            <v>317406.995</v>
          </cell>
          <cell r="O45">
            <v>322630.59600000002</v>
          </cell>
          <cell r="P45">
            <v>333157.66000000003</v>
          </cell>
          <cell r="Q45">
            <v>295742.239</v>
          </cell>
        </row>
        <row r="46">
          <cell r="B46" t="str">
            <v>Trailing</v>
          </cell>
          <cell r="D46">
            <v>39400.178999999996</v>
          </cell>
          <cell r="E46">
            <v>43935.627</v>
          </cell>
          <cell r="F46">
            <v>50233.008000000002</v>
          </cell>
          <cell r="G46">
            <v>73131.206000000006</v>
          </cell>
          <cell r="H46">
            <v>166228.41999999998</v>
          </cell>
          <cell r="I46">
            <v>125888.003</v>
          </cell>
          <cell r="J46">
            <v>160961.32899999997</v>
          </cell>
          <cell r="K46">
            <v>201904.34100000001</v>
          </cell>
          <cell r="L46">
            <v>255992.42700000003</v>
          </cell>
          <cell r="M46">
            <v>261971.27191834751</v>
          </cell>
          <cell r="N46">
            <v>287499.75044223934</v>
          </cell>
          <cell r="O46">
            <v>248771.81358604672</v>
          </cell>
          <cell r="P46">
            <v>226835.48679815832</v>
          </cell>
          <cell r="Q46">
            <v>157471.33645918316</v>
          </cell>
        </row>
        <row r="47">
          <cell r="C47" t="str">
            <v>% of Revenues</v>
          </cell>
          <cell r="D47">
            <v>1</v>
          </cell>
          <cell r="E47">
            <v>1</v>
          </cell>
          <cell r="F47">
            <v>1</v>
          </cell>
          <cell r="G47">
            <v>1</v>
          </cell>
          <cell r="H47">
            <v>1</v>
          </cell>
          <cell r="I47">
            <v>1</v>
          </cell>
          <cell r="J47">
            <v>1</v>
          </cell>
          <cell r="K47">
            <v>1</v>
          </cell>
          <cell r="L47">
            <v>1</v>
          </cell>
          <cell r="M47">
            <v>0.99010881641925685</v>
          </cell>
          <cell r="N47">
            <v>0.90577635329756789</v>
          </cell>
          <cell r="O47">
            <v>0.77107322327869576</v>
          </cell>
          <cell r="P47">
            <v>0.68086529001962104</v>
          </cell>
          <cell r="Q47">
            <v>0.53246143327934692</v>
          </cell>
          <cell r="R47">
            <v>0.46676303463315505</v>
          </cell>
          <cell r="S47">
            <v>0.39753349210554045</v>
          </cell>
          <cell r="T47">
            <v>0.35462864843906727</v>
          </cell>
          <cell r="U47">
            <v>0.28710181585272732</v>
          </cell>
          <cell r="V47">
            <v>0.2511574928544571</v>
          </cell>
          <cell r="W47">
            <v>0.2094694069713563</v>
          </cell>
        </row>
        <row r="48">
          <cell r="B48" t="str">
            <v>Leading</v>
          </cell>
          <cell r="D48">
            <v>0</v>
          </cell>
          <cell r="E48">
            <v>0</v>
          </cell>
          <cell r="F48">
            <v>0</v>
          </cell>
          <cell r="G48">
            <v>0</v>
          </cell>
          <cell r="H48">
            <v>0</v>
          </cell>
          <cell r="I48">
            <v>0</v>
          </cell>
          <cell r="J48">
            <v>0</v>
          </cell>
          <cell r="K48">
            <v>0</v>
          </cell>
          <cell r="L48">
            <v>0</v>
          </cell>
          <cell r="M48">
            <v>2617.0920816524826</v>
          </cell>
          <cell r="N48">
            <v>29907.244557760623</v>
          </cell>
          <cell r="O48">
            <v>73858.782413953319</v>
          </cell>
          <cell r="P48">
            <v>106322.1732018417</v>
          </cell>
          <cell r="Q48">
            <v>138270.90254081684</v>
          </cell>
        </row>
        <row r="49">
          <cell r="C49" t="str">
            <v>% of Revenues</v>
          </cell>
          <cell r="D49">
            <v>0</v>
          </cell>
          <cell r="E49">
            <v>0</v>
          </cell>
          <cell r="F49">
            <v>0</v>
          </cell>
          <cell r="G49">
            <v>0</v>
          </cell>
          <cell r="H49">
            <v>0</v>
          </cell>
          <cell r="I49">
            <v>0</v>
          </cell>
          <cell r="J49">
            <v>0</v>
          </cell>
          <cell r="K49">
            <v>0</v>
          </cell>
          <cell r="L49">
            <v>0</v>
          </cell>
          <cell r="M49">
            <v>9.8911835807431146E-3</v>
          </cell>
          <cell r="N49">
            <v>9.4223646702432079E-2</v>
          </cell>
          <cell r="O49">
            <v>0.22892677672130426</v>
          </cell>
          <cell r="P49">
            <v>0.31913470998037891</v>
          </cell>
          <cell r="Q49">
            <v>0.46753856672065314</v>
          </cell>
          <cell r="R49">
            <v>0.53323696536684495</v>
          </cell>
          <cell r="S49">
            <v>0.60246650789445955</v>
          </cell>
          <cell r="T49">
            <v>0.64537135156093273</v>
          </cell>
          <cell r="U49">
            <v>0.71289818414727268</v>
          </cell>
          <cell r="V49">
            <v>0.7488425071455429</v>
          </cell>
          <cell r="W49">
            <v>0.7905305930286437</v>
          </cell>
        </row>
        <row r="51">
          <cell r="A51" t="str">
            <v>GOGS</v>
          </cell>
          <cell r="D51">
            <v>17420.93</v>
          </cell>
          <cell r="E51">
            <v>22841.471000000001</v>
          </cell>
          <cell r="F51">
            <v>29896.966</v>
          </cell>
          <cell r="G51">
            <v>40915.512999999999</v>
          </cell>
          <cell r="H51">
            <v>90231.581000000006</v>
          </cell>
          <cell r="I51">
            <v>89506.952000000005</v>
          </cell>
          <cell r="J51">
            <v>108994.18399999999</v>
          </cell>
          <cell r="K51">
            <v>129012.704</v>
          </cell>
          <cell r="L51">
            <v>151203.6864097224</v>
          </cell>
          <cell r="M51">
            <v>150840.13982338167</v>
          </cell>
          <cell r="N51">
            <v>161596.59432911983</v>
          </cell>
          <cell r="O51">
            <v>180280.38500000001</v>
          </cell>
          <cell r="P51">
            <v>191408.09899999999</v>
          </cell>
          <cell r="Q51">
            <v>166413.62800000003</v>
          </cell>
        </row>
        <row r="52">
          <cell r="B52" t="str">
            <v>Trailing</v>
          </cell>
          <cell r="D52" t="e">
            <v>#REF!</v>
          </cell>
          <cell r="E52" t="e">
            <v>#REF!</v>
          </cell>
          <cell r="F52" t="e">
            <v>#REF!</v>
          </cell>
          <cell r="G52" t="e">
            <v>#REF!</v>
          </cell>
          <cell r="H52" t="e">
            <v>#REF!</v>
          </cell>
          <cell r="I52" t="e">
            <v>#REF!</v>
          </cell>
          <cell r="J52" t="e">
            <v>#REF!</v>
          </cell>
          <cell r="K52" t="e">
            <v>#REF!</v>
          </cell>
          <cell r="L52" t="e">
            <v>#REF!</v>
          </cell>
          <cell r="M52" t="e">
            <v>#REF!</v>
          </cell>
          <cell r="N52" t="e">
            <v>#REF!</v>
          </cell>
          <cell r="O52" t="e">
            <v>#REF!</v>
          </cell>
          <cell r="P52" t="e">
            <v>#REF!</v>
          </cell>
          <cell r="Q52" t="e">
            <v>#REF!</v>
          </cell>
        </row>
        <row r="53">
          <cell r="B53" t="str">
            <v>Leading</v>
          </cell>
          <cell r="D53" t="e">
            <v>#REF!</v>
          </cell>
          <cell r="E53" t="e">
            <v>#REF!</v>
          </cell>
          <cell r="F53" t="e">
            <v>#REF!</v>
          </cell>
          <cell r="G53" t="e">
            <v>#REF!</v>
          </cell>
          <cell r="H53" t="e">
            <v>#REF!</v>
          </cell>
          <cell r="I53" t="e">
            <v>#REF!</v>
          </cell>
          <cell r="J53" t="e">
            <v>#REF!</v>
          </cell>
          <cell r="K53" t="e">
            <v>#REF!</v>
          </cell>
          <cell r="L53" t="e">
            <v>#REF!</v>
          </cell>
          <cell r="M53" t="e">
            <v>#REF!</v>
          </cell>
          <cell r="N53" t="e">
            <v>#REF!</v>
          </cell>
          <cell r="O53" t="e">
            <v>#REF!</v>
          </cell>
          <cell r="P53" t="e">
            <v>#REF!</v>
          </cell>
          <cell r="Q53" t="e">
            <v>#REF!</v>
          </cell>
        </row>
        <row r="55">
          <cell r="A55" t="str">
            <v>GOGS Exluding Depreciation</v>
          </cell>
          <cell r="D55">
            <v>10881.731</v>
          </cell>
          <cell r="E55">
            <v>13078.927000000001</v>
          </cell>
          <cell r="F55">
            <v>15304.069</v>
          </cell>
          <cell r="G55">
            <v>22874.192999999999</v>
          </cell>
          <cell r="H55">
            <v>57180.384000000005</v>
          </cell>
          <cell r="I55">
            <v>40631.198000000004</v>
          </cell>
          <cell r="J55">
            <v>51372.721999999994</v>
          </cell>
          <cell r="K55">
            <v>67226.59</v>
          </cell>
          <cell r="L55">
            <v>88131.546409722403</v>
          </cell>
          <cell r="M55">
            <v>87771.484823381674</v>
          </cell>
          <cell r="N55">
            <v>93896.594329119835</v>
          </cell>
          <cell r="O55">
            <v>105807.86992353015</v>
          </cell>
          <cell r="P55">
            <v>116524.53267999999</v>
          </cell>
          <cell r="Q55">
            <v>91763.628000000026</v>
          </cell>
        </row>
        <row r="56">
          <cell r="B56" t="str">
            <v>Trailing</v>
          </cell>
          <cell r="D56">
            <v>10881.731</v>
          </cell>
          <cell r="E56">
            <v>13078.927000000001</v>
          </cell>
          <cell r="F56">
            <v>15304.069</v>
          </cell>
          <cell r="G56">
            <v>22874.192999999999</v>
          </cell>
          <cell r="H56">
            <v>57180.384000000005</v>
          </cell>
          <cell r="I56">
            <v>40631.198000000004</v>
          </cell>
          <cell r="J56">
            <v>51372.721999999994</v>
          </cell>
          <cell r="K56">
            <v>67226.59</v>
          </cell>
          <cell r="L56">
            <v>88131.546409722403</v>
          </cell>
          <cell r="M56">
            <v>86903.320953839197</v>
          </cell>
          <cell r="N56">
            <v>85049.31479849125</v>
          </cell>
          <cell r="O56">
            <v>81585.615310189358</v>
          </cell>
          <cell r="P56">
            <v>79337.509737569009</v>
          </cell>
          <cell r="Q56">
            <v>48860.592887792824</v>
          </cell>
        </row>
        <row r="57">
          <cell r="B57" t="str">
            <v>Leading</v>
          </cell>
          <cell r="D57">
            <v>0</v>
          </cell>
          <cell r="E57">
            <v>0</v>
          </cell>
          <cell r="F57">
            <v>0</v>
          </cell>
          <cell r="G57">
            <v>0</v>
          </cell>
          <cell r="H57">
            <v>0</v>
          </cell>
          <cell r="I57">
            <v>0</v>
          </cell>
          <cell r="J57">
            <v>0</v>
          </cell>
          <cell r="K57">
            <v>0</v>
          </cell>
          <cell r="L57">
            <v>0</v>
          </cell>
          <cell r="M57">
            <v>868.16386954247628</v>
          </cell>
          <cell r="N57">
            <v>8847.2795306285752</v>
          </cell>
          <cell r="O57">
            <v>24222.254613340792</v>
          </cell>
          <cell r="P57">
            <v>37187.02294243098</v>
          </cell>
          <cell r="Q57">
            <v>42903.03511220721</v>
          </cell>
        </row>
        <row r="59">
          <cell r="A59" t="str">
            <v>Depreciation</v>
          </cell>
          <cell r="D59">
            <v>6539.1989999999996</v>
          </cell>
          <cell r="E59">
            <v>9762.5439999999999</v>
          </cell>
          <cell r="F59">
            <v>14592.897000000001</v>
          </cell>
          <cell r="G59">
            <v>18041.32</v>
          </cell>
          <cell r="H59">
            <v>33051.197</v>
          </cell>
          <cell r="I59">
            <v>48875.754000000001</v>
          </cell>
          <cell r="J59">
            <v>57621.462</v>
          </cell>
          <cell r="K59">
            <v>61786.114000000001</v>
          </cell>
          <cell r="L59">
            <v>63072.14</v>
          </cell>
          <cell r="M59">
            <v>63068.654999999999</v>
          </cell>
          <cell r="N59">
            <v>67700</v>
          </cell>
          <cell r="O59">
            <v>74472.515076469863</v>
          </cell>
          <cell r="P59">
            <v>74883.566319999998</v>
          </cell>
          <cell r="Q59">
            <v>74650</v>
          </cell>
        </row>
        <row r="60">
          <cell r="B60" t="str">
            <v>Trailing Edge</v>
          </cell>
          <cell r="D60" t="e">
            <v>#REF!</v>
          </cell>
          <cell r="E60" t="e">
            <v>#REF!</v>
          </cell>
          <cell r="F60" t="e">
            <v>#REF!</v>
          </cell>
          <cell r="G60" t="e">
            <v>#REF!</v>
          </cell>
          <cell r="H60" t="e">
            <v>#REF!</v>
          </cell>
          <cell r="I60" t="e">
            <v>#REF!</v>
          </cell>
          <cell r="J60" t="e">
            <v>#REF!</v>
          </cell>
          <cell r="K60" t="e">
            <v>#REF!</v>
          </cell>
          <cell r="L60" t="e">
            <v>#REF!</v>
          </cell>
          <cell r="M60" t="e">
            <v>#REF!</v>
          </cell>
          <cell r="N60" t="e">
            <v>#REF!</v>
          </cell>
          <cell r="O60" t="e">
            <v>#REF!</v>
          </cell>
          <cell r="P60" t="e">
            <v>#REF!</v>
          </cell>
          <cell r="Q60" t="e">
            <v>#REF!</v>
          </cell>
        </row>
        <row r="61">
          <cell r="B61" t="str">
            <v>Leading</v>
          </cell>
          <cell r="D61" t="e">
            <v>#REF!</v>
          </cell>
          <cell r="E61" t="e">
            <v>#REF!</v>
          </cell>
          <cell r="F61" t="e">
            <v>#REF!</v>
          </cell>
          <cell r="G61" t="e">
            <v>#REF!</v>
          </cell>
          <cell r="H61" t="e">
            <v>#REF!</v>
          </cell>
          <cell r="I61" t="e">
            <v>#REF!</v>
          </cell>
          <cell r="J61" t="e">
            <v>#REF!</v>
          </cell>
          <cell r="K61" t="e">
            <v>#REF!</v>
          </cell>
          <cell r="L61" t="e">
            <v>#REF!</v>
          </cell>
          <cell r="M61" t="e">
            <v>#REF!</v>
          </cell>
          <cell r="N61" t="e">
            <v>#REF!</v>
          </cell>
          <cell r="O61" t="e">
            <v>#REF!</v>
          </cell>
          <cell r="P61" t="e">
            <v>#REF!</v>
          </cell>
          <cell r="Q61" t="e">
            <v>#REF!</v>
          </cell>
        </row>
        <row r="63">
          <cell r="A63" t="str">
            <v>Gross Profit</v>
          </cell>
        </row>
        <row r="64">
          <cell r="B64" t="str">
            <v>Trailing</v>
          </cell>
          <cell r="D64" t="e">
            <v>#REF!</v>
          </cell>
          <cell r="E64" t="e">
            <v>#REF!</v>
          </cell>
          <cell r="F64" t="e">
            <v>#REF!</v>
          </cell>
          <cell r="G64" t="e">
            <v>#REF!</v>
          </cell>
          <cell r="H64" t="e">
            <v>#REF!</v>
          </cell>
          <cell r="I64" t="e">
            <v>#REF!</v>
          </cell>
          <cell r="J64" t="e">
            <v>#REF!</v>
          </cell>
          <cell r="K64" t="e">
            <v>#REF!</v>
          </cell>
          <cell r="L64" t="e">
            <v>#REF!</v>
          </cell>
          <cell r="M64" t="e">
            <v>#REF!</v>
          </cell>
          <cell r="N64" t="e">
            <v>#REF!</v>
          </cell>
          <cell r="O64" t="e">
            <v>#REF!</v>
          </cell>
          <cell r="P64" t="e">
            <v>#REF!</v>
          </cell>
          <cell r="Q64" t="e">
            <v>#REF!</v>
          </cell>
        </row>
        <row r="65">
          <cell r="B65" t="str">
            <v>Leading</v>
          </cell>
          <cell r="D65" t="e">
            <v>#REF!</v>
          </cell>
          <cell r="E65" t="e">
            <v>#REF!</v>
          </cell>
          <cell r="F65" t="e">
            <v>#REF!</v>
          </cell>
          <cell r="G65" t="e">
            <v>#REF!</v>
          </cell>
          <cell r="H65" t="e">
            <v>#REF!</v>
          </cell>
          <cell r="I65" t="e">
            <v>#REF!</v>
          </cell>
          <cell r="J65" t="e">
            <v>#REF!</v>
          </cell>
          <cell r="K65" t="e">
            <v>#REF!</v>
          </cell>
          <cell r="L65" t="e">
            <v>#REF!</v>
          </cell>
          <cell r="M65" t="e">
            <v>#REF!</v>
          </cell>
          <cell r="N65" t="e">
            <v>#REF!</v>
          </cell>
          <cell r="O65" t="e">
            <v>#REF!</v>
          </cell>
          <cell r="P65" t="e">
            <v>#REF!</v>
          </cell>
          <cell r="Q65" t="e">
            <v>#REF!</v>
          </cell>
        </row>
        <row r="67">
          <cell r="A67" t="str">
            <v>GM</v>
          </cell>
        </row>
        <row r="68">
          <cell r="B68" t="str">
            <v>Trailing</v>
          </cell>
          <cell r="D68" t="e">
            <v>#REF!</v>
          </cell>
          <cell r="E68" t="e">
            <v>#REF!</v>
          </cell>
          <cell r="F68" t="e">
            <v>#REF!</v>
          </cell>
          <cell r="G68" t="e">
            <v>#REF!</v>
          </cell>
          <cell r="H68" t="e">
            <v>#REF!</v>
          </cell>
          <cell r="I68" t="e">
            <v>#REF!</v>
          </cell>
          <cell r="J68" t="e">
            <v>#REF!</v>
          </cell>
          <cell r="K68" t="e">
            <v>#REF!</v>
          </cell>
          <cell r="L68" t="e">
            <v>#REF!</v>
          </cell>
          <cell r="M68" t="e">
            <v>#REF!</v>
          </cell>
          <cell r="N68" t="e">
            <v>#REF!</v>
          </cell>
          <cell r="O68" t="e">
            <v>#REF!</v>
          </cell>
          <cell r="P68" t="e">
            <v>#REF!</v>
          </cell>
          <cell r="Q68" t="e">
            <v>#REF!</v>
          </cell>
        </row>
        <row r="69">
          <cell r="B69" t="str">
            <v>Leading</v>
          </cell>
          <cell r="D69" t="e">
            <v>#REF!</v>
          </cell>
          <cell r="E69" t="e">
            <v>#REF!</v>
          </cell>
          <cell r="F69" t="e">
            <v>#REF!</v>
          </cell>
          <cell r="G69" t="e">
            <v>#REF!</v>
          </cell>
          <cell r="H69" t="e">
            <v>#REF!</v>
          </cell>
          <cell r="I69" t="e">
            <v>#REF!</v>
          </cell>
          <cell r="J69" t="e">
            <v>#REF!</v>
          </cell>
          <cell r="K69" t="str">
            <v>NM</v>
          </cell>
          <cell r="L69" t="str">
            <v>NM</v>
          </cell>
          <cell r="M69" t="str">
            <v>NM</v>
          </cell>
          <cell r="N69" t="e">
            <v>#REF!</v>
          </cell>
          <cell r="O69" t="e">
            <v>#REF!</v>
          </cell>
          <cell r="P69" t="e">
            <v>#REF!</v>
          </cell>
          <cell r="Q69" t="e">
            <v>#REF!</v>
          </cell>
        </row>
        <row r="335">
          <cell r="B335" t="str">
            <v>English</v>
          </cell>
        </row>
      </sheetData>
      <sheetData sheetId="11" refreshError="1"/>
      <sheetData sheetId="12" refreshError="1"/>
      <sheetData sheetId="13" refreshError="1"/>
      <sheetData sheetId="14" refreshError="1">
        <row r="1">
          <cell r="J1" t="str">
            <v>&lt;= Input areas</v>
          </cell>
          <cell r="L1" t="str">
            <v>Current share price</v>
          </cell>
          <cell r="M1">
            <v>62</v>
          </cell>
          <cell r="O1">
            <v>-0.15000000000000005</v>
          </cell>
        </row>
        <row r="2">
          <cell r="A2" t="str">
            <v>Emp Option Expense</v>
          </cell>
          <cell r="L2" t="str">
            <v>Target share price</v>
          </cell>
          <cell r="M2">
            <v>55</v>
          </cell>
        </row>
        <row r="3">
          <cell r="A3" t="str">
            <v>TSMC</v>
          </cell>
          <cell r="B3">
            <v>1997</v>
          </cell>
          <cell r="C3">
            <v>1998</v>
          </cell>
          <cell r="D3">
            <v>1999</v>
          </cell>
          <cell r="E3">
            <v>2000</v>
          </cell>
          <cell r="F3">
            <v>2001</v>
          </cell>
          <cell r="G3">
            <v>2002</v>
          </cell>
          <cell r="H3">
            <v>2003</v>
          </cell>
          <cell r="I3">
            <v>2004</v>
          </cell>
          <cell r="J3">
            <v>2005</v>
          </cell>
          <cell r="K3">
            <v>2006</v>
          </cell>
          <cell r="L3">
            <v>2007</v>
          </cell>
          <cell r="M3" t="str">
            <v>2008E</v>
          </cell>
          <cell r="N3" t="str">
            <v>2009E</v>
          </cell>
          <cell r="O3" t="str">
            <v>2010E</v>
          </cell>
          <cell r="P3" t="str">
            <v>2011E</v>
          </cell>
          <cell r="Q3" t="str">
            <v>2012E</v>
          </cell>
          <cell r="R3" t="str">
            <v>2013E</v>
          </cell>
          <cell r="S3" t="str">
            <v>2014E</v>
          </cell>
          <cell r="T3" t="str">
            <v>2015E</v>
          </cell>
          <cell r="U3" t="str">
            <v>2016E</v>
          </cell>
          <cell r="V3" t="str">
            <v>2017E</v>
          </cell>
          <cell r="W3" t="str">
            <v>2018E</v>
          </cell>
        </row>
        <row r="5">
          <cell r="A5" t="str">
            <v>TW GAAP Net Income (NT$ m)</v>
          </cell>
          <cell r="B5">
            <v>17960</v>
          </cell>
          <cell r="C5">
            <v>15343</v>
          </cell>
          <cell r="D5">
            <v>23525</v>
          </cell>
          <cell r="E5">
            <v>65104</v>
          </cell>
          <cell r="F5">
            <v>14483</v>
          </cell>
          <cell r="G5">
            <v>21609</v>
          </cell>
          <cell r="H5">
            <v>47258</v>
          </cell>
          <cell r="I5">
            <v>92316</v>
          </cell>
          <cell r="J5">
            <v>93573</v>
          </cell>
          <cell r="K5">
            <v>127009.234</v>
          </cell>
          <cell r="L5">
            <v>109177.09299999999</v>
          </cell>
          <cell r="M5">
            <v>99933.167999999991</v>
          </cell>
          <cell r="N5">
            <v>89217.835999999996</v>
          </cell>
          <cell r="O5">
            <v>161605.00899999999</v>
          </cell>
          <cell r="P5">
            <v>134201.27899999998</v>
          </cell>
          <cell r="Q5">
            <v>166158.80200000003</v>
          </cell>
          <cell r="R5">
            <v>185935.05835617098</v>
          </cell>
          <cell r="S5">
            <v>194482.42884753039</v>
          </cell>
          <cell r="T5">
            <v>210446.98199145854</v>
          </cell>
          <cell r="U5">
            <v>222382.71286758408</v>
          </cell>
          <cell r="V5">
            <v>0</v>
          </cell>
          <cell r="W5">
            <v>0</v>
          </cell>
        </row>
        <row r="6">
          <cell r="A6" t="str">
            <v>US GAAP Net Income (NT$ m)</v>
          </cell>
          <cell r="B6">
            <v>8914.8023900000026</v>
          </cell>
          <cell r="C6">
            <v>2978.4879460000011</v>
          </cell>
          <cell r="D6">
            <v>-1167.4499680000044</v>
          </cell>
          <cell r="E6">
            <v>36800.35082</v>
          </cell>
          <cell r="F6">
            <v>7036.768063999999</v>
          </cell>
          <cell r="G6">
            <v>12771.985848</v>
          </cell>
          <cell r="H6">
            <v>34634.581837999998</v>
          </cell>
          <cell r="I6">
            <v>72678.414079999988</v>
          </cell>
          <cell r="J6">
            <v>71130.308143999995</v>
          </cell>
          <cell r="K6">
            <v>92564.632939999981</v>
          </cell>
          <cell r="L6">
            <v>83865.866774239636</v>
          </cell>
          <cell r="M6">
            <v>99933.167999999991</v>
          </cell>
          <cell r="N6">
            <v>89217.835999999996</v>
          </cell>
          <cell r="O6">
            <v>161605.00899999999</v>
          </cell>
          <cell r="P6">
            <v>134201.27899999998</v>
          </cell>
          <cell r="Q6">
            <v>166158.80200000003</v>
          </cell>
          <cell r="R6">
            <v>185935.05835617098</v>
          </cell>
          <cell r="S6">
            <v>194482.42884753039</v>
          </cell>
          <cell r="T6">
            <v>210446.98199145854</v>
          </cell>
          <cell r="U6">
            <v>222382.71286758408</v>
          </cell>
          <cell r="V6">
            <v>0</v>
          </cell>
          <cell r="W6" t="str">
            <v>-</v>
          </cell>
        </row>
        <row r="7">
          <cell r="A7" t="str">
            <v>Earning dilution</v>
          </cell>
          <cell r="B7">
            <v>0.50363015645879716</v>
          </cell>
          <cell r="C7">
            <v>0.80587317043602935</v>
          </cell>
          <cell r="D7">
            <v>1.0496259285015943</v>
          </cell>
          <cell r="E7">
            <v>0.43474516435242072</v>
          </cell>
          <cell r="F7">
            <v>0.51413601712352419</v>
          </cell>
          <cell r="G7">
            <v>0.40895062945994726</v>
          </cell>
          <cell r="H7">
            <v>0.26711706297346482</v>
          </cell>
          <cell r="I7">
            <v>0.21272136921010448</v>
          </cell>
          <cell r="J7">
            <v>0.23984153394675817</v>
          </cell>
          <cell r="K7">
            <v>0.27119761276569865</v>
          </cell>
          <cell r="L7">
            <v>0.23183641852197284</v>
          </cell>
          <cell r="M7">
            <v>0.15000000000000005</v>
          </cell>
          <cell r="N7">
            <v>0.15</v>
          </cell>
          <cell r="O7">
            <v>0.15</v>
          </cell>
          <cell r="P7">
            <v>0.15</v>
          </cell>
          <cell r="Q7">
            <v>0.15</v>
          </cell>
          <cell r="R7">
            <v>0.15</v>
          </cell>
          <cell r="S7">
            <v>0.15</v>
          </cell>
          <cell r="T7">
            <v>0.15</v>
          </cell>
          <cell r="U7">
            <v>0.14999999961996638</v>
          </cell>
          <cell r="V7" t="str">
            <v>-</v>
          </cell>
          <cell r="W7" t="str">
            <v>-</v>
          </cell>
        </row>
        <row r="9">
          <cell r="A9" t="str">
            <v>Total employee bonus (NT$ m)</v>
          </cell>
          <cell r="B9">
            <v>9045.1976099999974</v>
          </cell>
          <cell r="C9">
            <v>12364.512053999999</v>
          </cell>
          <cell r="D9">
            <v>24692.449968000004</v>
          </cell>
          <cell r="E9">
            <v>28303.64918</v>
          </cell>
          <cell r="F9">
            <v>7446.231936000001</v>
          </cell>
          <cell r="G9">
            <v>8837.0141519999997</v>
          </cell>
          <cell r="H9">
            <v>12623.418162000002</v>
          </cell>
          <cell r="I9">
            <v>19637.585920000005</v>
          </cell>
          <cell r="J9">
            <v>22442.691856000001</v>
          </cell>
          <cell r="K9">
            <v>34444.601060000008</v>
          </cell>
          <cell r="L9">
            <v>25311.226225760351</v>
          </cell>
          <cell r="M9">
            <v>14989.975200000003</v>
          </cell>
          <cell r="N9">
            <v>13382.6754</v>
          </cell>
          <cell r="O9">
            <v>24240.751349999999</v>
          </cell>
          <cell r="P9">
            <v>20130.191849999996</v>
          </cell>
          <cell r="Q9">
            <v>24923.820300000003</v>
          </cell>
          <cell r="R9">
            <v>27890.258753425645</v>
          </cell>
          <cell r="S9">
            <v>29172.364327129559</v>
          </cell>
          <cell r="T9">
            <v>31567.047298718779</v>
          </cell>
          <cell r="U9">
            <v>33357.406930137608</v>
          </cell>
          <cell r="V9">
            <v>0</v>
          </cell>
          <cell r="W9" t="str">
            <v>-</v>
          </cell>
        </row>
        <row r="10">
          <cell r="A10" t="str">
            <v>Mkt value of stock bonus</v>
          </cell>
          <cell r="B10">
            <v>8883.5846099999981</v>
          </cell>
          <cell r="C10">
            <v>12226.441053999999</v>
          </cell>
          <cell r="D10">
            <v>24477.298968000003</v>
          </cell>
          <cell r="E10">
            <v>27719.34618</v>
          </cell>
          <cell r="F10">
            <v>7312.3839360000011</v>
          </cell>
          <cell r="G10">
            <v>8778.5301519999994</v>
          </cell>
          <cell r="H10">
            <v>11813.985162000001</v>
          </cell>
          <cell r="I10">
            <v>16319.904920000003</v>
          </cell>
          <cell r="J10">
            <v>18753.152856000001</v>
          </cell>
          <cell r="K10">
            <v>29586.003060000003</v>
          </cell>
          <cell r="L10">
            <v>21125.652645999999</v>
          </cell>
          <cell r="M10">
            <v>11158.790322027913</v>
          </cell>
          <cell r="N10">
            <v>9962.2892462397795</v>
          </cell>
          <cell r="O10">
            <v>18045.224088367067</v>
          </cell>
          <cell r="P10">
            <v>14985.254278228895</v>
          </cell>
          <cell r="Q10">
            <v>18553.71213366669</v>
          </cell>
          <cell r="R10">
            <v>20761.978942872451</v>
          </cell>
          <cell r="S10">
            <v>21716.399952699427</v>
          </cell>
          <cell r="T10">
            <v>23499.042339438984</v>
          </cell>
          <cell r="U10">
            <v>24831.816262361182</v>
          </cell>
          <cell r="V10">
            <v>0</v>
          </cell>
          <cell r="W10">
            <v>0</v>
          </cell>
        </row>
        <row r="11">
          <cell r="A11" t="str">
            <v>Employee bonus - cash</v>
          </cell>
          <cell r="B11">
            <v>0</v>
          </cell>
          <cell r="C11">
            <v>0</v>
          </cell>
          <cell r="D11">
            <v>0</v>
          </cell>
          <cell r="E11">
            <v>0</v>
          </cell>
          <cell r="F11">
            <v>0</v>
          </cell>
          <cell r="G11">
            <v>0</v>
          </cell>
          <cell r="H11">
            <v>681.62800000000004</v>
          </cell>
          <cell r="I11">
            <v>3086.2150000000001</v>
          </cell>
          <cell r="J11">
            <v>3432.1289999999999</v>
          </cell>
          <cell r="K11">
            <v>4572.7979999999998</v>
          </cell>
          <cell r="L11">
            <v>3939.9</v>
          </cell>
          <cell r="M11">
            <v>3606.3122563924653</v>
          </cell>
          <cell r="N11">
            <v>3219.6254946667254</v>
          </cell>
          <cell r="O11">
            <v>5831.8788077559466</v>
          </cell>
          <cell r="P11">
            <v>4842.9538157065608</v>
          </cell>
          <cell r="Q11">
            <v>5996.2126304260573</v>
          </cell>
          <cell r="R11">
            <v>6709.8831475342367</v>
          </cell>
          <cell r="S11">
            <v>7018.3341611448213</v>
          </cell>
          <cell r="T11">
            <v>7594.4508281434792</v>
          </cell>
          <cell r="U11">
            <v>8025.1784174817212</v>
          </cell>
          <cell r="V11">
            <v>0</v>
          </cell>
          <cell r="W11">
            <v>0</v>
          </cell>
        </row>
        <row r="12">
          <cell r="A12" t="str">
            <v>Director bonus</v>
          </cell>
          <cell r="B12">
            <v>161.613</v>
          </cell>
          <cell r="C12">
            <v>138.071</v>
          </cell>
          <cell r="D12">
            <v>215.15100000000001</v>
          </cell>
          <cell r="E12">
            <v>584.303</v>
          </cell>
          <cell r="F12">
            <v>133.84800000000001</v>
          </cell>
          <cell r="G12">
            <v>58.484000000000002</v>
          </cell>
          <cell r="H12">
            <v>127.80500000000001</v>
          </cell>
          <cell r="I12">
            <v>231.46600000000001</v>
          </cell>
          <cell r="J12">
            <v>257.41000000000003</v>
          </cell>
          <cell r="K12">
            <v>285.8</v>
          </cell>
          <cell r="L12">
            <v>245.67357976035032</v>
          </cell>
          <cell r="M12">
            <v>224.87262157962468</v>
          </cell>
          <cell r="N12">
            <v>200.76065909349552</v>
          </cell>
          <cell r="O12">
            <v>363.64845387698352</v>
          </cell>
          <cell r="P12">
            <v>301.98375606453936</v>
          </cell>
          <cell r="Q12">
            <v>373.89553590725552</v>
          </cell>
          <cell r="R12">
            <v>418.39666301895551</v>
          </cell>
          <cell r="S12">
            <v>437.63021328531272</v>
          </cell>
          <cell r="T12">
            <v>473.55413113631454</v>
          </cell>
          <cell r="U12">
            <v>500.41227189477843</v>
          </cell>
          <cell r="V12">
            <v>0</v>
          </cell>
          <cell r="W12" t="str">
            <v>-</v>
          </cell>
        </row>
        <row r="14">
          <cell r="A14" t="str">
            <v>Assumptions:</v>
          </cell>
        </row>
        <row r="15">
          <cell r="A15" t="str">
            <v>Employee bonus shrs (mn units)</v>
          </cell>
          <cell r="B15">
            <v>129.291</v>
          </cell>
          <cell r="C15">
            <v>110.45659999999999</v>
          </cell>
          <cell r="D15">
            <v>172.1208</v>
          </cell>
          <cell r="E15">
            <v>467.44260000000003</v>
          </cell>
          <cell r="F15">
            <v>107.0784</v>
          </cell>
          <cell r="G15">
            <v>153.90129999999999</v>
          </cell>
          <cell r="H15">
            <v>272.65140000000002</v>
          </cell>
          <cell r="I15">
            <v>308.62150000000003</v>
          </cell>
          <cell r="J15">
            <v>343.21289999999999</v>
          </cell>
          <cell r="K15">
            <v>457.27980000000002</v>
          </cell>
          <cell r="L15">
            <v>393.98829999999998</v>
          </cell>
          <cell r="M15">
            <v>202.88709676414388</v>
          </cell>
          <cell r="N15">
            <v>181.13253174981418</v>
          </cell>
          <cell r="O15">
            <v>328.0949834248558</v>
          </cell>
          <cell r="P15">
            <v>272.45916869507079</v>
          </cell>
          <cell r="Q15">
            <v>337.34022061212164</v>
          </cell>
          <cell r="R15">
            <v>377.49052623404458</v>
          </cell>
          <cell r="S15">
            <v>394.84363550362593</v>
          </cell>
          <cell r="T15">
            <v>427.25531526252695</v>
          </cell>
          <cell r="U15">
            <v>451.48756840656694</v>
          </cell>
          <cell r="V15">
            <v>0</v>
          </cell>
          <cell r="W15">
            <v>0</v>
          </cell>
        </row>
        <row r="16">
          <cell r="A16" t="str">
            <v>Ex-Div Price</v>
          </cell>
          <cell r="B16">
            <v>68.709999999999994</v>
          </cell>
          <cell r="C16">
            <v>110.69</v>
          </cell>
          <cell r="D16">
            <v>142.21</v>
          </cell>
          <cell r="E16">
            <v>59.3</v>
          </cell>
          <cell r="F16">
            <v>68.290000000000006</v>
          </cell>
          <cell r="G16">
            <v>57.04</v>
          </cell>
          <cell r="H16">
            <v>43.33</v>
          </cell>
          <cell r="I16">
            <v>52.88</v>
          </cell>
          <cell r="J16">
            <v>54.64</v>
          </cell>
          <cell r="K16">
            <v>64.7</v>
          </cell>
          <cell r="L16">
            <v>53.62</v>
          </cell>
          <cell r="M16">
            <v>55</v>
          </cell>
          <cell r="N16">
            <v>55</v>
          </cell>
          <cell r="O16">
            <v>55</v>
          </cell>
          <cell r="P16">
            <v>55</v>
          </cell>
          <cell r="Q16">
            <v>55</v>
          </cell>
          <cell r="R16">
            <v>55</v>
          </cell>
          <cell r="S16">
            <v>55</v>
          </cell>
          <cell r="T16">
            <v>55</v>
          </cell>
          <cell r="U16">
            <v>55</v>
          </cell>
          <cell r="V16">
            <v>55</v>
          </cell>
          <cell r="W16">
            <v>55</v>
          </cell>
        </row>
        <row r="17">
          <cell r="A17" t="str">
            <v>Emp stock bonus payout ratio (after deduct 10% reserve)</v>
          </cell>
          <cell r="B17">
            <v>7.9987008166295462E-2</v>
          </cell>
          <cell r="C17">
            <v>7.9990585645281595E-2</v>
          </cell>
          <cell r="D17">
            <v>8.1294509387176764E-2</v>
          </cell>
          <cell r="E17">
            <v>7.9777074629311065E-2</v>
          </cell>
          <cell r="F17">
            <v>8.2148726092660371E-2</v>
          </cell>
          <cell r="G17">
            <v>7.9134362739804898E-2</v>
          </cell>
          <cell r="H17">
            <v>6.410470184942231E-2</v>
          </cell>
          <cell r="I17">
            <v>3.714554116055481E-2</v>
          </cell>
          <cell r="J17">
            <v>4.0754028049401717E-2</v>
          </cell>
          <cell r="K17">
            <v>4.0004072984698637E-2</v>
          </cell>
          <cell r="L17">
            <v>4.0096760753446495E-2</v>
          </cell>
          <cell r="M17">
            <v>1.9099999999999999E-2</v>
          </cell>
          <cell r="N17">
            <v>1.9099999999999999E-2</v>
          </cell>
          <cell r="O17">
            <v>1.9099999999999999E-2</v>
          </cell>
          <cell r="P17">
            <v>1.9099999999999999E-2</v>
          </cell>
          <cell r="Q17">
            <v>1.9099999999999999E-2</v>
          </cell>
          <cell r="R17">
            <v>1.9099999999999999E-2</v>
          </cell>
          <cell r="S17">
            <v>1.9099999999999999E-2</v>
          </cell>
          <cell r="T17">
            <v>1.9099999999999999E-2</v>
          </cell>
          <cell r="U17">
            <v>1.9099999999999999E-2</v>
          </cell>
          <cell r="V17">
            <v>1.9099999999999999E-2</v>
          </cell>
          <cell r="W17">
            <v>1.9099999999999999E-2</v>
          </cell>
        </row>
        <row r="18">
          <cell r="A18" t="str">
            <v>Emp cash bonus payout ratio (after deduct 10% reserve)</v>
          </cell>
          <cell r="B18">
            <v>0</v>
          </cell>
          <cell r="C18">
            <v>0</v>
          </cell>
          <cell r="D18">
            <v>0</v>
          </cell>
          <cell r="E18">
            <v>0</v>
          </cell>
          <cell r="F18">
            <v>0</v>
          </cell>
          <cell r="G18">
            <v>0</v>
          </cell>
          <cell r="H18">
            <v>1.6026163706556445E-2</v>
          </cell>
          <cell r="I18">
            <v>3.714554116055481E-2</v>
          </cell>
          <cell r="J18">
            <v>4.0754028049401717E-2</v>
          </cell>
          <cell r="K18">
            <v>4.000407298469863E-2</v>
          </cell>
          <cell r="L18">
            <v>4.0096933764912274E-2</v>
          </cell>
          <cell r="M18">
            <v>4.0096933764912274E-2</v>
          </cell>
          <cell r="N18">
            <v>4.0096933764912274E-2</v>
          </cell>
          <cell r="O18">
            <v>4.0096933764912274E-2</v>
          </cell>
          <cell r="P18">
            <v>4.0096933764912274E-2</v>
          </cell>
          <cell r="Q18">
            <v>4.0096933764912274E-2</v>
          </cell>
          <cell r="R18">
            <v>4.0096933764912274E-2</v>
          </cell>
          <cell r="S18">
            <v>4.0096933764912274E-2</v>
          </cell>
          <cell r="T18">
            <v>4.0096933764912274E-2</v>
          </cell>
          <cell r="U18">
            <v>4.0096933764912274E-2</v>
          </cell>
          <cell r="V18">
            <v>4.0096933764912274E-2</v>
          </cell>
          <cell r="W18">
            <v>4.0096933764912274E-2</v>
          </cell>
        </row>
        <row r="19">
          <cell r="A19" t="str">
            <v>Ex-Div Date</v>
          </cell>
          <cell r="B19">
            <v>35961</v>
          </cell>
          <cell r="C19">
            <v>36326</v>
          </cell>
          <cell r="D19">
            <v>36661</v>
          </cell>
          <cell r="E19">
            <v>37068</v>
          </cell>
          <cell r="F19">
            <v>37426</v>
          </cell>
          <cell r="G19">
            <v>37809</v>
          </cell>
          <cell r="H19">
            <v>38175</v>
          </cell>
          <cell r="I19">
            <v>38540</v>
          </cell>
          <cell r="J19">
            <v>38888</v>
          </cell>
          <cell r="K19">
            <v>39270</v>
          </cell>
          <cell r="L19">
            <v>39645</v>
          </cell>
          <cell r="M19" t="str">
            <v>08/xx/09</v>
          </cell>
          <cell r="N19" t="str">
            <v>08/xx/10</v>
          </cell>
          <cell r="O19" t="str">
            <v>08/xx/11</v>
          </cell>
          <cell r="P19" t="str">
            <v>08/xx/12</v>
          </cell>
          <cell r="Q19" t="str">
            <v>08/xx/13</v>
          </cell>
          <cell r="R19" t="str">
            <v>08/xx/14</v>
          </cell>
          <cell r="S19" t="str">
            <v>08/xx/15</v>
          </cell>
          <cell r="T19" t="str">
            <v>08/xx/16</v>
          </cell>
          <cell r="U19" t="str">
            <v>08/xx/17</v>
          </cell>
          <cell r="V19" t="str">
            <v>08/xx/18</v>
          </cell>
          <cell r="W19" t="str">
            <v>08/xx/19</v>
          </cell>
        </row>
        <row r="21">
          <cell r="A21" t="str">
            <v>Pre-dividend shares (mn units)</v>
          </cell>
          <cell r="B21">
            <v>4081.3</v>
          </cell>
          <cell r="C21">
            <v>6047.1760000000004</v>
          </cell>
          <cell r="D21">
            <v>7670.8816999999999</v>
          </cell>
          <cell r="E21">
            <v>11689.364600000001</v>
          </cell>
          <cell r="F21">
            <v>16832.553100000001</v>
          </cell>
          <cell r="G21">
            <v>18622.886699999999</v>
          </cell>
          <cell r="H21">
            <v>20141.899000000001</v>
          </cell>
          <cell r="I21">
            <v>23253.365600000001</v>
          </cell>
          <cell r="J21">
            <v>24737.968700000001</v>
          </cell>
          <cell r="K21">
            <v>25833.9516</v>
          </cell>
          <cell r="L21">
            <v>25631.370999999999</v>
          </cell>
        </row>
        <row r="22">
          <cell r="A22" t="str">
            <v>Stock dividend per share</v>
          </cell>
          <cell r="B22">
            <v>4.5</v>
          </cell>
          <cell r="C22">
            <v>2.3000000330732888</v>
          </cell>
          <cell r="D22">
            <v>2.5550000334381378</v>
          </cell>
          <cell r="E22">
            <v>4</v>
          </cell>
          <cell r="F22">
            <v>0.99999999405913076</v>
          </cell>
          <cell r="G22">
            <v>0.80068686182423565</v>
          </cell>
          <cell r="H22">
            <v>1.3999116450351559</v>
          </cell>
          <cell r="I22">
            <v>0.49997581938584118</v>
          </cell>
          <cell r="J22">
            <v>0.30000002507073931</v>
          </cell>
          <cell r="K22">
            <v>0.05</v>
          </cell>
          <cell r="L22">
            <v>5.0417882300000001E-2</v>
          </cell>
        </row>
        <row r="23">
          <cell r="A23" t="str">
            <v>Stock divident shares (mn units)</v>
          </cell>
          <cell r="B23">
            <v>1836.585</v>
          </cell>
          <cell r="C23">
            <v>1390.8505</v>
          </cell>
          <cell r="D23">
            <v>1959.9103</v>
          </cell>
          <cell r="E23">
            <v>4675.7457999999997</v>
          </cell>
          <cell r="F23">
            <v>1683.2553</v>
          </cell>
          <cell r="G23">
            <v>1491.110078999998</v>
          </cell>
          <cell r="H23">
            <v>2837.3266679769013</v>
          </cell>
          <cell r="I23">
            <v>1162.6024</v>
          </cell>
          <cell r="J23">
            <v>741.9008</v>
          </cell>
          <cell r="K23">
            <v>129.14850000000001</v>
          </cell>
          <cell r="L23">
            <v>128.13550000000001</v>
          </cell>
        </row>
        <row r="24">
          <cell r="A24" t="str">
            <v>Share dilution from stock dividend</v>
          </cell>
          <cell r="B24">
            <v>0.45</v>
          </cell>
          <cell r="C24">
            <v>0.23000000330732889</v>
          </cell>
          <cell r="D24">
            <v>0.25550000334381379</v>
          </cell>
          <cell r="E24">
            <v>0.39999999657808599</v>
          </cell>
          <cell r="F24">
            <v>9.9999999405913059E-2</v>
          </cell>
          <cell r="G24">
            <v>8.0068686612371334E-2</v>
          </cell>
          <cell r="H24">
            <v>0.14086688985864249</v>
          </cell>
          <cell r="I24">
            <v>4.9997166861729468E-2</v>
          </cell>
          <cell r="J24">
            <v>2.9990368610984617E-2</v>
          </cell>
          <cell r="K24">
            <v>4.9991771293711029E-3</v>
          </cell>
          <cell r="L24">
            <v>4.9991668412899181E-3</v>
          </cell>
          <cell r="M24">
            <v>4.9991668412899181E-3</v>
          </cell>
          <cell r="N24">
            <v>4.9991668412899181E-3</v>
          </cell>
          <cell r="O24">
            <v>4.9991668412899181E-3</v>
          </cell>
          <cell r="P24">
            <v>4.9991668412899181E-3</v>
          </cell>
          <cell r="Q24">
            <v>4.9991668412899181E-3</v>
          </cell>
        </row>
        <row r="25">
          <cell r="A25" t="str">
            <v>Share dilution from employee bonus stock</v>
          </cell>
          <cell r="B25">
            <v>3.1678876828461516E-2</v>
          </cell>
          <cell r="C25">
            <v>1.8265815316107881E-2</v>
          </cell>
          <cell r="D25">
            <v>2.2438202899153041E-2</v>
          </cell>
          <cell r="E25">
            <v>3.9988709052671691E-2</v>
          </cell>
          <cell r="F25">
            <v>6.3613879227863539E-3</v>
          </cell>
          <cell r="G25">
            <v>8.2640947388677392E-3</v>
          </cell>
          <cell r="H25">
            <v>1.353652900354629E-2</v>
          </cell>
          <cell r="I25">
            <v>1.3272121778363129E-2</v>
          </cell>
          <cell r="J25">
            <v>1.3873932179403234E-2</v>
          </cell>
          <cell r="K25">
            <v>1.770072991853093E-2</v>
          </cell>
          <cell r="L25">
            <v>1.5371331482814556E-2</v>
          </cell>
        </row>
        <row r="27">
          <cell r="A27" t="str">
            <v>Cash dividend per share</v>
          </cell>
          <cell r="B27">
            <v>0</v>
          </cell>
          <cell r="C27">
            <v>0</v>
          </cell>
          <cell r="D27">
            <v>0</v>
          </cell>
          <cell r="E27">
            <v>0</v>
          </cell>
          <cell r="F27">
            <v>0</v>
          </cell>
          <cell r="G27">
            <v>0</v>
          </cell>
          <cell r="H27">
            <v>0.59923855415769023</v>
          </cell>
          <cell r="I27">
            <v>1.985019459035321</v>
          </cell>
          <cell r="J27">
            <v>2.4999363197280084</v>
          </cell>
          <cell r="K27">
            <v>3.0000000047715276</v>
          </cell>
          <cell r="L27">
            <v>3.0250729000000001</v>
          </cell>
          <cell r="M27">
            <v>2.9670926766532446</v>
          </cell>
          <cell r="N27">
            <v>3.0405893478507804</v>
          </cell>
          <cell r="O27">
            <v>3</v>
          </cell>
          <cell r="P27">
            <v>3</v>
          </cell>
          <cell r="Q27">
            <v>3</v>
          </cell>
        </row>
        <row r="28">
          <cell r="A28" t="str">
            <v>Cash payout ratio</v>
          </cell>
          <cell r="H28">
            <v>0.26121040147105173</v>
          </cell>
          <cell r="I28">
            <v>0.53054896893214609</v>
          </cell>
          <cell r="J28">
            <v>0.67001178488633406</v>
          </cell>
          <cell r="K28">
            <v>0.61010575026379577</v>
          </cell>
          <cell r="L28">
            <v>0.7032522106079524</v>
          </cell>
          <cell r="M28">
            <v>0.7692772433672872</v>
          </cell>
          <cell r="N28">
            <v>0.8709931050109756</v>
          </cell>
          <cell r="O28">
            <v>0.48091019257948869</v>
          </cell>
          <cell r="P28">
            <v>0.5792957308551433</v>
          </cell>
          <cell r="Q28">
            <v>0.46797078044652723</v>
          </cell>
        </row>
      </sheetData>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IS"/>
      <sheetName val="MW-Cache"/>
      <sheetName val="BS"/>
      <sheetName val="CFS"/>
      <sheetName val="Scenarios"/>
      <sheetName val="BU-Segment (Orders)"/>
      <sheetName val="BU-Segment (Sales)"/>
      <sheetName val="BU-Seasonality"/>
      <sheetName val="MS vs. Cons."/>
      <sheetName val="MS vs Cons"/>
      <sheetName val="Snapshot"/>
      <sheetName val="By Segm"/>
      <sheetName val="QoQ Comp"/>
      <sheetName val="DCF"/>
      <sheetName val="MWA RR"/>
      <sheetName val="mwareDates"/>
      <sheetName val="MacroForPub"/>
      <sheetName val="mwareSettings"/>
      <sheetName val="#REF"/>
    </sheetNames>
    <sheetDataSet>
      <sheetData sheetId="0"/>
      <sheetData sheetId="1"/>
      <sheetData sheetId="2"/>
      <sheetData sheetId="3">
        <row r="44">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H44">
            <v>0</v>
          </cell>
          <cell r="FI44">
            <v>0</v>
          </cell>
          <cell r="FJ44">
            <v>0</v>
          </cell>
          <cell r="FK44">
            <v>0</v>
          </cell>
          <cell r="FL44">
            <v>0</v>
          </cell>
          <cell r="FM44">
            <v>0</v>
          </cell>
          <cell r="FN44">
            <v>0</v>
          </cell>
          <cell r="FO44">
            <v>0</v>
          </cell>
          <cell r="FP44">
            <v>0</v>
          </cell>
          <cell r="FQ44">
            <v>0</v>
          </cell>
          <cell r="FR44">
            <v>0</v>
          </cell>
          <cell r="FS44">
            <v>0</v>
          </cell>
          <cell r="FT44">
            <v>0</v>
          </cell>
          <cell r="FU44">
            <v>0</v>
          </cell>
          <cell r="FV44">
            <v>0</v>
          </cell>
          <cell r="FW44">
            <v>0</v>
          </cell>
          <cell r="FX44">
            <v>0</v>
          </cell>
          <cell r="FY44">
            <v>0</v>
          </cell>
          <cell r="FZ44">
            <v>0</v>
          </cell>
          <cell r="GA44">
            <v>0</v>
          </cell>
          <cell r="GB44">
            <v>0</v>
          </cell>
          <cell r="GC44">
            <v>0</v>
          </cell>
          <cell r="GD44">
            <v>0</v>
          </cell>
          <cell r="GE44">
            <v>0</v>
          </cell>
          <cell r="GF44">
            <v>0</v>
          </cell>
          <cell r="GG44">
            <v>0</v>
          </cell>
          <cell r="GH44">
            <v>0</v>
          </cell>
          <cell r="GI44">
            <v>0</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
          <cell r="B2" t="str">
            <v>1985-Q1</v>
          </cell>
        </row>
      </sheetData>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1"/>
      <sheetName val="Scenario"/>
      <sheetName val="Sheet1"/>
      <sheetName val="GWP"/>
      <sheetName val="ImportantDisclosures"/>
      <sheetName val="IndexInformation"/>
      <sheetName val="Income"/>
      <sheetName val="Euro vs. PM"/>
      <sheetName val="Ruble"/>
      <sheetName val="MS_IRI_Methodology"/>
      <sheetName val="MARKET_SHARE ($)_RAW_DATA"/>
      <sheetName val="NEXXUS_RAW_DATA"/>
      <sheetName val="HAIR_CARE_MARKET SHARE ROLL-UP"/>
      <sheetName val="TOTAL_ACV_DOLLAR_SALES"/>
      <sheetName val="Income Statement"/>
      <sheetName val="Margins"/>
      <sheetName val="Comps"/>
      <sheetName val="Switches"/>
      <sheetName val="TimeSeries"/>
      <sheetName val="Valuation Analyzer"/>
      <sheetName val="SSB Nielsen Sales"/>
      <sheetName val="EBITDA"/>
      <sheetName val="GWP-WLine"/>
      <sheetName val="TS_Stnd_Dev_Band"/>
      <sheetName val="Print "/>
      <sheetName val="Lookup"/>
      <sheetName val="Input"/>
      <sheetName val="99 cons YTD"/>
      <sheetName val="KPN"/>
      <sheetName val="Realizations vs Averag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IS"/>
      <sheetName val="MW-Cache"/>
      <sheetName val="BS"/>
      <sheetName val="CFS"/>
      <sheetName val="BU Segment"/>
      <sheetName val="Exhibits"/>
      <sheetName val="Buybacks"/>
      <sheetName val="Snapshot"/>
      <sheetName val="Casco"/>
      <sheetName val="FCI"/>
      <sheetName val="MS vs. Cons."/>
      <sheetName val="Bull_Base_Bear"/>
      <sheetName val="M&amp;A History"/>
      <sheetName val="By Segm"/>
      <sheetName val="QoQ Comp"/>
      <sheetName val="Sheet1"/>
      <sheetName val="DCF"/>
      <sheetName val="mwareDates"/>
      <sheetName val="MacroForPub"/>
      <sheetName val="Earnings Exhibits"/>
      <sheetName val="MWA RR"/>
      <sheetName val="mwareSettings"/>
      <sheetName val="#REF"/>
    </sheetNames>
    <sheetDataSet>
      <sheetData sheetId="0"/>
      <sheetData sheetId="1"/>
      <sheetData sheetId="2"/>
      <sheetData sheetId="3">
        <row r="39">
          <cell r="B39" t="str">
            <v>Check</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B2" t="str">
            <v>2003-Q1</v>
          </cell>
        </row>
      </sheetData>
      <sheetData sheetId="19"/>
      <sheetData sheetId="20">
        <row r="3">
          <cell r="D3" t="str">
            <v>C3Q04A</v>
          </cell>
          <cell r="E3" t="str">
            <v>C4Q04A</v>
          </cell>
          <cell r="F3" t="str">
            <v>C1Q05A</v>
          </cell>
          <cell r="G3" t="str">
            <v>C2Q05A</v>
          </cell>
          <cell r="H3" t="str">
            <v>C3Q05A</v>
          </cell>
          <cell r="I3" t="str">
            <v>C4Q05A</v>
          </cell>
          <cell r="J3" t="str">
            <v>C1Q06A</v>
          </cell>
          <cell r="K3" t="str">
            <v>C2Q06A</v>
          </cell>
          <cell r="L3" t="str">
            <v>C3Q06A</v>
          </cell>
          <cell r="M3" t="str">
            <v>C4Q06A</v>
          </cell>
          <cell r="N3" t="str">
            <v>C1Q07A</v>
          </cell>
          <cell r="O3" t="str">
            <v>C2Q07A</v>
          </cell>
          <cell r="P3" t="str">
            <v>C3Q07A</v>
          </cell>
          <cell r="Q3" t="str">
            <v>C4Q07A</v>
          </cell>
          <cell r="R3" t="str">
            <v>C1Q08A</v>
          </cell>
          <cell r="S3" t="str">
            <v>C2Q08A</v>
          </cell>
          <cell r="T3" t="str">
            <v>C3Q08A</v>
          </cell>
          <cell r="U3" t="str">
            <v>C4Q08A</v>
          </cell>
          <cell r="V3" t="str">
            <v>C1Q09A</v>
          </cell>
          <cell r="W3" t="str">
            <v>C2Q09A</v>
          </cell>
          <cell r="X3" t="str">
            <v>C3Q09A</v>
          </cell>
          <cell r="Y3" t="str">
            <v>C4Q09A</v>
          </cell>
          <cell r="Z3" t="str">
            <v>C1Q10A</v>
          </cell>
          <cell r="AA3" t="str">
            <v>C2Q10A</v>
          </cell>
          <cell r="AB3" t="str">
            <v>C3Q10A</v>
          </cell>
          <cell r="AC3" t="str">
            <v>C4Q10A</v>
          </cell>
          <cell r="AD3" t="str">
            <v>C1Q11A</v>
          </cell>
          <cell r="AE3" t="str">
            <v>C2Q11A</v>
          </cell>
          <cell r="AF3" t="str">
            <v>C3Q11A</v>
          </cell>
          <cell r="AG3" t="str">
            <v>C4Q11A</v>
          </cell>
          <cell r="AH3" t="str">
            <v>C1Q12A</v>
          </cell>
          <cell r="AI3" t="str">
            <v>C2Q12A</v>
          </cell>
          <cell r="AJ3" t="str">
            <v>C3Q12A</v>
          </cell>
          <cell r="AK3" t="str">
            <v>C4Q12A</v>
          </cell>
          <cell r="AL3" t="str">
            <v>C1Q13A</v>
          </cell>
          <cell r="AM3" t="str">
            <v>C2Q13A</v>
          </cell>
          <cell r="AN3" t="str">
            <v>C3Q13</v>
          </cell>
          <cell r="AO3" t="str">
            <v>C4Q13</v>
          </cell>
          <cell r="AP3" t="str">
            <v>C1Q14E</v>
          </cell>
          <cell r="AQ3" t="str">
            <v>C2Q14A</v>
          </cell>
          <cell r="AR3" t="str">
            <v>C3Q14A</v>
          </cell>
          <cell r="AS3" t="str">
            <v>C4Q14E</v>
          </cell>
        </row>
        <row r="5">
          <cell r="B5" t="str">
            <v>YoY</v>
          </cell>
          <cell r="C5" t="str">
            <v>-</v>
          </cell>
          <cell r="D5" t="str">
            <v>-</v>
          </cell>
          <cell r="E5" t="str">
            <v>-</v>
          </cell>
          <cell r="F5" t="str">
            <v>-</v>
          </cell>
          <cell r="G5" t="str">
            <v>-</v>
          </cell>
          <cell r="H5">
            <v>0.16373733087218789</v>
          </cell>
          <cell r="I5">
            <v>0.25782559293796781</v>
          </cell>
          <cell r="J5">
            <v>0.38983377911308148</v>
          </cell>
          <cell r="K5">
            <v>0.36731418576239383</v>
          </cell>
          <cell r="L5">
            <v>0.42376984082596003</v>
          </cell>
          <cell r="M5">
            <v>0.29778298219891131</v>
          </cell>
          <cell r="N5">
            <v>0.14427820475192044</v>
          </cell>
          <cell r="O5">
            <v>0.13557248787500131</v>
          </cell>
          <cell r="P5">
            <v>0.15309592123415738</v>
          </cell>
          <cell r="Q5">
            <v>0.1787122984791254</v>
          </cell>
          <cell r="R5">
            <v>0.18373973250763354</v>
          </cell>
          <cell r="S5">
            <v>0.22934486583163483</v>
          </cell>
          <cell r="T5">
            <v>0.17688468095022025</v>
          </cell>
          <cell r="U5">
            <v>-2.828875422954702E-2</v>
          </cell>
          <cell r="V5">
            <v>-0.14363564175556709</v>
          </cell>
          <cell r="W5">
            <v>-0.19087122719548621</v>
          </cell>
          <cell r="X5">
            <v>-0.1703046807879971</v>
          </cell>
          <cell r="Y5">
            <v>3.9905624654106298E-3</v>
          </cell>
          <cell r="Z5">
            <v>0.16809088319606302</v>
          </cell>
          <cell r="AA5">
            <v>0.2913290444610499</v>
          </cell>
          <cell r="AB5">
            <v>0.32360973690049732</v>
          </cell>
          <cell r="AC5">
            <v>0.25265859242301114</v>
          </cell>
          <cell r="AD5">
            <v>0.22002739463054888</v>
          </cell>
          <cell r="AE5">
            <v>0.15024898338377812</v>
          </cell>
          <cell r="AF5">
            <v>8.8871152591086799E-2</v>
          </cell>
          <cell r="AG5">
            <v>-1.2390960599480971E-3</v>
          </cell>
          <cell r="AH5">
            <v>4.361009371827107E-2</v>
          </cell>
          <cell r="AI5">
            <v>4.2613128329687999E-2</v>
          </cell>
          <cell r="AJ5">
            <v>6.8382209122404891E-2</v>
          </cell>
          <cell r="AK5">
            <v>0.20793415051401354</v>
          </cell>
          <cell r="AL5">
            <v>0.10004136087464999</v>
          </cell>
          <cell r="AM5">
            <v>7.0643205633362127E-2</v>
          </cell>
          <cell r="AN5">
            <v>4.5030887023099986E-2</v>
          </cell>
          <cell r="AO5">
            <v>8.7049664129678295E-2</v>
          </cell>
          <cell r="AP5">
            <v>0.15398057982691316</v>
          </cell>
          <cell r="AQ5">
            <v>0.1567733241085254</v>
          </cell>
          <cell r="AR5">
            <v>0.17837722516222021</v>
          </cell>
          <cell r="AS5">
            <v>0.14510710544377425</v>
          </cell>
        </row>
        <row r="6">
          <cell r="B6" t="str">
            <v>QoQ</v>
          </cell>
          <cell r="C6" t="str">
            <v>-</v>
          </cell>
          <cell r="D6" t="str">
            <v>-</v>
          </cell>
          <cell r="E6">
            <v>5.1704881242791156E-2</v>
          </cell>
          <cell r="F6">
            <v>1.3446776066125432E-2</v>
          </cell>
          <cell r="G6">
            <v>8.3652707043319952E-2</v>
          </cell>
          <cell r="H6">
            <v>7.5578957808322134E-3</v>
          </cell>
          <cell r="I6">
            <v>0.13673531023836949</v>
          </cell>
          <cell r="J6">
            <v>0.11980752388730886</v>
          </cell>
          <cell r="K6">
            <v>6.6094191296523164E-2</v>
          </cell>
          <cell r="L6">
            <v>4.9159410350841926E-2</v>
          </cell>
          <cell r="M6">
            <v>3.6147626245643272E-2</v>
          </cell>
          <cell r="N6">
            <v>-1.264590407067967E-2</v>
          </cell>
          <cell r="O6">
            <v>5.7983301693790734E-2</v>
          </cell>
          <cell r="P6">
            <v>6.5349371984042559E-2</v>
          </cell>
          <cell r="Q6">
            <v>5.9165961482644525E-2</v>
          </cell>
          <cell r="R6">
            <v>-8.4346494783023029E-3</v>
          </cell>
          <cell r="S6">
            <v>9.8743502777943526E-2</v>
          </cell>
          <cell r="T6">
            <v>1.9887413691505929E-2</v>
          </cell>
          <cell r="U6">
            <v>-0.12548485627412698</v>
          </cell>
          <cell r="V6">
            <v>-0.12613831654931551</v>
          </cell>
          <cell r="W6">
            <v>3.8138700508475676E-2</v>
          </cell>
          <cell r="X6">
            <v>4.5811052213711845E-2</v>
          </cell>
          <cell r="Y6">
            <v>5.8225749504935642E-2</v>
          </cell>
          <cell r="Z6">
            <v>1.6692689925833282E-2</v>
          </cell>
          <cell r="AA6">
            <v>0.14766639773579238</v>
          </cell>
          <cell r="AB6">
            <v>7.195427656934128E-2</v>
          </cell>
          <cell r="AC6">
            <v>1.5003221000713385E-3</v>
          </cell>
          <cell r="AD6">
            <v>-9.7917013199477765E-3</v>
          </cell>
          <cell r="AE6">
            <v>8.202661109841225E-2</v>
          </cell>
          <cell r="AF6">
            <v>1.4754288431796603E-2</v>
          </cell>
          <cell r="AG6">
            <v>-8.1379495988395889E-2</v>
          </cell>
          <cell r="AH6">
            <v>3.4673435162942523E-2</v>
          </cell>
          <cell r="AI6">
            <v>8.0992946239012875E-2</v>
          </cell>
          <cell r="AJ6">
            <v>3.9834814019698239E-2</v>
          </cell>
          <cell r="AK6">
            <v>3.8610591493742241E-2</v>
          </cell>
          <cell r="AL6">
            <v>-5.7743691414668841E-2</v>
          </cell>
          <cell r="AM6">
            <v>5.2103852084404156E-2</v>
          </cell>
          <cell r="AN6">
            <v>1.4959505029192632E-2</v>
          </cell>
          <cell r="AO6">
            <v>8.0371220281303168E-2</v>
          </cell>
          <cell r="AP6">
            <v>2.7212850245050824E-4</v>
          </cell>
          <cell r="AQ6">
            <v>5.4650044860899083E-2</v>
          </cell>
          <cell r="AR6">
            <v>3.3914890897081884E-2</v>
          </cell>
          <cell r="AS6">
            <v>4.9868186896408595E-2</v>
          </cell>
        </row>
        <row r="10">
          <cell r="B10" t="str">
            <v>GM</v>
          </cell>
          <cell r="D10">
            <v>0.32269990080785621</v>
          </cell>
          <cell r="E10">
            <v>0.33560251805239572</v>
          </cell>
          <cell r="F10">
            <v>0.33013593229033072</v>
          </cell>
          <cell r="G10">
            <v>0.33477894338227671</v>
          </cell>
          <cell r="H10">
            <v>0.33224308996744922</v>
          </cell>
          <cell r="I10">
            <v>0.33115534869074931</v>
          </cell>
          <cell r="J10">
            <v>0.31602433078906345</v>
          </cell>
          <cell r="K10">
            <v>0.31767331906798235</v>
          </cell>
          <cell r="L10">
            <v>0.31698349198168496</v>
          </cell>
          <cell r="M10">
            <v>0.32442150182811308</v>
          </cell>
          <cell r="N10">
            <v>0.32341141849592364</v>
          </cell>
          <cell r="O10">
            <v>0.327543856592861</v>
          </cell>
          <cell r="P10">
            <v>0.32587269077782821</v>
          </cell>
          <cell r="Q10">
            <v>0.32782302160124549</v>
          </cell>
          <cell r="R10">
            <v>0.32555007434664485</v>
          </cell>
          <cell r="S10">
            <v>0.3266231074718623</v>
          </cell>
          <cell r="T10">
            <v>0.32565089421970267</v>
          </cell>
          <cell r="U10">
            <v>0.31829965496331147</v>
          </cell>
          <cell r="V10">
            <v>0.31268976927692221</v>
          </cell>
          <cell r="W10">
            <v>0.31254378385951803</v>
          </cell>
          <cell r="X10">
            <v>0.31314743926996969</v>
          </cell>
          <cell r="Y10">
            <v>0.31865129184381852</v>
          </cell>
          <cell r="Z10">
            <v>0.32322551021202306</v>
          </cell>
          <cell r="AA10">
            <v>0.32696615498678794</v>
          </cell>
          <cell r="AB10">
            <v>0.32654621213479068</v>
          </cell>
          <cell r="AC10">
            <v>0.3263760072261303</v>
          </cell>
          <cell r="AD10">
            <v>0.32333494580500433</v>
          </cell>
          <cell r="AE10">
            <v>0.3156234708736434</v>
          </cell>
          <cell r="AF10">
            <v>0.3132178621433564</v>
          </cell>
          <cell r="AG10">
            <v>0.31077706651881659</v>
          </cell>
          <cell r="AH10">
            <v>0.315066972017229</v>
          </cell>
          <cell r="AI10">
            <v>0.31491734575306729</v>
          </cell>
          <cell r="AJ10">
            <v>0.31206859674308662</v>
          </cell>
          <cell r="AK10">
            <v>0.31017262111489002</v>
          </cell>
          <cell r="AL10">
            <v>0.31291946231032458</v>
          </cell>
          <cell r="AM10">
            <v>0.31669611035264644</v>
          </cell>
          <cell r="AN10">
            <v>0.31554938069245181</v>
          </cell>
          <cell r="AO10">
            <v>0.31251108783168158</v>
          </cell>
          <cell r="AP10">
            <v>0.3120649335432728</v>
          </cell>
          <cell r="AQ10">
            <v>0.31713276496531662</v>
          </cell>
          <cell r="AR10">
            <v>0.31768724305276497</v>
          </cell>
          <cell r="AS10">
            <v>0.32015422362425522</v>
          </cell>
        </row>
        <row r="13">
          <cell r="B13" t="str">
            <v>OM</v>
          </cell>
          <cell r="D13">
            <v>0.18303163474380568</v>
          </cell>
          <cell r="E13">
            <v>0.18814594405923282</v>
          </cell>
          <cell r="F13">
            <v>0.18889580967036712</v>
          </cell>
          <cell r="G13">
            <v>0.19395368337533414</v>
          </cell>
          <cell r="H13">
            <v>0.19259499546974793</v>
          </cell>
          <cell r="I13">
            <v>0.18471999448943663</v>
          </cell>
          <cell r="J13">
            <v>0.17292189155891743</v>
          </cell>
          <cell r="K13">
            <v>0.17805861542570192</v>
          </cell>
          <cell r="L13">
            <v>0.17960522801052134</v>
          </cell>
          <cell r="M13">
            <v>0.18900462980514754</v>
          </cell>
          <cell r="N13">
            <v>0.18829674819224546</v>
          </cell>
          <cell r="O13">
            <v>0.19367890179955752</v>
          </cell>
          <cell r="P13">
            <v>0.19533938088249522</v>
          </cell>
          <cell r="Q13">
            <v>0.19748349994210523</v>
          </cell>
          <cell r="R13">
            <v>0.19500878406257061</v>
          </cell>
          <cell r="S13">
            <v>0.19865330998314867</v>
          </cell>
          <cell r="T13">
            <v>0.19836555673657857</v>
          </cell>
          <cell r="U13">
            <v>0.18853885038965559</v>
          </cell>
          <cell r="V13">
            <v>0.16770149633643019</v>
          </cell>
          <cell r="W13">
            <v>0.16853575098075843</v>
          </cell>
          <cell r="X13">
            <v>0.17345057656372762</v>
          </cell>
          <cell r="Y13">
            <v>0.18259360460822716</v>
          </cell>
          <cell r="Z13">
            <v>0.18813573831901775</v>
          </cell>
          <cell r="AA13">
            <v>0.19849163311851967</v>
          </cell>
          <cell r="AB13">
            <v>0.19941104713626151</v>
          </cell>
          <cell r="AC13">
            <v>0.20060723076242831</v>
          </cell>
          <cell r="AD13">
            <v>0.19783964235023951</v>
          </cell>
          <cell r="AE13">
            <v>0.19362645395966357</v>
          </cell>
          <cell r="AF13">
            <v>0.19258216380667603</v>
          </cell>
          <cell r="AG13">
            <v>0.18478585108816295</v>
          </cell>
          <cell r="AH13">
            <v>0.18875126833223993</v>
          </cell>
          <cell r="AI13">
            <v>0.19430274232476077</v>
          </cell>
          <cell r="AJ13">
            <v>0.19546374037499453</v>
          </cell>
          <cell r="AK13">
            <v>0.19478558925214917</v>
          </cell>
          <cell r="AL13">
            <v>0.19166145739277002</v>
          </cell>
          <cell r="AM13">
            <v>0.19718291262751228</v>
          </cell>
          <cell r="AN13">
            <v>0.19688446935203818</v>
          </cell>
          <cell r="AO13">
            <v>0.19651531023853369</v>
          </cell>
          <cell r="AP13">
            <v>0.18791420092225672</v>
          </cell>
          <cell r="AQ13">
            <v>0.19465488535747227</v>
          </cell>
          <cell r="AR13">
            <v>0.19898406025573651</v>
          </cell>
          <cell r="AS13">
            <v>0.20224325271643886</v>
          </cell>
        </row>
      </sheetData>
      <sheetData sheetId="21"/>
      <sheetData sheetId="22"/>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EquityTemplate"/>
      <sheetName val="EquityTemplate_BK"/>
      <sheetName val="EconTemplate"/>
      <sheetName val="RowName"/>
      <sheetName val="AbsMandatory"/>
      <sheetName val="RowName_BK"/>
      <sheetName val="EqDDic_BK"/>
      <sheetName val="EqDDic"/>
      <sheetName val="EconDDic"/>
      <sheetName val="SectorRange"/>
      <sheetName val="Upg3Dialog"/>
      <sheetName val="ReplaceNameDlg"/>
      <sheetName val="ReplaceFormulaDlg"/>
      <sheetName val="NewItemDlg"/>
      <sheetName val="UpdateDlg"/>
      <sheetName val="UpgdDlg"/>
      <sheetName val="ErrorListDlg"/>
      <sheetName val="UtilMod"/>
      <sheetName val="InsItemMod"/>
      <sheetName val="GlobalMod"/>
      <sheetName val="ValidateMod"/>
      <sheetName val="MaintenanceMod"/>
      <sheetName val="DDIC"/>
      <sheetName val="#REF"/>
      <sheetName val="EV to Ebitda"/>
      <sheetName val="P to OCF(form)"/>
      <sheetName val="P"/>
    </sheetNames>
    <definedNames>
      <definedName name="validate_Equity_Data"/>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
      <sheetName val="BS"/>
      <sheetName val="CFS"/>
      <sheetName val="MW-Cache"/>
      <sheetName val="BU-Segment"/>
      <sheetName val="Estimate Changes"/>
      <sheetName val="MS vs. Cons."/>
      <sheetName val="QoQ Comp"/>
      <sheetName val="Snapshot"/>
      <sheetName val="Bull_Base_Bear"/>
      <sheetName val="mwareDates"/>
      <sheetName val="Summary"/>
      <sheetName val="Bull_Base_Bear 2019"/>
      <sheetName val="MWA RR"/>
      <sheetName val="mwareSettings"/>
    </sheetNames>
    <sheetDataSet>
      <sheetData sheetId="0"/>
      <sheetData sheetId="1"/>
      <sheetData sheetId="2"/>
      <sheetData sheetId="3"/>
      <sheetData sheetId="4"/>
      <sheetData sheetId="5"/>
      <sheetData sheetId="6"/>
      <sheetData sheetId="7"/>
      <sheetData sheetId="8"/>
      <sheetData sheetId="9"/>
      <sheetData sheetId="10">
        <row r="2">
          <cell r="B2" t="str">
            <v>2006-Q1</v>
          </cell>
          <cell r="C2">
            <v>38657</v>
          </cell>
          <cell r="D2">
            <v>38748</v>
          </cell>
          <cell r="E2" t="str">
            <v>A</v>
          </cell>
        </row>
        <row r="3">
          <cell r="B3" t="str">
            <v>2006-Q2</v>
          </cell>
          <cell r="C3">
            <v>38749</v>
          </cell>
          <cell r="D3">
            <v>38837</v>
          </cell>
          <cell r="E3" t="str">
            <v>A</v>
          </cell>
        </row>
        <row r="4">
          <cell r="B4" t="str">
            <v>2006-Q3</v>
          </cell>
          <cell r="C4">
            <v>38838</v>
          </cell>
          <cell r="D4">
            <v>38929</v>
          </cell>
          <cell r="E4" t="str">
            <v>A</v>
          </cell>
        </row>
        <row r="5">
          <cell r="B5" t="str">
            <v>2006-Q4</v>
          </cell>
          <cell r="C5">
            <v>38930</v>
          </cell>
          <cell r="D5">
            <v>39021</v>
          </cell>
          <cell r="E5" t="str">
            <v>A</v>
          </cell>
        </row>
        <row r="6">
          <cell r="B6" t="str">
            <v>2006-FY</v>
          </cell>
          <cell r="C6">
            <v>38657</v>
          </cell>
          <cell r="D6">
            <v>39021</v>
          </cell>
          <cell r="E6" t="str">
            <v>A</v>
          </cell>
        </row>
        <row r="7">
          <cell r="B7" t="str">
            <v>2007-Q1</v>
          </cell>
          <cell r="C7">
            <v>39022</v>
          </cell>
          <cell r="D7">
            <v>39113</v>
          </cell>
          <cell r="E7" t="str">
            <v>A</v>
          </cell>
        </row>
        <row r="8">
          <cell r="B8" t="str">
            <v>2007-Q2</v>
          </cell>
          <cell r="C8">
            <v>39114</v>
          </cell>
          <cell r="D8">
            <v>39202</v>
          </cell>
          <cell r="E8" t="str">
            <v>A</v>
          </cell>
        </row>
        <row r="9">
          <cell r="B9" t="str">
            <v>2007-Q3</v>
          </cell>
          <cell r="C9">
            <v>39203</v>
          </cell>
          <cell r="D9">
            <v>39294</v>
          </cell>
          <cell r="E9" t="str">
            <v>A</v>
          </cell>
        </row>
        <row r="10">
          <cell r="B10" t="str">
            <v>2007-Q4</v>
          </cell>
          <cell r="C10">
            <v>39295</v>
          </cell>
          <cell r="D10">
            <v>39386</v>
          </cell>
          <cell r="E10" t="str">
            <v>A</v>
          </cell>
        </row>
        <row r="11">
          <cell r="B11" t="str">
            <v>2007-FY</v>
          </cell>
          <cell r="C11">
            <v>39022</v>
          </cell>
          <cell r="D11">
            <v>39386</v>
          </cell>
          <cell r="E11" t="str">
            <v>A</v>
          </cell>
        </row>
        <row r="12">
          <cell r="B12" t="str">
            <v>2008-Q1</v>
          </cell>
          <cell r="C12">
            <v>39387</v>
          </cell>
          <cell r="D12">
            <v>39478</v>
          </cell>
          <cell r="E12" t="str">
            <v>A</v>
          </cell>
        </row>
        <row r="13">
          <cell r="B13" t="str">
            <v>2008-Q2</v>
          </cell>
          <cell r="C13">
            <v>39479</v>
          </cell>
          <cell r="D13">
            <v>39568</v>
          </cell>
          <cell r="E13" t="str">
            <v>A</v>
          </cell>
        </row>
        <row r="14">
          <cell r="B14" t="str">
            <v>2008-Q3</v>
          </cell>
          <cell r="C14">
            <v>39569</v>
          </cell>
          <cell r="D14">
            <v>39660</v>
          </cell>
          <cell r="E14" t="str">
            <v>A</v>
          </cell>
        </row>
        <row r="15">
          <cell r="B15" t="str">
            <v>2008-Q4</v>
          </cell>
          <cell r="C15">
            <v>39661</v>
          </cell>
          <cell r="D15">
            <v>39752</v>
          </cell>
          <cell r="E15" t="str">
            <v>A</v>
          </cell>
        </row>
        <row r="16">
          <cell r="B16" t="str">
            <v>2008-FY</v>
          </cell>
          <cell r="C16">
            <v>39387</v>
          </cell>
          <cell r="D16">
            <v>39752</v>
          </cell>
          <cell r="E16" t="str">
            <v>A</v>
          </cell>
        </row>
        <row r="17">
          <cell r="B17" t="str">
            <v>2009-Q1</v>
          </cell>
          <cell r="C17">
            <v>39753</v>
          </cell>
          <cell r="D17">
            <v>39844</v>
          </cell>
          <cell r="E17" t="str">
            <v>A</v>
          </cell>
        </row>
        <row r="18">
          <cell r="B18" t="str">
            <v>2009-Q2</v>
          </cell>
          <cell r="C18">
            <v>39845</v>
          </cell>
          <cell r="D18">
            <v>39933</v>
          </cell>
          <cell r="E18" t="str">
            <v>A</v>
          </cell>
        </row>
        <row r="19">
          <cell r="B19" t="str">
            <v>2009-Q3</v>
          </cell>
          <cell r="C19">
            <v>39934</v>
          </cell>
          <cell r="D19">
            <v>40025</v>
          </cell>
          <cell r="E19" t="str">
            <v>A</v>
          </cell>
        </row>
        <row r="20">
          <cell r="B20" t="str">
            <v>2009-Q4</v>
          </cell>
          <cell r="C20">
            <v>40026</v>
          </cell>
          <cell r="D20">
            <v>40117</v>
          </cell>
          <cell r="E20" t="str">
            <v>A</v>
          </cell>
        </row>
        <row r="21">
          <cell r="B21" t="str">
            <v>2009-FY</v>
          </cell>
          <cell r="C21">
            <v>39753</v>
          </cell>
          <cell r="D21">
            <v>40117</v>
          </cell>
          <cell r="E21" t="str">
            <v>A</v>
          </cell>
        </row>
        <row r="22">
          <cell r="B22" t="str">
            <v>2010-Q1</v>
          </cell>
          <cell r="C22">
            <v>40118</v>
          </cell>
          <cell r="D22">
            <v>40209</v>
          </cell>
          <cell r="E22" t="str">
            <v>A</v>
          </cell>
        </row>
        <row r="23">
          <cell r="B23" t="str">
            <v>2010-Q2</v>
          </cell>
          <cell r="C23">
            <v>40210</v>
          </cell>
          <cell r="D23">
            <v>40298</v>
          </cell>
          <cell r="E23" t="str">
            <v>A</v>
          </cell>
        </row>
        <row r="24">
          <cell r="B24" t="str">
            <v>2010-Q3</v>
          </cell>
          <cell r="C24">
            <v>40299</v>
          </cell>
          <cell r="D24">
            <v>40390</v>
          </cell>
          <cell r="E24" t="str">
            <v>A</v>
          </cell>
        </row>
        <row r="25">
          <cell r="B25" t="str">
            <v>2010-Q4</v>
          </cell>
          <cell r="C25">
            <v>40391</v>
          </cell>
          <cell r="D25">
            <v>40482</v>
          </cell>
          <cell r="E25" t="str">
            <v>A</v>
          </cell>
        </row>
        <row r="26">
          <cell r="B26" t="str">
            <v>2010-FY</v>
          </cell>
          <cell r="C26">
            <v>40118</v>
          </cell>
          <cell r="D26">
            <v>40482</v>
          </cell>
          <cell r="E26" t="str">
            <v>A</v>
          </cell>
        </row>
        <row r="27">
          <cell r="B27" t="str">
            <v>2011-Q1</v>
          </cell>
          <cell r="C27">
            <v>40483</v>
          </cell>
          <cell r="D27">
            <v>40574</v>
          </cell>
          <cell r="E27" t="str">
            <v>A</v>
          </cell>
        </row>
        <row r="28">
          <cell r="B28" t="str">
            <v>2011-Q2</v>
          </cell>
          <cell r="C28">
            <v>40575</v>
          </cell>
          <cell r="D28">
            <v>40663</v>
          </cell>
          <cell r="E28" t="str">
            <v>A</v>
          </cell>
        </row>
        <row r="29">
          <cell r="B29" t="str">
            <v>2011-Q3</v>
          </cell>
          <cell r="C29">
            <v>40664</v>
          </cell>
          <cell r="D29">
            <v>40755</v>
          </cell>
          <cell r="E29" t="str">
            <v>A</v>
          </cell>
        </row>
        <row r="30">
          <cell r="B30" t="str">
            <v>2011-Q4</v>
          </cell>
          <cell r="C30">
            <v>40756</v>
          </cell>
          <cell r="D30">
            <v>40847</v>
          </cell>
          <cell r="E30" t="str">
            <v>A</v>
          </cell>
        </row>
        <row r="31">
          <cell r="B31" t="str">
            <v>2011-FY</v>
          </cell>
          <cell r="C31">
            <v>40483</v>
          </cell>
          <cell r="D31">
            <v>40847</v>
          </cell>
          <cell r="E31" t="str">
            <v>A</v>
          </cell>
        </row>
        <row r="32">
          <cell r="B32" t="str">
            <v>2012-Q1</v>
          </cell>
          <cell r="C32">
            <v>40848</v>
          </cell>
          <cell r="D32">
            <v>40939</v>
          </cell>
          <cell r="E32" t="str">
            <v>A</v>
          </cell>
        </row>
        <row r="33">
          <cell r="B33" t="str">
            <v>2012-Q2</v>
          </cell>
          <cell r="C33">
            <v>40940</v>
          </cell>
          <cell r="D33">
            <v>41029</v>
          </cell>
          <cell r="E33" t="str">
            <v>A</v>
          </cell>
        </row>
        <row r="34">
          <cell r="B34" t="str">
            <v>2012-Q3</v>
          </cell>
          <cell r="C34">
            <v>41030</v>
          </cell>
          <cell r="D34">
            <v>41121</v>
          </cell>
          <cell r="E34" t="str">
            <v>A</v>
          </cell>
        </row>
        <row r="35">
          <cell r="B35" t="str">
            <v>2012-Q4</v>
          </cell>
          <cell r="C35">
            <v>41122</v>
          </cell>
          <cell r="D35">
            <v>41213</v>
          </cell>
          <cell r="E35" t="str">
            <v>A</v>
          </cell>
        </row>
        <row r="36">
          <cell r="B36" t="str">
            <v>2012-FY</v>
          </cell>
          <cell r="C36">
            <v>40848</v>
          </cell>
          <cell r="D36">
            <v>41213</v>
          </cell>
          <cell r="E36" t="str">
            <v>A</v>
          </cell>
        </row>
        <row r="37">
          <cell r="B37" t="str">
            <v>2013-Q1</v>
          </cell>
          <cell r="C37">
            <v>41214</v>
          </cell>
          <cell r="D37">
            <v>41305</v>
          </cell>
          <cell r="E37" t="str">
            <v>A</v>
          </cell>
        </row>
        <row r="38">
          <cell r="B38" t="str">
            <v>2013-Q2</v>
          </cell>
          <cell r="C38">
            <v>41306</v>
          </cell>
          <cell r="D38">
            <v>41394</v>
          </cell>
          <cell r="E38" t="str">
            <v>A</v>
          </cell>
        </row>
        <row r="39">
          <cell r="B39" t="str">
            <v>2013-Q3</v>
          </cell>
          <cell r="C39">
            <v>41395</v>
          </cell>
          <cell r="D39">
            <v>41486</v>
          </cell>
          <cell r="E39" t="str">
            <v>A</v>
          </cell>
        </row>
        <row r="40">
          <cell r="B40" t="str">
            <v>2013-Q4</v>
          </cell>
          <cell r="C40">
            <v>41487</v>
          </cell>
          <cell r="D40">
            <v>41578</v>
          </cell>
          <cell r="E40" t="str">
            <v>A</v>
          </cell>
        </row>
        <row r="41">
          <cell r="B41" t="str">
            <v>2013-FY</v>
          </cell>
          <cell r="C41">
            <v>41214</v>
          </cell>
          <cell r="D41">
            <v>41578</v>
          </cell>
          <cell r="E41" t="str">
            <v>A</v>
          </cell>
        </row>
        <row r="42">
          <cell r="B42" t="str">
            <v>2014-Q1</v>
          </cell>
          <cell r="C42">
            <v>41579</v>
          </cell>
          <cell r="D42">
            <v>41670</v>
          </cell>
          <cell r="E42" t="str">
            <v>A</v>
          </cell>
        </row>
        <row r="43">
          <cell r="B43" t="str">
            <v>2014-Q2</v>
          </cell>
          <cell r="C43">
            <v>41671</v>
          </cell>
          <cell r="D43">
            <v>41759</v>
          </cell>
          <cell r="E43" t="str">
            <v>A</v>
          </cell>
        </row>
        <row r="44">
          <cell r="B44" t="str">
            <v>2014-Q3</v>
          </cell>
          <cell r="C44">
            <v>41760</v>
          </cell>
          <cell r="D44">
            <v>41851</v>
          </cell>
          <cell r="E44" t="str">
            <v>A</v>
          </cell>
        </row>
        <row r="45">
          <cell r="B45" t="str">
            <v>2014-Q4</v>
          </cell>
          <cell r="C45">
            <v>41852</v>
          </cell>
          <cell r="D45">
            <v>41943</v>
          </cell>
          <cell r="E45" t="str">
            <v>A</v>
          </cell>
        </row>
        <row r="46">
          <cell r="B46" t="str">
            <v>2014-FY</v>
          </cell>
          <cell r="C46">
            <v>41579</v>
          </cell>
          <cell r="D46">
            <v>41943</v>
          </cell>
          <cell r="E46" t="str">
            <v>A</v>
          </cell>
        </row>
        <row r="47">
          <cell r="B47" t="str">
            <v>2015-Q1</v>
          </cell>
          <cell r="C47">
            <v>41944</v>
          </cell>
          <cell r="D47">
            <v>42035</v>
          </cell>
          <cell r="E47" t="str">
            <v>A</v>
          </cell>
        </row>
        <row r="48">
          <cell r="B48" t="str">
            <v>2015-Q2</v>
          </cell>
          <cell r="C48">
            <v>42036</v>
          </cell>
          <cell r="D48">
            <v>42124</v>
          </cell>
          <cell r="E48" t="str">
            <v>A</v>
          </cell>
        </row>
        <row r="49">
          <cell r="B49" t="str">
            <v>2015-Q3</v>
          </cell>
          <cell r="C49">
            <v>42125</v>
          </cell>
          <cell r="D49">
            <v>42216</v>
          </cell>
          <cell r="E49" t="str">
            <v>A</v>
          </cell>
        </row>
        <row r="50">
          <cell r="B50" t="str">
            <v>2015-Q4</v>
          </cell>
          <cell r="C50">
            <v>42217</v>
          </cell>
          <cell r="D50">
            <v>42308</v>
          </cell>
          <cell r="E50" t="str">
            <v>A</v>
          </cell>
        </row>
        <row r="51">
          <cell r="B51" t="str">
            <v>2015-FY</v>
          </cell>
          <cell r="C51">
            <v>41944</v>
          </cell>
          <cell r="D51">
            <v>42308</v>
          </cell>
          <cell r="E51" t="str">
            <v>A</v>
          </cell>
        </row>
        <row r="52">
          <cell r="B52" t="str">
            <v>2016-Q1</v>
          </cell>
          <cell r="C52">
            <v>42309</v>
          </cell>
          <cell r="D52">
            <v>42400</v>
          </cell>
          <cell r="E52" t="str">
            <v>A</v>
          </cell>
        </row>
        <row r="53">
          <cell r="B53" t="str">
            <v>2016-Q2</v>
          </cell>
          <cell r="C53">
            <v>42401</v>
          </cell>
          <cell r="D53">
            <v>42490</v>
          </cell>
          <cell r="E53" t="str">
            <v>A</v>
          </cell>
        </row>
        <row r="54">
          <cell r="B54" t="str">
            <v>2016-Q3</v>
          </cell>
          <cell r="C54">
            <v>42491</v>
          </cell>
          <cell r="D54">
            <v>42582</v>
          </cell>
          <cell r="E54" t="str">
            <v>A</v>
          </cell>
        </row>
        <row r="55">
          <cell r="B55" t="str">
            <v>2016-Q4</v>
          </cell>
          <cell r="C55">
            <v>42583</v>
          </cell>
          <cell r="D55">
            <v>42674</v>
          </cell>
          <cell r="E55" t="str">
            <v>A</v>
          </cell>
        </row>
        <row r="56">
          <cell r="B56" t="str">
            <v>2016-FY</v>
          </cell>
          <cell r="C56">
            <v>42309</v>
          </cell>
          <cell r="D56">
            <v>42674</v>
          </cell>
          <cell r="E56" t="str">
            <v>A</v>
          </cell>
        </row>
        <row r="57">
          <cell r="B57" t="str">
            <v>2017-Q1</v>
          </cell>
          <cell r="C57">
            <v>42675</v>
          </cell>
          <cell r="D57">
            <v>42766</v>
          </cell>
          <cell r="E57" t="str">
            <v>A</v>
          </cell>
        </row>
        <row r="58">
          <cell r="B58" t="str">
            <v>2017-Q2</v>
          </cell>
          <cell r="C58">
            <v>42767</v>
          </cell>
          <cell r="D58">
            <v>42855</v>
          </cell>
          <cell r="E58" t="str">
            <v>A</v>
          </cell>
        </row>
        <row r="59">
          <cell r="B59" t="str">
            <v>2017-Q3</v>
          </cell>
          <cell r="C59">
            <v>42856</v>
          </cell>
          <cell r="D59">
            <v>42947</v>
          </cell>
          <cell r="E59" t="str">
            <v>A</v>
          </cell>
        </row>
        <row r="60">
          <cell r="B60" t="str">
            <v>2017-Q4</v>
          </cell>
          <cell r="C60">
            <v>42948</v>
          </cell>
          <cell r="D60">
            <v>43039</v>
          </cell>
          <cell r="E60" t="str">
            <v>A</v>
          </cell>
        </row>
        <row r="61">
          <cell r="B61" t="str">
            <v>2017-FY</v>
          </cell>
          <cell r="C61">
            <v>42675</v>
          </cell>
          <cell r="D61">
            <v>43039</v>
          </cell>
          <cell r="E61" t="str">
            <v>A</v>
          </cell>
        </row>
        <row r="62">
          <cell r="B62" t="str">
            <v>2018-Q1</v>
          </cell>
          <cell r="C62">
            <v>43040</v>
          </cell>
          <cell r="D62">
            <v>43131</v>
          </cell>
          <cell r="E62" t="str">
            <v>E</v>
          </cell>
        </row>
        <row r="63">
          <cell r="B63" t="str">
            <v>2018-Q2</v>
          </cell>
          <cell r="C63">
            <v>43132</v>
          </cell>
          <cell r="D63">
            <v>43220</v>
          </cell>
          <cell r="E63" t="str">
            <v>E</v>
          </cell>
        </row>
        <row r="64">
          <cell r="B64" t="str">
            <v>2018-Q3</v>
          </cell>
          <cell r="C64">
            <v>43221</v>
          </cell>
          <cell r="D64">
            <v>43312</v>
          </cell>
          <cell r="E64" t="str">
            <v>E</v>
          </cell>
        </row>
        <row r="65">
          <cell r="B65" t="str">
            <v>2018-Q4</v>
          </cell>
          <cell r="C65">
            <v>43313</v>
          </cell>
          <cell r="D65">
            <v>43404</v>
          </cell>
          <cell r="E65" t="str">
            <v>E</v>
          </cell>
        </row>
        <row r="66">
          <cell r="B66" t="str">
            <v>2018-FY</v>
          </cell>
          <cell r="C66">
            <v>43040</v>
          </cell>
          <cell r="D66">
            <v>43404</v>
          </cell>
          <cell r="E66" t="str">
            <v>E</v>
          </cell>
        </row>
        <row r="67">
          <cell r="B67" t="str">
            <v>2019-Q1</v>
          </cell>
          <cell r="C67">
            <v>43405</v>
          </cell>
          <cell r="D67">
            <v>43496</v>
          </cell>
          <cell r="E67" t="str">
            <v>E</v>
          </cell>
        </row>
        <row r="68">
          <cell r="B68" t="str">
            <v>2019-Q2</v>
          </cell>
          <cell r="C68">
            <v>43497</v>
          </cell>
          <cell r="D68">
            <v>43585</v>
          </cell>
          <cell r="E68" t="str">
            <v>E</v>
          </cell>
        </row>
        <row r="69">
          <cell r="B69" t="str">
            <v>2019-Q3</v>
          </cell>
          <cell r="C69">
            <v>43586</v>
          </cell>
          <cell r="D69">
            <v>43677</v>
          </cell>
          <cell r="E69" t="str">
            <v>E</v>
          </cell>
        </row>
        <row r="70">
          <cell r="B70" t="str">
            <v>2019-Q4</v>
          </cell>
          <cell r="C70">
            <v>43678</v>
          </cell>
          <cell r="D70">
            <v>43769</v>
          </cell>
          <cell r="E70" t="str">
            <v>E</v>
          </cell>
        </row>
        <row r="71">
          <cell r="B71" t="str">
            <v>2019-FY</v>
          </cell>
          <cell r="C71">
            <v>43405</v>
          </cell>
          <cell r="D71">
            <v>43769</v>
          </cell>
          <cell r="E71" t="str">
            <v>E</v>
          </cell>
        </row>
        <row r="72">
          <cell r="B72" t="str">
            <v>2020-Q1</v>
          </cell>
          <cell r="C72">
            <v>43770</v>
          </cell>
          <cell r="D72">
            <v>43861</v>
          </cell>
          <cell r="E72" t="str">
            <v>E</v>
          </cell>
        </row>
        <row r="73">
          <cell r="B73" t="str">
            <v>2020-Q2</v>
          </cell>
          <cell r="C73">
            <v>43862</v>
          </cell>
          <cell r="D73">
            <v>43951</v>
          </cell>
          <cell r="E73" t="str">
            <v>E</v>
          </cell>
        </row>
        <row r="74">
          <cell r="B74" t="str">
            <v>2020-Q3</v>
          </cell>
          <cell r="C74">
            <v>43952</v>
          </cell>
          <cell r="D74">
            <v>44043</v>
          </cell>
          <cell r="E74" t="str">
            <v>E</v>
          </cell>
        </row>
        <row r="75">
          <cell r="B75" t="str">
            <v>2020-Q4</v>
          </cell>
          <cell r="C75">
            <v>44044</v>
          </cell>
          <cell r="D75">
            <v>44135</v>
          </cell>
          <cell r="E75" t="str">
            <v>E</v>
          </cell>
        </row>
        <row r="76">
          <cell r="B76" t="str">
            <v>2020-FY</v>
          </cell>
          <cell r="C76">
            <v>43770</v>
          </cell>
          <cell r="D76">
            <v>44135</v>
          </cell>
          <cell r="E76" t="str">
            <v>E</v>
          </cell>
        </row>
      </sheetData>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Research">
      <a:dk1>
        <a:sysClr val="windowText" lastClr="000000"/>
      </a:dk1>
      <a:lt1>
        <a:sysClr val="window" lastClr="FFFFFF"/>
      </a:lt1>
      <a:dk2>
        <a:srgbClr val="003366"/>
      </a:dk2>
      <a:lt2>
        <a:srgbClr val="C6D9E2"/>
      </a:lt2>
      <a:accent1>
        <a:srgbClr val="137CB1"/>
      </a:accent1>
      <a:accent2>
        <a:srgbClr val="EACC80"/>
      </a:accent2>
      <a:accent3>
        <a:srgbClr val="4AAC6B"/>
      </a:accent3>
      <a:accent4>
        <a:srgbClr val="A8D7E2"/>
      </a:accent4>
      <a:accent5>
        <a:srgbClr val="E58061"/>
      </a:accent5>
      <a:accent6>
        <a:srgbClr val="BCE3A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drawing1.xml" Type="http://schemas.openxmlformats.org/officeDocument/2006/relationships/drawing"/>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drawing2.xml" Type="http://schemas.openxmlformats.org/officeDocument/2006/relationships/drawing"/>
<Relationship Id="rId3" Target="../drawings/vmlDrawing3.vml" Type="http://schemas.openxmlformats.org/officeDocument/2006/relationships/vmlDrawing"/>
<Relationship Id="rId4" Target="../ctrlProps/ctrlProp1.xml" Type="http://schemas.openxmlformats.org/officeDocument/2006/relationships/ctrlProp"/>
<Relationship Id="rId5"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drawing3.xml" Type="http://schemas.openxmlformats.org/officeDocument/2006/relationships/drawing"/>
<Relationship Id="rId3" Target="../drawings/vmlDrawing4.vml" Type="http://schemas.openxmlformats.org/officeDocument/2006/relationships/vmlDrawing"/>
<Relationship Id="rId4" Target="../ctrlProps/ctrlProp2.xml" Type="http://schemas.openxmlformats.org/officeDocument/2006/relationships/ctrlProp"/>
<Relationship Id="rId5"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V4"/>
  <sheetViews>
    <sheetView workbookViewId="0"/>
  </sheetViews>
  <sheetFormatPr defaultRowHeight="11.25"/>
  <sheetData>
    <row r="1" spans="1:256">
      <c r="A1" t="s">
        <v>402</v>
      </c>
    </row>
    <row r="2" spans="1:256" s="760" customFormat="1">
      <c r="A2" s="760" t="s">
        <v>564</v>
      </c>
      <c r="B2" s="760" t="s">
        <v>629</v>
      </c>
      <c r="C2" s="760" t="s">
        <v>845</v>
      </c>
      <c r="D2" s="760" t="s">
        <v>851</v>
      </c>
      <c r="E2" s="760" t="s">
        <v>475</v>
      </c>
      <c r="F2" s="760" t="s">
        <v>510</v>
      </c>
      <c r="G2" s="760" t="s">
        <v>379</v>
      </c>
      <c r="H2" s="760" t="s">
        <v>412</v>
      </c>
      <c r="I2" s="760" t="s">
        <v>424</v>
      </c>
      <c r="J2" s="760" t="s">
        <v>431</v>
      </c>
      <c r="K2" s="760" t="s">
        <v>876</v>
      </c>
      <c r="L2" s="760" t="s">
        <v>878</v>
      </c>
      <c r="M2" s="760" t="s">
        <v>691</v>
      </c>
      <c r="N2" s="760" t="s">
        <v>629</v>
      </c>
      <c r="O2" s="760" t="s">
        <v>459</v>
      </c>
      <c r="P2" s="760" t="s">
        <v>466</v>
      </c>
      <c r="Q2" s="760" t="s">
        <v>758</v>
      </c>
      <c r="R2" s="760" t="s">
        <v>160</v>
      </c>
      <c r="S2" s="760" t="s">
        <v>172</v>
      </c>
      <c r="T2" s="760" t="s">
        <v>178</v>
      </c>
      <c r="U2" s="760" t="s">
        <v>870</v>
      </c>
      <c r="V2" s="760" t="s">
        <v>241</v>
      </c>
      <c r="W2" s="760" t="s">
        <v>872</v>
      </c>
      <c r="X2" s="760" t="s">
        <v>879</v>
      </c>
      <c r="Y2" s="760" t="s">
        <v>506</v>
      </c>
      <c r="Z2" s="760" t="s">
        <v>629</v>
      </c>
      <c r="AA2" s="760" t="s">
        <v>474</v>
      </c>
      <c r="AB2" s="760" t="s">
        <v>509</v>
      </c>
      <c r="AC2" s="760" t="s">
        <v>534</v>
      </c>
      <c r="AD2" s="760" t="s">
        <v>552</v>
      </c>
      <c r="AE2" s="760" t="s">
        <v>705</v>
      </c>
      <c r="AF2" s="760" t="s">
        <v>629</v>
      </c>
      <c r="AG2" s="760" t="s">
        <v>387</v>
      </c>
      <c r="AH2" s="760" t="s">
        <v>417</v>
      </c>
      <c r="AI2" s="760" t="s">
        <v>855</v>
      </c>
      <c r="AJ2" s="760" t="s">
        <v>868</v>
      </c>
      <c r="AK2" s="760" t="s">
        <v>117</v>
      </c>
      <c r="AL2" s="760" t="s">
        <v>132</v>
      </c>
      <c r="AM2" s="760" t="s">
        <v>752</v>
      </c>
      <c r="AN2" s="760" t="s">
        <v>166</v>
      </c>
      <c r="AO2" s="760" t="s">
        <v>438</v>
      </c>
      <c r="AP2" s="760" t="s">
        <v>448</v>
      </c>
      <c r="AQ2" s="760" t="s">
        <v>699</v>
      </c>
      <c r="AR2" s="760" t="s">
        <v>629</v>
      </c>
      <c r="AS2" s="760" t="s">
        <v>223</v>
      </c>
      <c r="AT2" s="760" t="s">
        <v>226</v>
      </c>
      <c r="AU2" s="760" t="s">
        <v>152</v>
      </c>
      <c r="AV2" s="760" t="s">
        <v>165</v>
      </c>
      <c r="AW2" s="760" t="s">
        <v>458</v>
      </c>
      <c r="AX2" s="760" t="s">
        <v>259</v>
      </c>
      <c r="AY2" s="760" t="s">
        <v>320</v>
      </c>
      <c r="AZ2" s="760" t="s">
        <v>322</v>
      </c>
      <c r="BA2" s="760" t="s">
        <v>171</v>
      </c>
      <c r="BB2" s="760" t="s">
        <v>176</v>
      </c>
      <c r="BC2" s="760" t="s">
        <v>848</v>
      </c>
      <c r="BD2" s="760" t="s">
        <v>629</v>
      </c>
      <c r="BE2" s="760" t="s">
        <v>130</v>
      </c>
      <c r="BF2" s="760" t="s">
        <v>629</v>
      </c>
      <c r="BG2" s="760" t="s">
        <v>501</v>
      </c>
      <c r="BH2" s="760" t="s">
        <v>629</v>
      </c>
      <c r="BI2" s="760" t="s">
        <v>127</v>
      </c>
      <c r="BJ2" s="760" t="s">
        <v>629</v>
      </c>
      <c r="BK2" s="760" t="s">
        <v>385</v>
      </c>
      <c r="BL2" s="760" t="s">
        <v>629</v>
      </c>
      <c r="BM2" s="760" t="s">
        <v>329</v>
      </c>
      <c r="BN2" s="760" t="s">
        <v>340</v>
      </c>
      <c r="BO2" s="760" t="s">
        <v>247</v>
      </c>
      <c r="BP2" s="760" t="s">
        <v>261</v>
      </c>
      <c r="BQ2" s="760" t="s">
        <v>257</v>
      </c>
      <c r="BR2" s="760" t="s">
        <v>989</v>
      </c>
      <c r="BS2" s="760" t="s">
        <v>693</v>
      </c>
      <c r="BT2" s="760" t="s">
        <v>629</v>
      </c>
      <c r="BU2" s="760" t="s">
        <v>441</v>
      </c>
      <c r="BV2" s="760" t="s">
        <v>449</v>
      </c>
      <c r="BW2" s="760" t="s">
        <v>326</v>
      </c>
      <c r="BX2" s="760" t="s">
        <v>337</v>
      </c>
      <c r="BY2" s="760" t="s">
        <v>536</v>
      </c>
      <c r="BZ2" s="760" t="s">
        <v>629</v>
      </c>
      <c r="CA2" s="760" t="s">
        <v>168</v>
      </c>
      <c r="CB2" s="760" t="s">
        <v>629</v>
      </c>
      <c r="CC2" s="760" t="s">
        <v>435</v>
      </c>
      <c r="CD2" s="760" t="s">
        <v>336</v>
      </c>
      <c r="CE2" s="760" t="s">
        <v>202</v>
      </c>
      <c r="CF2" s="760" t="s">
        <v>218</v>
      </c>
      <c r="CG2" s="760" t="s">
        <v>118</v>
      </c>
      <c r="CH2" s="760" t="s">
        <v>133</v>
      </c>
      <c r="CI2" s="760" t="s">
        <v>125</v>
      </c>
      <c r="CJ2" s="760" t="s">
        <v>629</v>
      </c>
      <c r="CK2" s="760" t="s">
        <v>121</v>
      </c>
      <c r="CL2" s="760" t="s">
        <v>629</v>
      </c>
      <c r="CM2" s="760" t="s">
        <v>201</v>
      </c>
      <c r="CN2" s="760" t="s">
        <v>215</v>
      </c>
      <c r="CO2" s="760" t="s">
        <v>422</v>
      </c>
      <c r="CP2" s="760" t="s">
        <v>430</v>
      </c>
      <c r="CQ2" s="760" t="s">
        <v>478</v>
      </c>
      <c r="CR2" s="760" t="s">
        <v>629</v>
      </c>
      <c r="CS2" s="760" t="s">
        <v>119</v>
      </c>
      <c r="CT2" s="760" t="s">
        <v>629</v>
      </c>
      <c r="CU2" s="760" t="s">
        <v>719</v>
      </c>
      <c r="CV2" s="760" t="s">
        <v>629</v>
      </c>
      <c r="CW2" s="760" t="s">
        <v>539</v>
      </c>
      <c r="CX2" s="760" t="s">
        <v>555</v>
      </c>
      <c r="CY2" s="760" t="s">
        <v>701</v>
      </c>
      <c r="CZ2" s="760" t="s">
        <v>134</v>
      </c>
      <c r="DA2" s="760" t="s">
        <v>821</v>
      </c>
      <c r="DB2" s="760" t="s">
        <v>211</v>
      </c>
      <c r="DC2" s="760" t="s">
        <v>749</v>
      </c>
      <c r="DD2" s="760" t="s">
        <v>765</v>
      </c>
      <c r="DE2" s="760" t="s">
        <v>482</v>
      </c>
      <c r="DF2" s="760" t="s">
        <v>629</v>
      </c>
      <c r="DG2" s="760" t="s">
        <v>486</v>
      </c>
      <c r="DH2" s="760" t="s">
        <v>515</v>
      </c>
      <c r="DI2" s="760" t="s">
        <v>123</v>
      </c>
      <c r="DJ2" s="760" t="s">
        <v>629</v>
      </c>
      <c r="DK2" s="760" t="s">
        <v>859</v>
      </c>
      <c r="DL2" s="760" t="s">
        <v>253</v>
      </c>
      <c r="DM2" s="760" t="s">
        <v>492</v>
      </c>
      <c r="DN2" s="760" t="s">
        <v>520</v>
      </c>
      <c r="DO2" s="760" t="s">
        <v>479</v>
      </c>
      <c r="DP2" s="760" t="s">
        <v>629</v>
      </c>
      <c r="DQ2" s="760" t="s">
        <v>759</v>
      </c>
      <c r="DR2" s="760" t="s">
        <v>157</v>
      </c>
      <c r="DS2" s="760" t="s">
        <v>537</v>
      </c>
      <c r="DT2" s="760" t="s">
        <v>553</v>
      </c>
      <c r="DU2" s="760" t="s">
        <v>783</v>
      </c>
      <c r="DV2" s="760" t="s">
        <v>795</v>
      </c>
      <c r="DW2" s="760" t="s">
        <v>330</v>
      </c>
      <c r="DX2" s="760" t="s">
        <v>341</v>
      </c>
      <c r="DY2" s="760" t="s">
        <v>702</v>
      </c>
      <c r="DZ2" s="760" t="s">
        <v>629</v>
      </c>
      <c r="EA2" s="760" t="s">
        <v>873</v>
      </c>
      <c r="EB2" s="760" t="s">
        <v>259</v>
      </c>
      <c r="EC2" s="760" t="s">
        <v>461</v>
      </c>
      <c r="ED2" s="760" t="s">
        <v>468</v>
      </c>
      <c r="EE2" s="760" t="s">
        <v>480</v>
      </c>
      <c r="EF2" s="760" t="s">
        <v>629</v>
      </c>
      <c r="EG2" s="760" t="s">
        <v>867</v>
      </c>
      <c r="EH2" s="760" t="s">
        <v>240</v>
      </c>
      <c r="EI2" s="760" t="s">
        <v>849</v>
      </c>
      <c r="EJ2" s="760" t="s">
        <v>231</v>
      </c>
      <c r="EK2" s="760" t="s">
        <v>780</v>
      </c>
      <c r="EL2" s="760" t="s">
        <v>177</v>
      </c>
      <c r="EM2" s="760" t="s">
        <v>352</v>
      </c>
      <c r="EN2" s="760" t="s">
        <v>629</v>
      </c>
      <c r="EO2" s="760" t="s">
        <v>122</v>
      </c>
      <c r="EP2" s="760" t="s">
        <v>140</v>
      </c>
      <c r="EQ2" s="760" t="s">
        <v>769</v>
      </c>
      <c r="ER2" s="760" t="s">
        <v>629</v>
      </c>
      <c r="ES2" s="760" t="s">
        <v>785</v>
      </c>
      <c r="ET2" s="760" t="s">
        <v>796</v>
      </c>
      <c r="EU2" s="760" t="s">
        <v>731</v>
      </c>
      <c r="EV2" s="760" t="s">
        <v>244</v>
      </c>
      <c r="EW2" s="760" t="s">
        <v>784</v>
      </c>
      <c r="EX2" s="760" t="s">
        <v>195</v>
      </c>
      <c r="EY2" s="760" t="s">
        <v>746</v>
      </c>
      <c r="EZ2" s="760" t="s">
        <v>153</v>
      </c>
      <c r="FA2" s="760" t="s">
        <v>711</v>
      </c>
      <c r="FB2" s="760" t="s">
        <v>743</v>
      </c>
      <c r="FC2" s="760" t="s">
        <v>527</v>
      </c>
      <c r="FD2" s="760" t="s">
        <v>629</v>
      </c>
      <c r="FE2" s="760" t="s">
        <v>761</v>
      </c>
      <c r="FF2" s="760" t="s">
        <v>629</v>
      </c>
      <c r="FG2" s="760" t="s">
        <v>826</v>
      </c>
      <c r="FH2" s="760" t="s">
        <v>629</v>
      </c>
      <c r="FI2" s="760" t="s">
        <v>476</v>
      </c>
      <c r="FJ2" s="760" t="s">
        <v>511</v>
      </c>
      <c r="FK2" s="760" t="s">
        <v>129</v>
      </c>
      <c r="FL2" s="760" t="s">
        <v>629</v>
      </c>
      <c r="FM2" s="760" t="s">
        <v>713</v>
      </c>
      <c r="FN2" s="760" t="s">
        <v>629</v>
      </c>
      <c r="FO2" s="760" t="s">
        <v>151</v>
      </c>
      <c r="FP2" s="760" t="s">
        <v>159</v>
      </c>
      <c r="FQ2" s="760" t="s">
        <v>497</v>
      </c>
      <c r="FR2" s="760" t="s">
        <v>629</v>
      </c>
      <c r="FS2" s="760" t="s">
        <v>427</v>
      </c>
      <c r="FT2" s="760" t="s">
        <v>433</v>
      </c>
      <c r="FU2" s="760" t="s">
        <v>738</v>
      </c>
      <c r="FV2" s="760" t="s">
        <v>629</v>
      </c>
      <c r="FW2" s="760" t="s">
        <v>544</v>
      </c>
      <c r="FX2" s="760" t="s">
        <v>559</v>
      </c>
      <c r="FY2" s="760" t="s">
        <v>131</v>
      </c>
      <c r="FZ2" s="760" t="s">
        <v>629</v>
      </c>
      <c r="GA2" s="760" t="s">
        <v>347</v>
      </c>
      <c r="GB2" s="760" t="s">
        <v>407</v>
      </c>
      <c r="GC2" s="760" t="s">
        <v>345</v>
      </c>
      <c r="GD2" s="760" t="s">
        <v>405</v>
      </c>
      <c r="GE2" s="760" t="s">
        <v>225</v>
      </c>
      <c r="GF2" s="760" t="s">
        <v>228</v>
      </c>
      <c r="GG2" s="760" t="s">
        <v>828</v>
      </c>
      <c r="GH2" s="760" t="s">
        <v>841</v>
      </c>
      <c r="GI2" s="760" t="s">
        <v>754</v>
      </c>
      <c r="GJ2" s="760" t="s">
        <v>161</v>
      </c>
      <c r="GK2" s="760" t="s">
        <v>343</v>
      </c>
      <c r="GL2" s="760" t="s">
        <v>403</v>
      </c>
      <c r="GM2" s="760" t="s">
        <v>526</v>
      </c>
      <c r="GN2" s="760" t="s">
        <v>548</v>
      </c>
      <c r="GO2" s="760" t="s">
        <v>708</v>
      </c>
      <c r="GP2" s="760" t="s">
        <v>142</v>
      </c>
      <c r="GQ2" s="760" t="s">
        <v>428</v>
      </c>
      <c r="GR2" s="760" t="s">
        <v>434</v>
      </c>
      <c r="GS2" s="760" t="s">
        <v>488</v>
      </c>
      <c r="GT2" s="760" t="s">
        <v>629</v>
      </c>
      <c r="GU2" s="760" t="s">
        <v>704</v>
      </c>
      <c r="GV2" s="760" t="s">
        <v>139</v>
      </c>
      <c r="GW2" s="760" t="s">
        <v>861</v>
      </c>
      <c r="GX2" s="760" t="s">
        <v>629</v>
      </c>
      <c r="GY2" s="760" t="s">
        <v>712</v>
      </c>
      <c r="GZ2" s="760" t="s">
        <v>629</v>
      </c>
      <c r="HA2" s="760" t="s">
        <v>755</v>
      </c>
      <c r="HB2" s="760" t="s">
        <v>629</v>
      </c>
      <c r="HC2" s="760" t="s">
        <v>698</v>
      </c>
      <c r="HD2" s="760" t="s">
        <v>158</v>
      </c>
      <c r="HE2" s="760" t="s">
        <v>328</v>
      </c>
      <c r="HF2" s="760" t="s">
        <v>339</v>
      </c>
      <c r="HG2" s="760" t="s">
        <v>349</v>
      </c>
      <c r="HH2" s="760" t="s">
        <v>409</v>
      </c>
      <c r="HI2" s="760" t="s">
        <v>531</v>
      </c>
      <c r="HJ2" s="760" t="s">
        <v>550</v>
      </c>
      <c r="HK2" s="760" t="s">
        <v>748</v>
      </c>
      <c r="HL2" s="760" t="s">
        <v>164</v>
      </c>
      <c r="HM2" s="760" t="s">
        <v>546</v>
      </c>
      <c r="HN2" s="760" t="s">
        <v>561</v>
      </c>
      <c r="HO2" s="760" t="s">
        <v>319</v>
      </c>
      <c r="HP2" s="760" t="s">
        <v>321</v>
      </c>
      <c r="HQ2" s="760" t="s">
        <v>483</v>
      </c>
      <c r="HR2" s="760" t="s">
        <v>629</v>
      </c>
      <c r="HS2" s="760" t="s">
        <v>734</v>
      </c>
      <c r="HT2" s="760" t="s">
        <v>629</v>
      </c>
      <c r="HU2" s="760" t="s">
        <v>762</v>
      </c>
      <c r="HV2" s="760" t="s">
        <v>629</v>
      </c>
      <c r="HW2" s="760" t="s">
        <v>825</v>
      </c>
      <c r="HX2" s="760" t="s">
        <v>840</v>
      </c>
      <c r="HY2" s="760" t="s">
        <v>383</v>
      </c>
      <c r="HZ2" s="760" t="s">
        <v>415</v>
      </c>
      <c r="IA2" s="760" t="s">
        <v>446</v>
      </c>
      <c r="IB2" s="760" t="s">
        <v>454</v>
      </c>
      <c r="IC2" s="760" t="s">
        <v>471</v>
      </c>
      <c r="ID2" s="760" t="s">
        <v>629</v>
      </c>
      <c r="IE2" s="760" t="s">
        <v>493</v>
      </c>
      <c r="IF2" s="760" t="s">
        <v>521</v>
      </c>
      <c r="IG2" s="760" t="s">
        <v>830</v>
      </c>
      <c r="IH2" s="760" t="s">
        <v>222</v>
      </c>
      <c r="II2" s="760" t="s">
        <v>842</v>
      </c>
      <c r="IJ2" s="760" t="s">
        <v>229</v>
      </c>
      <c r="IK2" s="760" t="s">
        <v>457</v>
      </c>
      <c r="IL2" s="760" t="s">
        <v>465</v>
      </c>
      <c r="IM2" s="760" t="s">
        <v>736</v>
      </c>
      <c r="IN2" s="760" t="s">
        <v>145</v>
      </c>
      <c r="IO2" s="760" t="s">
        <v>827</v>
      </c>
      <c r="IP2" s="760" t="s">
        <v>217</v>
      </c>
      <c r="IQ2" s="760" t="s">
        <v>822</v>
      </c>
      <c r="IR2" s="760" t="s">
        <v>629</v>
      </c>
      <c r="IS2" s="760" t="s">
        <v>803</v>
      </c>
      <c r="IT2" s="760" t="s">
        <v>834</v>
      </c>
      <c r="IU2" s="760" t="s">
        <v>695</v>
      </c>
      <c r="IV2" s="760" t="s">
        <v>135</v>
      </c>
    </row>
    <row r="3" spans="1:256" s="760" customFormat="1">
      <c r="A3" s="760" t="s">
        <v>245</v>
      </c>
      <c r="B3" s="760" t="s">
        <v>252</v>
      </c>
      <c r="C3" s="760" t="s">
        <v>470</v>
      </c>
      <c r="D3" s="760" t="s">
        <v>629</v>
      </c>
      <c r="E3" s="760" t="s">
        <v>344</v>
      </c>
      <c r="F3" s="760" t="s">
        <v>404</v>
      </c>
      <c r="G3" s="760" t="s">
        <v>425</v>
      </c>
      <c r="H3" s="760" t="s">
        <v>629</v>
      </c>
      <c r="I3" s="760" t="s">
        <v>507</v>
      </c>
      <c r="J3" s="760" t="s">
        <v>522</v>
      </c>
      <c r="K3" s="760" t="s">
        <v>149</v>
      </c>
      <c r="L3" s="760" t="s">
        <v>155</v>
      </c>
      <c r="M3" s="760" t="s">
        <v>709</v>
      </c>
      <c r="N3" s="760" t="s">
        <v>742</v>
      </c>
      <c r="O3" s="760" t="s">
        <v>204</v>
      </c>
      <c r="P3" s="760" t="s">
        <v>629</v>
      </c>
      <c r="Q3" s="760" t="s">
        <v>243</v>
      </c>
      <c r="R3" s="760" t="s">
        <v>249</v>
      </c>
      <c r="S3" s="760" t="s">
        <v>334</v>
      </c>
      <c r="T3" s="760" t="s">
        <v>629</v>
      </c>
      <c r="U3" s="760" t="s">
        <v>255</v>
      </c>
      <c r="V3" s="760" t="s">
        <v>244</v>
      </c>
      <c r="W3" s="760" t="s">
        <v>498</v>
      </c>
      <c r="X3" s="760" t="s">
        <v>629</v>
      </c>
      <c r="Y3" s="760" t="s">
        <v>696</v>
      </c>
      <c r="Z3" s="760" t="s">
        <v>629</v>
      </c>
      <c r="AA3" s="760" t="s">
        <v>523</v>
      </c>
      <c r="AB3" s="760" t="s">
        <v>547</v>
      </c>
      <c r="AC3" s="760" t="s">
        <v>436</v>
      </c>
      <c r="AD3" s="760" t="s">
        <v>629</v>
      </c>
      <c r="AE3" s="760" t="s">
        <v>460</v>
      </c>
      <c r="AF3" s="760" t="s">
        <v>467</v>
      </c>
      <c r="AG3" s="760" t="s">
        <v>524</v>
      </c>
      <c r="AH3" s="760" t="s">
        <v>629</v>
      </c>
      <c r="AI3" s="760" t="s">
        <v>781</v>
      </c>
      <c r="AJ3" s="760" t="s">
        <v>194</v>
      </c>
      <c r="AK3" s="760" t="s">
        <v>489</v>
      </c>
      <c r="AL3" s="760" t="s">
        <v>517</v>
      </c>
      <c r="AM3" s="760" t="s">
        <v>545</v>
      </c>
      <c r="AN3" s="760" t="s">
        <v>560</v>
      </c>
      <c r="AO3" s="760" t="s">
        <v>443</v>
      </c>
      <c r="AP3" s="760" t="s">
        <v>451</v>
      </c>
      <c r="AQ3" s="760" t="s">
        <v>756</v>
      </c>
      <c r="AR3" s="760" t="s">
        <v>629</v>
      </c>
      <c r="AS3" s="760" t="s">
        <v>829</v>
      </c>
      <c r="AT3" s="760" t="s">
        <v>221</v>
      </c>
      <c r="AU3" s="760" t="s">
        <v>327</v>
      </c>
      <c r="AV3" s="760" t="s">
        <v>338</v>
      </c>
      <c r="AW3" s="760" t="s">
        <v>857</v>
      </c>
      <c r="AX3" s="760" t="s">
        <v>236</v>
      </c>
      <c r="AY3" s="760" t="s">
        <v>538</v>
      </c>
      <c r="AZ3" s="760" t="s">
        <v>554</v>
      </c>
      <c r="BA3" s="760" t="s">
        <v>439</v>
      </c>
      <c r="BB3" s="760" t="s">
        <v>336</v>
      </c>
      <c r="BC3" s="760" t="s">
        <v>739</v>
      </c>
      <c r="BD3" s="760" t="s">
        <v>141</v>
      </c>
      <c r="BE3" s="760" t="s">
        <v>421</v>
      </c>
      <c r="BF3" s="760" t="s">
        <v>429</v>
      </c>
      <c r="BG3" s="760" t="s">
        <v>802</v>
      </c>
      <c r="BH3" s="760" t="s">
        <v>206</v>
      </c>
      <c r="BI3" s="760" t="s">
        <v>697</v>
      </c>
      <c r="BJ3" s="760" t="s">
        <v>629</v>
      </c>
      <c r="BK3" s="760" t="s">
        <v>800</v>
      </c>
      <c r="BL3" s="760" t="s">
        <v>832</v>
      </c>
      <c r="BM3" s="760" t="s">
        <v>875</v>
      </c>
      <c r="BN3" s="760" t="s">
        <v>880</v>
      </c>
      <c r="BO3" s="760" t="s">
        <v>380</v>
      </c>
      <c r="BP3" s="760" t="s">
        <v>413</v>
      </c>
      <c r="BQ3" s="760" t="s">
        <v>351</v>
      </c>
      <c r="BR3" s="760" t="s">
        <v>411</v>
      </c>
      <c r="BS3" s="760" t="s">
        <v>772</v>
      </c>
      <c r="BT3" s="760" t="s">
        <v>774</v>
      </c>
      <c r="BU3" s="760" t="s">
        <v>384</v>
      </c>
      <c r="BV3" s="760" t="s">
        <v>629</v>
      </c>
      <c r="BW3" s="760" t="s">
        <v>562</v>
      </c>
      <c r="BX3" s="760" t="s">
        <v>629</v>
      </c>
      <c r="BY3" s="760" t="s">
        <v>694</v>
      </c>
      <c r="BZ3" s="760" t="s">
        <v>740</v>
      </c>
      <c r="CA3" s="760" t="s">
        <v>491</v>
      </c>
      <c r="CB3" s="760" t="s">
        <v>519</v>
      </c>
      <c r="CC3" s="760" t="s">
        <v>369</v>
      </c>
      <c r="CD3" s="760" t="s">
        <v>629</v>
      </c>
      <c r="CE3" s="760" t="s">
        <v>801</v>
      </c>
      <c r="CF3" s="760" t="s">
        <v>833</v>
      </c>
      <c r="CG3" s="760" t="s">
        <v>367</v>
      </c>
      <c r="CH3" s="760" t="s">
        <v>629</v>
      </c>
      <c r="CI3" s="760" t="s">
        <v>804</v>
      </c>
      <c r="CJ3" s="760" t="s">
        <v>210</v>
      </c>
      <c r="CK3" s="760" t="s">
        <v>737</v>
      </c>
      <c r="CL3" s="760" t="s">
        <v>629</v>
      </c>
      <c r="CM3" s="760" t="s">
        <v>807</v>
      </c>
      <c r="CN3" s="760" t="s">
        <v>629</v>
      </c>
      <c r="CO3" s="760" t="s">
        <v>370</v>
      </c>
      <c r="CP3" s="760" t="s">
        <v>629</v>
      </c>
      <c r="CQ3" s="760" t="s">
        <v>196</v>
      </c>
      <c r="CR3" s="760" t="s">
        <v>208</v>
      </c>
      <c r="CS3" s="760" t="s">
        <v>846</v>
      </c>
      <c r="CT3" s="760" t="s">
        <v>852</v>
      </c>
      <c r="CU3" s="760" t="s">
        <v>856</v>
      </c>
      <c r="CV3" s="760" t="s">
        <v>238</v>
      </c>
      <c r="CW3" s="760" t="s">
        <v>543</v>
      </c>
      <c r="CX3" s="760" t="s">
        <v>558</v>
      </c>
      <c r="CY3" s="760" t="s">
        <v>866</v>
      </c>
      <c r="CZ3" s="760" t="s">
        <v>242</v>
      </c>
      <c r="DA3" s="760" t="s">
        <v>481</v>
      </c>
      <c r="DB3" s="760" t="s">
        <v>629</v>
      </c>
      <c r="DC3" s="760" t="s">
        <v>350</v>
      </c>
      <c r="DD3" s="760" t="s">
        <v>410</v>
      </c>
      <c r="DE3" s="760" t="s">
        <v>199</v>
      </c>
      <c r="DF3" s="760" t="s">
        <v>212</v>
      </c>
      <c r="DG3" s="760" t="s">
        <v>797</v>
      </c>
      <c r="DH3" s="760" t="s">
        <v>205</v>
      </c>
      <c r="DI3" s="760" t="s">
        <v>770</v>
      </c>
      <c r="DJ3" s="760" t="s">
        <v>629</v>
      </c>
      <c r="DK3" s="760" t="s">
        <v>776</v>
      </c>
      <c r="DL3" s="760" t="s">
        <v>174</v>
      </c>
      <c r="DM3" s="760" t="s">
        <v>733</v>
      </c>
      <c r="DN3" s="760" t="s">
        <v>629</v>
      </c>
      <c r="DO3" s="760" t="s">
        <v>715</v>
      </c>
      <c r="DP3" s="760" t="s">
        <v>136</v>
      </c>
      <c r="DQ3" s="760" t="s">
        <v>348</v>
      </c>
      <c r="DR3" s="760" t="s">
        <v>408</v>
      </c>
      <c r="DS3" s="760" t="s">
        <v>335</v>
      </c>
      <c r="DT3" s="760" t="s">
        <v>629</v>
      </c>
      <c r="DU3" s="760" t="s">
        <v>850</v>
      </c>
      <c r="DV3" s="760" t="s">
        <v>230</v>
      </c>
      <c r="DW3" s="760" t="s">
        <v>323</v>
      </c>
      <c r="DX3" s="760" t="s">
        <v>336</v>
      </c>
      <c r="DY3" s="760" t="s">
        <v>485</v>
      </c>
      <c r="DZ3" s="760" t="s">
        <v>514</v>
      </c>
      <c r="EA3" s="760" t="s">
        <v>809</v>
      </c>
      <c r="EB3" s="760" t="s">
        <v>836</v>
      </c>
      <c r="EC3" s="760" t="s">
        <v>729</v>
      </c>
      <c r="ED3" s="760" t="s">
        <v>607</v>
      </c>
      <c r="EE3" s="760" t="s">
        <v>771</v>
      </c>
      <c r="EF3" s="760" t="s">
        <v>629</v>
      </c>
      <c r="EG3" s="760" t="s">
        <v>767</v>
      </c>
      <c r="EH3" s="760" t="s">
        <v>773</v>
      </c>
      <c r="EI3" s="760" t="s">
        <v>751</v>
      </c>
      <c r="EJ3" s="760" t="s">
        <v>629</v>
      </c>
      <c r="EK3" s="760" t="s">
        <v>744</v>
      </c>
      <c r="EL3" s="760" t="s">
        <v>167</v>
      </c>
      <c r="EM3" s="760" t="s">
        <v>437</v>
      </c>
      <c r="EN3" s="760" t="s">
        <v>447</v>
      </c>
      <c r="EO3" s="760" t="s">
        <v>445</v>
      </c>
      <c r="EP3" s="760" t="s">
        <v>453</v>
      </c>
      <c r="EQ3" s="760" t="s">
        <v>750</v>
      </c>
      <c r="ER3" s="760" t="s">
        <v>163</v>
      </c>
      <c r="ES3" s="760" t="s">
        <v>869</v>
      </c>
      <c r="ET3" s="760" t="s">
        <v>877</v>
      </c>
      <c r="EU3" s="760" t="s">
        <v>716</v>
      </c>
      <c r="EV3" s="760" t="s">
        <v>629</v>
      </c>
      <c r="EW3" s="760" t="s">
        <v>718</v>
      </c>
      <c r="EX3" s="760" t="s">
        <v>144</v>
      </c>
      <c r="EY3" s="760" t="s">
        <v>503</v>
      </c>
      <c r="EZ3" s="760" t="s">
        <v>629</v>
      </c>
      <c r="FA3" s="760" t="s">
        <v>442</v>
      </c>
      <c r="FB3" s="760" t="s">
        <v>450</v>
      </c>
      <c r="FC3" s="760" t="s">
        <v>426</v>
      </c>
      <c r="FD3" s="760" t="s">
        <v>432</v>
      </c>
      <c r="FE3" s="760" t="s">
        <v>197</v>
      </c>
      <c r="FF3" s="760" t="s">
        <v>209</v>
      </c>
      <c r="FG3" s="760" t="s">
        <v>487</v>
      </c>
      <c r="FH3" s="760" t="s">
        <v>516</v>
      </c>
      <c r="FI3" s="760" t="s">
        <v>505</v>
      </c>
      <c r="FJ3" s="760" t="s">
        <v>629</v>
      </c>
      <c r="FK3" s="760" t="s">
        <v>847</v>
      </c>
      <c r="FL3" s="760" t="s">
        <v>853</v>
      </c>
      <c r="FM3" s="760" t="s">
        <v>854</v>
      </c>
      <c r="FN3" s="760" t="s">
        <v>179</v>
      </c>
      <c r="FO3" s="760" t="s">
        <v>258</v>
      </c>
      <c r="FP3" s="760" t="s">
        <v>629</v>
      </c>
      <c r="FQ3" s="760" t="s">
        <v>256</v>
      </c>
      <c r="FR3" s="760" t="s">
        <v>607</v>
      </c>
      <c r="FS3" s="760" t="s">
        <v>530</v>
      </c>
      <c r="FT3" s="760" t="s">
        <v>549</v>
      </c>
      <c r="FU3" s="760" t="s">
        <v>462</v>
      </c>
      <c r="FV3" s="760" t="s">
        <v>469</v>
      </c>
      <c r="FW3" s="760" t="s">
        <v>368</v>
      </c>
      <c r="FX3" s="760" t="s">
        <v>629</v>
      </c>
      <c r="FY3" s="760" t="s">
        <v>745</v>
      </c>
      <c r="FZ3" s="760" t="s">
        <v>170</v>
      </c>
      <c r="GA3" s="760" t="s">
        <v>714</v>
      </c>
      <c r="GB3" s="760" t="s">
        <v>629</v>
      </c>
      <c r="GC3" s="760" t="s">
        <v>757</v>
      </c>
      <c r="GD3" s="760" t="s">
        <v>766</v>
      </c>
      <c r="GE3" s="760" t="s">
        <v>779</v>
      </c>
      <c r="GF3" s="760" t="s">
        <v>794</v>
      </c>
      <c r="GG3" s="760" t="s">
        <v>346</v>
      </c>
      <c r="GH3" s="760" t="s">
        <v>406</v>
      </c>
      <c r="GI3" s="760" t="s">
        <v>541</v>
      </c>
      <c r="GJ3" s="760" t="s">
        <v>556</v>
      </c>
      <c r="GK3" s="760" t="s">
        <v>799</v>
      </c>
      <c r="GL3" s="760" t="s">
        <v>831</v>
      </c>
      <c r="GM3" s="760" t="s">
        <v>720</v>
      </c>
      <c r="GN3" s="760" t="s">
        <v>629</v>
      </c>
      <c r="GO3" s="760" t="s">
        <v>768</v>
      </c>
      <c r="GP3" s="760" t="s">
        <v>629</v>
      </c>
      <c r="GQ3" s="760" t="s">
        <v>455</v>
      </c>
      <c r="GR3" s="760" t="s">
        <v>463</v>
      </c>
      <c r="GS3" s="760" t="s">
        <v>224</v>
      </c>
      <c r="GT3" s="760" t="s">
        <v>227</v>
      </c>
      <c r="GU3" s="760" t="s">
        <v>128</v>
      </c>
      <c r="GV3" s="760" t="s">
        <v>629</v>
      </c>
      <c r="GW3" s="760" t="s">
        <v>760</v>
      </c>
      <c r="GX3" s="760" t="s">
        <v>154</v>
      </c>
      <c r="GY3" s="760" t="s">
        <v>198</v>
      </c>
      <c r="GZ3" s="760" t="s">
        <v>629</v>
      </c>
      <c r="HA3" s="760" t="s">
        <v>824</v>
      </c>
      <c r="HB3" s="760" t="s">
        <v>216</v>
      </c>
      <c r="HC3" s="760" t="s">
        <v>496</v>
      </c>
      <c r="HD3" s="760" t="s">
        <v>629</v>
      </c>
      <c r="HE3" s="760" t="s">
        <v>232</v>
      </c>
      <c r="HF3" s="760" t="s">
        <v>179</v>
      </c>
      <c r="HG3" s="760" t="s">
        <v>820</v>
      </c>
      <c r="HH3" s="760" t="s">
        <v>214</v>
      </c>
      <c r="HI3" s="760" t="s">
        <v>860</v>
      </c>
      <c r="HJ3" s="760" t="s">
        <v>235</v>
      </c>
      <c r="HK3" s="760" t="s">
        <v>730</v>
      </c>
      <c r="HL3" s="760" t="s">
        <v>629</v>
      </c>
      <c r="HM3" s="760" t="s">
        <v>700</v>
      </c>
      <c r="HN3" s="760" t="s">
        <v>629</v>
      </c>
      <c r="HO3" s="760" t="s">
        <v>484</v>
      </c>
      <c r="HP3" s="760" t="s">
        <v>513</v>
      </c>
      <c r="HQ3" s="760" t="s">
        <v>332</v>
      </c>
      <c r="HR3" s="760" t="s">
        <v>339</v>
      </c>
      <c r="HS3" s="760" t="s">
        <v>173</v>
      </c>
      <c r="HT3" s="760" t="s">
        <v>181</v>
      </c>
      <c r="HU3" s="760" t="s">
        <v>871</v>
      </c>
      <c r="HV3" s="760" t="s">
        <v>878</v>
      </c>
      <c r="HW3" s="760" t="s">
        <v>533</v>
      </c>
      <c r="HX3" s="760" t="s">
        <v>629</v>
      </c>
      <c r="HY3" s="760" t="s">
        <v>502</v>
      </c>
      <c r="HZ3" s="760" t="s">
        <v>629</v>
      </c>
      <c r="IA3" s="760" t="s">
        <v>864</v>
      </c>
      <c r="IB3" s="760" t="s">
        <v>239</v>
      </c>
      <c r="IC3" s="760" t="s">
        <v>532</v>
      </c>
      <c r="ID3" s="760" t="s">
        <v>551</v>
      </c>
      <c r="IE3" s="760" t="s">
        <v>823</v>
      </c>
      <c r="IF3" s="760" t="s">
        <v>839</v>
      </c>
      <c r="IG3" s="760" t="s">
        <v>874</v>
      </c>
      <c r="IH3" s="760" t="s">
        <v>248</v>
      </c>
      <c r="II3" s="760" t="s">
        <v>819</v>
      </c>
      <c r="IJ3" s="760" t="s">
        <v>838</v>
      </c>
      <c r="IK3" s="760" t="s">
        <v>233</v>
      </c>
      <c r="IL3" s="760" t="s">
        <v>237</v>
      </c>
      <c r="IM3" s="760" t="s">
        <v>444</v>
      </c>
      <c r="IN3" s="760" t="s">
        <v>452</v>
      </c>
      <c r="IO3" s="760" t="s">
        <v>535</v>
      </c>
      <c r="IP3" s="760" t="s">
        <v>629</v>
      </c>
      <c r="IQ3" s="760" t="s">
        <v>200</v>
      </c>
      <c r="IR3" s="760" t="s">
        <v>213</v>
      </c>
      <c r="IS3" s="760" t="s">
        <v>333</v>
      </c>
      <c r="IT3" s="760" t="s">
        <v>339</v>
      </c>
      <c r="IU3" s="760" t="s">
        <v>473</v>
      </c>
      <c r="IV3" s="760" t="s">
        <v>508</v>
      </c>
    </row>
    <row r="4" spans="1:256" s="760" customFormat="1">
      <c r="A4" s="760" t="s">
        <v>399</v>
      </c>
      <c r="B4" s="760" t="s">
        <v>167</v>
      </c>
      <c r="C4" s="760" t="s">
        <v>817</v>
      </c>
      <c r="D4" s="760" t="s">
        <v>629</v>
      </c>
      <c r="E4" s="760" t="s">
        <v>865</v>
      </c>
      <c r="F4" s="760" t="s">
        <v>179</v>
      </c>
      <c r="G4" s="760" t="s">
        <v>504</v>
      </c>
      <c r="H4" s="760" t="s">
        <v>629</v>
      </c>
      <c r="I4" s="760" t="s">
        <v>148</v>
      </c>
      <c r="J4" s="760" t="s">
        <v>629</v>
      </c>
      <c r="K4" s="760" t="s">
        <v>703</v>
      </c>
      <c r="L4" s="760" t="s">
        <v>629</v>
      </c>
      <c r="M4" s="760" t="s">
        <v>472</v>
      </c>
      <c r="N4" s="760" t="s">
        <v>629</v>
      </c>
      <c r="O4" s="760" t="s">
        <v>398</v>
      </c>
      <c r="P4" s="760" t="s">
        <v>418</v>
      </c>
      <c r="Q4" s="760" t="s">
        <v>567</v>
      </c>
      <c r="R4" s="760" t="s">
        <v>629</v>
      </c>
      <c r="S4" s="760" t="s">
        <v>710</v>
      </c>
      <c r="T4" s="760" t="s">
        <v>629</v>
      </c>
      <c r="U4" s="760" t="s">
        <v>753</v>
      </c>
      <c r="V4" s="760" t="s">
        <v>169</v>
      </c>
      <c r="W4" s="760" t="s">
        <v>818</v>
      </c>
      <c r="X4" s="760" t="s">
        <v>837</v>
      </c>
      <c r="Y4" s="760" t="s">
        <v>494</v>
      </c>
      <c r="Z4" s="760" t="s">
        <v>629</v>
      </c>
      <c r="AA4" s="760" t="s">
        <v>499</v>
      </c>
      <c r="AB4" s="760" t="s">
        <v>629</v>
      </c>
      <c r="AC4" s="760" t="s">
        <v>382</v>
      </c>
      <c r="AD4" s="760" t="s">
        <v>414</v>
      </c>
      <c r="AE4" s="760" t="s">
        <v>782</v>
      </c>
      <c r="AF4" s="760" t="s">
        <v>175</v>
      </c>
      <c r="AG4" s="760" t="s">
        <v>401</v>
      </c>
      <c r="AH4" s="760" t="s">
        <v>420</v>
      </c>
      <c r="AI4" s="760" t="s">
        <v>456</v>
      </c>
      <c r="AJ4" s="760" t="s">
        <v>464</v>
      </c>
      <c r="AK4" s="760" t="s">
        <v>775</v>
      </c>
      <c r="AL4" s="760" t="s">
        <v>219</v>
      </c>
      <c r="AM4" s="760" t="s">
        <v>542</v>
      </c>
      <c r="AN4" s="760" t="s">
        <v>557</v>
      </c>
      <c r="AO4" s="760" t="s">
        <v>707</v>
      </c>
      <c r="AP4" s="760" t="s">
        <v>741</v>
      </c>
      <c r="AQ4" s="760" t="s">
        <v>777</v>
      </c>
      <c r="AR4" s="760" t="s">
        <v>629</v>
      </c>
      <c r="AS4" s="760" t="s">
        <v>747</v>
      </c>
      <c r="AT4" s="760" t="s">
        <v>764</v>
      </c>
      <c r="AU4" s="760" t="s">
        <v>858</v>
      </c>
      <c r="AV4" s="760" t="s">
        <v>179</v>
      </c>
      <c r="AW4" s="760" t="s">
        <v>495</v>
      </c>
      <c r="AX4" s="760" t="s">
        <v>629</v>
      </c>
      <c r="AY4" s="760" t="s">
        <v>150</v>
      </c>
      <c r="AZ4" s="760" t="s">
        <v>156</v>
      </c>
      <c r="BA4" s="760" t="s">
        <v>246</v>
      </c>
      <c r="BB4" s="760" t="s">
        <v>260</v>
      </c>
      <c r="BC4" s="760" t="s">
        <v>126</v>
      </c>
      <c r="BD4" s="760" t="s">
        <v>146</v>
      </c>
      <c r="BE4" s="760" t="s">
        <v>706</v>
      </c>
      <c r="BF4" s="760" t="s">
        <v>143</v>
      </c>
      <c r="BG4" s="760" t="s">
        <v>735</v>
      </c>
      <c r="BH4" s="760" t="s">
        <v>629</v>
      </c>
      <c r="BI4" s="760" t="s">
        <v>563</v>
      </c>
      <c r="BJ4" s="760" t="s">
        <v>629</v>
      </c>
      <c r="BK4" s="760" t="s">
        <v>386</v>
      </c>
      <c r="BL4" s="760" t="s">
        <v>416</v>
      </c>
      <c r="BM4" s="760" t="s">
        <v>203</v>
      </c>
      <c r="BN4" s="760" t="s">
        <v>220</v>
      </c>
      <c r="BO4" s="760" t="s">
        <v>763</v>
      </c>
      <c r="BP4" s="760" t="s">
        <v>162</v>
      </c>
      <c r="BQ4" s="760" t="s">
        <v>490</v>
      </c>
      <c r="BR4" s="760" t="s">
        <v>518</v>
      </c>
      <c r="BS4" s="760" t="s">
        <v>778</v>
      </c>
      <c r="BT4" s="760" t="s">
        <v>629</v>
      </c>
      <c r="BU4" s="760" t="s">
        <v>440</v>
      </c>
      <c r="BV4" s="760" t="s">
        <v>336</v>
      </c>
      <c r="BW4" s="760" t="s">
        <v>732</v>
      </c>
      <c r="BX4" s="760" t="s">
        <v>629</v>
      </c>
      <c r="BY4" s="760" t="s">
        <v>692</v>
      </c>
      <c r="BZ4" s="760" t="s">
        <v>629</v>
      </c>
      <c r="CA4" s="760" t="s">
        <v>124</v>
      </c>
      <c r="CB4" s="760" t="s">
        <v>629</v>
      </c>
      <c r="CC4" s="760" t="s">
        <v>808</v>
      </c>
      <c r="CD4" s="760" t="s">
        <v>835</v>
      </c>
      <c r="CE4" s="760" t="s">
        <v>400</v>
      </c>
      <c r="CF4" s="760" t="s">
        <v>419</v>
      </c>
      <c r="CG4" s="760" t="s">
        <v>500</v>
      </c>
      <c r="CH4" s="760" t="s">
        <v>629</v>
      </c>
      <c r="CI4" s="760" t="s">
        <v>717</v>
      </c>
      <c r="CJ4" s="760" t="s">
        <v>147</v>
      </c>
      <c r="CK4" s="760" t="s">
        <v>120</v>
      </c>
      <c r="CL4" s="760" t="s">
        <v>138</v>
      </c>
      <c r="CM4" s="760" t="s">
        <v>381</v>
      </c>
      <c r="CN4" s="760" t="s">
        <v>629</v>
      </c>
      <c r="CO4" s="760" t="s">
        <v>477</v>
      </c>
      <c r="CP4" s="760" t="s">
        <v>512</v>
      </c>
      <c r="CQ4" s="760" t="s">
        <v>331</v>
      </c>
      <c r="CR4" s="760" t="s">
        <v>342</v>
      </c>
    </row>
  </sheetData>
  <phoneticPr fontId="38"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B1"/>
  <sheetViews>
    <sheetView workbookViewId="0"/>
  </sheetViews>
  <sheetFormatPr defaultRowHeight="11.25"/>
  <sheetData>
    <row r="1" spans="1:2">
      <c r="B1" t="s">
        <v>29</v>
      </c>
    </row>
  </sheetData>
  <phoneticPr fontId="38" type="noConversion"/>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78"/>
  <sheetViews>
    <sheetView showGridLines="0" tabSelected="1" workbookViewId="0">
      <selection activeCell="Z1" sqref="Z1"/>
    </sheetView>
  </sheetViews>
  <sheetFormatPr defaultRowHeight="12.75"/>
  <cols>
    <col min="1" max="1" width="25.83203125" style="2296" customWidth="1"/>
    <col min="2" max="5" width="9.33203125" style="2296"/>
    <col min="6" max="6" width="18.83203125" style="2296" customWidth="1"/>
    <col min="7" max="256" width="9.33203125" style="2296"/>
    <col min="257" max="257" width="117.5" style="2296" customWidth="1"/>
    <col min="258" max="512" width="9.33203125" style="2296"/>
    <col min="513" max="513" width="117.5" style="2296" customWidth="1"/>
    <col min="514" max="768" width="9.33203125" style="2296"/>
    <col min="769" max="769" width="117.5" style="2296" customWidth="1"/>
    <col min="770" max="1024" width="9.33203125" style="2296"/>
    <col min="1025" max="1025" width="117.5" style="2296" customWidth="1"/>
    <col min="1026" max="1280" width="9.33203125" style="2296"/>
    <col min="1281" max="1281" width="117.5" style="2296" customWidth="1"/>
    <col min="1282" max="1536" width="9.33203125" style="2296"/>
    <col min="1537" max="1537" width="117.5" style="2296" customWidth="1"/>
    <col min="1538" max="1792" width="9.33203125" style="2296"/>
    <col min="1793" max="1793" width="117.5" style="2296" customWidth="1"/>
    <col min="1794" max="2048" width="9.33203125" style="2296"/>
    <col min="2049" max="2049" width="117.5" style="2296" customWidth="1"/>
    <col min="2050" max="2304" width="9.33203125" style="2296"/>
    <col min="2305" max="2305" width="117.5" style="2296" customWidth="1"/>
    <col min="2306" max="2560" width="9.33203125" style="2296"/>
    <col min="2561" max="2561" width="117.5" style="2296" customWidth="1"/>
    <col min="2562" max="2816" width="9.33203125" style="2296"/>
    <col min="2817" max="2817" width="117.5" style="2296" customWidth="1"/>
    <col min="2818" max="3072" width="9.33203125" style="2296"/>
    <col min="3073" max="3073" width="117.5" style="2296" customWidth="1"/>
    <col min="3074" max="3328" width="9.33203125" style="2296"/>
    <col min="3329" max="3329" width="117.5" style="2296" customWidth="1"/>
    <col min="3330" max="3584" width="9.33203125" style="2296"/>
    <col min="3585" max="3585" width="117.5" style="2296" customWidth="1"/>
    <col min="3586" max="3840" width="9.33203125" style="2296"/>
    <col min="3841" max="3841" width="117.5" style="2296" customWidth="1"/>
    <col min="3842" max="4096" width="9.33203125" style="2296"/>
    <col min="4097" max="4097" width="117.5" style="2296" customWidth="1"/>
    <col min="4098" max="4352" width="9.33203125" style="2296"/>
    <col min="4353" max="4353" width="117.5" style="2296" customWidth="1"/>
    <col min="4354" max="4608" width="9.33203125" style="2296"/>
    <col min="4609" max="4609" width="117.5" style="2296" customWidth="1"/>
    <col min="4610" max="4864" width="9.33203125" style="2296"/>
    <col min="4865" max="4865" width="117.5" style="2296" customWidth="1"/>
    <col min="4866" max="5120" width="9.33203125" style="2296"/>
    <col min="5121" max="5121" width="117.5" style="2296" customWidth="1"/>
    <col min="5122" max="5376" width="9.33203125" style="2296"/>
    <col min="5377" max="5377" width="117.5" style="2296" customWidth="1"/>
    <col min="5378" max="5632" width="9.33203125" style="2296"/>
    <col min="5633" max="5633" width="117.5" style="2296" customWidth="1"/>
    <col min="5634" max="5888" width="9.33203125" style="2296"/>
    <col min="5889" max="5889" width="117.5" style="2296" customWidth="1"/>
    <col min="5890" max="6144" width="9.33203125" style="2296"/>
    <col min="6145" max="6145" width="117.5" style="2296" customWidth="1"/>
    <col min="6146" max="6400" width="9.33203125" style="2296"/>
    <col min="6401" max="6401" width="117.5" style="2296" customWidth="1"/>
    <col min="6402" max="6656" width="9.33203125" style="2296"/>
    <col min="6657" max="6657" width="117.5" style="2296" customWidth="1"/>
    <col min="6658" max="6912" width="9.33203125" style="2296"/>
    <col min="6913" max="6913" width="117.5" style="2296" customWidth="1"/>
    <col min="6914" max="7168" width="9.33203125" style="2296"/>
    <col min="7169" max="7169" width="117.5" style="2296" customWidth="1"/>
    <col min="7170" max="7424" width="9.33203125" style="2296"/>
    <col min="7425" max="7425" width="117.5" style="2296" customWidth="1"/>
    <col min="7426" max="7680" width="9.33203125" style="2296"/>
    <col min="7681" max="7681" width="117.5" style="2296" customWidth="1"/>
    <col min="7682" max="7936" width="9.33203125" style="2296"/>
    <col min="7937" max="7937" width="117.5" style="2296" customWidth="1"/>
    <col min="7938" max="8192" width="9.33203125" style="2296"/>
    <col min="8193" max="8193" width="117.5" style="2296" customWidth="1"/>
    <col min="8194" max="8448" width="9.33203125" style="2296"/>
    <col min="8449" max="8449" width="117.5" style="2296" customWidth="1"/>
    <col min="8450" max="8704" width="9.33203125" style="2296"/>
    <col min="8705" max="8705" width="117.5" style="2296" customWidth="1"/>
    <col min="8706" max="8960" width="9.33203125" style="2296"/>
    <col min="8961" max="8961" width="117.5" style="2296" customWidth="1"/>
    <col min="8962" max="9216" width="9.33203125" style="2296"/>
    <col min="9217" max="9217" width="117.5" style="2296" customWidth="1"/>
    <col min="9218" max="9472" width="9.33203125" style="2296"/>
    <col min="9473" max="9473" width="117.5" style="2296" customWidth="1"/>
    <col min="9474" max="9728" width="9.33203125" style="2296"/>
    <col min="9729" max="9729" width="117.5" style="2296" customWidth="1"/>
    <col min="9730" max="9984" width="9.33203125" style="2296"/>
    <col min="9985" max="9985" width="117.5" style="2296" customWidth="1"/>
    <col min="9986" max="10240" width="9.33203125" style="2296"/>
    <col min="10241" max="10241" width="117.5" style="2296" customWidth="1"/>
    <col min="10242" max="10496" width="9.33203125" style="2296"/>
    <col min="10497" max="10497" width="117.5" style="2296" customWidth="1"/>
    <col min="10498" max="10752" width="9.33203125" style="2296"/>
    <col min="10753" max="10753" width="117.5" style="2296" customWidth="1"/>
    <col min="10754" max="11008" width="9.33203125" style="2296"/>
    <col min="11009" max="11009" width="117.5" style="2296" customWidth="1"/>
    <col min="11010" max="11264" width="9.33203125" style="2296"/>
    <col min="11265" max="11265" width="117.5" style="2296" customWidth="1"/>
    <col min="11266" max="11520" width="9.33203125" style="2296"/>
    <col min="11521" max="11521" width="117.5" style="2296" customWidth="1"/>
    <col min="11522" max="11776" width="9.33203125" style="2296"/>
    <col min="11777" max="11777" width="117.5" style="2296" customWidth="1"/>
    <col min="11778" max="12032" width="9.33203125" style="2296"/>
    <col min="12033" max="12033" width="117.5" style="2296" customWidth="1"/>
    <col min="12034" max="12288" width="9.33203125" style="2296"/>
    <col min="12289" max="12289" width="117.5" style="2296" customWidth="1"/>
    <col min="12290" max="12544" width="9.33203125" style="2296"/>
    <col min="12545" max="12545" width="117.5" style="2296" customWidth="1"/>
    <col min="12546" max="12800" width="9.33203125" style="2296"/>
    <col min="12801" max="12801" width="117.5" style="2296" customWidth="1"/>
    <col min="12802" max="13056" width="9.33203125" style="2296"/>
    <col min="13057" max="13057" width="117.5" style="2296" customWidth="1"/>
    <col min="13058" max="13312" width="9.33203125" style="2296"/>
    <col min="13313" max="13313" width="117.5" style="2296" customWidth="1"/>
    <col min="13314" max="13568" width="9.33203125" style="2296"/>
    <col min="13569" max="13569" width="117.5" style="2296" customWidth="1"/>
    <col min="13570" max="13824" width="9.33203125" style="2296"/>
    <col min="13825" max="13825" width="117.5" style="2296" customWidth="1"/>
    <col min="13826" max="14080" width="9.33203125" style="2296"/>
    <col min="14081" max="14081" width="117.5" style="2296" customWidth="1"/>
    <col min="14082" max="14336" width="9.33203125" style="2296"/>
    <col min="14337" max="14337" width="117.5" style="2296" customWidth="1"/>
    <col min="14338" max="14592" width="9.33203125" style="2296"/>
    <col min="14593" max="14593" width="117.5" style="2296" customWidth="1"/>
    <col min="14594" max="14848" width="9.33203125" style="2296"/>
    <col min="14849" max="14849" width="117.5" style="2296" customWidth="1"/>
    <col min="14850" max="15104" width="9.33203125" style="2296"/>
    <col min="15105" max="15105" width="117.5" style="2296" customWidth="1"/>
    <col min="15106" max="15360" width="9.33203125" style="2296"/>
    <col min="15361" max="15361" width="117.5" style="2296" customWidth="1"/>
    <col min="15362" max="15616" width="9.33203125" style="2296"/>
    <col min="15617" max="15617" width="117.5" style="2296" customWidth="1"/>
    <col min="15618" max="15872" width="9.33203125" style="2296"/>
    <col min="15873" max="15873" width="117.5" style="2296" customWidth="1"/>
    <col min="15874" max="16128" width="9.33203125" style="2296"/>
    <col min="16129" max="16129" width="117.5" style="2296" customWidth="1"/>
    <col min="16130" max="16384" width="9.33203125" style="2296"/>
  </cols>
  <sheetData>
    <row r="1" spans="1:8" ht="30" customHeight="1">
      <c r="A1" s="2294"/>
      <c r="B1" s="2295"/>
      <c r="C1" s="2295"/>
      <c r="D1" s="2295"/>
      <c r="E1" s="2295"/>
      <c r="F1" s="2295"/>
      <c r="G1" s="2295"/>
      <c r="H1" s="2295"/>
    </row>
    <row r="2" spans="1:8" ht="14.25">
      <c r="A2" s="2297" t="s">
        <v>994</v>
      </c>
      <c r="B2" s="2295"/>
      <c r="C2" s="2295"/>
      <c r="D2" s="2295"/>
      <c r="E2" s="2295"/>
      <c r="F2" s="2295"/>
      <c r="G2" s="2295"/>
      <c r="H2" s="2295"/>
    </row>
    <row r="3" spans="1:8" ht="14.25">
      <c r="A3" s="2297" t="s">
        <v>995</v>
      </c>
      <c r="B3" s="2295"/>
      <c r="C3" s="2295"/>
      <c r="D3" s="2295"/>
      <c r="E3" s="2295"/>
      <c r="F3" s="2295"/>
      <c r="G3" s="2295"/>
      <c r="H3" s="2295"/>
    </row>
    <row r="4" spans="1:8" ht="14.25">
      <c r="A4" s="2297" t="s">
        <v>936</v>
      </c>
      <c r="B4" s="2295"/>
      <c r="C4" s="2295"/>
      <c r="D4" s="2295"/>
      <c r="E4" s="2295"/>
      <c r="F4" s="2295"/>
      <c r="G4" s="2295"/>
      <c r="H4" s="2295"/>
    </row>
    <row r="5" spans="1:8" ht="14.25">
      <c r="A5" s="2297" t="s">
        <v>996</v>
      </c>
      <c r="B5" s="2295"/>
      <c r="C5" s="2295"/>
      <c r="D5" s="2295"/>
      <c r="E5" s="2295"/>
      <c r="F5" s="2295"/>
      <c r="G5" s="2295"/>
      <c r="H5" s="2295"/>
    </row>
    <row r="6" spans="1:8" ht="14.25">
      <c r="A6" s="2297"/>
      <c r="B6" s="2295"/>
      <c r="C6" s="2295"/>
      <c r="D6" s="2295"/>
      <c r="E6" s="2295"/>
      <c r="F6" s="2295"/>
      <c r="G6" s="2295"/>
      <c r="H6" s="2295"/>
    </row>
    <row r="7" spans="1:8">
      <c r="A7" s="2294" t="s">
        <v>997</v>
      </c>
      <c r="B7" s="2295"/>
      <c r="C7" s="2295"/>
      <c r="D7" s="2295"/>
      <c r="E7" s="2295"/>
      <c r="F7" s="2295"/>
      <c r="G7" s="2295"/>
      <c r="H7" s="2295"/>
    </row>
    <row r="8" spans="1:8">
      <c r="A8" s="2294" t="s">
        <v>998</v>
      </c>
      <c r="B8" s="2295"/>
      <c r="C8" s="2295"/>
      <c r="D8" s="2295"/>
      <c r="E8" s="2295"/>
      <c r="F8" s="2295"/>
      <c r="G8" s="2295"/>
      <c r="H8" s="2295"/>
    </row>
    <row r="9" spans="1:8">
      <c r="A9" s="2294"/>
      <c r="B9" s="2295"/>
      <c r="C9" s="2295"/>
      <c r="D9" s="2295"/>
      <c r="E9" s="2295"/>
      <c r="F9" s="2295"/>
      <c r="G9" s="2295"/>
      <c r="H9" s="2295"/>
    </row>
    <row r="10" spans="1:8">
      <c r="A10" s="2298" t="s">
        <v>999</v>
      </c>
      <c r="B10" s="2295"/>
      <c r="C10" s="2295"/>
      <c r="D10" s="2295"/>
      <c r="E10" s="2295"/>
      <c r="F10" s="2295"/>
      <c r="G10" s="2295"/>
      <c r="H10" s="2295"/>
    </row>
    <row r="11" spans="1:8">
      <c r="A11" s="2298" t="s">
        <v>1000</v>
      </c>
      <c r="B11" s="2295"/>
      <c r="C11" s="2295"/>
      <c r="D11" s="2295"/>
      <c r="E11" s="2295"/>
      <c r="F11" s="2295"/>
      <c r="G11" s="2295"/>
      <c r="H11" s="2295"/>
    </row>
    <row r="12" spans="1:8">
      <c r="A12" s="2298" t="s">
        <v>1001</v>
      </c>
      <c r="B12" s="2295"/>
      <c r="C12" s="2295"/>
      <c r="D12" s="2295"/>
      <c r="E12" s="2295"/>
      <c r="F12" s="2295"/>
      <c r="G12" s="2295"/>
      <c r="H12" s="2295"/>
    </row>
    <row r="13" spans="1:8">
      <c r="A13" s="2298" t="s">
        <v>1002</v>
      </c>
      <c r="B13" s="2295"/>
      <c r="C13" s="2295"/>
      <c r="D13" s="2295"/>
      <c r="E13" s="2295"/>
      <c r="F13" s="2295"/>
      <c r="G13" s="2295"/>
      <c r="H13" s="2295"/>
    </row>
    <row r="14" spans="1:8">
      <c r="A14" s="2298" t="s">
        <v>1003</v>
      </c>
      <c r="B14" s="2295"/>
      <c r="C14" s="2295"/>
      <c r="D14" s="2295"/>
      <c r="E14" s="2295"/>
      <c r="F14" s="2295"/>
      <c r="G14" s="2295"/>
      <c r="H14" s="2295"/>
    </row>
    <row r="15" spans="1:8">
      <c r="A15" s="2298" t="s">
        <v>1004</v>
      </c>
      <c r="B15" s="2295"/>
      <c r="C15" s="2295"/>
      <c r="D15" s="2295"/>
      <c r="E15" s="2295"/>
      <c r="F15" s="2295"/>
      <c r="G15" s="2295"/>
      <c r="H15" s="2295"/>
    </row>
    <row r="16" spans="1:8">
      <c r="A16" s="2298"/>
      <c r="B16" s="2295"/>
      <c r="C16" s="2295"/>
      <c r="D16" s="2295"/>
      <c r="E16" s="2295"/>
      <c r="F16" s="2295"/>
      <c r="G16" s="2295"/>
      <c r="H16" s="2295"/>
    </row>
    <row r="17" spans="1:8">
      <c r="A17" s="2298" t="s">
        <v>991</v>
      </c>
      <c r="B17" s="2295"/>
      <c r="C17" s="2295"/>
      <c r="D17" s="2295"/>
      <c r="E17" s="2295"/>
      <c r="F17" s="2295"/>
      <c r="G17" s="2295"/>
      <c r="H17" s="2295"/>
    </row>
    <row r="18" spans="1:8">
      <c r="A18" s="2298"/>
      <c r="B18" s="2295"/>
      <c r="C18" s="2295"/>
      <c r="D18" s="2295"/>
      <c r="E18" s="2295"/>
      <c r="F18" s="2295"/>
      <c r="G18" s="2295"/>
      <c r="H18" s="2295"/>
    </row>
    <row r="19" spans="1:8">
      <c r="A19" s="2298" t="s">
        <v>992</v>
      </c>
      <c r="B19" s="2295"/>
      <c r="C19" s="2295"/>
      <c r="D19" s="2295"/>
      <c r="E19" s="2295"/>
      <c r="F19" s="2295"/>
      <c r="G19" s="2295"/>
      <c r="H19" s="2295"/>
    </row>
    <row r="20" spans="1:8">
      <c r="A20" s="2294"/>
      <c r="B20" s="2295"/>
      <c r="C20" s="2295"/>
      <c r="D20" s="2295"/>
      <c r="E20" s="2295"/>
      <c r="F20" s="2295"/>
      <c r="G20" s="2295"/>
      <c r="H20" s="2295"/>
    </row>
    <row r="21" spans="1:8">
      <c r="A21" s="2299" t="s">
        <v>993</v>
      </c>
      <c r="B21" s="2295"/>
      <c r="C21" s="2295"/>
      <c r="D21" s="2295"/>
      <c r="E21" s="2295"/>
      <c r="F21" s="2295"/>
      <c r="G21" s="2295"/>
      <c r="H21" s="2295"/>
    </row>
    <row r="22" spans="1:8">
      <c r="A22" s="2300"/>
      <c r="B22" s="2300"/>
      <c r="C22" s="2300"/>
      <c r="D22" s="2300"/>
      <c r="E22" s="2300"/>
      <c r="F22" s="2300"/>
      <c r="G22" s="2300"/>
      <c r="H22" s="2300"/>
    </row>
    <row r="23" spans="1:8">
      <c r="A23" s="2301" t="s">
        <v>1274</v>
      </c>
      <c r="B23" s="2300"/>
      <c r="C23" s="2300"/>
      <c r="D23" s="2300"/>
      <c r="E23" s="2300"/>
      <c r="F23" s="2300"/>
      <c r="G23" s="2300"/>
      <c r="H23" s="2300"/>
    </row>
    <row r="24" spans="1:8">
      <c r="A24" s="2301" t="s">
        <v>1275</v>
      </c>
      <c r="B24" s="2300"/>
      <c r="C24" s="2300"/>
      <c r="D24" s="2300"/>
      <c r="E24" s="2300"/>
      <c r="F24" s="2300"/>
      <c r="G24" s="2300"/>
      <c r="H24" s="2300"/>
    </row>
    <row r="25" spans="1:8">
      <c r="A25" s="2301" t="s">
        <v>1276</v>
      </c>
      <c r="B25" s="2300"/>
      <c r="C25" s="2300"/>
      <c r="D25" s="2300"/>
      <c r="E25" s="2300"/>
      <c r="F25" s="2300"/>
      <c r="G25" s="2300"/>
      <c r="H25" s="2300"/>
    </row>
    <row r="26" spans="1:8">
      <c r="A26" s="2301" t="s">
        <v>1277</v>
      </c>
      <c r="B26" s="2300"/>
      <c r="C26" s="2300"/>
      <c r="D26" s="2300"/>
      <c r="E26" s="2300"/>
      <c r="F26" s="2300"/>
      <c r="G26" s="2300"/>
      <c r="H26" s="2300"/>
    </row>
    <row r="27" spans="1:8">
      <c r="A27" s="2300"/>
      <c r="B27" s="2300"/>
      <c r="C27" s="2300"/>
      <c r="D27" s="2300"/>
      <c r="E27" s="2300"/>
      <c r="F27" s="2300"/>
      <c r="G27" s="2300"/>
      <c r="H27" s="2300"/>
    </row>
    <row r="28" spans="1:8">
      <c r="A28" s="2300"/>
      <c r="B28" s="2300"/>
      <c r="C28" s="2300"/>
      <c r="D28" s="2300"/>
      <c r="E28" s="2300"/>
      <c r="F28" s="2300"/>
      <c r="G28" s="2300"/>
      <c r="H28" s="2300"/>
    </row>
    <row r="29" spans="1:8">
      <c r="A29" s="2301" t="s">
        <v>1269</v>
      </c>
      <c r="B29" s="2300"/>
      <c r="C29" s="2300"/>
      <c r="D29" s="2300"/>
      <c r="E29" s="2300"/>
      <c r="F29" s="2300"/>
      <c r="G29" s="2300"/>
      <c r="H29" s="2300"/>
    </row>
    <row r="30" spans="1:8">
      <c r="A30" s="2301" t="s">
        <v>1270</v>
      </c>
      <c r="B30" s="2300"/>
      <c r="C30" s="2300"/>
      <c r="D30" s="2300"/>
      <c r="E30" s="2300"/>
      <c r="F30" s="2300"/>
      <c r="G30" s="2300"/>
      <c r="H30" s="2300"/>
    </row>
    <row r="31" spans="1:8">
      <c r="A31" s="2301" t="s">
        <v>1271</v>
      </c>
      <c r="B31" s="2300"/>
      <c r="C31" s="2300"/>
      <c r="D31" s="2300"/>
      <c r="E31" s="2300"/>
      <c r="F31" s="2300"/>
      <c r="G31" s="2300"/>
      <c r="H31" s="2300"/>
    </row>
    <row r="32" spans="1:8">
      <c r="A32" s="2301" t="s">
        <v>1272</v>
      </c>
      <c r="B32" s="2300"/>
      <c r="C32" s="2300"/>
      <c r="D32" s="2300"/>
      <c r="E32" s="2300"/>
      <c r="F32" s="2300"/>
      <c r="G32" s="2300"/>
      <c r="H32" s="2300"/>
    </row>
    <row r="33" spans="1:8">
      <c r="A33" s="2301" t="s">
        <v>1273</v>
      </c>
      <c r="B33" s="2300"/>
      <c r="C33" s="2300"/>
      <c r="D33" s="2300"/>
      <c r="E33" s="2300"/>
      <c r="F33" s="2300"/>
      <c r="G33" s="2300"/>
      <c r="H33" s="2300"/>
    </row>
    <row r="34" spans="1:8">
      <c r="A34" s="2300"/>
      <c r="B34" s="2300"/>
      <c r="C34" s="2300"/>
      <c r="D34" s="2300"/>
      <c r="E34" s="2300"/>
      <c r="F34" s="2300"/>
      <c r="G34" s="2300"/>
      <c r="H34" s="2300"/>
    </row>
    <row r="35" spans="1:8">
      <c r="A35" s="2301" t="s">
        <v>1265</v>
      </c>
      <c r="B35" s="2300"/>
      <c r="C35" s="2300"/>
      <c r="D35" s="2300"/>
      <c r="E35" s="2300"/>
      <c r="F35" s="2300"/>
      <c r="G35" s="2300"/>
      <c r="H35" s="2300"/>
    </row>
    <row r="36" spans="1:8">
      <c r="A36" s="2301" t="s">
        <v>1266</v>
      </c>
      <c r="B36" s="2300"/>
      <c r="C36" s="2300"/>
      <c r="D36" s="2300"/>
      <c r="E36" s="2300"/>
      <c r="F36" s="2300"/>
      <c r="G36" s="2300"/>
      <c r="H36" s="2300"/>
    </row>
    <row r="37" spans="1:8">
      <c r="A37" s="2301" t="s">
        <v>1267</v>
      </c>
      <c r="B37" s="2300"/>
      <c r="C37" s="2300"/>
      <c r="D37" s="2300"/>
      <c r="E37" s="2300"/>
      <c r="F37" s="2300"/>
      <c r="G37" s="2300"/>
      <c r="H37" s="2300"/>
    </row>
    <row r="38" spans="1:8">
      <c r="A38" s="2301" t="s">
        <v>1268</v>
      </c>
      <c r="B38" s="2300"/>
      <c r="C38" s="2300"/>
      <c r="D38" s="2300"/>
      <c r="E38" s="2300"/>
      <c r="F38" s="2300"/>
      <c r="G38" s="2300"/>
      <c r="H38" s="2300"/>
    </row>
    <row r="39" spans="1:8">
      <c r="A39" s="2300"/>
      <c r="B39" s="2300"/>
      <c r="C39" s="2300"/>
      <c r="D39" s="2300"/>
      <c r="E39" s="2300"/>
      <c r="F39" s="2300"/>
      <c r="G39" s="2300"/>
      <c r="H39" s="2300"/>
    </row>
    <row r="40" spans="1:8">
      <c r="A40" s="2301" t="s">
        <v>1259</v>
      </c>
      <c r="B40" s="2300"/>
      <c r="C40" s="2300"/>
      <c r="D40" s="2300"/>
      <c r="E40" s="2300"/>
      <c r="F40" s="2300"/>
      <c r="G40" s="2300"/>
      <c r="H40" s="2300"/>
    </row>
    <row r="41" spans="1:8">
      <c r="A41" s="2301" t="s">
        <v>1260</v>
      </c>
      <c r="B41" s="2300"/>
      <c r="C41" s="2300"/>
      <c r="D41" s="2300"/>
      <c r="E41" s="2300"/>
      <c r="F41" s="2300"/>
      <c r="G41" s="2300"/>
      <c r="H41" s="2300"/>
    </row>
    <row r="42" spans="1:8">
      <c r="A42" s="2301" t="s">
        <v>1261</v>
      </c>
      <c r="B42" s="2300"/>
      <c r="C42" s="2300"/>
      <c r="D42" s="2300"/>
      <c r="E42" s="2300"/>
      <c r="F42" s="2300"/>
      <c r="G42" s="2300"/>
      <c r="H42" s="2300"/>
    </row>
    <row r="43" spans="1:8">
      <c r="A43" s="2301" t="s">
        <v>1262</v>
      </c>
      <c r="B43" s="2300"/>
      <c r="C43" s="2300"/>
      <c r="D43" s="2300"/>
      <c r="E43" s="2300"/>
      <c r="F43" s="2300"/>
      <c r="G43" s="2300"/>
      <c r="H43" s="2300"/>
    </row>
    <row r="44" spans="1:8">
      <c r="A44" s="2301" t="s">
        <v>1263</v>
      </c>
      <c r="B44" s="2300"/>
      <c r="C44" s="2300"/>
      <c r="D44" s="2300"/>
      <c r="E44" s="2300"/>
      <c r="F44" s="2300"/>
      <c r="G44" s="2300"/>
      <c r="H44" s="2300"/>
    </row>
    <row r="45" spans="1:8">
      <c r="A45" s="2301" t="s">
        <v>1264</v>
      </c>
      <c r="B45" s="2300"/>
      <c r="C45" s="2300"/>
      <c r="D45" s="2300"/>
      <c r="E45" s="2300"/>
      <c r="F45" s="2300"/>
      <c r="G45" s="2300"/>
      <c r="H45" s="2300"/>
    </row>
    <row r="46" spans="1:8">
      <c r="A46" s="2300"/>
      <c r="B46" s="2300"/>
      <c r="C46" s="2300"/>
      <c r="D46" s="2300"/>
      <c r="E46" s="2300"/>
      <c r="F46" s="2300"/>
      <c r="G46" s="2300"/>
      <c r="H46" s="2300"/>
    </row>
    <row r="47" spans="1:8" ht="15.75">
      <c r="A47" s="2302" t="s">
        <v>1005</v>
      </c>
      <c r="B47" s="2300"/>
      <c r="C47" s="2300"/>
      <c r="D47" s="2300"/>
      <c r="E47" s="2300"/>
      <c r="F47" s="2300"/>
      <c r="G47" s="2300"/>
      <c r="H47" s="2300"/>
    </row>
    <row r="48" spans="1:8">
      <c r="A48" s="2300"/>
      <c r="B48" s="2300"/>
      <c r="C48" s="2300"/>
      <c r="D48" s="2300"/>
      <c r="E48" s="2300"/>
      <c r="F48" s="2300"/>
      <c r="G48" s="2300"/>
      <c r="H48" s="2300"/>
    </row>
    <row r="49" spans="1:8">
      <c r="A49" s="2301" t="s">
        <v>1255</v>
      </c>
      <c r="B49" s="2300"/>
      <c r="C49" s="2300"/>
      <c r="D49" s="2300"/>
      <c r="E49" s="2300"/>
      <c r="F49" s="2300"/>
      <c r="G49" s="2300"/>
      <c r="H49" s="2300"/>
    </row>
    <row r="50" spans="1:8">
      <c r="A50" s="2301" t="s">
        <v>1256</v>
      </c>
      <c r="B50" s="2300"/>
      <c r="C50" s="2300"/>
      <c r="D50" s="2300"/>
      <c r="E50" s="2300"/>
      <c r="F50" s="2300"/>
      <c r="G50" s="2300"/>
      <c r="H50" s="2300"/>
    </row>
    <row r="51" spans="1:8">
      <c r="A51" s="2301" t="s">
        <v>1257</v>
      </c>
      <c r="B51" s="2300"/>
      <c r="C51" s="2300"/>
      <c r="D51" s="2300"/>
      <c r="E51" s="2300"/>
      <c r="F51" s="2300"/>
      <c r="G51" s="2300"/>
      <c r="H51" s="2300"/>
    </row>
    <row r="52" spans="1:8">
      <c r="A52" s="2301" t="s">
        <v>1258</v>
      </c>
      <c r="B52" s="2300"/>
      <c r="C52" s="2300"/>
      <c r="D52" s="2300"/>
      <c r="E52" s="2300"/>
      <c r="F52" s="2300"/>
      <c r="G52" s="2300"/>
      <c r="H52" s="2300"/>
    </row>
    <row r="53" spans="1:8">
      <c r="A53" s="2300"/>
      <c r="B53" s="2300"/>
      <c r="C53" s="2300"/>
      <c r="D53" s="2300"/>
      <c r="E53" s="2300"/>
      <c r="F53" s="2300"/>
      <c r="G53" s="2300"/>
      <c r="H53" s="2300"/>
    </row>
    <row r="54" spans="1:8">
      <c r="A54" s="2301" t="s">
        <v>1006</v>
      </c>
      <c r="B54" s="2300"/>
      <c r="C54" s="2300"/>
      <c r="D54" s="2300"/>
      <c r="E54" s="2300"/>
      <c r="F54" s="2300"/>
      <c r="G54" s="2300"/>
      <c r="H54" s="2300"/>
    </row>
    <row r="55" spans="1:8">
      <c r="A55" s="2300"/>
      <c r="B55" s="2300"/>
      <c r="C55" s="2300"/>
      <c r="D55" s="2300"/>
      <c r="E55" s="2300"/>
      <c r="F55" s="2300"/>
      <c r="G55" s="2300"/>
      <c r="H55" s="2300"/>
    </row>
    <row r="56" spans="1:8" ht="15.75">
      <c r="A56" s="2302" t="s">
        <v>1007</v>
      </c>
      <c r="B56" s="2300"/>
      <c r="C56" s="2300"/>
      <c r="D56" s="2300"/>
      <c r="E56" s="2300"/>
      <c r="F56" s="2300"/>
      <c r="G56" s="2300"/>
      <c r="H56" s="2300"/>
    </row>
    <row r="57" spans="1:8">
      <c r="A57" s="2300"/>
      <c r="B57" s="2300"/>
      <c r="C57" s="2300"/>
      <c r="D57" s="2300"/>
      <c r="E57" s="2300"/>
      <c r="F57" s="2300"/>
      <c r="G57" s="2300"/>
      <c r="H57" s="2300"/>
    </row>
    <row r="58" spans="1:8">
      <c r="A58" s="2301" t="s">
        <v>1253</v>
      </c>
      <c r="B58" s="2300"/>
      <c r="C58" s="2300"/>
      <c r="D58" s="2300"/>
      <c r="E58" s="2300"/>
      <c r="F58" s="2300"/>
      <c r="G58" s="2300"/>
      <c r="H58" s="2300"/>
    </row>
    <row r="59" spans="1:8">
      <c r="A59" s="2301" t="s">
        <v>1254</v>
      </c>
      <c r="B59" s="2300"/>
      <c r="C59" s="2300"/>
      <c r="D59" s="2300"/>
      <c r="E59" s="2300"/>
      <c r="F59" s="2300"/>
      <c r="G59" s="2300"/>
      <c r="H59" s="2300"/>
    </row>
    <row r="60" spans="1:8">
      <c r="A60" s="2300"/>
      <c r="B60" s="2300"/>
      <c r="C60" s="2300"/>
      <c r="D60" s="2300"/>
      <c r="E60" s="2300"/>
      <c r="F60" s="2300"/>
      <c r="G60" s="2300"/>
      <c r="H60" s="2300"/>
    </row>
    <row r="61" spans="1:8" ht="15.75">
      <c r="A61" s="2302" t="s">
        <v>1008</v>
      </c>
      <c r="B61" s="2300"/>
      <c r="C61" s="2300"/>
      <c r="D61" s="2300"/>
      <c r="E61" s="2300"/>
      <c r="F61" s="2300"/>
      <c r="G61" s="2300"/>
      <c r="H61" s="2300"/>
    </row>
    <row r="62" spans="1:8">
      <c r="A62" s="2300"/>
      <c r="B62" s="2300"/>
      <c r="C62" s="2300"/>
      <c r="D62" s="2300"/>
      <c r="E62" s="2300"/>
      <c r="F62" s="2300"/>
      <c r="G62" s="2300"/>
      <c r="H62" s="2300"/>
    </row>
    <row r="63" spans="1:8">
      <c r="A63" s="2301" t="s">
        <v>1009</v>
      </c>
      <c r="B63" s="2300"/>
      <c r="C63" s="2300"/>
      <c r="D63" s="2300"/>
      <c r="E63" s="2300"/>
      <c r="F63" s="2300"/>
      <c r="G63" s="2300"/>
      <c r="H63" s="2300"/>
    </row>
    <row r="64" spans="1:8">
      <c r="A64" s="2300"/>
      <c r="B64" s="2300"/>
      <c r="C64" s="2300"/>
      <c r="D64" s="2300"/>
      <c r="E64" s="2300"/>
      <c r="F64" s="2300"/>
      <c r="G64" s="2300"/>
      <c r="H64" s="2300"/>
    </row>
    <row r="65" spans="1:8">
      <c r="A65" s="2301" t="s">
        <v>1248</v>
      </c>
      <c r="B65" s="2300"/>
      <c r="C65" s="2300"/>
      <c r="D65" s="2300"/>
      <c r="E65" s="2300"/>
      <c r="F65" s="2300"/>
      <c r="G65" s="2300"/>
      <c r="H65" s="2300"/>
    </row>
    <row r="66" spans="1:8">
      <c r="A66" s="2301" t="s">
        <v>1249</v>
      </c>
      <c r="B66" s="2300"/>
      <c r="C66" s="2300"/>
      <c r="D66" s="2300"/>
      <c r="E66" s="2300"/>
      <c r="F66" s="2300"/>
      <c r="G66" s="2300"/>
      <c r="H66" s="2300"/>
    </row>
    <row r="67" spans="1:8">
      <c r="A67" s="2301" t="s">
        <v>1250</v>
      </c>
      <c r="B67" s="2300"/>
      <c r="C67" s="2300"/>
      <c r="D67" s="2300"/>
      <c r="E67" s="2300"/>
      <c r="F67" s="2300"/>
      <c r="G67" s="2300"/>
      <c r="H67" s="2300"/>
    </row>
    <row r="68" spans="1:8">
      <c r="A68" s="2301" t="s">
        <v>1251</v>
      </c>
      <c r="B68" s="2300"/>
      <c r="C68" s="2300"/>
      <c r="D68" s="2300"/>
      <c r="E68" s="2300"/>
      <c r="F68" s="2300"/>
      <c r="G68" s="2300"/>
      <c r="H68" s="2300"/>
    </row>
    <row r="69" spans="1:8">
      <c r="A69" s="2301" t="s">
        <v>1252</v>
      </c>
      <c r="B69" s="2300"/>
      <c r="C69" s="2300"/>
      <c r="D69" s="2300"/>
      <c r="E69" s="2300"/>
      <c r="F69" s="2300"/>
      <c r="G69" s="2300"/>
      <c r="H69" s="2300"/>
    </row>
    <row r="70" spans="1:8">
      <c r="A70" s="2301" t="s">
        <v>1135</v>
      </c>
      <c r="B70" s="2300"/>
      <c r="C70" s="2300"/>
      <c r="D70" s="2300"/>
      <c r="E70" s="2300"/>
      <c r="F70" s="2300"/>
      <c r="G70" s="2300"/>
      <c r="H70" s="2300"/>
    </row>
    <row r="71" spans="1:8">
      <c r="A71" s="2300"/>
      <c r="B71" s="2300"/>
      <c r="C71" s="2300"/>
      <c r="D71" s="2300"/>
      <c r="E71" s="2300"/>
      <c r="F71" s="2300"/>
      <c r="G71" s="2300"/>
      <c r="H71" s="2300"/>
    </row>
    <row r="72" spans="1:8">
      <c r="A72" s="2301" t="s">
        <v>1241</v>
      </c>
      <c r="B72" s="2300"/>
      <c r="C72" s="2300"/>
      <c r="D72" s="2300"/>
      <c r="E72" s="2300"/>
      <c r="F72" s="2300"/>
      <c r="G72" s="2300"/>
      <c r="H72" s="2300"/>
    </row>
    <row r="73" spans="1:8">
      <c r="A73" s="2301" t="s">
        <v>1242</v>
      </c>
      <c r="B73" s="2300"/>
      <c r="C73" s="2300"/>
      <c r="D73" s="2300"/>
      <c r="E73" s="2300"/>
      <c r="F73" s="2300"/>
      <c r="G73" s="2300"/>
      <c r="H73" s="2300"/>
    </row>
    <row r="74" spans="1:8">
      <c r="A74" s="2301" t="s">
        <v>1243</v>
      </c>
      <c r="B74" s="2300"/>
      <c r="C74" s="2300"/>
      <c r="D74" s="2300"/>
      <c r="E74" s="2300"/>
      <c r="F74" s="2300"/>
      <c r="G74" s="2300"/>
      <c r="H74" s="2300"/>
    </row>
    <row r="75" spans="1:8">
      <c r="A75" s="2301" t="s">
        <v>1244</v>
      </c>
      <c r="B75" s="2300"/>
      <c r="C75" s="2300"/>
      <c r="D75" s="2300"/>
      <c r="E75" s="2300"/>
      <c r="F75" s="2300"/>
      <c r="G75" s="2300"/>
      <c r="H75" s="2300"/>
    </row>
    <row r="76" spans="1:8">
      <c r="A76" s="2301" t="s">
        <v>1245</v>
      </c>
      <c r="B76" s="2300"/>
      <c r="C76" s="2300"/>
      <c r="D76" s="2300"/>
      <c r="E76" s="2300"/>
      <c r="F76" s="2300"/>
      <c r="G76" s="2300"/>
      <c r="H76" s="2300"/>
    </row>
    <row r="77" spans="1:8">
      <c r="A77" s="2301" t="s">
        <v>1246</v>
      </c>
      <c r="B77" s="2300"/>
      <c r="C77" s="2300"/>
      <c r="D77" s="2300"/>
      <c r="E77" s="2300"/>
      <c r="F77" s="2300"/>
      <c r="G77" s="2300"/>
      <c r="H77" s="2300"/>
    </row>
    <row r="78" spans="1:8">
      <c r="A78" s="2301" t="s">
        <v>1247</v>
      </c>
      <c r="B78" s="2300"/>
      <c r="C78" s="2300"/>
      <c r="D78" s="2300"/>
      <c r="E78" s="2300"/>
      <c r="F78" s="2300"/>
      <c r="G78" s="2300"/>
      <c r="H78" s="2300"/>
    </row>
    <row r="79" spans="1:8">
      <c r="A79" s="2300"/>
      <c r="B79" s="2300"/>
      <c r="C79" s="2300"/>
      <c r="D79" s="2300"/>
      <c r="E79" s="2300"/>
      <c r="F79" s="2300"/>
      <c r="G79" s="2300"/>
      <c r="H79" s="2300"/>
    </row>
    <row r="80" spans="1:8">
      <c r="A80" s="2301" t="s">
        <v>1239</v>
      </c>
      <c r="B80" s="2300"/>
      <c r="C80" s="2300"/>
      <c r="D80" s="2300"/>
      <c r="E80" s="2300"/>
      <c r="F80" s="2300"/>
      <c r="G80" s="2300"/>
      <c r="H80" s="2300"/>
    </row>
    <row r="81" spans="1:8">
      <c r="A81" s="2301" t="s">
        <v>1240</v>
      </c>
      <c r="B81" s="2300"/>
      <c r="C81" s="2300"/>
      <c r="D81" s="2300"/>
      <c r="E81" s="2300"/>
      <c r="F81" s="2300"/>
      <c r="G81" s="2300"/>
      <c r="H81" s="2300"/>
    </row>
    <row r="82" spans="1:8">
      <c r="A82" s="2300"/>
      <c r="B82" s="2300"/>
      <c r="C82" s="2300"/>
      <c r="D82" s="2300"/>
      <c r="E82" s="2300"/>
      <c r="F82" s="2300"/>
      <c r="G82" s="2300"/>
      <c r="H82" s="2300"/>
    </row>
    <row r="83" spans="1:8" ht="15.75">
      <c r="A83" s="2302" t="s">
        <v>1010</v>
      </c>
      <c r="B83" s="2300"/>
      <c r="C83" s="2300"/>
      <c r="D83" s="2300"/>
      <c r="E83" s="2300"/>
      <c r="F83" s="2300"/>
      <c r="G83" s="2300"/>
      <c r="H83" s="2300"/>
    </row>
    <row r="84" spans="1:8">
      <c r="A84" s="2300"/>
      <c r="B84" s="2300"/>
      <c r="C84" s="2300"/>
      <c r="D84" s="2300"/>
      <c r="E84" s="2300"/>
      <c r="F84" s="2300"/>
      <c r="G84" s="2300"/>
      <c r="H84" s="2300"/>
    </row>
    <row r="85" spans="1:8">
      <c r="A85" s="2301" t="s">
        <v>1230</v>
      </c>
      <c r="B85" s="2300"/>
      <c r="C85" s="2300"/>
      <c r="D85" s="2300"/>
      <c r="E85" s="2300"/>
      <c r="F85" s="2300"/>
      <c r="G85" s="2300"/>
      <c r="H85" s="2300"/>
    </row>
    <row r="86" spans="1:8">
      <c r="A86" s="2301" t="s">
        <v>1231</v>
      </c>
      <c r="B86" s="2300"/>
      <c r="C86" s="2300"/>
      <c r="D86" s="2300"/>
      <c r="E86" s="2300"/>
      <c r="F86" s="2300"/>
      <c r="G86" s="2300"/>
      <c r="H86" s="2300"/>
    </row>
    <row r="87" spans="1:8">
      <c r="A87" s="2301" t="s">
        <v>1232</v>
      </c>
      <c r="B87" s="2300"/>
      <c r="C87" s="2300"/>
      <c r="D87" s="2300"/>
      <c r="E87" s="2300"/>
      <c r="F87" s="2300"/>
      <c r="G87" s="2300"/>
      <c r="H87" s="2300"/>
    </row>
    <row r="88" spans="1:8">
      <c r="A88" s="2301" t="s">
        <v>1233</v>
      </c>
      <c r="B88" s="2300"/>
      <c r="C88" s="2300"/>
      <c r="D88" s="2300"/>
      <c r="E88" s="2300"/>
      <c r="F88" s="2300"/>
      <c r="G88" s="2300"/>
      <c r="H88" s="2300"/>
    </row>
    <row r="89" spans="1:8">
      <c r="A89" s="2301" t="s">
        <v>1234</v>
      </c>
      <c r="B89" s="2300"/>
      <c r="C89" s="2300"/>
      <c r="D89" s="2300"/>
      <c r="E89" s="2300"/>
      <c r="F89" s="2300"/>
      <c r="G89" s="2300"/>
      <c r="H89" s="2300"/>
    </row>
    <row r="90" spans="1:8">
      <c r="A90" s="2301" t="s">
        <v>1235</v>
      </c>
      <c r="B90" s="2300"/>
      <c r="C90" s="2300"/>
      <c r="D90" s="2300"/>
      <c r="E90" s="2300"/>
      <c r="F90" s="2300"/>
      <c r="G90" s="2300"/>
      <c r="H90" s="2300"/>
    </row>
    <row r="91" spans="1:8">
      <c r="A91" s="2301" t="s">
        <v>1236</v>
      </c>
      <c r="B91" s="2300"/>
      <c r="C91" s="2300"/>
      <c r="D91" s="2300"/>
      <c r="E91" s="2300"/>
      <c r="F91" s="2300"/>
      <c r="G91" s="2300"/>
      <c r="H91" s="2300"/>
    </row>
    <row r="92" spans="1:8">
      <c r="A92" s="2301" t="s">
        <v>1237</v>
      </c>
      <c r="B92" s="2300"/>
      <c r="C92" s="2300"/>
      <c r="D92" s="2300"/>
      <c r="E92" s="2300"/>
      <c r="F92" s="2300"/>
      <c r="G92" s="2300"/>
      <c r="H92" s="2300"/>
    </row>
    <row r="93" spans="1:8">
      <c r="A93" s="2301" t="s">
        <v>1238</v>
      </c>
      <c r="B93" s="2300"/>
      <c r="C93" s="2300"/>
      <c r="D93" s="2300"/>
      <c r="E93" s="2300"/>
      <c r="F93" s="2300"/>
      <c r="G93" s="2300"/>
      <c r="H93" s="2300"/>
    </row>
    <row r="94" spans="1:8">
      <c r="A94" s="2300"/>
      <c r="B94" s="2300"/>
      <c r="C94" s="2300"/>
      <c r="D94" s="2300"/>
      <c r="E94" s="2300"/>
      <c r="F94" s="2300"/>
      <c r="G94" s="2300"/>
      <c r="H94" s="2300"/>
    </row>
    <row r="95" spans="1:8" ht="15.75">
      <c r="A95" s="2303" t="s">
        <v>1011</v>
      </c>
      <c r="B95" s="2303"/>
      <c r="C95" s="2303"/>
      <c r="D95" s="2303"/>
      <c r="E95" s="2303"/>
      <c r="F95" s="2303"/>
      <c r="G95" s="2303"/>
      <c r="H95" s="2303"/>
    </row>
    <row r="96" spans="1:8">
      <c r="A96" s="2304" t="s">
        <v>1012</v>
      </c>
      <c r="B96" s="2304"/>
      <c r="C96" s="2304"/>
      <c r="D96" s="2304"/>
      <c r="E96" s="2304"/>
      <c r="F96" s="2304"/>
      <c r="G96" s="2304"/>
      <c r="H96" s="2304"/>
    </row>
    <row r="97" spans="1:8">
      <c r="A97" s="2305"/>
      <c r="B97" s="2305"/>
      <c r="C97" s="2305"/>
      <c r="D97" s="2305"/>
      <c r="E97" s="2305"/>
      <c r="F97" s="2305"/>
      <c r="G97" s="2305"/>
      <c r="H97" s="2305"/>
    </row>
    <row r="98" spans="1:8">
      <c r="A98" s="2304" t="s">
        <v>1228</v>
      </c>
      <c r="B98" s="2304"/>
      <c r="C98" s="2304"/>
      <c r="D98" s="2304"/>
      <c r="E98" s="2304"/>
      <c r="F98" s="2304"/>
      <c r="G98" s="2304"/>
      <c r="H98" s="2304"/>
    </row>
    <row r="99" spans="1:8">
      <c r="A99" s="2301" t="s">
        <v>1229</v>
      </c>
      <c r="B99" s="2301"/>
      <c r="C99" s="2301"/>
      <c r="D99" s="2301"/>
      <c r="E99" s="2301"/>
      <c r="F99" s="2301"/>
      <c r="G99" s="2301"/>
      <c r="H99" s="2301"/>
    </row>
    <row r="100" spans="1:8">
      <c r="A100" s="2305"/>
      <c r="B100" s="2305"/>
      <c r="C100" s="2305"/>
      <c r="D100" s="2305"/>
      <c r="E100" s="2305"/>
      <c r="F100" s="2305"/>
      <c r="G100" s="2305"/>
      <c r="H100" s="2305"/>
    </row>
    <row r="101" spans="1:8">
      <c r="A101" s="2304" t="s">
        <v>1221</v>
      </c>
      <c r="B101" s="2304"/>
      <c r="C101" s="2304"/>
      <c r="D101" s="2304"/>
      <c r="E101" s="2304"/>
      <c r="F101" s="2304"/>
      <c r="G101" s="2304"/>
      <c r="H101" s="2304"/>
    </row>
    <row r="102" spans="1:8">
      <c r="A102" s="2301" t="s">
        <v>1222</v>
      </c>
      <c r="B102" s="2301"/>
      <c r="C102" s="2301"/>
      <c r="D102" s="2301"/>
      <c r="E102" s="2301"/>
      <c r="F102" s="2301"/>
      <c r="G102" s="2301"/>
      <c r="H102" s="2301"/>
    </row>
    <row r="103" spans="1:8">
      <c r="A103" s="2301" t="s">
        <v>1223</v>
      </c>
      <c r="B103" s="2301"/>
      <c r="C103" s="2301"/>
      <c r="D103" s="2301"/>
      <c r="E103" s="2301"/>
      <c r="F103" s="2301"/>
      <c r="G103" s="2301"/>
      <c r="H103" s="2301"/>
    </row>
    <row r="104" spans="1:8">
      <c r="A104" s="2301" t="s">
        <v>1224</v>
      </c>
      <c r="B104" s="2301"/>
      <c r="C104" s="2301"/>
      <c r="D104" s="2301"/>
      <c r="E104" s="2301"/>
      <c r="F104" s="2301"/>
      <c r="G104" s="2301"/>
      <c r="H104" s="2301"/>
    </row>
    <row r="105" spans="1:8">
      <c r="A105" s="2301" t="s">
        <v>1225</v>
      </c>
      <c r="B105" s="2301"/>
      <c r="C105" s="2301"/>
      <c r="D105" s="2301"/>
      <c r="E105" s="2301"/>
      <c r="F105" s="2301"/>
      <c r="G105" s="2301"/>
      <c r="H105" s="2301"/>
    </row>
    <row r="106" spans="1:8">
      <c r="A106" s="2301" t="s">
        <v>1226</v>
      </c>
      <c r="B106" s="2301"/>
      <c r="C106" s="2301"/>
      <c r="D106" s="2301"/>
      <c r="E106" s="2301"/>
      <c r="F106" s="2301"/>
      <c r="G106" s="2301"/>
      <c r="H106" s="2301"/>
    </row>
    <row r="107" spans="1:8">
      <c r="A107" s="2301" t="s">
        <v>1227</v>
      </c>
      <c r="B107" s="2301"/>
      <c r="C107" s="2301"/>
      <c r="D107" s="2301"/>
      <c r="E107" s="2301"/>
      <c r="F107" s="2301"/>
      <c r="G107" s="2301"/>
      <c r="H107" s="2301"/>
    </row>
    <row r="108" spans="1:8">
      <c r="A108" s="2306"/>
      <c r="B108" s="2306"/>
      <c r="C108" s="2306"/>
      <c r="D108" s="2306"/>
      <c r="E108" s="2306"/>
      <c r="F108" s="2306"/>
      <c r="G108" s="2306"/>
      <c r="H108" s="2306"/>
    </row>
    <row r="109" spans="1:8">
      <c r="A109" s="2307"/>
      <c r="B109" s="2308" t="s">
        <v>1013</v>
      </c>
      <c r="C109" s="2309"/>
      <c r="D109" s="2308" t="s">
        <v>1014</v>
      </c>
      <c r="E109" s="2310"/>
      <c r="F109" s="2309"/>
      <c r="G109" s="2308" t="s">
        <v>1015</v>
      </c>
      <c r="H109" s="2309"/>
    </row>
    <row r="110" spans="1:8">
      <c r="A110" s="2307" t="s">
        <v>1016</v>
      </c>
      <c r="B110" s="2307" t="s">
        <v>724</v>
      </c>
      <c r="C110" s="2307" t="s">
        <v>1017</v>
      </c>
      <c r="D110" s="2307" t="s">
        <v>724</v>
      </c>
      <c r="E110" s="2307" t="s">
        <v>1018</v>
      </c>
      <c r="F110" s="2307" t="s">
        <v>1019</v>
      </c>
      <c r="G110" s="2307" t="s">
        <v>724</v>
      </c>
      <c r="H110" s="2307" t="s">
        <v>1020</v>
      </c>
    </row>
    <row r="111" spans="1:8">
      <c r="A111" s="2307" t="s">
        <v>1021</v>
      </c>
      <c r="B111" s="2307">
        <v>1142</v>
      </c>
      <c r="C111" s="2311">
        <v>0.36</v>
      </c>
      <c r="D111" s="2307">
        <v>320</v>
      </c>
      <c r="E111" s="2311">
        <v>0.4</v>
      </c>
      <c r="F111" s="2311">
        <v>0.28000000000000003</v>
      </c>
      <c r="G111" s="2307">
        <v>560</v>
      </c>
      <c r="H111" s="2311">
        <v>0.38</v>
      </c>
    </row>
    <row r="112" spans="1:8">
      <c r="A112" s="2307" t="s">
        <v>1022</v>
      </c>
      <c r="B112" s="2307">
        <v>1424</v>
      </c>
      <c r="C112" s="2311">
        <v>0.44</v>
      </c>
      <c r="D112" s="2307">
        <v>371</v>
      </c>
      <c r="E112" s="2311">
        <v>0.47</v>
      </c>
      <c r="F112" s="2311">
        <v>0.26</v>
      </c>
      <c r="G112" s="2307">
        <v>674</v>
      </c>
      <c r="H112" s="2311">
        <v>0.46</v>
      </c>
    </row>
    <row r="113" spans="1:8">
      <c r="A113" s="2307" t="s">
        <v>1023</v>
      </c>
      <c r="B113" s="2307">
        <v>55</v>
      </c>
      <c r="C113" s="2311">
        <v>0.02</v>
      </c>
      <c r="D113" s="2307">
        <v>6</v>
      </c>
      <c r="E113" s="2311">
        <v>0.01</v>
      </c>
      <c r="F113" s="2311">
        <v>0.11</v>
      </c>
      <c r="G113" s="2307">
        <v>9</v>
      </c>
      <c r="H113" s="2311">
        <v>0.01</v>
      </c>
    </row>
    <row r="114" spans="1:8">
      <c r="A114" s="2307" t="s">
        <v>1024</v>
      </c>
      <c r="B114" s="2307">
        <v>583</v>
      </c>
      <c r="C114" s="2311">
        <v>0.18</v>
      </c>
      <c r="D114" s="2307">
        <v>95</v>
      </c>
      <c r="E114" s="2311">
        <v>0.12</v>
      </c>
      <c r="F114" s="2311">
        <v>0.16</v>
      </c>
      <c r="G114" s="2307">
        <v>237</v>
      </c>
      <c r="H114" s="2311">
        <v>0.16</v>
      </c>
    </row>
    <row r="115" spans="1:8">
      <c r="A115" s="2307" t="s">
        <v>54</v>
      </c>
      <c r="B115" s="2312">
        <v>3204</v>
      </c>
      <c r="C115" s="2307"/>
      <c r="D115" s="2307">
        <v>792</v>
      </c>
      <c r="E115" s="2307"/>
      <c r="F115" s="2307"/>
      <c r="G115" s="2307">
        <v>1480</v>
      </c>
      <c r="H115" s="2307"/>
    </row>
    <row r="116" spans="1:8">
      <c r="A116" s="2313"/>
      <c r="B116" s="2313"/>
      <c r="C116" s="2313"/>
      <c r="D116" s="2313"/>
      <c r="E116" s="2313"/>
      <c r="F116" s="2313"/>
      <c r="G116" s="2313"/>
      <c r="H116" s="2313"/>
    </row>
    <row r="117" spans="1:8">
      <c r="A117" s="2304" t="s">
        <v>1217</v>
      </c>
      <c r="B117" s="2304"/>
      <c r="C117" s="2304"/>
      <c r="D117" s="2304"/>
      <c r="E117" s="2304"/>
      <c r="F117" s="2304"/>
      <c r="G117" s="2304"/>
      <c r="H117" s="2304"/>
    </row>
    <row r="118" spans="1:8">
      <c r="A118" s="2301" t="s">
        <v>1218</v>
      </c>
      <c r="B118" s="2301"/>
      <c r="C118" s="2301"/>
      <c r="D118" s="2301"/>
      <c r="E118" s="2301"/>
      <c r="F118" s="2301"/>
      <c r="G118" s="2301"/>
      <c r="H118" s="2301"/>
    </row>
    <row r="119" spans="1:8">
      <c r="A119" s="2301" t="s">
        <v>1219</v>
      </c>
      <c r="B119" s="2301"/>
      <c r="C119" s="2301"/>
      <c r="D119" s="2301"/>
      <c r="E119" s="2301"/>
      <c r="F119" s="2301"/>
      <c r="G119" s="2301"/>
      <c r="H119" s="2301"/>
    </row>
    <row r="120" spans="1:8">
      <c r="A120" s="2301" t="s">
        <v>1220</v>
      </c>
      <c r="B120" s="2301"/>
      <c r="C120" s="2301"/>
      <c r="D120" s="2301"/>
      <c r="E120" s="2301"/>
      <c r="F120" s="2301"/>
      <c r="G120" s="2301"/>
      <c r="H120" s="2301"/>
    </row>
    <row r="121" spans="1:8">
      <c r="A121" s="2300"/>
      <c r="B121" s="2300"/>
      <c r="C121" s="2300"/>
      <c r="D121" s="2300"/>
      <c r="E121" s="2300"/>
      <c r="F121" s="2300"/>
      <c r="G121" s="2300"/>
      <c r="H121" s="2300"/>
    </row>
    <row r="122" spans="1:8" ht="15.75">
      <c r="A122" s="2302" t="s">
        <v>1025</v>
      </c>
      <c r="B122" s="2300"/>
      <c r="C122" s="2300"/>
      <c r="D122" s="2300"/>
      <c r="E122" s="2300"/>
      <c r="F122" s="2300"/>
      <c r="G122" s="2300"/>
      <c r="H122" s="2300"/>
    </row>
    <row r="123" spans="1:8">
      <c r="A123" s="2300"/>
      <c r="B123" s="2300"/>
      <c r="C123" s="2300"/>
      <c r="D123" s="2300"/>
      <c r="E123" s="2300"/>
      <c r="F123" s="2300"/>
      <c r="G123" s="2300"/>
      <c r="H123" s="2300"/>
    </row>
    <row r="124" spans="1:8">
      <c r="A124" s="2301" t="s">
        <v>1215</v>
      </c>
      <c r="B124" s="2300"/>
      <c r="C124" s="2300"/>
      <c r="D124" s="2300"/>
      <c r="E124" s="2300"/>
      <c r="F124" s="2300"/>
      <c r="G124" s="2300"/>
      <c r="H124" s="2300"/>
    </row>
    <row r="125" spans="1:8">
      <c r="A125" s="2301" t="s">
        <v>1216</v>
      </c>
      <c r="B125" s="2300"/>
      <c r="C125" s="2300"/>
      <c r="D125" s="2300"/>
      <c r="E125" s="2300"/>
      <c r="F125" s="2300"/>
      <c r="G125" s="2300"/>
      <c r="H125" s="2300"/>
    </row>
    <row r="126" spans="1:8">
      <c r="A126" s="2300"/>
      <c r="B126" s="2300"/>
      <c r="C126" s="2300"/>
      <c r="D126" s="2300"/>
      <c r="E126" s="2300"/>
      <c r="F126" s="2300"/>
      <c r="G126" s="2300"/>
      <c r="H126" s="2300"/>
    </row>
    <row r="127" spans="1:8">
      <c r="A127" s="2301" t="s">
        <v>1212</v>
      </c>
      <c r="B127" s="2300"/>
      <c r="C127" s="2300"/>
      <c r="D127" s="2300"/>
      <c r="E127" s="2300"/>
      <c r="F127" s="2300"/>
      <c r="G127" s="2300"/>
      <c r="H127" s="2300"/>
    </row>
    <row r="128" spans="1:8">
      <c r="A128" s="2301" t="s">
        <v>1213</v>
      </c>
      <c r="B128" s="2300"/>
      <c r="C128" s="2300"/>
      <c r="D128" s="2300"/>
      <c r="E128" s="2300"/>
      <c r="F128" s="2300"/>
      <c r="G128" s="2300"/>
      <c r="H128" s="2300"/>
    </row>
    <row r="129" spans="1:8">
      <c r="A129" s="2301" t="s">
        <v>1214</v>
      </c>
      <c r="B129" s="2300"/>
      <c r="C129" s="2300"/>
      <c r="D129" s="2300"/>
      <c r="E129" s="2300"/>
      <c r="F129" s="2300"/>
      <c r="G129" s="2300"/>
      <c r="H129" s="2300"/>
    </row>
    <row r="130" spans="1:8">
      <c r="A130" s="2300"/>
      <c r="B130" s="2300"/>
      <c r="C130" s="2300"/>
      <c r="D130" s="2300"/>
      <c r="E130" s="2300"/>
      <c r="F130" s="2300"/>
      <c r="G130" s="2300"/>
      <c r="H130" s="2300"/>
    </row>
    <row r="131" spans="1:8">
      <c r="A131" s="2301" t="s">
        <v>1209</v>
      </c>
      <c r="B131" s="2300"/>
      <c r="C131" s="2300"/>
      <c r="D131" s="2300"/>
      <c r="E131" s="2300"/>
      <c r="F131" s="2300"/>
      <c r="G131" s="2300"/>
      <c r="H131" s="2300"/>
    </row>
    <row r="132" spans="1:8">
      <c r="A132" s="2301" t="s">
        <v>1210</v>
      </c>
      <c r="B132" s="2300"/>
      <c r="C132" s="2300"/>
      <c r="D132" s="2300"/>
      <c r="E132" s="2300"/>
      <c r="F132" s="2300"/>
      <c r="G132" s="2300"/>
      <c r="H132" s="2300"/>
    </row>
    <row r="133" spans="1:8">
      <c r="A133" s="2301" t="s">
        <v>1211</v>
      </c>
      <c r="B133" s="2300"/>
      <c r="C133" s="2300"/>
      <c r="D133" s="2300"/>
      <c r="E133" s="2300"/>
      <c r="F133" s="2300"/>
      <c r="G133" s="2300"/>
      <c r="H133" s="2300"/>
    </row>
    <row r="134" spans="1:8">
      <c r="A134" s="2300"/>
      <c r="B134" s="2300"/>
      <c r="C134" s="2300"/>
      <c r="D134" s="2300"/>
      <c r="E134" s="2300"/>
      <c r="F134" s="2300"/>
      <c r="G134" s="2300"/>
      <c r="H134" s="2300"/>
    </row>
    <row r="135" spans="1:8">
      <c r="A135" s="2301" t="s">
        <v>1206</v>
      </c>
      <c r="B135" s="2300"/>
      <c r="C135" s="2300"/>
      <c r="D135" s="2300"/>
      <c r="E135" s="2300"/>
      <c r="F135" s="2300"/>
      <c r="G135" s="2300"/>
      <c r="H135" s="2300"/>
    </row>
    <row r="136" spans="1:8">
      <c r="A136" s="2301" t="s">
        <v>1207</v>
      </c>
      <c r="B136" s="2300"/>
      <c r="C136" s="2300"/>
      <c r="D136" s="2300"/>
      <c r="E136" s="2300"/>
      <c r="F136" s="2300"/>
      <c r="G136" s="2300"/>
      <c r="H136" s="2300"/>
    </row>
    <row r="137" spans="1:8">
      <c r="A137" s="2301" t="s">
        <v>1208</v>
      </c>
      <c r="B137" s="2300"/>
      <c r="C137" s="2300"/>
      <c r="D137" s="2300"/>
      <c r="E137" s="2300"/>
      <c r="F137" s="2300"/>
      <c r="G137" s="2300"/>
      <c r="H137" s="2300"/>
    </row>
    <row r="138" spans="1:8">
      <c r="A138" s="2300"/>
      <c r="B138" s="2300"/>
      <c r="C138" s="2300"/>
      <c r="D138" s="2300"/>
      <c r="E138" s="2300"/>
      <c r="F138" s="2300"/>
      <c r="G138" s="2300"/>
      <c r="H138" s="2300"/>
    </row>
    <row r="139" spans="1:8">
      <c r="A139" s="2301" t="s">
        <v>1204</v>
      </c>
      <c r="B139" s="2300"/>
      <c r="C139" s="2300"/>
      <c r="D139" s="2300"/>
      <c r="E139" s="2300"/>
      <c r="F139" s="2300"/>
      <c r="G139" s="2300"/>
      <c r="H139" s="2300"/>
    </row>
    <row r="140" spans="1:8">
      <c r="A140" s="2301" t="s">
        <v>1205</v>
      </c>
      <c r="B140" s="2300"/>
      <c r="C140" s="2300"/>
      <c r="D140" s="2300"/>
      <c r="E140" s="2300"/>
      <c r="F140" s="2300"/>
      <c r="G140" s="2300"/>
      <c r="H140" s="2300"/>
    </row>
    <row r="141" spans="1:8">
      <c r="A141" s="2300"/>
      <c r="B141" s="2300"/>
      <c r="C141" s="2300"/>
      <c r="D141" s="2300"/>
      <c r="E141" s="2300"/>
      <c r="F141" s="2300"/>
      <c r="G141" s="2300"/>
      <c r="H141" s="2300"/>
    </row>
    <row r="142" spans="1:8" ht="15.75">
      <c r="A142" s="2302" t="s">
        <v>1026</v>
      </c>
      <c r="B142" s="2300"/>
      <c r="C142" s="2300"/>
      <c r="D142" s="2300"/>
      <c r="E142" s="2300"/>
      <c r="F142" s="2300"/>
      <c r="G142" s="2300"/>
      <c r="H142" s="2300"/>
    </row>
    <row r="143" spans="1:8">
      <c r="A143" s="2300"/>
      <c r="B143" s="2300"/>
      <c r="C143" s="2300"/>
      <c r="D143" s="2300"/>
      <c r="E143" s="2300"/>
      <c r="F143" s="2300"/>
      <c r="G143" s="2300"/>
      <c r="H143" s="2300"/>
    </row>
    <row r="144" spans="1:8">
      <c r="A144" s="2301" t="s">
        <v>1202</v>
      </c>
      <c r="B144" s="2300"/>
      <c r="C144" s="2300"/>
      <c r="D144" s="2300"/>
      <c r="E144" s="2300"/>
      <c r="F144" s="2300"/>
      <c r="G144" s="2300"/>
      <c r="H144" s="2300"/>
    </row>
    <row r="145" spans="1:8">
      <c r="A145" s="2301" t="s">
        <v>1203</v>
      </c>
      <c r="B145" s="2300"/>
      <c r="C145" s="2300"/>
      <c r="D145" s="2300"/>
      <c r="E145" s="2300"/>
      <c r="F145" s="2300"/>
      <c r="G145" s="2300"/>
      <c r="H145" s="2300"/>
    </row>
    <row r="146" spans="1:8">
      <c r="A146" s="2300"/>
      <c r="B146" s="2300"/>
      <c r="C146" s="2300"/>
      <c r="D146" s="2300"/>
      <c r="E146" s="2300"/>
      <c r="F146" s="2300"/>
      <c r="G146" s="2300"/>
      <c r="H146" s="2300"/>
    </row>
    <row r="147" spans="1:8">
      <c r="A147" s="2301" t="s">
        <v>1200</v>
      </c>
      <c r="B147" s="2300"/>
      <c r="C147" s="2300"/>
      <c r="D147" s="2300"/>
      <c r="E147" s="2300"/>
      <c r="F147" s="2300"/>
      <c r="G147" s="2300"/>
      <c r="H147" s="2300"/>
    </row>
    <row r="148" spans="1:8">
      <c r="A148" s="2301" t="s">
        <v>1201</v>
      </c>
      <c r="B148" s="2300"/>
      <c r="C148" s="2300"/>
      <c r="D148" s="2300"/>
      <c r="E148" s="2300"/>
      <c r="F148" s="2300"/>
      <c r="G148" s="2300"/>
      <c r="H148" s="2300"/>
    </row>
    <row r="149" spans="1:8">
      <c r="A149" s="2300"/>
      <c r="B149" s="2300"/>
      <c r="C149" s="2300"/>
      <c r="D149" s="2300"/>
      <c r="E149" s="2300"/>
      <c r="F149" s="2300"/>
      <c r="G149" s="2300"/>
      <c r="H149" s="2300"/>
    </row>
    <row r="150" spans="1:8">
      <c r="A150" s="2301" t="s">
        <v>1198</v>
      </c>
      <c r="B150" s="2300"/>
      <c r="C150" s="2300"/>
      <c r="D150" s="2300"/>
      <c r="E150" s="2300"/>
      <c r="F150" s="2300"/>
      <c r="G150" s="2300"/>
      <c r="H150" s="2300"/>
    </row>
    <row r="151" spans="1:8">
      <c r="A151" s="2301" t="s">
        <v>1199</v>
      </c>
      <c r="B151" s="2300"/>
      <c r="C151" s="2300"/>
      <c r="D151" s="2300"/>
      <c r="E151" s="2300"/>
      <c r="F151" s="2300"/>
      <c r="G151" s="2300"/>
      <c r="H151" s="2300"/>
    </row>
    <row r="152" spans="1:8">
      <c r="A152" s="2300"/>
      <c r="B152" s="2300"/>
      <c r="C152" s="2300"/>
      <c r="D152" s="2300"/>
      <c r="E152" s="2300"/>
      <c r="F152" s="2300"/>
      <c r="G152" s="2300"/>
      <c r="H152" s="2300"/>
    </row>
    <row r="153" spans="1:8">
      <c r="A153" s="2301" t="s">
        <v>1195</v>
      </c>
      <c r="B153" s="2300"/>
      <c r="C153" s="2300"/>
      <c r="D153" s="2300"/>
      <c r="E153" s="2300"/>
      <c r="F153" s="2300"/>
      <c r="G153" s="2300"/>
      <c r="H153" s="2300"/>
    </row>
    <row r="154" spans="1:8">
      <c r="A154" s="2301" t="s">
        <v>1196</v>
      </c>
      <c r="B154" s="2300"/>
      <c r="C154" s="2300"/>
      <c r="D154" s="2300"/>
      <c r="E154" s="2300"/>
      <c r="F154" s="2300"/>
      <c r="G154" s="2300"/>
      <c r="H154" s="2300"/>
    </row>
    <row r="155" spans="1:8">
      <c r="A155" s="2301" t="s">
        <v>1197</v>
      </c>
      <c r="B155" s="2300"/>
      <c r="C155" s="2300"/>
      <c r="D155" s="2300"/>
      <c r="E155" s="2300"/>
      <c r="F155" s="2300"/>
      <c r="G155" s="2300"/>
      <c r="H155" s="2300"/>
    </row>
    <row r="156" spans="1:8">
      <c r="A156" s="2300"/>
      <c r="B156" s="2300"/>
      <c r="C156" s="2300"/>
      <c r="D156" s="2300"/>
      <c r="E156" s="2300"/>
      <c r="F156" s="2300"/>
      <c r="G156" s="2300"/>
      <c r="H156" s="2300"/>
    </row>
    <row r="157" spans="1:8">
      <c r="A157" s="2300"/>
      <c r="B157" s="2300"/>
      <c r="C157" s="2300"/>
      <c r="D157" s="2300"/>
      <c r="E157" s="2300"/>
      <c r="F157" s="2300"/>
      <c r="G157" s="2300"/>
      <c r="H157" s="2300"/>
    </row>
    <row r="158" spans="1:8">
      <c r="A158" s="2301" t="s">
        <v>1027</v>
      </c>
      <c r="B158" s="2300"/>
      <c r="C158" s="2300"/>
      <c r="D158" s="2300"/>
      <c r="E158" s="2300"/>
      <c r="F158" s="2300"/>
      <c r="G158" s="2300"/>
      <c r="H158" s="2300"/>
    </row>
    <row r="159" spans="1:8">
      <c r="A159" s="2300"/>
      <c r="B159" s="2300"/>
      <c r="C159" s="2300"/>
      <c r="D159" s="2300"/>
      <c r="E159" s="2300"/>
      <c r="F159" s="2300"/>
      <c r="G159" s="2300"/>
      <c r="H159" s="2300"/>
    </row>
    <row r="160" spans="1:8" ht="15.75">
      <c r="A160" s="2302" t="s">
        <v>1028</v>
      </c>
      <c r="B160" s="2300"/>
      <c r="C160" s="2300"/>
      <c r="D160" s="2300"/>
      <c r="E160" s="2300"/>
      <c r="F160" s="2300"/>
      <c r="G160" s="2300"/>
      <c r="H160" s="2300"/>
    </row>
    <row r="161" spans="1:8">
      <c r="A161" s="2300"/>
      <c r="B161" s="2300"/>
      <c r="C161" s="2300"/>
      <c r="D161" s="2300"/>
      <c r="E161" s="2300"/>
      <c r="F161" s="2300"/>
      <c r="G161" s="2300"/>
      <c r="H161" s="2300"/>
    </row>
    <row r="162" spans="1:8">
      <c r="A162" s="2300"/>
      <c r="B162" s="2300"/>
      <c r="C162" s="2300"/>
      <c r="D162" s="2300"/>
      <c r="E162" s="2300"/>
      <c r="F162" s="2300"/>
      <c r="G162" s="2300"/>
      <c r="H162" s="2300"/>
    </row>
    <row r="163" spans="1:8">
      <c r="A163" s="2300"/>
      <c r="B163" s="2300"/>
      <c r="C163" s="2300"/>
      <c r="D163" s="2300"/>
      <c r="E163" s="2300"/>
      <c r="F163" s="2300"/>
      <c r="G163" s="2300"/>
      <c r="H163" s="2300"/>
    </row>
    <row r="164" spans="1:8">
      <c r="A164" s="2300"/>
      <c r="B164" s="2300"/>
      <c r="C164" s="2300"/>
      <c r="D164" s="2300"/>
      <c r="E164" s="2300"/>
      <c r="F164" s="2300"/>
      <c r="G164" s="2300"/>
      <c r="H164" s="2300"/>
    </row>
    <row r="165" spans="1:8">
      <c r="A165" s="2300"/>
      <c r="B165" s="2300"/>
      <c r="C165" s="2300"/>
      <c r="D165" s="2300"/>
      <c r="E165" s="2300"/>
      <c r="F165" s="2300"/>
      <c r="G165" s="2300"/>
      <c r="H165" s="2300"/>
    </row>
    <row r="166" spans="1:8">
      <c r="A166" s="2300"/>
      <c r="B166" s="2300"/>
      <c r="C166" s="2300"/>
      <c r="D166" s="2300"/>
      <c r="E166" s="2300"/>
      <c r="F166" s="2300"/>
      <c r="G166" s="2300"/>
      <c r="H166" s="2300"/>
    </row>
    <row r="167" spans="1:8">
      <c r="A167" s="2300"/>
      <c r="B167" s="2300"/>
      <c r="C167" s="2300"/>
      <c r="D167" s="2300"/>
      <c r="E167" s="2300"/>
      <c r="F167" s="2300"/>
      <c r="G167" s="2300"/>
      <c r="H167" s="2300"/>
    </row>
    <row r="168" spans="1:8">
      <c r="A168" s="2300"/>
      <c r="B168" s="2300"/>
      <c r="C168" s="2300"/>
      <c r="D168" s="2300"/>
      <c r="E168" s="2300"/>
      <c r="F168" s="2300"/>
      <c r="G168" s="2300"/>
      <c r="H168" s="2300"/>
    </row>
    <row r="169" spans="1:8">
      <c r="A169" s="2300"/>
      <c r="B169" s="2300"/>
      <c r="C169" s="2300"/>
      <c r="D169" s="2300"/>
      <c r="E169" s="2300"/>
      <c r="F169" s="2300"/>
      <c r="G169" s="2300"/>
      <c r="H169" s="2300"/>
    </row>
    <row r="170" spans="1:8">
      <c r="A170" s="2300"/>
      <c r="B170" s="2300"/>
      <c r="C170" s="2300"/>
      <c r="D170" s="2300"/>
      <c r="E170" s="2300"/>
      <c r="F170" s="2300"/>
      <c r="G170" s="2300"/>
      <c r="H170" s="2300"/>
    </row>
    <row r="171" spans="1:8">
      <c r="A171" s="2300"/>
      <c r="B171" s="2300"/>
      <c r="C171" s="2300"/>
      <c r="D171" s="2300"/>
      <c r="E171" s="2300"/>
      <c r="F171" s="2300"/>
      <c r="G171" s="2300"/>
      <c r="H171" s="2300"/>
    </row>
    <row r="172" spans="1:8">
      <c r="A172" s="2300"/>
      <c r="B172" s="2300"/>
      <c r="C172" s="2300"/>
      <c r="D172" s="2300"/>
      <c r="E172" s="2300"/>
      <c r="F172" s="2300"/>
      <c r="G172" s="2300"/>
      <c r="H172" s="2300"/>
    </row>
    <row r="173" spans="1:8">
      <c r="A173" s="2300"/>
      <c r="B173" s="2300"/>
      <c r="C173" s="2300"/>
      <c r="D173" s="2300"/>
      <c r="E173" s="2300"/>
      <c r="F173" s="2300"/>
      <c r="G173" s="2300"/>
      <c r="H173" s="2300"/>
    </row>
    <row r="174" spans="1:8">
      <c r="A174" s="2300"/>
      <c r="B174" s="2300"/>
      <c r="C174" s="2300"/>
      <c r="D174" s="2300"/>
      <c r="E174" s="2300"/>
      <c r="F174" s="2300"/>
      <c r="G174" s="2300"/>
      <c r="H174" s="2300"/>
    </row>
    <row r="175" spans="1:8">
      <c r="A175" s="2300"/>
      <c r="B175" s="2300"/>
      <c r="C175" s="2300"/>
      <c r="D175" s="2300"/>
      <c r="E175" s="2300"/>
      <c r="F175" s="2300"/>
      <c r="G175" s="2300"/>
      <c r="H175" s="2300"/>
    </row>
    <row r="176" spans="1:8">
      <c r="A176" s="2300"/>
      <c r="B176" s="2300"/>
      <c r="C176" s="2300"/>
      <c r="D176" s="2300"/>
      <c r="E176" s="2300"/>
      <c r="F176" s="2300"/>
      <c r="G176" s="2300"/>
      <c r="H176" s="2300"/>
    </row>
    <row r="177" spans="1:8">
      <c r="A177" s="2300"/>
      <c r="B177" s="2300"/>
      <c r="C177" s="2300"/>
      <c r="D177" s="2300"/>
      <c r="E177" s="2300"/>
      <c r="F177" s="2300"/>
      <c r="G177" s="2300"/>
      <c r="H177" s="2300"/>
    </row>
    <row r="178" spans="1:8">
      <c r="A178" s="2300"/>
      <c r="B178" s="2300"/>
      <c r="C178" s="2300"/>
      <c r="D178" s="2300"/>
      <c r="E178" s="2300"/>
      <c r="F178" s="2300"/>
      <c r="G178" s="2300"/>
      <c r="H178" s="2300"/>
    </row>
    <row r="179" spans="1:8">
      <c r="A179" s="2300"/>
      <c r="B179" s="2300"/>
      <c r="C179" s="2300"/>
      <c r="D179" s="2300"/>
      <c r="E179" s="2300"/>
      <c r="F179" s="2300"/>
      <c r="G179" s="2300"/>
      <c r="H179" s="2300"/>
    </row>
    <row r="180" spans="1:8">
      <c r="A180" s="2300"/>
      <c r="B180" s="2300"/>
      <c r="C180" s="2300"/>
      <c r="D180" s="2300"/>
      <c r="E180" s="2300"/>
      <c r="F180" s="2300"/>
      <c r="G180" s="2300"/>
      <c r="H180" s="2300"/>
    </row>
    <row r="181" spans="1:8">
      <c r="A181" s="2300"/>
      <c r="B181" s="2300"/>
      <c r="C181" s="2300"/>
      <c r="D181" s="2300"/>
      <c r="E181" s="2300"/>
      <c r="F181" s="2300"/>
      <c r="G181" s="2300"/>
      <c r="H181" s="2300"/>
    </row>
    <row r="182" spans="1:8">
      <c r="A182" s="2300"/>
      <c r="B182" s="2300"/>
      <c r="C182" s="2300"/>
      <c r="D182" s="2300"/>
      <c r="E182" s="2300"/>
      <c r="F182" s="2300"/>
      <c r="G182" s="2300"/>
      <c r="H182" s="2300"/>
    </row>
    <row r="183" spans="1:8">
      <c r="A183" s="2300"/>
      <c r="B183" s="2300"/>
      <c r="C183" s="2300"/>
      <c r="D183" s="2300"/>
      <c r="E183" s="2300"/>
      <c r="F183" s="2300"/>
      <c r="G183" s="2300"/>
      <c r="H183" s="2300"/>
    </row>
    <row r="184" spans="1:8">
      <c r="A184" s="2300"/>
      <c r="B184" s="2300"/>
      <c r="C184" s="2300"/>
      <c r="D184" s="2300"/>
      <c r="E184" s="2300"/>
      <c r="F184" s="2300"/>
      <c r="G184" s="2300"/>
      <c r="H184" s="2300"/>
    </row>
    <row r="185" spans="1:8">
      <c r="A185" s="2300"/>
      <c r="B185" s="2300"/>
      <c r="C185" s="2300"/>
      <c r="D185" s="2300"/>
      <c r="E185" s="2300"/>
      <c r="F185" s="2300"/>
      <c r="G185" s="2300"/>
      <c r="H185" s="2300"/>
    </row>
    <row r="186" spans="1:8">
      <c r="A186" s="2300"/>
      <c r="B186" s="2300"/>
      <c r="C186" s="2300"/>
      <c r="D186" s="2300"/>
      <c r="E186" s="2300"/>
      <c r="F186" s="2300"/>
      <c r="G186" s="2300"/>
      <c r="H186" s="2300"/>
    </row>
    <row r="187" spans="1:8" ht="15.75">
      <c r="A187" s="2302" t="s">
        <v>1029</v>
      </c>
      <c r="B187" s="2300"/>
      <c r="C187" s="2300"/>
      <c r="D187" s="2300"/>
      <c r="E187" s="2300"/>
      <c r="F187" s="2300"/>
      <c r="G187" s="2300"/>
      <c r="H187" s="2300"/>
    </row>
    <row r="188" spans="1:8">
      <c r="A188" s="2300"/>
      <c r="B188" s="2300"/>
      <c r="C188" s="2300"/>
      <c r="D188" s="2300"/>
      <c r="E188" s="2300"/>
      <c r="F188" s="2300"/>
      <c r="G188" s="2300"/>
      <c r="H188" s="2300"/>
    </row>
    <row r="189" spans="1:8">
      <c r="A189" s="2301" t="s">
        <v>1190</v>
      </c>
      <c r="B189" s="2300"/>
      <c r="C189" s="2300"/>
      <c r="D189" s="2300"/>
      <c r="E189" s="2300"/>
      <c r="F189" s="2300"/>
      <c r="G189" s="2300"/>
      <c r="H189" s="2300"/>
    </row>
    <row r="190" spans="1:8">
      <c r="A190" s="2301" t="s">
        <v>1191</v>
      </c>
      <c r="B190" s="2300"/>
      <c r="C190" s="2300"/>
      <c r="D190" s="2300"/>
      <c r="E190" s="2300"/>
      <c r="F190" s="2300"/>
      <c r="G190" s="2300"/>
      <c r="H190" s="2300"/>
    </row>
    <row r="191" spans="1:8">
      <c r="A191" s="2301" t="s">
        <v>1192</v>
      </c>
      <c r="B191" s="2300"/>
      <c r="C191" s="2300"/>
      <c r="D191" s="2300"/>
      <c r="E191" s="2300"/>
      <c r="F191" s="2300"/>
      <c r="G191" s="2300"/>
      <c r="H191" s="2300"/>
    </row>
    <row r="192" spans="1:8">
      <c r="A192" s="2301" t="s">
        <v>1193</v>
      </c>
      <c r="B192" s="2300"/>
      <c r="C192" s="2300"/>
      <c r="D192" s="2300"/>
      <c r="E192" s="2300"/>
      <c r="F192" s="2300"/>
      <c r="G192" s="2300"/>
      <c r="H192" s="2300"/>
    </row>
    <row r="193" spans="1:8">
      <c r="A193" s="2301" t="s">
        <v>1194</v>
      </c>
      <c r="B193" s="2300"/>
      <c r="C193" s="2300"/>
      <c r="D193" s="2300"/>
      <c r="E193" s="2300"/>
      <c r="F193" s="2300"/>
      <c r="G193" s="2300"/>
      <c r="H193" s="2300"/>
    </row>
    <row r="194" spans="1:8">
      <c r="A194" s="2300"/>
      <c r="B194" s="2300"/>
      <c r="C194" s="2300"/>
      <c r="D194" s="2300"/>
      <c r="E194" s="2300"/>
      <c r="F194" s="2300"/>
      <c r="G194" s="2300"/>
      <c r="H194" s="2300"/>
    </row>
    <row r="195" spans="1:8">
      <c r="A195" s="2301" t="s">
        <v>1187</v>
      </c>
      <c r="B195" s="2300"/>
      <c r="C195" s="2300"/>
      <c r="D195" s="2300"/>
      <c r="E195" s="2300"/>
      <c r="F195" s="2300"/>
      <c r="G195" s="2300"/>
      <c r="H195" s="2300"/>
    </row>
    <row r="196" spans="1:8">
      <c r="A196" s="2301" t="s">
        <v>1188</v>
      </c>
      <c r="B196" s="2300"/>
      <c r="C196" s="2300"/>
      <c r="D196" s="2300"/>
      <c r="E196" s="2300"/>
      <c r="F196" s="2300"/>
      <c r="G196" s="2300"/>
      <c r="H196" s="2300"/>
    </row>
    <row r="197" spans="1:8">
      <c r="A197" s="2301" t="s">
        <v>1189</v>
      </c>
      <c r="B197" s="2300"/>
      <c r="C197" s="2300"/>
      <c r="D197" s="2300"/>
      <c r="E197" s="2300"/>
      <c r="F197" s="2300"/>
      <c r="G197" s="2300"/>
      <c r="H197" s="2300"/>
    </row>
    <row r="198" spans="1:8" ht="15.75">
      <c r="A198" s="2302" t="s">
        <v>1030</v>
      </c>
      <c r="B198" s="2300"/>
      <c r="C198" s="2300"/>
      <c r="D198" s="2300"/>
      <c r="E198" s="2300"/>
      <c r="F198" s="2300"/>
      <c r="G198" s="2300"/>
      <c r="H198" s="2300"/>
    </row>
    <row r="199" spans="1:8">
      <c r="A199" s="2300"/>
      <c r="B199" s="2300"/>
      <c r="C199" s="2300"/>
      <c r="D199" s="2300"/>
      <c r="E199" s="2300"/>
      <c r="F199" s="2300"/>
      <c r="G199" s="2300"/>
      <c r="H199" s="2300"/>
    </row>
    <row r="200" spans="1:8">
      <c r="A200" s="2301" t="s">
        <v>1185</v>
      </c>
      <c r="B200" s="2300"/>
      <c r="C200" s="2300"/>
      <c r="D200" s="2300"/>
      <c r="E200" s="2300"/>
      <c r="F200" s="2300"/>
      <c r="G200" s="2300"/>
      <c r="H200" s="2300"/>
    </row>
    <row r="201" spans="1:8">
      <c r="A201" s="2301" t="s">
        <v>1186</v>
      </c>
      <c r="B201" s="2300"/>
      <c r="C201" s="2300"/>
      <c r="D201" s="2300"/>
      <c r="E201" s="2300"/>
      <c r="F201" s="2300"/>
      <c r="G201" s="2300"/>
      <c r="H201" s="2300"/>
    </row>
    <row r="202" spans="1:8">
      <c r="A202" s="2300"/>
      <c r="B202" s="2300"/>
      <c r="C202" s="2300"/>
      <c r="D202" s="2300"/>
      <c r="E202" s="2300"/>
      <c r="F202" s="2300"/>
      <c r="G202" s="2300"/>
      <c r="H202" s="2300"/>
    </row>
    <row r="203" spans="1:8">
      <c r="A203" s="2301" t="s">
        <v>1178</v>
      </c>
      <c r="B203" s="2300"/>
      <c r="C203" s="2300"/>
      <c r="D203" s="2300"/>
      <c r="E203" s="2300"/>
      <c r="F203" s="2300"/>
      <c r="G203" s="2300"/>
      <c r="H203" s="2300"/>
    </row>
    <row r="204" spans="1:8">
      <c r="A204" s="2301" t="s">
        <v>1179</v>
      </c>
      <c r="B204" s="2300"/>
      <c r="C204" s="2300"/>
      <c r="D204" s="2300"/>
      <c r="E204" s="2300"/>
      <c r="F204" s="2300"/>
      <c r="G204" s="2300"/>
      <c r="H204" s="2300"/>
    </row>
    <row r="205" spans="1:8">
      <c r="A205" s="2301" t="s">
        <v>1180</v>
      </c>
      <c r="B205" s="2300"/>
      <c r="C205" s="2300"/>
      <c r="D205" s="2300"/>
      <c r="E205" s="2300"/>
      <c r="F205" s="2300"/>
      <c r="G205" s="2300"/>
      <c r="H205" s="2300"/>
    </row>
    <row r="206" spans="1:8">
      <c r="A206" s="2301" t="s">
        <v>1181</v>
      </c>
      <c r="B206" s="2300"/>
      <c r="C206" s="2300"/>
      <c r="D206" s="2300"/>
      <c r="E206" s="2300"/>
      <c r="F206" s="2300"/>
      <c r="G206" s="2300"/>
      <c r="H206" s="2300"/>
    </row>
    <row r="207" spans="1:8">
      <c r="A207" s="2301" t="s">
        <v>1182</v>
      </c>
      <c r="B207" s="2300"/>
      <c r="C207" s="2300"/>
      <c r="D207" s="2300"/>
      <c r="E207" s="2300"/>
      <c r="F207" s="2300"/>
      <c r="G207" s="2300"/>
      <c r="H207" s="2300"/>
    </row>
    <row r="208" spans="1:8">
      <c r="A208" s="2301" t="s">
        <v>1183</v>
      </c>
      <c r="B208" s="2300"/>
      <c r="C208" s="2300"/>
      <c r="D208" s="2300"/>
      <c r="E208" s="2300"/>
      <c r="F208" s="2300"/>
      <c r="G208" s="2300"/>
      <c r="H208" s="2300"/>
    </row>
    <row r="209" spans="1:8">
      <c r="A209" s="2301" t="s">
        <v>1184</v>
      </c>
      <c r="B209" s="2300"/>
      <c r="C209" s="2300"/>
      <c r="D209" s="2300"/>
      <c r="E209" s="2300"/>
      <c r="F209" s="2300"/>
      <c r="G209" s="2300"/>
      <c r="H209" s="2300"/>
    </row>
    <row r="210" spans="1:8">
      <c r="A210" s="2300"/>
      <c r="B210" s="2300"/>
      <c r="C210" s="2300"/>
      <c r="D210" s="2300"/>
      <c r="E210" s="2300"/>
      <c r="F210" s="2300"/>
      <c r="G210" s="2300"/>
      <c r="H210" s="2300"/>
    </row>
    <row r="211" spans="1:8">
      <c r="A211" s="2301" t="s">
        <v>1175</v>
      </c>
      <c r="B211" s="2300"/>
      <c r="C211" s="2300"/>
      <c r="D211" s="2300"/>
      <c r="E211" s="2300"/>
      <c r="F211" s="2300"/>
      <c r="G211" s="2300"/>
      <c r="H211" s="2300"/>
    </row>
    <row r="212" spans="1:8">
      <c r="A212" s="2301" t="s">
        <v>1176</v>
      </c>
      <c r="B212" s="2300"/>
      <c r="C212" s="2300"/>
      <c r="D212" s="2300"/>
      <c r="E212" s="2300"/>
      <c r="F212" s="2300"/>
      <c r="G212" s="2300"/>
      <c r="H212" s="2300"/>
    </row>
    <row r="213" spans="1:8">
      <c r="A213" s="2301" t="s">
        <v>1177</v>
      </c>
      <c r="B213" s="2300"/>
      <c r="C213" s="2300"/>
      <c r="D213" s="2300"/>
      <c r="E213" s="2300"/>
      <c r="F213" s="2300"/>
      <c r="G213" s="2300"/>
      <c r="H213" s="2300"/>
    </row>
    <row r="214" spans="1:8">
      <c r="A214" s="2300"/>
      <c r="B214" s="2300"/>
      <c r="C214" s="2300"/>
      <c r="D214" s="2300"/>
      <c r="E214" s="2300"/>
      <c r="F214" s="2300"/>
      <c r="G214" s="2300"/>
      <c r="H214" s="2300"/>
    </row>
    <row r="215" spans="1:8">
      <c r="A215" s="2301" t="s">
        <v>1170</v>
      </c>
      <c r="B215" s="2300"/>
      <c r="C215" s="2300"/>
      <c r="D215" s="2300"/>
      <c r="E215" s="2300"/>
      <c r="F215" s="2300"/>
      <c r="G215" s="2300"/>
      <c r="H215" s="2300"/>
    </row>
    <row r="216" spans="1:8">
      <c r="A216" s="2301" t="s">
        <v>1171</v>
      </c>
      <c r="B216" s="2300"/>
      <c r="C216" s="2300"/>
      <c r="D216" s="2300"/>
      <c r="E216" s="2300"/>
      <c r="F216" s="2300"/>
      <c r="G216" s="2300"/>
      <c r="H216" s="2300"/>
    </row>
    <row r="217" spans="1:8">
      <c r="A217" s="2301" t="s">
        <v>1172</v>
      </c>
      <c r="B217" s="2300"/>
      <c r="C217" s="2300"/>
      <c r="D217" s="2300"/>
      <c r="E217" s="2300"/>
      <c r="F217" s="2300"/>
      <c r="G217" s="2300"/>
      <c r="H217" s="2300"/>
    </row>
    <row r="218" spans="1:8">
      <c r="A218" s="2301" t="s">
        <v>1173</v>
      </c>
      <c r="B218" s="2300"/>
      <c r="C218" s="2300"/>
      <c r="D218" s="2300"/>
      <c r="E218" s="2300"/>
      <c r="F218" s="2300"/>
      <c r="G218" s="2300"/>
      <c r="H218" s="2300"/>
    </row>
    <row r="219" spans="1:8">
      <c r="A219" s="2301" t="s">
        <v>1174</v>
      </c>
      <c r="B219" s="2300"/>
      <c r="C219" s="2300"/>
      <c r="D219" s="2300"/>
      <c r="E219" s="2300"/>
      <c r="F219" s="2300"/>
      <c r="G219" s="2300"/>
      <c r="H219" s="2300"/>
    </row>
    <row r="220" spans="1:8">
      <c r="A220" s="2300"/>
      <c r="B220" s="2300"/>
      <c r="C220" s="2300"/>
      <c r="D220" s="2300"/>
      <c r="E220" s="2300"/>
      <c r="F220" s="2300"/>
      <c r="G220" s="2300"/>
      <c r="H220" s="2300"/>
    </row>
    <row r="221" spans="1:8">
      <c r="A221" s="2301" t="s">
        <v>1164</v>
      </c>
      <c r="B221" s="2300"/>
      <c r="C221" s="2300"/>
      <c r="D221" s="2300"/>
      <c r="E221" s="2300"/>
      <c r="F221" s="2300"/>
      <c r="G221" s="2300"/>
      <c r="H221" s="2300"/>
    </row>
    <row r="222" spans="1:8">
      <c r="A222" s="2301" t="s">
        <v>1165</v>
      </c>
      <c r="B222" s="2300"/>
      <c r="C222" s="2300"/>
      <c r="D222" s="2300"/>
      <c r="E222" s="2300"/>
      <c r="F222" s="2300"/>
      <c r="G222" s="2300"/>
      <c r="H222" s="2300"/>
    </row>
    <row r="223" spans="1:8">
      <c r="A223" s="2301" t="s">
        <v>1166</v>
      </c>
      <c r="B223" s="2300"/>
      <c r="C223" s="2300"/>
      <c r="D223" s="2300"/>
      <c r="E223" s="2300"/>
      <c r="F223" s="2300"/>
      <c r="G223" s="2300"/>
      <c r="H223" s="2300"/>
    </row>
    <row r="224" spans="1:8">
      <c r="A224" s="2301" t="s">
        <v>1167</v>
      </c>
      <c r="B224" s="2300"/>
      <c r="C224" s="2300"/>
      <c r="D224" s="2300"/>
      <c r="E224" s="2300"/>
      <c r="F224" s="2300"/>
      <c r="G224" s="2300"/>
      <c r="H224" s="2300"/>
    </row>
    <row r="225" spans="1:8">
      <c r="A225" s="2301" t="s">
        <v>1168</v>
      </c>
      <c r="B225" s="2300"/>
      <c r="C225" s="2300"/>
      <c r="D225" s="2300"/>
      <c r="E225" s="2300"/>
      <c r="F225" s="2300"/>
      <c r="G225" s="2300"/>
      <c r="H225" s="2300"/>
    </row>
    <row r="226" spans="1:8">
      <c r="A226" s="2301" t="s">
        <v>1169</v>
      </c>
      <c r="B226" s="2300"/>
      <c r="C226" s="2300"/>
      <c r="D226" s="2300"/>
      <c r="E226" s="2300"/>
      <c r="F226" s="2300"/>
      <c r="G226" s="2300"/>
      <c r="H226" s="2300"/>
    </row>
    <row r="227" spans="1:8">
      <c r="A227" s="2300"/>
      <c r="B227" s="2300"/>
      <c r="C227" s="2300"/>
      <c r="D227" s="2300"/>
      <c r="E227" s="2300"/>
      <c r="F227" s="2300"/>
      <c r="G227" s="2300"/>
      <c r="H227" s="2300"/>
    </row>
    <row r="228" spans="1:8">
      <c r="A228" s="2301" t="s">
        <v>1154</v>
      </c>
      <c r="B228" s="2300"/>
      <c r="C228" s="2300"/>
      <c r="D228" s="2300"/>
      <c r="E228" s="2300"/>
      <c r="F228" s="2300"/>
      <c r="G228" s="2300"/>
      <c r="H228" s="2300"/>
    </row>
    <row r="229" spans="1:8">
      <c r="A229" s="2301" t="s">
        <v>1155</v>
      </c>
      <c r="B229" s="2300"/>
      <c r="C229" s="2300"/>
      <c r="D229" s="2300"/>
      <c r="E229" s="2300"/>
      <c r="F229" s="2300"/>
      <c r="G229" s="2300"/>
      <c r="H229" s="2300"/>
    </row>
    <row r="230" spans="1:8">
      <c r="A230" s="2301" t="s">
        <v>1156</v>
      </c>
      <c r="B230" s="2300"/>
      <c r="C230" s="2300"/>
      <c r="D230" s="2300"/>
      <c r="E230" s="2300"/>
      <c r="F230" s="2300"/>
      <c r="G230" s="2300"/>
      <c r="H230" s="2300"/>
    </row>
    <row r="231" spans="1:8">
      <c r="A231" s="2301" t="s">
        <v>1157</v>
      </c>
      <c r="B231" s="2300"/>
      <c r="C231" s="2300"/>
      <c r="D231" s="2300"/>
      <c r="E231" s="2300"/>
      <c r="F231" s="2300"/>
      <c r="G231" s="2300"/>
      <c r="H231" s="2300"/>
    </row>
    <row r="232" spans="1:8">
      <c r="A232" s="2301" t="s">
        <v>1158</v>
      </c>
      <c r="B232" s="2300"/>
      <c r="C232" s="2300"/>
      <c r="D232" s="2300"/>
      <c r="E232" s="2300"/>
      <c r="F232" s="2300"/>
      <c r="G232" s="2300"/>
      <c r="H232" s="2300"/>
    </row>
    <row r="233" spans="1:8">
      <c r="A233" s="2301" t="s">
        <v>1159</v>
      </c>
      <c r="B233" s="2300"/>
      <c r="C233" s="2300"/>
      <c r="D233" s="2300"/>
      <c r="E233" s="2300"/>
      <c r="F233" s="2300"/>
      <c r="G233" s="2300"/>
      <c r="H233" s="2300"/>
    </row>
    <row r="234" spans="1:8">
      <c r="A234" s="2301" t="s">
        <v>1160</v>
      </c>
      <c r="B234" s="2300"/>
      <c r="C234" s="2300"/>
      <c r="D234" s="2300"/>
      <c r="E234" s="2300"/>
      <c r="F234" s="2300"/>
      <c r="G234" s="2300"/>
      <c r="H234" s="2300"/>
    </row>
    <row r="235" spans="1:8">
      <c r="A235" s="2301" t="s">
        <v>1161</v>
      </c>
      <c r="B235" s="2300"/>
      <c r="C235" s="2300"/>
      <c r="D235" s="2300"/>
      <c r="E235" s="2300"/>
      <c r="F235" s="2300"/>
      <c r="G235" s="2300"/>
      <c r="H235" s="2300"/>
    </row>
    <row r="236" spans="1:8">
      <c r="A236" s="2301" t="s">
        <v>1162</v>
      </c>
      <c r="B236" s="2300"/>
      <c r="C236" s="2300"/>
      <c r="D236" s="2300"/>
      <c r="E236" s="2300"/>
      <c r="F236" s="2300"/>
      <c r="G236" s="2300"/>
      <c r="H236" s="2300"/>
    </row>
    <row r="237" spans="1:8">
      <c r="A237" s="2301" t="s">
        <v>1163</v>
      </c>
      <c r="B237" s="2300"/>
      <c r="C237" s="2300"/>
      <c r="D237" s="2300"/>
      <c r="E237" s="2300"/>
      <c r="F237" s="2300"/>
      <c r="G237" s="2300"/>
      <c r="H237" s="2300"/>
    </row>
    <row r="238" spans="1:8">
      <c r="A238" s="2300"/>
      <c r="B238" s="2300"/>
      <c r="C238" s="2300"/>
      <c r="D238" s="2300"/>
      <c r="E238" s="2300"/>
      <c r="F238" s="2300"/>
      <c r="G238" s="2300"/>
      <c r="H238" s="2300"/>
    </row>
    <row r="239" spans="1:8">
      <c r="A239" s="2301" t="s">
        <v>1152</v>
      </c>
      <c r="B239" s="2300"/>
      <c r="C239" s="2300"/>
      <c r="D239" s="2300"/>
      <c r="E239" s="2300"/>
      <c r="F239" s="2300"/>
      <c r="G239" s="2300"/>
      <c r="H239" s="2300"/>
    </row>
    <row r="240" spans="1:8">
      <c r="A240" s="2301" t="s">
        <v>1153</v>
      </c>
      <c r="B240" s="2300"/>
      <c r="C240" s="2300"/>
      <c r="D240" s="2300"/>
      <c r="E240" s="2300"/>
      <c r="F240" s="2300"/>
      <c r="G240" s="2300"/>
      <c r="H240" s="2300"/>
    </row>
    <row r="241" spans="1:8">
      <c r="A241" s="2300"/>
      <c r="B241" s="2300"/>
      <c r="C241" s="2300"/>
      <c r="D241" s="2300"/>
      <c r="E241" s="2300"/>
      <c r="F241" s="2300"/>
      <c r="G241" s="2300"/>
      <c r="H241" s="2300"/>
    </row>
    <row r="242" spans="1:8">
      <c r="A242" s="2301" t="s">
        <v>1136</v>
      </c>
      <c r="B242" s="2300"/>
      <c r="C242" s="2300"/>
      <c r="D242" s="2300"/>
      <c r="E242" s="2300"/>
      <c r="F242" s="2300"/>
      <c r="G242" s="2300"/>
      <c r="H242" s="2300"/>
    </row>
    <row r="243" spans="1:8">
      <c r="A243" s="2301" t="s">
        <v>1137</v>
      </c>
      <c r="B243" s="2300"/>
      <c r="C243" s="2300"/>
      <c r="D243" s="2300"/>
      <c r="E243" s="2300"/>
      <c r="F243" s="2300"/>
      <c r="G243" s="2300"/>
      <c r="H243" s="2300"/>
    </row>
    <row r="244" spans="1:8">
      <c r="A244" s="2301" t="s">
        <v>1138</v>
      </c>
      <c r="B244" s="2300"/>
      <c r="C244" s="2300"/>
      <c r="D244" s="2300"/>
      <c r="E244" s="2300"/>
      <c r="F244" s="2300"/>
      <c r="G244" s="2300"/>
      <c r="H244" s="2300"/>
    </row>
    <row r="245" spans="1:8">
      <c r="A245" s="2301" t="s">
        <v>1139</v>
      </c>
      <c r="B245" s="2300"/>
      <c r="C245" s="2300"/>
      <c r="D245" s="2300"/>
      <c r="E245" s="2300"/>
      <c r="F245" s="2300"/>
      <c r="G245" s="2300"/>
      <c r="H245" s="2300"/>
    </row>
    <row r="246" spans="1:8">
      <c r="A246" s="2301" t="s">
        <v>1140</v>
      </c>
      <c r="B246" s="2300"/>
      <c r="C246" s="2300"/>
      <c r="D246" s="2300"/>
      <c r="E246" s="2300"/>
      <c r="F246" s="2300"/>
      <c r="G246" s="2300"/>
      <c r="H246" s="2300"/>
    </row>
    <row r="247" spans="1:8">
      <c r="A247" s="2301" t="s">
        <v>1141</v>
      </c>
      <c r="B247" s="2300"/>
      <c r="C247" s="2300"/>
      <c r="D247" s="2300"/>
      <c r="E247" s="2300"/>
      <c r="F247" s="2300"/>
      <c r="G247" s="2300"/>
      <c r="H247" s="2300"/>
    </row>
    <row r="248" spans="1:8">
      <c r="A248" s="2301" t="s">
        <v>1142</v>
      </c>
      <c r="B248" s="2300"/>
      <c r="C248" s="2300"/>
      <c r="D248" s="2300"/>
      <c r="E248" s="2300"/>
      <c r="F248" s="2300"/>
      <c r="G248" s="2300"/>
      <c r="H248" s="2300"/>
    </row>
    <row r="249" spans="1:8">
      <c r="A249" s="2301" t="s">
        <v>1143</v>
      </c>
      <c r="B249" s="2300"/>
      <c r="C249" s="2300"/>
      <c r="D249" s="2300"/>
      <c r="E249" s="2300"/>
      <c r="F249" s="2300"/>
      <c r="G249" s="2300"/>
      <c r="H249" s="2300"/>
    </row>
    <row r="250" spans="1:8">
      <c r="A250" s="2301" t="s">
        <v>1144</v>
      </c>
      <c r="B250" s="2300"/>
      <c r="C250" s="2300"/>
      <c r="D250" s="2300"/>
      <c r="E250" s="2300"/>
      <c r="F250" s="2300"/>
      <c r="G250" s="2300"/>
      <c r="H250" s="2300"/>
    </row>
    <row r="251" spans="1:8">
      <c r="A251" s="2301" t="s">
        <v>1145</v>
      </c>
      <c r="B251" s="2300"/>
      <c r="C251" s="2300"/>
      <c r="D251" s="2300"/>
      <c r="E251" s="2300"/>
      <c r="F251" s="2300"/>
      <c r="G251" s="2300"/>
      <c r="H251" s="2300"/>
    </row>
    <row r="252" spans="1:8">
      <c r="A252" s="2301" t="s">
        <v>1146</v>
      </c>
      <c r="B252" s="2300"/>
      <c r="C252" s="2300"/>
      <c r="D252" s="2300"/>
      <c r="E252" s="2300"/>
      <c r="F252" s="2300"/>
      <c r="G252" s="2300"/>
      <c r="H252" s="2300"/>
    </row>
    <row r="253" spans="1:8">
      <c r="A253" s="2301" t="s">
        <v>1147</v>
      </c>
      <c r="B253" s="2300"/>
      <c r="C253" s="2300"/>
      <c r="D253" s="2300"/>
      <c r="E253" s="2300"/>
      <c r="F253" s="2300"/>
      <c r="G253" s="2300"/>
      <c r="H253" s="2300"/>
    </row>
    <row r="254" spans="1:8">
      <c r="A254" s="2301" t="s">
        <v>1148</v>
      </c>
      <c r="B254" s="2300"/>
      <c r="C254" s="2300"/>
      <c r="D254" s="2300"/>
      <c r="E254" s="2300"/>
      <c r="F254" s="2300"/>
      <c r="G254" s="2300"/>
      <c r="H254" s="2300"/>
    </row>
    <row r="255" spans="1:8">
      <c r="A255" s="2301" t="s">
        <v>1149</v>
      </c>
      <c r="B255" s="2300"/>
      <c r="C255" s="2300"/>
      <c r="D255" s="2300"/>
      <c r="E255" s="2300"/>
      <c r="F255" s="2300"/>
      <c r="G255" s="2300"/>
      <c r="H255" s="2300"/>
    </row>
    <row r="256" spans="1:8">
      <c r="A256" s="2301" t="s">
        <v>1150</v>
      </c>
      <c r="B256" s="2300"/>
      <c r="C256" s="2300"/>
      <c r="D256" s="2300"/>
      <c r="E256" s="2300"/>
      <c r="F256" s="2300"/>
      <c r="G256" s="2300"/>
      <c r="H256" s="2300"/>
    </row>
    <row r="257" spans="1:8">
      <c r="A257" s="2301" t="s">
        <v>1151</v>
      </c>
      <c r="B257" s="2300"/>
      <c r="C257" s="2300"/>
      <c r="D257" s="2300"/>
      <c r="E257" s="2300"/>
      <c r="F257" s="2300"/>
      <c r="G257" s="2300"/>
      <c r="H257" s="2300"/>
    </row>
    <row r="258" spans="1:8">
      <c r="A258" s="2300"/>
      <c r="B258" s="2300"/>
      <c r="C258" s="2300"/>
      <c r="D258" s="2300"/>
      <c r="E258" s="2300"/>
      <c r="F258" s="2300"/>
      <c r="G258" s="2300"/>
      <c r="H258" s="2300"/>
    </row>
    <row r="259" spans="1:8">
      <c r="A259" s="2301" t="s">
        <v>1129</v>
      </c>
      <c r="B259" s="2300"/>
      <c r="C259" s="2300"/>
      <c r="D259" s="2300"/>
      <c r="E259" s="2300"/>
      <c r="F259" s="2300"/>
      <c r="G259" s="2300"/>
      <c r="H259" s="2300"/>
    </row>
    <row r="260" spans="1:8">
      <c r="A260" s="2301" t="s">
        <v>1130</v>
      </c>
      <c r="B260" s="2300"/>
      <c r="C260" s="2300"/>
      <c r="D260" s="2300"/>
      <c r="E260" s="2300"/>
      <c r="F260" s="2300"/>
      <c r="G260" s="2300"/>
      <c r="H260" s="2300"/>
    </row>
    <row r="261" spans="1:8">
      <c r="A261" s="2301" t="s">
        <v>1131</v>
      </c>
      <c r="B261" s="2300"/>
      <c r="C261" s="2300"/>
      <c r="D261" s="2300"/>
      <c r="E261" s="2300"/>
      <c r="F261" s="2300"/>
      <c r="G261" s="2300"/>
      <c r="H261" s="2300"/>
    </row>
    <row r="262" spans="1:8">
      <c r="A262" s="2301" t="s">
        <v>1132</v>
      </c>
      <c r="B262" s="2300"/>
      <c r="C262" s="2300"/>
      <c r="D262" s="2300"/>
      <c r="E262" s="2300"/>
      <c r="F262" s="2300"/>
      <c r="G262" s="2300"/>
      <c r="H262" s="2300"/>
    </row>
    <row r="263" spans="1:8">
      <c r="A263" s="2301" t="s">
        <v>1133</v>
      </c>
      <c r="B263" s="2300"/>
      <c r="C263" s="2300"/>
      <c r="D263" s="2300"/>
      <c r="E263" s="2300"/>
      <c r="F263" s="2300"/>
      <c r="G263" s="2300"/>
      <c r="H263" s="2300"/>
    </row>
    <row r="264" spans="1:8">
      <c r="A264" s="2301" t="s">
        <v>1134</v>
      </c>
      <c r="B264" s="2300"/>
      <c r="C264" s="2300"/>
      <c r="D264" s="2300"/>
      <c r="E264" s="2300"/>
      <c r="F264" s="2300"/>
      <c r="G264" s="2300"/>
      <c r="H264" s="2300"/>
    </row>
    <row r="265" spans="1:8">
      <c r="A265" s="2301" t="s">
        <v>1135</v>
      </c>
      <c r="B265" s="2300"/>
      <c r="C265" s="2300"/>
      <c r="D265" s="2300"/>
      <c r="E265" s="2300"/>
      <c r="F265" s="2300"/>
      <c r="G265" s="2300"/>
      <c r="H265" s="2300"/>
    </row>
    <row r="266" spans="1:8">
      <c r="A266" s="2300"/>
      <c r="B266" s="2300"/>
      <c r="C266" s="2300"/>
      <c r="D266" s="2300"/>
      <c r="E266" s="2300"/>
      <c r="F266" s="2300"/>
      <c r="G266" s="2300"/>
      <c r="H266" s="2300"/>
    </row>
    <row r="267" spans="1:8">
      <c r="A267" s="2301" t="s">
        <v>1120</v>
      </c>
      <c r="B267" s="2300"/>
      <c r="C267" s="2300"/>
      <c r="D267" s="2300"/>
      <c r="E267" s="2300"/>
      <c r="F267" s="2300"/>
      <c r="G267" s="2300"/>
      <c r="H267" s="2300"/>
    </row>
    <row r="268" spans="1:8">
      <c r="A268" s="2301" t="s">
        <v>1121</v>
      </c>
      <c r="B268" s="2300"/>
      <c r="C268" s="2300"/>
      <c r="D268" s="2300"/>
      <c r="E268" s="2300"/>
      <c r="F268" s="2300"/>
      <c r="G268" s="2300"/>
      <c r="H268" s="2300"/>
    </row>
    <row r="269" spans="1:8">
      <c r="A269" s="2301" t="s">
        <v>1122</v>
      </c>
      <c r="B269" s="2300"/>
      <c r="C269" s="2300"/>
      <c r="D269" s="2300"/>
      <c r="E269" s="2300"/>
      <c r="F269" s="2300"/>
      <c r="G269" s="2300"/>
      <c r="H269" s="2300"/>
    </row>
    <row r="270" spans="1:8">
      <c r="A270" s="2301" t="s">
        <v>1123</v>
      </c>
      <c r="B270" s="2300"/>
      <c r="C270" s="2300"/>
      <c r="D270" s="2300"/>
      <c r="E270" s="2300"/>
      <c r="F270" s="2300"/>
      <c r="G270" s="2300"/>
      <c r="H270" s="2300"/>
    </row>
    <row r="271" spans="1:8">
      <c r="A271" s="2301" t="s">
        <v>1124</v>
      </c>
      <c r="B271" s="2300"/>
      <c r="C271" s="2300"/>
      <c r="D271" s="2300"/>
      <c r="E271" s="2300"/>
      <c r="F271" s="2300"/>
      <c r="G271" s="2300"/>
      <c r="H271" s="2300"/>
    </row>
    <row r="272" spans="1:8">
      <c r="A272" s="2301" t="s">
        <v>1125</v>
      </c>
      <c r="B272" s="2300"/>
      <c r="C272" s="2300"/>
      <c r="D272" s="2300"/>
      <c r="E272" s="2300"/>
      <c r="F272" s="2300"/>
      <c r="G272" s="2300"/>
      <c r="H272" s="2300"/>
    </row>
    <row r="273" spans="1:8">
      <c r="A273" s="2301" t="s">
        <v>1126</v>
      </c>
      <c r="B273" s="2300"/>
      <c r="C273" s="2300"/>
      <c r="D273" s="2300"/>
      <c r="E273" s="2300"/>
      <c r="F273" s="2300"/>
      <c r="G273" s="2300"/>
      <c r="H273" s="2300"/>
    </row>
    <row r="274" spans="1:8">
      <c r="A274" s="2301" t="s">
        <v>1127</v>
      </c>
      <c r="B274" s="2300"/>
      <c r="C274" s="2300"/>
      <c r="D274" s="2300"/>
      <c r="E274" s="2300"/>
      <c r="F274" s="2300"/>
      <c r="G274" s="2300"/>
      <c r="H274" s="2300"/>
    </row>
    <row r="275" spans="1:8">
      <c r="A275" s="2301" t="s">
        <v>1128</v>
      </c>
      <c r="B275" s="2300"/>
      <c r="C275" s="2300"/>
      <c r="D275" s="2300"/>
      <c r="E275" s="2300"/>
      <c r="F275" s="2300"/>
      <c r="G275" s="2300"/>
      <c r="H275" s="2300"/>
    </row>
    <row r="276" spans="1:8">
      <c r="A276" s="2300"/>
      <c r="B276" s="2300"/>
      <c r="C276" s="2300"/>
      <c r="D276" s="2300"/>
      <c r="E276" s="2300"/>
      <c r="F276" s="2300"/>
      <c r="G276" s="2300"/>
      <c r="H276" s="2300"/>
    </row>
    <row r="277" spans="1:8">
      <c r="A277" s="2301" t="s">
        <v>1113</v>
      </c>
      <c r="B277" s="2300"/>
      <c r="C277" s="2300"/>
      <c r="D277" s="2300"/>
      <c r="E277" s="2300"/>
      <c r="F277" s="2300"/>
      <c r="G277" s="2300"/>
      <c r="H277" s="2300"/>
    </row>
    <row r="278" spans="1:8">
      <c r="A278" s="2301" t="s">
        <v>1114</v>
      </c>
      <c r="B278" s="2300"/>
      <c r="C278" s="2300"/>
      <c r="D278" s="2300"/>
      <c r="E278" s="2300"/>
      <c r="F278" s="2300"/>
      <c r="G278" s="2300"/>
      <c r="H278" s="2300"/>
    </row>
    <row r="279" spans="1:8">
      <c r="A279" s="2301" t="s">
        <v>1115</v>
      </c>
      <c r="B279" s="2300"/>
      <c r="C279" s="2300"/>
      <c r="D279" s="2300"/>
      <c r="E279" s="2300"/>
      <c r="F279" s="2300"/>
      <c r="G279" s="2300"/>
      <c r="H279" s="2300"/>
    </row>
    <row r="280" spans="1:8">
      <c r="A280" s="2301" t="s">
        <v>1116</v>
      </c>
      <c r="B280" s="2300"/>
      <c r="C280" s="2300"/>
      <c r="D280" s="2300"/>
      <c r="E280" s="2300"/>
      <c r="F280" s="2300"/>
      <c r="G280" s="2300"/>
      <c r="H280" s="2300"/>
    </row>
    <row r="281" spans="1:8">
      <c r="A281" s="2301" t="s">
        <v>1117</v>
      </c>
      <c r="B281" s="2300"/>
      <c r="C281" s="2300"/>
      <c r="D281" s="2300"/>
      <c r="E281" s="2300"/>
      <c r="F281" s="2300"/>
      <c r="G281" s="2300"/>
      <c r="H281" s="2300"/>
    </row>
    <row r="282" spans="1:8">
      <c r="A282" s="2301" t="s">
        <v>1118</v>
      </c>
      <c r="B282" s="2300"/>
      <c r="C282" s="2300"/>
      <c r="D282" s="2300"/>
      <c r="E282" s="2300"/>
      <c r="F282" s="2300"/>
      <c r="G282" s="2300"/>
      <c r="H282" s="2300"/>
    </row>
    <row r="283" spans="1:8">
      <c r="A283" s="2301" t="s">
        <v>1119</v>
      </c>
      <c r="B283" s="2300"/>
      <c r="C283" s="2300"/>
      <c r="D283" s="2300"/>
      <c r="E283" s="2300"/>
      <c r="F283" s="2300"/>
      <c r="G283" s="2300"/>
      <c r="H283" s="2300"/>
    </row>
    <row r="284" spans="1:8">
      <c r="A284" s="2300"/>
      <c r="B284" s="2300"/>
      <c r="C284" s="2300"/>
      <c r="D284" s="2300"/>
      <c r="E284" s="2300"/>
      <c r="F284" s="2300"/>
      <c r="G284" s="2300"/>
      <c r="H284" s="2300"/>
    </row>
    <row r="285" spans="1:8">
      <c r="A285" s="2301" t="s">
        <v>1110</v>
      </c>
      <c r="B285" s="2300"/>
      <c r="C285" s="2300"/>
      <c r="D285" s="2300"/>
      <c r="E285" s="2300"/>
      <c r="F285" s="2300"/>
      <c r="G285" s="2300"/>
      <c r="H285" s="2300"/>
    </row>
    <row r="286" spans="1:8">
      <c r="A286" s="2301" t="s">
        <v>1111</v>
      </c>
      <c r="B286" s="2300"/>
      <c r="C286" s="2300"/>
      <c r="D286" s="2300"/>
      <c r="E286" s="2300"/>
      <c r="F286" s="2300"/>
      <c r="G286" s="2300"/>
      <c r="H286" s="2300"/>
    </row>
    <row r="287" spans="1:8">
      <c r="A287" s="2301" t="s">
        <v>1112</v>
      </c>
      <c r="B287" s="2300"/>
      <c r="C287" s="2300"/>
      <c r="D287" s="2300"/>
      <c r="E287" s="2300"/>
      <c r="F287" s="2300"/>
      <c r="G287" s="2300"/>
      <c r="H287" s="2300"/>
    </row>
    <row r="288" spans="1:8">
      <c r="A288" s="2300"/>
      <c r="B288" s="2300"/>
      <c r="C288" s="2300"/>
      <c r="D288" s="2300"/>
      <c r="E288" s="2300"/>
      <c r="F288" s="2300"/>
      <c r="G288" s="2300"/>
      <c r="H288" s="2300"/>
    </row>
    <row r="289" spans="1:8">
      <c r="A289" s="2301" t="s">
        <v>1108</v>
      </c>
      <c r="B289" s="2300"/>
      <c r="C289" s="2300"/>
      <c r="D289" s="2300"/>
      <c r="E289" s="2300"/>
      <c r="F289" s="2300"/>
      <c r="G289" s="2300"/>
      <c r="H289" s="2300"/>
    </row>
    <row r="290" spans="1:8">
      <c r="A290" s="2301" t="s">
        <v>1109</v>
      </c>
      <c r="B290" s="2300"/>
      <c r="C290" s="2300"/>
      <c r="D290" s="2300"/>
      <c r="E290" s="2300"/>
      <c r="F290" s="2300"/>
      <c r="G290" s="2300"/>
      <c r="H290" s="2300"/>
    </row>
    <row r="291" spans="1:8">
      <c r="A291" s="2300"/>
      <c r="B291" s="2300"/>
      <c r="C291" s="2300"/>
      <c r="D291" s="2300"/>
      <c r="E291" s="2300"/>
      <c r="F291" s="2300"/>
      <c r="G291" s="2300"/>
      <c r="H291" s="2300"/>
    </row>
    <row r="292" spans="1:8">
      <c r="A292" s="2301" t="s">
        <v>1095</v>
      </c>
      <c r="B292" s="2300"/>
      <c r="C292" s="2300"/>
      <c r="D292" s="2300"/>
      <c r="E292" s="2300"/>
      <c r="F292" s="2300"/>
      <c r="G292" s="2300"/>
      <c r="H292" s="2300"/>
    </row>
    <row r="293" spans="1:8">
      <c r="A293" s="2301" t="s">
        <v>1096</v>
      </c>
      <c r="B293" s="2300"/>
      <c r="C293" s="2300"/>
      <c r="D293" s="2300"/>
      <c r="E293" s="2300"/>
      <c r="F293" s="2300"/>
      <c r="G293" s="2300"/>
      <c r="H293" s="2300"/>
    </row>
    <row r="294" spans="1:8">
      <c r="A294" s="2301" t="s">
        <v>1097</v>
      </c>
      <c r="B294" s="2300"/>
      <c r="C294" s="2300"/>
      <c r="D294" s="2300"/>
      <c r="E294" s="2300"/>
      <c r="F294" s="2300"/>
      <c r="G294" s="2300"/>
      <c r="H294" s="2300"/>
    </row>
    <row r="295" spans="1:8">
      <c r="A295" s="2301" t="s">
        <v>1098</v>
      </c>
      <c r="B295" s="2300"/>
      <c r="C295" s="2300"/>
      <c r="D295" s="2300"/>
      <c r="E295" s="2300"/>
      <c r="F295" s="2300"/>
      <c r="G295" s="2300"/>
      <c r="H295" s="2300"/>
    </row>
    <row r="296" spans="1:8">
      <c r="A296" s="2301" t="s">
        <v>1099</v>
      </c>
      <c r="B296" s="2300"/>
      <c r="C296" s="2300"/>
      <c r="D296" s="2300"/>
      <c r="E296" s="2300"/>
      <c r="F296" s="2300"/>
      <c r="G296" s="2300"/>
      <c r="H296" s="2300"/>
    </row>
    <row r="297" spans="1:8">
      <c r="A297" s="2301" t="s">
        <v>1100</v>
      </c>
      <c r="B297" s="2300"/>
      <c r="C297" s="2300"/>
      <c r="D297" s="2300"/>
      <c r="E297" s="2300"/>
      <c r="F297" s="2300"/>
      <c r="G297" s="2300"/>
      <c r="H297" s="2300"/>
    </row>
    <row r="298" spans="1:8">
      <c r="A298" s="2301" t="s">
        <v>1101</v>
      </c>
      <c r="B298" s="2300"/>
      <c r="C298" s="2300"/>
      <c r="D298" s="2300"/>
      <c r="E298" s="2300"/>
      <c r="F298" s="2300"/>
      <c r="G298" s="2300"/>
      <c r="H298" s="2300"/>
    </row>
    <row r="299" spans="1:8">
      <c r="A299" s="2301" t="s">
        <v>1102</v>
      </c>
      <c r="B299" s="2300"/>
      <c r="C299" s="2300"/>
      <c r="D299" s="2300"/>
      <c r="E299" s="2300"/>
      <c r="F299" s="2300"/>
      <c r="G299" s="2300"/>
      <c r="H299" s="2300"/>
    </row>
    <row r="300" spans="1:8">
      <c r="A300" s="2301" t="s">
        <v>1103</v>
      </c>
      <c r="B300" s="2300"/>
      <c r="C300" s="2300"/>
      <c r="D300" s="2300"/>
      <c r="E300" s="2300"/>
      <c r="F300" s="2300"/>
      <c r="G300" s="2300"/>
      <c r="H300" s="2300"/>
    </row>
    <row r="301" spans="1:8">
      <c r="A301" s="2301" t="s">
        <v>1104</v>
      </c>
      <c r="B301" s="2300"/>
      <c r="C301" s="2300"/>
      <c r="D301" s="2300"/>
      <c r="E301" s="2300"/>
      <c r="F301" s="2300"/>
      <c r="G301" s="2300"/>
      <c r="H301" s="2300"/>
    </row>
    <row r="302" spans="1:8">
      <c r="A302" s="2301" t="s">
        <v>1105</v>
      </c>
      <c r="B302" s="2300"/>
      <c r="C302" s="2300"/>
      <c r="D302" s="2300"/>
      <c r="E302" s="2300"/>
      <c r="F302" s="2300"/>
      <c r="G302" s="2300"/>
      <c r="H302" s="2300"/>
    </row>
    <row r="303" spans="1:8">
      <c r="A303" s="2301" t="s">
        <v>1106</v>
      </c>
      <c r="B303" s="2300"/>
      <c r="C303" s="2300"/>
      <c r="D303" s="2300"/>
      <c r="E303" s="2300"/>
      <c r="F303" s="2300"/>
      <c r="G303" s="2300"/>
      <c r="H303" s="2300"/>
    </row>
    <row r="304" spans="1:8">
      <c r="A304" s="2301" t="s">
        <v>1107</v>
      </c>
      <c r="B304" s="2300"/>
      <c r="C304" s="2300"/>
      <c r="D304" s="2300"/>
      <c r="E304" s="2300"/>
      <c r="F304" s="2300"/>
      <c r="G304" s="2300"/>
      <c r="H304" s="2300"/>
    </row>
    <row r="305" spans="1:8">
      <c r="A305" s="2300"/>
      <c r="B305" s="2300"/>
      <c r="C305" s="2300"/>
      <c r="D305" s="2300"/>
      <c r="E305" s="2300"/>
      <c r="F305" s="2300"/>
      <c r="G305" s="2300"/>
      <c r="H305" s="2300"/>
    </row>
    <row r="306" spans="1:8">
      <c r="A306" s="2301" t="s">
        <v>1087</v>
      </c>
      <c r="B306" s="2300"/>
      <c r="C306" s="2300"/>
      <c r="D306" s="2300"/>
      <c r="E306" s="2300"/>
      <c r="F306" s="2300"/>
      <c r="G306" s="2300"/>
      <c r="H306" s="2300"/>
    </row>
    <row r="307" spans="1:8">
      <c r="A307" s="2301" t="s">
        <v>1088</v>
      </c>
      <c r="B307" s="2300"/>
      <c r="C307" s="2300"/>
      <c r="D307" s="2300"/>
      <c r="E307" s="2300"/>
      <c r="F307" s="2300"/>
      <c r="G307" s="2300"/>
      <c r="H307" s="2300"/>
    </row>
    <row r="308" spans="1:8">
      <c r="A308" s="2301" t="s">
        <v>1089</v>
      </c>
      <c r="B308" s="2300"/>
      <c r="C308" s="2300"/>
      <c r="D308" s="2300"/>
      <c r="E308" s="2300"/>
      <c r="F308" s="2300"/>
      <c r="G308" s="2300"/>
      <c r="H308" s="2300"/>
    </row>
    <row r="309" spans="1:8">
      <c r="A309" s="2301" t="s">
        <v>1090</v>
      </c>
      <c r="B309" s="2300"/>
      <c r="C309" s="2300"/>
      <c r="D309" s="2300"/>
      <c r="E309" s="2300"/>
      <c r="F309" s="2300"/>
      <c r="G309" s="2300"/>
      <c r="H309" s="2300"/>
    </row>
    <row r="310" spans="1:8">
      <c r="A310" s="2301" t="s">
        <v>1091</v>
      </c>
      <c r="B310" s="2300"/>
      <c r="C310" s="2300"/>
      <c r="D310" s="2300"/>
      <c r="E310" s="2300"/>
      <c r="F310" s="2300"/>
      <c r="G310" s="2300"/>
      <c r="H310" s="2300"/>
    </row>
    <row r="311" spans="1:8">
      <c r="A311" s="2301" t="s">
        <v>1092</v>
      </c>
      <c r="B311" s="2300"/>
      <c r="C311" s="2300"/>
      <c r="D311" s="2300"/>
      <c r="E311" s="2300"/>
      <c r="F311" s="2300"/>
      <c r="G311" s="2300"/>
      <c r="H311" s="2300"/>
    </row>
    <row r="312" spans="1:8">
      <c r="A312" s="2301" t="s">
        <v>1093</v>
      </c>
      <c r="B312" s="2300"/>
      <c r="C312" s="2300"/>
      <c r="D312" s="2300"/>
      <c r="E312" s="2300"/>
      <c r="F312" s="2300"/>
      <c r="G312" s="2300"/>
      <c r="H312" s="2300"/>
    </row>
    <row r="313" spans="1:8">
      <c r="A313" s="2301" t="s">
        <v>1094</v>
      </c>
      <c r="B313" s="2300"/>
      <c r="C313" s="2300"/>
      <c r="D313" s="2300"/>
      <c r="E313" s="2300"/>
      <c r="F313" s="2300"/>
      <c r="G313" s="2300"/>
      <c r="H313" s="2300"/>
    </row>
    <row r="314" spans="1:8">
      <c r="A314" s="2300"/>
      <c r="B314" s="2300"/>
      <c r="C314" s="2300"/>
      <c r="D314" s="2300"/>
      <c r="E314" s="2300"/>
      <c r="F314" s="2300"/>
      <c r="G314" s="2300"/>
      <c r="H314" s="2300"/>
    </row>
    <row r="315" spans="1:8">
      <c r="A315" s="2301" t="s">
        <v>1052</v>
      </c>
      <c r="B315" s="2300"/>
      <c r="C315" s="2300"/>
      <c r="D315" s="2300"/>
      <c r="E315" s="2300"/>
      <c r="F315" s="2300"/>
      <c r="G315" s="2300"/>
      <c r="H315" s="2300"/>
    </row>
    <row r="316" spans="1:8">
      <c r="A316" s="2301" t="s">
        <v>1053</v>
      </c>
      <c r="B316" s="2300"/>
      <c r="C316" s="2300"/>
      <c r="D316" s="2300"/>
      <c r="E316" s="2300"/>
      <c r="F316" s="2300"/>
      <c r="G316" s="2300"/>
      <c r="H316" s="2300"/>
    </row>
    <row r="317" spans="1:8">
      <c r="A317" s="2301" t="s">
        <v>1054</v>
      </c>
      <c r="B317" s="2300"/>
      <c r="C317" s="2300"/>
      <c r="D317" s="2300"/>
      <c r="E317" s="2300"/>
      <c r="F317" s="2300"/>
      <c r="G317" s="2300"/>
      <c r="H317" s="2300"/>
    </row>
    <row r="318" spans="1:8">
      <c r="A318" s="2301" t="s">
        <v>1055</v>
      </c>
      <c r="B318" s="2300"/>
      <c r="C318" s="2300"/>
      <c r="D318" s="2300"/>
      <c r="E318" s="2300"/>
      <c r="F318" s="2300"/>
      <c r="G318" s="2300"/>
      <c r="H318" s="2300"/>
    </row>
    <row r="319" spans="1:8">
      <c r="A319" s="2301" t="s">
        <v>1056</v>
      </c>
      <c r="B319" s="2300"/>
      <c r="C319" s="2300"/>
      <c r="D319" s="2300"/>
      <c r="E319" s="2300"/>
      <c r="F319" s="2300"/>
      <c r="G319" s="2300"/>
      <c r="H319" s="2300"/>
    </row>
    <row r="320" spans="1:8">
      <c r="A320" s="2301" t="s">
        <v>1057</v>
      </c>
      <c r="B320" s="2300"/>
      <c r="C320" s="2300"/>
      <c r="D320" s="2300"/>
      <c r="E320" s="2300"/>
      <c r="F320" s="2300"/>
      <c r="G320" s="2300"/>
      <c r="H320" s="2300"/>
    </row>
    <row r="321" spans="1:8">
      <c r="A321" s="2301" t="s">
        <v>1058</v>
      </c>
      <c r="B321" s="2300"/>
      <c r="C321" s="2300"/>
      <c r="D321" s="2300"/>
      <c r="E321" s="2300"/>
      <c r="F321" s="2300"/>
      <c r="G321" s="2300"/>
      <c r="H321" s="2300"/>
    </row>
    <row r="322" spans="1:8">
      <c r="A322" s="2301" t="s">
        <v>1059</v>
      </c>
      <c r="B322" s="2300"/>
      <c r="C322" s="2300"/>
      <c r="D322" s="2300"/>
      <c r="E322" s="2300"/>
      <c r="F322" s="2300"/>
      <c r="G322" s="2300"/>
      <c r="H322" s="2300"/>
    </row>
    <row r="323" spans="1:8">
      <c r="A323" s="2301" t="s">
        <v>1060</v>
      </c>
      <c r="B323" s="2300"/>
      <c r="C323" s="2300"/>
      <c r="D323" s="2300"/>
      <c r="E323" s="2300"/>
      <c r="F323" s="2300"/>
      <c r="G323" s="2300"/>
      <c r="H323" s="2300"/>
    </row>
    <row r="324" spans="1:8">
      <c r="A324" s="2301" t="s">
        <v>1061</v>
      </c>
      <c r="B324" s="2300"/>
      <c r="C324" s="2300"/>
      <c r="D324" s="2300"/>
      <c r="E324" s="2300"/>
      <c r="F324" s="2300"/>
      <c r="G324" s="2300"/>
      <c r="H324" s="2300"/>
    </row>
    <row r="325" spans="1:8">
      <c r="A325" s="2301" t="s">
        <v>1062</v>
      </c>
      <c r="B325" s="2300"/>
      <c r="C325" s="2300"/>
      <c r="D325" s="2300"/>
      <c r="E325" s="2300"/>
      <c r="F325" s="2300"/>
      <c r="G325" s="2300"/>
      <c r="H325" s="2300"/>
    </row>
    <row r="326" spans="1:8">
      <c r="A326" s="2301" t="s">
        <v>1063</v>
      </c>
      <c r="B326" s="2300"/>
      <c r="C326" s="2300"/>
      <c r="D326" s="2300"/>
      <c r="E326" s="2300"/>
      <c r="F326" s="2300"/>
      <c r="G326" s="2300"/>
      <c r="H326" s="2300"/>
    </row>
    <row r="327" spans="1:8">
      <c r="A327" s="2301" t="s">
        <v>1064</v>
      </c>
      <c r="B327" s="2300"/>
      <c r="C327" s="2300"/>
      <c r="D327" s="2300"/>
      <c r="E327" s="2300"/>
      <c r="F327" s="2300"/>
      <c r="G327" s="2300"/>
      <c r="H327" s="2300"/>
    </row>
    <row r="328" spans="1:8">
      <c r="A328" s="2301" t="s">
        <v>1065</v>
      </c>
      <c r="B328" s="2300"/>
      <c r="C328" s="2300"/>
      <c r="D328" s="2300"/>
      <c r="E328" s="2300"/>
      <c r="F328" s="2300"/>
      <c r="G328" s="2300"/>
      <c r="H328" s="2300"/>
    </row>
    <row r="329" spans="1:8">
      <c r="A329" s="2301" t="s">
        <v>1066</v>
      </c>
      <c r="B329" s="2300"/>
      <c r="C329" s="2300"/>
      <c r="D329" s="2300"/>
      <c r="E329" s="2300"/>
      <c r="F329" s="2300"/>
      <c r="G329" s="2300"/>
      <c r="H329" s="2300"/>
    </row>
    <row r="330" spans="1:8">
      <c r="A330" s="2301" t="s">
        <v>1067</v>
      </c>
      <c r="B330" s="2300"/>
      <c r="C330" s="2300"/>
      <c r="D330" s="2300"/>
      <c r="E330" s="2300"/>
      <c r="F330" s="2300"/>
      <c r="G330" s="2300"/>
      <c r="H330" s="2300"/>
    </row>
    <row r="331" spans="1:8">
      <c r="A331" s="2301" t="s">
        <v>1068</v>
      </c>
      <c r="B331" s="2300"/>
      <c r="C331" s="2300"/>
      <c r="D331" s="2300"/>
      <c r="E331" s="2300"/>
      <c r="F331" s="2300"/>
      <c r="G331" s="2300"/>
      <c r="H331" s="2300"/>
    </row>
    <row r="332" spans="1:8">
      <c r="A332" s="2301" t="s">
        <v>1069</v>
      </c>
      <c r="B332" s="2300"/>
      <c r="C332" s="2300"/>
      <c r="D332" s="2300"/>
      <c r="E332" s="2300"/>
      <c r="F332" s="2300"/>
      <c r="G332" s="2300"/>
      <c r="H332" s="2300"/>
    </row>
    <row r="333" spans="1:8">
      <c r="A333" s="2301" t="s">
        <v>1070</v>
      </c>
      <c r="B333" s="2300"/>
      <c r="C333" s="2300"/>
      <c r="D333" s="2300"/>
      <c r="E333" s="2300"/>
      <c r="F333" s="2300"/>
      <c r="G333" s="2300"/>
      <c r="H333" s="2300"/>
    </row>
    <row r="334" spans="1:8">
      <c r="A334" s="2301" t="s">
        <v>1071</v>
      </c>
      <c r="B334" s="2300"/>
      <c r="C334" s="2300"/>
      <c r="D334" s="2300"/>
      <c r="E334" s="2300"/>
      <c r="F334" s="2300"/>
      <c r="G334" s="2300"/>
      <c r="H334" s="2300"/>
    </row>
    <row r="335" spans="1:8">
      <c r="A335" s="2301" t="s">
        <v>1072</v>
      </c>
      <c r="B335" s="2300"/>
      <c r="C335" s="2300"/>
      <c r="D335" s="2300"/>
      <c r="E335" s="2300"/>
      <c r="F335" s="2300"/>
      <c r="G335" s="2300"/>
      <c r="H335" s="2300"/>
    </row>
    <row r="336" spans="1:8">
      <c r="A336" s="2301" t="s">
        <v>1073</v>
      </c>
      <c r="B336" s="2300"/>
      <c r="C336" s="2300"/>
      <c r="D336" s="2300"/>
      <c r="E336" s="2300"/>
      <c r="F336" s="2300"/>
      <c r="G336" s="2300"/>
      <c r="H336" s="2300"/>
    </row>
    <row r="337" spans="1:8">
      <c r="A337" s="2301" t="s">
        <v>1074</v>
      </c>
      <c r="B337" s="2300"/>
      <c r="C337" s="2300"/>
      <c r="D337" s="2300"/>
      <c r="E337" s="2300"/>
      <c r="F337" s="2300"/>
      <c r="G337" s="2300"/>
      <c r="H337" s="2300"/>
    </row>
    <row r="338" spans="1:8">
      <c r="A338" s="2301" t="s">
        <v>1075</v>
      </c>
      <c r="B338" s="2300"/>
      <c r="C338" s="2300"/>
      <c r="D338" s="2300"/>
      <c r="E338" s="2300"/>
      <c r="F338" s="2300"/>
      <c r="G338" s="2300"/>
      <c r="H338" s="2300"/>
    </row>
    <row r="339" spans="1:8">
      <c r="A339" s="2301" t="s">
        <v>1076</v>
      </c>
      <c r="B339" s="2300"/>
      <c r="C339" s="2300"/>
      <c r="D339" s="2300"/>
      <c r="E339" s="2300"/>
      <c r="F339" s="2300"/>
      <c r="G339" s="2300"/>
      <c r="H339" s="2300"/>
    </row>
    <row r="340" spans="1:8">
      <c r="A340" s="2301" t="s">
        <v>1077</v>
      </c>
      <c r="B340" s="2300"/>
      <c r="C340" s="2300"/>
      <c r="D340" s="2300"/>
      <c r="E340" s="2300"/>
      <c r="F340" s="2300"/>
      <c r="G340" s="2300"/>
      <c r="H340" s="2300"/>
    </row>
    <row r="341" spans="1:8">
      <c r="A341" s="2301" t="s">
        <v>1078</v>
      </c>
      <c r="B341" s="2300"/>
      <c r="C341" s="2300"/>
      <c r="D341" s="2300"/>
      <c r="E341" s="2300"/>
      <c r="F341" s="2300"/>
      <c r="G341" s="2300"/>
      <c r="H341" s="2300"/>
    </row>
    <row r="342" spans="1:8">
      <c r="A342" s="2301" t="s">
        <v>1079</v>
      </c>
      <c r="B342" s="2300"/>
      <c r="C342" s="2300"/>
      <c r="D342" s="2300"/>
      <c r="E342" s="2300"/>
      <c r="F342" s="2300"/>
      <c r="G342" s="2300"/>
      <c r="H342" s="2300"/>
    </row>
    <row r="343" spans="1:8">
      <c r="A343" s="2301" t="s">
        <v>1080</v>
      </c>
      <c r="B343" s="2300"/>
      <c r="C343" s="2300"/>
      <c r="D343" s="2300"/>
      <c r="E343" s="2300"/>
      <c r="F343" s="2300"/>
      <c r="G343" s="2300"/>
      <c r="H343" s="2300"/>
    </row>
    <row r="344" spans="1:8">
      <c r="A344" s="2301" t="s">
        <v>1081</v>
      </c>
      <c r="B344" s="2300"/>
      <c r="C344" s="2300"/>
      <c r="D344" s="2300"/>
      <c r="E344" s="2300"/>
      <c r="F344" s="2300"/>
      <c r="G344" s="2300"/>
      <c r="H344" s="2300"/>
    </row>
    <row r="345" spans="1:8">
      <c r="A345" s="2301" t="s">
        <v>1082</v>
      </c>
      <c r="B345" s="2300"/>
      <c r="C345" s="2300"/>
      <c r="D345" s="2300"/>
      <c r="E345" s="2300"/>
      <c r="F345" s="2300"/>
      <c r="G345" s="2300"/>
      <c r="H345" s="2300"/>
    </row>
    <row r="346" spans="1:8">
      <c r="A346" s="2301" t="s">
        <v>1083</v>
      </c>
      <c r="B346" s="2300"/>
      <c r="C346" s="2300"/>
      <c r="D346" s="2300"/>
      <c r="E346" s="2300"/>
      <c r="F346" s="2300"/>
      <c r="G346" s="2300"/>
      <c r="H346" s="2300"/>
    </row>
    <row r="347" spans="1:8">
      <c r="A347" s="2301" t="s">
        <v>1084</v>
      </c>
      <c r="B347" s="2300"/>
      <c r="C347" s="2300"/>
      <c r="D347" s="2300"/>
      <c r="E347" s="2300"/>
      <c r="F347" s="2300"/>
      <c r="G347" s="2300"/>
      <c r="H347" s="2300"/>
    </row>
    <row r="348" spans="1:8">
      <c r="A348" s="2301" t="s">
        <v>1085</v>
      </c>
      <c r="B348" s="2300"/>
      <c r="C348" s="2300"/>
      <c r="D348" s="2300"/>
      <c r="E348" s="2300"/>
      <c r="F348" s="2300"/>
      <c r="G348" s="2300"/>
      <c r="H348" s="2300"/>
    </row>
    <row r="349" spans="1:8">
      <c r="A349" s="2301" t="s">
        <v>1086</v>
      </c>
      <c r="B349" s="2300"/>
      <c r="C349" s="2300"/>
      <c r="D349" s="2300"/>
      <c r="E349" s="2300"/>
      <c r="F349" s="2300"/>
      <c r="G349" s="2300"/>
      <c r="H349" s="2300"/>
    </row>
    <row r="350" spans="1:8">
      <c r="A350" s="2300"/>
      <c r="B350" s="2300"/>
      <c r="C350" s="2300"/>
      <c r="D350" s="2300"/>
      <c r="E350" s="2300"/>
      <c r="F350" s="2300"/>
      <c r="G350" s="2300"/>
      <c r="H350" s="2300"/>
    </row>
    <row r="351" spans="1:8">
      <c r="A351" s="2301" t="s">
        <v>1044</v>
      </c>
      <c r="B351" s="2300"/>
      <c r="C351" s="2300"/>
      <c r="D351" s="2300"/>
      <c r="E351" s="2300"/>
      <c r="F351" s="2300"/>
      <c r="G351" s="2300"/>
      <c r="H351" s="2300"/>
    </row>
    <row r="352" spans="1:8">
      <c r="A352" s="2301" t="s">
        <v>1048</v>
      </c>
      <c r="B352" s="2300"/>
      <c r="C352" s="2300"/>
      <c r="D352" s="2300"/>
      <c r="E352" s="2300"/>
      <c r="F352" s="2300"/>
      <c r="G352" s="2300"/>
      <c r="H352" s="2300"/>
    </row>
    <row r="353" spans="1:8">
      <c r="A353" s="2301" t="s">
        <v>1049</v>
      </c>
      <c r="B353" s="2300"/>
      <c r="C353" s="2300"/>
      <c r="D353" s="2300"/>
      <c r="E353" s="2300"/>
      <c r="F353" s="2300"/>
      <c r="G353" s="2300"/>
      <c r="H353" s="2300"/>
    </row>
    <row r="354" spans="1:8">
      <c r="A354" s="2301" t="s">
        <v>1050</v>
      </c>
      <c r="B354" s="2300"/>
      <c r="C354" s="2300"/>
      <c r="D354" s="2300"/>
      <c r="E354" s="2300"/>
      <c r="F354" s="2300"/>
      <c r="G354" s="2300"/>
      <c r="H354" s="2300"/>
    </row>
    <row r="355" spans="1:8">
      <c r="A355" s="2301" t="s">
        <v>1051</v>
      </c>
      <c r="B355" s="2300"/>
      <c r="C355" s="2300"/>
      <c r="D355" s="2300"/>
      <c r="E355" s="2300"/>
      <c r="F355" s="2300"/>
      <c r="G355" s="2300"/>
      <c r="H355" s="2300"/>
    </row>
    <row r="356" spans="1:8">
      <c r="A356" s="2300"/>
      <c r="B356" s="2300"/>
      <c r="C356" s="2300"/>
      <c r="D356" s="2300"/>
      <c r="E356" s="2300"/>
      <c r="F356" s="2300"/>
      <c r="G356" s="2300"/>
      <c r="H356" s="2300"/>
    </row>
    <row r="357" spans="1:8">
      <c r="A357" s="2301" t="s">
        <v>1044</v>
      </c>
      <c r="B357" s="2300"/>
      <c r="C357" s="2300"/>
      <c r="D357" s="2300"/>
      <c r="E357" s="2300"/>
      <c r="F357" s="2300"/>
      <c r="G357" s="2300"/>
      <c r="H357" s="2300"/>
    </row>
    <row r="358" spans="1:8">
      <c r="A358" s="2301" t="s">
        <v>1045</v>
      </c>
      <c r="B358" s="2300"/>
      <c r="C358" s="2300"/>
      <c r="D358" s="2300"/>
      <c r="E358" s="2300"/>
      <c r="F358" s="2300"/>
      <c r="G358" s="2300"/>
      <c r="H358" s="2300"/>
    </row>
    <row r="359" spans="1:8">
      <c r="A359" s="2301" t="s">
        <v>1046</v>
      </c>
      <c r="B359" s="2300"/>
      <c r="C359" s="2300"/>
      <c r="D359" s="2300"/>
      <c r="E359" s="2300"/>
      <c r="F359" s="2300"/>
      <c r="G359" s="2300"/>
      <c r="H359" s="2300"/>
    </row>
    <row r="360" spans="1:8">
      <c r="A360" s="2301" t="s">
        <v>1047</v>
      </c>
      <c r="B360" s="2300"/>
      <c r="C360" s="2300"/>
      <c r="D360" s="2300"/>
      <c r="E360" s="2300"/>
      <c r="F360" s="2300"/>
      <c r="G360" s="2300"/>
      <c r="H360" s="2300"/>
    </row>
    <row r="361" spans="1:8">
      <c r="A361" s="2300"/>
      <c r="B361" s="2300"/>
      <c r="C361" s="2300"/>
      <c r="D361" s="2300"/>
      <c r="E361" s="2300"/>
      <c r="F361" s="2300"/>
      <c r="G361" s="2300"/>
      <c r="H361" s="2300"/>
    </row>
    <row r="362" spans="1:8">
      <c r="A362" s="2301" t="s">
        <v>1038</v>
      </c>
      <c r="B362" s="2300"/>
      <c r="C362" s="2300"/>
      <c r="D362" s="2300"/>
      <c r="E362" s="2300"/>
      <c r="F362" s="2300"/>
      <c r="G362" s="2300"/>
      <c r="H362" s="2300"/>
    </row>
    <row r="363" spans="1:8">
      <c r="A363" s="2301" t="s">
        <v>1039</v>
      </c>
      <c r="B363" s="2300"/>
      <c r="C363" s="2300"/>
      <c r="D363" s="2300"/>
      <c r="E363" s="2300"/>
      <c r="F363" s="2300"/>
      <c r="G363" s="2300"/>
      <c r="H363" s="2300"/>
    </row>
    <row r="364" spans="1:8">
      <c r="A364" s="2301" t="s">
        <v>1040</v>
      </c>
      <c r="B364" s="2300"/>
      <c r="C364" s="2300"/>
      <c r="D364" s="2300"/>
      <c r="E364" s="2300"/>
      <c r="F364" s="2300"/>
      <c r="G364" s="2300"/>
      <c r="H364" s="2300"/>
    </row>
    <row r="365" spans="1:8">
      <c r="A365" s="2301" t="s">
        <v>1041</v>
      </c>
      <c r="B365" s="2300"/>
      <c r="C365" s="2300"/>
      <c r="D365" s="2300"/>
      <c r="E365" s="2300"/>
      <c r="F365" s="2300"/>
      <c r="G365" s="2300"/>
      <c r="H365" s="2300"/>
    </row>
    <row r="366" spans="1:8">
      <c r="A366" s="2301" t="s">
        <v>1042</v>
      </c>
      <c r="B366" s="2300"/>
      <c r="C366" s="2300"/>
      <c r="D366" s="2300"/>
      <c r="E366" s="2300"/>
      <c r="F366" s="2300"/>
      <c r="G366" s="2300"/>
      <c r="H366" s="2300"/>
    </row>
    <row r="367" spans="1:8">
      <c r="A367" s="2301" t="s">
        <v>1043</v>
      </c>
      <c r="B367" s="2300"/>
      <c r="C367" s="2300"/>
      <c r="D367" s="2300"/>
      <c r="E367" s="2300"/>
      <c r="F367" s="2300"/>
      <c r="G367" s="2300"/>
      <c r="H367" s="2300"/>
    </row>
    <row r="368" spans="1:8">
      <c r="A368" s="2300"/>
      <c r="B368" s="2300"/>
      <c r="C368" s="2300"/>
      <c r="D368" s="2300"/>
      <c r="E368" s="2300"/>
      <c r="F368" s="2300"/>
      <c r="G368" s="2300"/>
      <c r="H368" s="2300"/>
    </row>
    <row r="369" spans="1:8">
      <c r="A369" s="2301" t="s">
        <v>1033</v>
      </c>
      <c r="B369" s="2300"/>
      <c r="C369" s="2300"/>
      <c r="D369" s="2300"/>
      <c r="E369" s="2300"/>
      <c r="F369" s="2300"/>
      <c r="G369" s="2300"/>
      <c r="H369" s="2300"/>
    </row>
    <row r="370" spans="1:8">
      <c r="A370" s="2301" t="s">
        <v>1034</v>
      </c>
      <c r="B370" s="2300"/>
      <c r="C370" s="2300"/>
      <c r="D370" s="2300"/>
      <c r="E370" s="2300"/>
      <c r="F370" s="2300"/>
      <c r="G370" s="2300"/>
      <c r="H370" s="2300"/>
    </row>
    <row r="371" spans="1:8">
      <c r="A371" s="2301" t="s">
        <v>1035</v>
      </c>
      <c r="B371" s="2300"/>
      <c r="C371" s="2300"/>
      <c r="D371" s="2300"/>
      <c r="E371" s="2300"/>
      <c r="F371" s="2300"/>
      <c r="G371" s="2300"/>
      <c r="H371" s="2300"/>
    </row>
    <row r="372" spans="1:8">
      <c r="A372" s="2301" t="s">
        <v>1036</v>
      </c>
      <c r="B372" s="2300"/>
      <c r="C372" s="2300"/>
      <c r="D372" s="2300"/>
      <c r="E372" s="2300"/>
      <c r="F372" s="2300"/>
      <c r="G372" s="2300"/>
      <c r="H372" s="2300"/>
    </row>
    <row r="373" spans="1:8">
      <c r="A373" s="2301" t="s">
        <v>1037</v>
      </c>
      <c r="B373" s="2300"/>
      <c r="C373" s="2300"/>
      <c r="D373" s="2300"/>
      <c r="E373" s="2300"/>
      <c r="F373" s="2300"/>
      <c r="G373" s="2300"/>
      <c r="H373" s="2300"/>
    </row>
    <row r="374" spans="1:8">
      <c r="A374" s="2300"/>
      <c r="B374" s="2300"/>
      <c r="C374" s="2300"/>
      <c r="D374" s="2300"/>
      <c r="E374" s="2300"/>
      <c r="F374" s="2300"/>
      <c r="G374" s="2300"/>
      <c r="H374" s="2300"/>
    </row>
    <row r="375" spans="1:8">
      <c r="A375" s="2301" t="s">
        <v>1031</v>
      </c>
      <c r="B375" s="2300"/>
      <c r="C375" s="2300"/>
      <c r="D375" s="2300"/>
      <c r="E375" s="2300"/>
      <c r="F375" s="2300"/>
      <c r="G375" s="2300"/>
      <c r="H375" s="2300"/>
    </row>
    <row r="376" spans="1:8">
      <c r="A376" s="2301" t="s">
        <v>1032</v>
      </c>
      <c r="B376" s="2300"/>
      <c r="C376" s="2300"/>
      <c r="D376" s="2300"/>
      <c r="E376" s="2300"/>
      <c r="F376" s="2300"/>
      <c r="G376" s="2300"/>
      <c r="H376" s="2300"/>
    </row>
    <row r="378" spans="1:8">
      <c r="A378" s="2296" t="s">
        <v>1278</v>
      </c>
    </row>
  </sheetData>
  <mergeCells count="12">
    <mergeCell ref="A116:H116"/>
    <mergeCell ref="A117:H117"/>
    <mergeCell ref="B109:C109"/>
    <mergeCell ref="D109:F109"/>
    <mergeCell ref="G109:H109"/>
    <mergeCell ref="A95:H95"/>
    <mergeCell ref="A96:H96"/>
    <mergeCell ref="A97:H97"/>
    <mergeCell ref="A98:H98"/>
    <mergeCell ref="A100:H100"/>
    <mergeCell ref="A101:H101"/>
    <mergeCell ref="A108:H108"/>
  </mergeCells>
  <pageMargins left="0.5" right="0.5" top="0.5" bottom="0.5" header="0.5" footer="0.5"/>
  <pageSetup orientation="portrait" horizontalDpi="300" verticalDpi="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autoPageBreaks="0" fitToPage="1"/>
  </sheetPr>
  <dimension ref="A1:EF660"/>
  <sheetViews>
    <sheetView showGridLines="0" topLeftCell="A561" workbookViewId="0">
      <selection activeCell="E659" sqref="E659"/>
    </sheetView>
  </sheetViews>
  <sheetFormatPr defaultRowHeight="11.25" outlineLevelRow="3" outlineLevelCol="1"/>
  <cols>
    <col min="1" max="4" width="1.83203125" customWidth="1"/>
    <col min="5" max="5" width="26.83203125" customWidth="1"/>
    <col min="6" max="6" width="10.1640625" hidden="1" customWidth="1" outlineLevel="1"/>
    <col min="7" max="7" width="10.6640625" hidden="1" customWidth="1" outlineLevel="1"/>
    <col min="8" max="8" width="10.1640625" hidden="1" customWidth="1" outlineLevel="1"/>
    <col min="9" max="10" width="9.5" hidden="1" customWidth="1" outlineLevel="1"/>
    <col min="11" max="12" width="10.1640625" hidden="1" customWidth="1" outlineLevel="1"/>
    <col min="13" max="14" width="9.5" hidden="1" customWidth="1" outlineLevel="1"/>
    <col min="15" max="16" width="10.1640625" hidden="1" customWidth="1" outlineLevel="1"/>
    <col min="17" max="21" width="9.33203125" hidden="1" customWidth="1" outlineLevel="1"/>
    <col min="22" max="25" width="9.5" hidden="1" customWidth="1" outlineLevel="1"/>
    <col min="26" max="26" width="10" hidden="1" customWidth="1" outlineLevel="1"/>
    <col min="27" max="29" width="9.5" hidden="1" customWidth="1" outlineLevel="1"/>
    <col min="30" max="30" width="9.6640625" hidden="1" customWidth="1" outlineLevel="1"/>
    <col min="31" max="32" width="9.5" hidden="1" customWidth="1" outlineLevel="1"/>
    <col min="33" max="33" width="9.6640625" hidden="1" customWidth="1" outlineLevel="1"/>
    <col min="34" max="34" width="11.33203125" hidden="1" customWidth="1" outlineLevel="1"/>
    <col min="35" max="35" width="10.33203125" hidden="1" customWidth="1" outlineLevel="1"/>
    <col min="36" max="36" width="9.5" hidden="1" customWidth="1" outlineLevel="1"/>
    <col min="37" max="39" width="10.6640625" hidden="1" customWidth="1" outlineLevel="1"/>
    <col min="40" max="40" width="9.5" hidden="1" customWidth="1" outlineLevel="1"/>
    <col min="41" max="41" width="9.6640625" hidden="1" customWidth="1" outlineLevel="1"/>
    <col min="42" max="45" width="9.5" hidden="1" customWidth="1" outlineLevel="1"/>
    <col min="46" max="46" width="9.5" hidden="1" customWidth="1" outlineLevel="1" collapsed="1"/>
    <col min="47" max="49" width="9.5" hidden="1" customWidth="1" outlineLevel="1"/>
    <col min="50" max="50" width="10" hidden="1" customWidth="1" outlineLevel="1" collapsed="1"/>
    <col min="51" max="53" width="10" hidden="1" customWidth="1" outlineLevel="1"/>
    <col min="54" max="54" width="10" hidden="1" customWidth="1" outlineLevel="1" collapsed="1"/>
    <col min="55" max="57" width="10" hidden="1" customWidth="1" outlineLevel="1"/>
    <col min="58" max="58" width="10" hidden="1" customWidth="1" outlineLevel="1" collapsed="1"/>
    <col min="59" max="61" width="10" hidden="1" customWidth="1" outlineLevel="1"/>
    <col min="62" max="62" width="10.33203125" hidden="1" customWidth="1" outlineLevel="1" collapsed="1"/>
    <col min="63" max="65" width="10" hidden="1" customWidth="1" outlineLevel="1"/>
    <col min="66" max="66" width="10" customWidth="1" collapsed="1"/>
    <col min="67" max="67" width="10" style="63" customWidth="1"/>
    <col min="68" max="70" width="10" customWidth="1"/>
    <col min="71" max="71" width="10" style="63" customWidth="1"/>
    <col min="72" max="74" width="10" customWidth="1"/>
    <col min="75" max="75" width="10" style="63" customWidth="1"/>
    <col min="76" max="78" width="10" customWidth="1"/>
    <col min="79" max="79" width="10" style="63" customWidth="1"/>
    <col min="80" max="81" width="10" customWidth="1"/>
    <col min="82" max="82" width="2.33203125" customWidth="1"/>
    <col min="83" max="85" width="10.5" hidden="1" customWidth="1" outlineLevel="1"/>
    <col min="86" max="91" width="10.6640625" hidden="1" customWidth="1" outlineLevel="1"/>
    <col min="92" max="92" width="10.33203125" style="63" hidden="1" customWidth="1" outlineLevel="1"/>
    <col min="93" max="93" width="10.33203125" hidden="1" customWidth="1" outlineLevel="1"/>
    <col min="94" max="94" width="10.33203125" hidden="1" customWidth="1" outlineLevel="1" collapsed="1"/>
    <col min="95" max="95" width="10.33203125" hidden="1" customWidth="1" outlineLevel="1"/>
    <col min="96" max="96" width="10.33203125" style="63" customWidth="1" collapsed="1"/>
    <col min="97" max="98" width="10.83203125" style="77" customWidth="1"/>
    <col min="99" max="102" width="10.83203125" style="1274" customWidth="1"/>
    <col min="103" max="107" width="10.83203125" style="1274" hidden="1" customWidth="1" outlineLevel="1"/>
    <col min="108" max="108" width="2" style="1536" customWidth="1" collapsed="1"/>
    <col min="109" max="109" width="10.33203125" style="1536" customWidth="1"/>
    <col min="110" max="110" width="2" style="52" customWidth="1"/>
    <col min="111" max="115" width="9" hidden="1" customWidth="1" outlineLevel="1"/>
    <col min="116" max="116" width="11" hidden="1" customWidth="1" outlineLevel="1"/>
    <col min="117" max="117" width="11" hidden="1" customWidth="1" outlineLevel="1" collapsed="1"/>
    <col min="118" max="119" width="11" hidden="1" customWidth="1" outlineLevel="1"/>
    <col min="120" max="121" width="10.33203125" hidden="1" customWidth="1" outlineLevel="1"/>
    <col min="122" max="122" width="10.33203125" style="63" hidden="1" customWidth="1" outlineLevel="1"/>
    <col min="123" max="123" width="10.33203125" customWidth="1" collapsed="1"/>
    <col min="124" max="129" width="10.33203125" style="63" customWidth="1"/>
    <col min="130" max="130" width="10.6640625" style="1689" customWidth="1"/>
    <col min="131" max="131" width="38.1640625" customWidth="1"/>
    <col min="132" max="135" width="8.1640625" customWidth="1"/>
    <col min="136" max="136" width="10" customWidth="1"/>
    <col min="137" max="140" width="9.33203125" customWidth="1"/>
  </cols>
  <sheetData>
    <row r="1" spans="1:136">
      <c r="A1" s="3"/>
      <c r="B1" s="201"/>
      <c r="C1" s="201"/>
      <c r="D1" s="201"/>
      <c r="E1" s="201"/>
      <c r="F1" s="201"/>
      <c r="G1" s="201"/>
      <c r="H1" s="201"/>
      <c r="I1" s="201"/>
      <c r="J1" s="201"/>
      <c r="K1" s="201"/>
      <c r="L1" s="201"/>
      <c r="M1" s="201"/>
      <c r="N1" s="201"/>
      <c r="O1" s="201"/>
      <c r="P1" s="201"/>
      <c r="Q1" s="1046"/>
      <c r="R1" s="1046"/>
      <c r="S1" s="1046"/>
      <c r="T1" s="1046"/>
      <c r="U1" s="1046"/>
      <c r="V1" s="1047"/>
      <c r="W1" s="1047"/>
      <c r="X1" s="1047"/>
      <c r="Y1" s="1047"/>
      <c r="Z1" s="1047"/>
      <c r="AA1" s="1047"/>
      <c r="AB1" s="1047"/>
      <c r="AC1" s="1047"/>
      <c r="AD1" s="1047"/>
      <c r="AE1" s="1047"/>
      <c r="AF1" s="1047"/>
      <c r="AG1" s="1047"/>
      <c r="AH1" s="1047"/>
      <c r="AI1" s="3"/>
      <c r="AJ1" s="3"/>
      <c r="AK1" s="3"/>
      <c r="AL1" s="3"/>
      <c r="AM1" s="3"/>
      <c r="AN1" s="3"/>
      <c r="AO1" s="1217"/>
      <c r="AP1" s="1217"/>
      <c r="AQ1" s="1217"/>
      <c r="AR1" s="1217"/>
      <c r="AS1" s="1217"/>
      <c r="AT1" s="1217"/>
      <c r="AU1" s="1217"/>
      <c r="AV1" s="1217"/>
      <c r="AW1" s="331"/>
      <c r="AX1" s="1010"/>
      <c r="AY1" s="331"/>
      <c r="AZ1" s="1010"/>
      <c r="BA1" s="11"/>
      <c r="BB1" s="2097"/>
      <c r="BC1" s="2097"/>
      <c r="BD1" s="2097"/>
      <c r="BE1" s="2097"/>
      <c r="BF1" s="2097"/>
      <c r="BG1" s="2097"/>
      <c r="BH1" s="2097"/>
      <c r="BI1" s="2097"/>
      <c r="BJ1" s="2097"/>
      <c r="BK1" s="2097"/>
      <c r="BL1" s="2097"/>
      <c r="BM1" s="2097"/>
      <c r="BN1" s="2097"/>
      <c r="BO1" s="1538"/>
      <c r="BP1" s="2097"/>
      <c r="BQ1" s="2097"/>
      <c r="BR1" s="2133"/>
      <c r="BS1" s="1538"/>
      <c r="BT1" s="2214"/>
      <c r="BU1" s="2223"/>
      <c r="BV1" s="2223"/>
      <c r="BW1" s="2261"/>
      <c r="BX1" s="2223"/>
      <c r="BY1" s="2223"/>
      <c r="BZ1" s="2223"/>
      <c r="CA1" s="2223"/>
      <c r="CB1" s="2223"/>
      <c r="CC1" s="2223"/>
      <c r="CD1" s="3"/>
      <c r="CE1" s="3"/>
      <c r="CF1" s="3"/>
      <c r="CG1" s="3"/>
      <c r="CH1" s="3"/>
      <c r="CI1" s="3"/>
      <c r="CJ1" s="3"/>
      <c r="CK1" s="3"/>
      <c r="CL1" s="3"/>
      <c r="CM1" s="3"/>
      <c r="CN1" s="3"/>
      <c r="CO1" s="3"/>
      <c r="CP1" s="3"/>
      <c r="CQ1" s="1673"/>
      <c r="CR1" s="1348"/>
      <c r="CS1" s="1348"/>
      <c r="CT1" s="2125"/>
      <c r="CU1" s="2125"/>
      <c r="CV1" s="2125"/>
      <c r="CW1" s="2127"/>
      <c r="CX1" s="2127"/>
      <c r="CY1" s="2127"/>
      <c r="CZ1" s="2127"/>
      <c r="DA1" s="2127"/>
      <c r="DB1" s="2127"/>
      <c r="DC1" s="2127"/>
      <c r="DD1" s="1483"/>
      <c r="DE1" s="1483"/>
      <c r="DF1" s="24"/>
      <c r="DG1" s="24"/>
      <c r="DH1" s="24"/>
      <c r="DI1" s="24"/>
      <c r="DJ1" s="24"/>
      <c r="DK1" s="24"/>
      <c r="DL1" s="141"/>
      <c r="DM1" s="24"/>
      <c r="DN1" s="24"/>
      <c r="DO1" s="24"/>
      <c r="DP1" s="24"/>
      <c r="DQ1" s="24"/>
      <c r="DR1" s="24"/>
      <c r="DS1" s="24"/>
      <c r="DT1" s="24"/>
      <c r="DU1" s="24"/>
      <c r="DV1" s="24"/>
      <c r="DW1" s="2097"/>
      <c r="DX1" s="2097"/>
      <c r="DY1" s="24"/>
      <c r="DZ1" s="1561"/>
    </row>
    <row r="2" spans="1:136">
      <c r="A2" s="3"/>
      <c r="B2" s="201"/>
      <c r="C2" s="201"/>
      <c r="D2" s="201"/>
      <c r="E2" s="201"/>
      <c r="F2" s="201"/>
      <c r="G2" s="201"/>
      <c r="H2" s="201"/>
      <c r="I2" s="201"/>
      <c r="J2" s="201"/>
      <c r="K2" s="201"/>
      <c r="L2" s="201"/>
      <c r="M2" s="201"/>
      <c r="N2" s="201"/>
      <c r="O2" s="201"/>
      <c r="P2" s="201"/>
      <c r="Q2" s="1046"/>
      <c r="R2" s="1046"/>
      <c r="S2" s="1046"/>
      <c r="T2" s="1046"/>
      <c r="U2" s="1046"/>
      <c r="V2" s="1047"/>
      <c r="W2" s="1047"/>
      <c r="X2" s="1047"/>
      <c r="Y2" s="1047"/>
      <c r="Z2" s="1047"/>
      <c r="AA2" s="1047"/>
      <c r="AB2" s="1047"/>
      <c r="AC2" s="1047"/>
      <c r="AD2" s="1047"/>
      <c r="AE2" s="1047"/>
      <c r="AF2" s="1047"/>
      <c r="AG2" s="1047"/>
      <c r="AH2" s="1047"/>
      <c r="AI2" s="3"/>
      <c r="AJ2" s="3"/>
      <c r="AK2" s="3"/>
      <c r="AL2" s="3"/>
      <c r="AM2" s="3"/>
      <c r="AN2" s="3"/>
      <c r="AO2" s="1217"/>
      <c r="AP2" s="1217"/>
      <c r="AQ2" s="1217"/>
      <c r="AR2" s="1217"/>
      <c r="AS2" s="1217"/>
      <c r="AT2" s="1217"/>
      <c r="AU2" s="1217"/>
      <c r="AV2" s="1217"/>
      <c r="AW2" s="331"/>
      <c r="AX2" s="1010"/>
      <c r="AY2" s="331"/>
      <c r="AZ2" s="1010"/>
      <c r="BA2" s="11"/>
      <c r="BB2" s="2097"/>
      <c r="BC2" s="2097"/>
      <c r="BD2" s="2097"/>
      <c r="BE2" s="2097"/>
      <c r="BF2" s="2097"/>
      <c r="BG2" s="2097"/>
      <c r="BH2" s="2097"/>
      <c r="BI2" s="2097"/>
      <c r="BJ2" s="2097"/>
      <c r="BK2" s="2097"/>
      <c r="BL2" s="2097"/>
      <c r="BM2" s="2097"/>
      <c r="BN2" s="2097"/>
      <c r="BO2" s="2097"/>
      <c r="BP2" s="2097"/>
      <c r="BQ2" s="2097"/>
      <c r="BR2" s="2133"/>
      <c r="BS2" s="2195"/>
      <c r="BT2" s="1349"/>
      <c r="BU2" s="1349"/>
      <c r="BV2" s="1330"/>
      <c r="BW2" s="1330"/>
      <c r="BX2" s="1330"/>
      <c r="BY2" s="1330"/>
      <c r="BZ2" s="1330"/>
      <c r="CA2" s="1330"/>
      <c r="CB2" s="1330"/>
      <c r="CC2" s="1330"/>
      <c r="CD2" s="3"/>
      <c r="CE2" s="3"/>
      <c r="CF2" s="3"/>
      <c r="CG2" s="3"/>
      <c r="CH2" s="3"/>
      <c r="CI2" s="3"/>
      <c r="CJ2" s="3"/>
      <c r="CK2" s="3"/>
      <c r="CL2" s="3"/>
      <c r="CM2" s="3"/>
      <c r="CN2" s="3"/>
      <c r="CO2" s="3"/>
      <c r="CP2" s="3"/>
      <c r="CQ2" s="1673"/>
      <c r="CR2" s="1348"/>
      <c r="CS2" s="1348"/>
      <c r="CT2" s="2125"/>
      <c r="CU2" s="2125"/>
      <c r="CV2" s="2125"/>
      <c r="CW2" s="2127"/>
      <c r="CX2" s="1330"/>
      <c r="CY2" s="2127"/>
      <c r="CZ2" s="2127"/>
      <c r="DA2" s="2127"/>
      <c r="DB2" s="2127"/>
      <c r="DC2" s="2127"/>
      <c r="DD2" s="1483"/>
      <c r="DE2" s="1483"/>
      <c r="DF2" s="24"/>
      <c r="DG2" s="24"/>
      <c r="DH2" s="24"/>
      <c r="DI2" s="24"/>
      <c r="DJ2" s="24"/>
      <c r="DK2" s="24"/>
      <c r="DL2" s="141"/>
      <c r="DM2" s="24"/>
      <c r="DN2" s="24"/>
      <c r="DO2" s="24"/>
      <c r="DP2" s="24"/>
      <c r="DQ2" s="24"/>
      <c r="DR2" s="24"/>
      <c r="DS2" s="24"/>
      <c r="DT2" s="24"/>
      <c r="DU2" s="24"/>
      <c r="DV2" s="24"/>
      <c r="DW2" s="2097"/>
      <c r="DX2" s="2097"/>
      <c r="DY2" s="24"/>
      <c r="DZ2" s="1561"/>
    </row>
    <row r="3" spans="1:136">
      <c r="A3" s="3"/>
      <c r="B3" s="201"/>
      <c r="C3" s="201"/>
      <c r="D3" s="201"/>
      <c r="E3" s="201"/>
      <c r="F3" s="201"/>
      <c r="G3" s="201"/>
      <c r="H3" s="201"/>
      <c r="I3" s="201"/>
      <c r="J3" s="201"/>
      <c r="K3" s="201"/>
      <c r="L3" s="201"/>
      <c r="M3" s="201"/>
      <c r="N3" s="201"/>
      <c r="O3" s="201"/>
      <c r="P3" s="201"/>
      <c r="Q3" s="201"/>
      <c r="R3" s="201"/>
      <c r="S3" s="201"/>
      <c r="T3" s="436"/>
      <c r="U3" s="436"/>
      <c r="V3" s="436"/>
      <c r="W3" s="436"/>
      <c r="X3" s="436"/>
      <c r="Y3" s="436"/>
      <c r="Z3" s="436"/>
      <c r="AA3" s="436"/>
      <c r="AB3" s="436"/>
      <c r="AC3" s="436"/>
      <c r="AD3" s="11"/>
      <c r="AE3" s="11"/>
      <c r="AF3" s="11"/>
      <c r="AG3" s="11"/>
      <c r="AH3" s="11"/>
      <c r="AI3" s="11"/>
      <c r="AJ3" s="11"/>
      <c r="AK3" s="11"/>
      <c r="AL3" s="11"/>
      <c r="AM3" s="11"/>
      <c r="AN3" s="11"/>
      <c r="AO3" s="1010"/>
      <c r="AP3" s="1010"/>
      <c r="AQ3" s="1010"/>
      <c r="AR3" s="1010"/>
      <c r="AS3" s="1010"/>
      <c r="AT3" s="1010"/>
      <c r="AU3" s="1010"/>
      <c r="AV3" s="1010"/>
      <c r="AW3" s="11"/>
      <c r="AX3" s="372"/>
      <c r="AY3" s="1010"/>
      <c r="BA3" s="1353"/>
      <c r="BB3" s="2098"/>
      <c r="BC3" s="2098"/>
      <c r="BD3" s="2098"/>
      <c r="BE3" s="2098"/>
      <c r="BF3" s="2098"/>
      <c r="BG3" s="2098"/>
      <c r="BH3" s="2098"/>
      <c r="BI3" s="2098"/>
      <c r="BJ3" s="2098"/>
      <c r="BK3" s="2098"/>
      <c r="BL3" s="2098"/>
      <c r="BM3" s="2143"/>
      <c r="BN3" s="2143"/>
      <c r="BO3" s="2143"/>
      <c r="BP3" s="2143"/>
      <c r="BQ3" s="2143"/>
      <c r="BR3" s="2143"/>
      <c r="BS3" s="2193"/>
      <c r="BT3" s="2172"/>
      <c r="BU3" s="2195"/>
      <c r="BV3" s="179"/>
      <c r="BW3" s="179"/>
      <c r="BX3" s="179"/>
      <c r="BY3" s="179"/>
      <c r="BZ3" s="179"/>
      <c r="CA3" s="179"/>
      <c r="CB3" s="179"/>
      <c r="CC3" s="179"/>
      <c r="CD3" s="3"/>
      <c r="CE3" s="3"/>
      <c r="CF3" s="3"/>
      <c r="CG3" s="3"/>
      <c r="CH3" s="3"/>
      <c r="CI3" s="3"/>
      <c r="CJ3" s="3"/>
      <c r="CK3" s="3"/>
      <c r="CL3" s="3"/>
      <c r="CM3" s="3"/>
      <c r="CN3" s="3"/>
      <c r="CO3" s="3"/>
      <c r="CP3" s="1273"/>
      <c r="CQ3" s="1348"/>
      <c r="CR3" s="1348"/>
      <c r="CS3" s="1348"/>
      <c r="CT3" s="2189"/>
      <c r="CU3" s="1662"/>
      <c r="CV3" s="1349"/>
      <c r="CW3" s="1349"/>
      <c r="CX3" s="179"/>
      <c r="CY3" s="1349"/>
      <c r="CZ3" s="1349"/>
      <c r="DA3" s="1349"/>
      <c r="DB3" s="1349"/>
      <c r="DC3" s="1349"/>
      <c r="DD3" s="1483"/>
      <c r="DE3" s="1483"/>
      <c r="DF3" s="24"/>
      <c r="DG3" s="24"/>
      <c r="DH3" s="24"/>
      <c r="DI3" s="333"/>
      <c r="DJ3" s="333"/>
      <c r="DK3" s="333"/>
      <c r="DL3" s="333"/>
      <c r="DM3" s="333"/>
      <c r="DN3" s="333"/>
      <c r="DO3" s="333"/>
      <c r="DP3" s="333"/>
      <c r="DQ3" s="333"/>
      <c r="DR3" s="333"/>
      <c r="DS3" s="333"/>
      <c r="DT3" s="118"/>
      <c r="DU3" s="118"/>
      <c r="DV3" s="118"/>
      <c r="DW3" s="2098"/>
      <c r="DX3" s="2098"/>
      <c r="DY3" s="118"/>
      <c r="DZ3" s="1561"/>
    </row>
    <row r="4" spans="1:136" hidden="1" outlineLevel="1">
      <c r="BO4"/>
      <c r="BS4"/>
      <c r="BW4"/>
      <c r="CA4"/>
      <c r="CN4"/>
      <c r="CR4"/>
      <c r="CS4"/>
      <c r="CT4"/>
      <c r="CU4"/>
      <c r="CV4"/>
      <c r="CW4"/>
      <c r="CX4"/>
      <c r="CY4"/>
      <c r="CZ4"/>
      <c r="DA4"/>
      <c r="DB4"/>
      <c r="DC4"/>
      <c r="DD4"/>
      <c r="DE4"/>
      <c r="DF4"/>
      <c r="DR4"/>
      <c r="DT4"/>
      <c r="DU4"/>
      <c r="DV4"/>
      <c r="DW4"/>
      <c r="DX4"/>
      <c r="DY4"/>
      <c r="DZ4"/>
    </row>
    <row r="5" spans="1:136" ht="13.5" customHeight="1" collapsed="1">
      <c r="A5" s="322"/>
      <c r="B5" s="810" t="s">
        <v>690</v>
      </c>
      <c r="C5" s="187"/>
      <c r="D5" s="187"/>
      <c r="E5" s="196"/>
      <c r="F5" s="196"/>
      <c r="G5" s="196"/>
      <c r="H5" s="196"/>
      <c r="I5" s="196"/>
      <c r="J5" s="196"/>
      <c r="K5" s="196"/>
      <c r="L5" s="196"/>
      <c r="M5" s="196"/>
      <c r="N5" s="196"/>
      <c r="O5" s="196"/>
      <c r="P5" s="196"/>
      <c r="Q5" s="196"/>
      <c r="R5" s="196"/>
      <c r="S5" s="196"/>
      <c r="T5" s="196"/>
      <c r="U5" s="196"/>
      <c r="V5" s="374"/>
      <c r="W5" s="374"/>
      <c r="X5" s="374"/>
      <c r="Y5" s="374"/>
      <c r="Z5" s="374"/>
      <c r="AA5" s="374"/>
      <c r="AB5" s="374"/>
      <c r="AC5" s="374"/>
      <c r="AD5" s="374"/>
      <c r="AE5" s="374"/>
      <c r="AF5" s="374"/>
      <c r="AG5" s="374"/>
      <c r="AH5" s="374"/>
      <c r="AI5" s="374"/>
      <c r="AJ5" s="374"/>
      <c r="AK5" s="374"/>
      <c r="AL5" s="374"/>
      <c r="AM5" s="374"/>
      <c r="AN5" s="374"/>
      <c r="AO5" s="374"/>
      <c r="AP5" s="585"/>
      <c r="AQ5" s="585"/>
      <c r="AR5" s="585"/>
      <c r="AS5" s="585"/>
      <c r="AT5" s="1538"/>
      <c r="AU5" s="1538"/>
      <c r="AV5" s="1538"/>
      <c r="AW5" s="1538"/>
      <c r="AX5" s="1538"/>
      <c r="AY5" s="1538"/>
      <c r="AZ5" s="1538"/>
      <c r="BA5" s="1538"/>
      <c r="BB5" s="1672"/>
      <c r="BC5" s="1672"/>
      <c r="BD5" s="1672"/>
      <c r="BE5" s="1672"/>
      <c r="BF5" s="1672"/>
      <c r="BG5" s="1672"/>
      <c r="BH5" s="1672"/>
      <c r="BI5" s="1672"/>
      <c r="BJ5" s="1652"/>
      <c r="BK5" s="1652"/>
      <c r="BL5" s="1652"/>
      <c r="BM5" s="1652"/>
      <c r="BN5" s="1652"/>
      <c r="BO5" s="1652"/>
      <c r="BP5" s="1652"/>
      <c r="BQ5" s="1652"/>
      <c r="BR5" s="1652"/>
      <c r="BS5" s="1652"/>
      <c r="BT5" s="1652"/>
      <c r="BU5" s="1330"/>
      <c r="BV5" s="2220"/>
      <c r="BW5" s="2226"/>
      <c r="BX5" s="2220"/>
      <c r="BY5" s="2220"/>
      <c r="BZ5" s="2220"/>
      <c r="CA5" s="2226"/>
      <c r="CB5" s="2220"/>
      <c r="CC5" s="2220"/>
      <c r="CD5" s="3"/>
      <c r="CE5" s="68"/>
      <c r="CF5" s="68"/>
      <c r="CG5" s="68"/>
      <c r="CH5" s="68"/>
      <c r="CI5" s="68"/>
      <c r="CJ5" s="68"/>
      <c r="CK5" s="11"/>
      <c r="CL5" s="68"/>
      <c r="CM5" s="68"/>
      <c r="CN5" s="68"/>
      <c r="CO5" s="68"/>
      <c r="CP5" s="1275"/>
      <c r="CQ5" s="1583"/>
      <c r="CR5" s="1583"/>
      <c r="CS5" s="1583"/>
      <c r="CT5" s="1185"/>
      <c r="CU5" s="1657"/>
      <c r="CV5" s="1657"/>
      <c r="CW5" s="1348"/>
      <c r="CX5" s="2220"/>
      <c r="CY5" s="1348"/>
      <c r="CZ5" s="1348"/>
      <c r="DA5" s="1348"/>
      <c r="DB5" s="1348"/>
      <c r="DC5" s="1348"/>
      <c r="DD5" s="1483"/>
      <c r="DE5" s="1483"/>
      <c r="DF5" s="24"/>
      <c r="DG5" s="24"/>
      <c r="DH5" s="24"/>
      <c r="DI5" s="436"/>
      <c r="DJ5" s="436"/>
      <c r="DK5" s="436"/>
      <c r="DL5" s="436"/>
      <c r="DM5" s="436"/>
      <c r="DN5" s="436"/>
      <c r="DO5" s="436"/>
      <c r="DP5" s="436"/>
      <c r="DQ5" s="436"/>
      <c r="DR5" s="597"/>
      <c r="DS5" s="597"/>
      <c r="DT5" s="1044"/>
      <c r="DU5" s="1044"/>
      <c r="DV5" s="1044"/>
      <c r="DW5" s="1044"/>
      <c r="DX5" s="555"/>
      <c r="DY5" s="1044"/>
      <c r="DZ5" s="1561"/>
    </row>
    <row r="6" spans="1:136" ht="12">
      <c r="A6" s="764"/>
      <c r="B6" s="315" t="s">
        <v>540</v>
      </c>
      <c r="C6" s="188"/>
      <c r="D6" s="188"/>
      <c r="E6" s="201"/>
      <c r="F6" s="201"/>
      <c r="G6" s="201"/>
      <c r="H6" s="201"/>
      <c r="I6" s="201"/>
      <c r="J6" s="201"/>
      <c r="K6" s="201"/>
      <c r="L6" s="201"/>
      <c r="M6" s="201"/>
      <c r="N6" s="674"/>
      <c r="O6" s="201"/>
      <c r="P6" s="201"/>
      <c r="Q6" s="201"/>
      <c r="R6" s="201"/>
      <c r="S6" s="201"/>
      <c r="T6" s="201"/>
      <c r="U6" s="1046"/>
      <c r="V6" s="374"/>
      <c r="W6" s="374"/>
      <c r="X6" s="374"/>
      <c r="Y6" s="374"/>
      <c r="Z6" s="374"/>
      <c r="AA6" s="374"/>
      <c r="AB6" s="374"/>
      <c r="AC6" s="374"/>
      <c r="AD6" s="374"/>
      <c r="AE6" s="374"/>
      <c r="AF6" s="1044"/>
      <c r="AG6" s="1044"/>
      <c r="AH6" s="1044"/>
      <c r="AI6" s="1044"/>
      <c r="AJ6" s="1044"/>
      <c r="AK6" s="1044"/>
      <c r="AL6" s="1287"/>
      <c r="AM6" s="1287"/>
      <c r="AN6" s="1287"/>
      <c r="AO6" s="1287"/>
      <c r="AP6" s="1287"/>
      <c r="AQ6" s="1287"/>
      <c r="AR6" s="1287"/>
      <c r="AS6" s="1287"/>
      <c r="AT6" s="1538"/>
      <c r="AU6" s="1538"/>
      <c r="AV6" s="1538"/>
      <c r="AW6" s="1538"/>
      <c r="AX6" s="1538"/>
      <c r="AY6" s="1625"/>
      <c r="AZ6" s="1538"/>
      <c r="BA6" s="1538"/>
      <c r="BB6" s="1671"/>
      <c r="BC6" s="1625"/>
      <c r="BD6" s="1671"/>
      <c r="BE6" s="1671"/>
      <c r="BF6" s="1671"/>
      <c r="BG6" s="1625"/>
      <c r="BH6" s="1671"/>
      <c r="BI6" s="1671"/>
      <c r="BJ6" s="1538"/>
      <c r="BK6" s="1538"/>
      <c r="BL6" s="1538"/>
      <c r="BM6" s="1538"/>
      <c r="BN6" s="1538"/>
      <c r="BO6" s="1538"/>
      <c r="BP6" s="1538"/>
      <c r="BQ6" s="1538"/>
      <c r="BR6" s="1538"/>
      <c r="BS6" s="1538"/>
      <c r="BT6" s="1538"/>
      <c r="BU6" s="179"/>
      <c r="BV6" s="2225"/>
      <c r="BW6" s="2224"/>
      <c r="BX6" s="2225"/>
      <c r="BY6" s="2161"/>
      <c r="BZ6" s="2225"/>
      <c r="CA6" s="2224"/>
      <c r="CB6" s="2225"/>
      <c r="CC6" s="2225"/>
      <c r="CD6" s="555"/>
      <c r="CE6" s="555"/>
      <c r="CF6" s="555"/>
      <c r="CG6" s="555"/>
      <c r="CH6" s="555"/>
      <c r="CI6" s="555"/>
      <c r="CJ6" s="555"/>
      <c r="CK6" s="555"/>
      <c r="CL6" s="555"/>
      <c r="CM6" s="555"/>
      <c r="CN6" s="555"/>
      <c r="CO6" s="555"/>
      <c r="CP6" s="555"/>
      <c r="CQ6" s="555"/>
      <c r="CR6" s="555"/>
      <c r="CS6" s="555"/>
      <c r="CT6" s="1185"/>
      <c r="CU6" s="1330"/>
      <c r="CV6" s="1538"/>
      <c r="CW6" s="1538"/>
      <c r="CX6" s="1538"/>
      <c r="CY6" s="1330"/>
      <c r="CZ6" s="1330"/>
      <c r="DA6" s="1330"/>
      <c r="DB6" s="1330"/>
      <c r="DC6" s="1330"/>
      <c r="DD6" s="1502"/>
      <c r="DE6" s="1502"/>
      <c r="DF6" s="3"/>
      <c r="DG6" s="3"/>
      <c r="DH6" s="436"/>
      <c r="DI6" s="337"/>
      <c r="DJ6" s="337"/>
      <c r="DK6" s="337"/>
      <c r="DL6" s="337"/>
      <c r="DM6" s="337"/>
      <c r="DN6" s="337"/>
      <c r="DO6" s="337"/>
      <c r="DP6" s="436"/>
      <c r="DQ6" s="436"/>
      <c r="DR6" s="597"/>
      <c r="DS6" s="597"/>
      <c r="DT6" s="1297"/>
      <c r="DU6" s="1297"/>
      <c r="DV6" s="1297"/>
      <c r="DW6" s="1297"/>
      <c r="DX6" s="2266"/>
      <c r="DY6" s="1297"/>
      <c r="DZ6" s="1483"/>
    </row>
    <row r="7" spans="1:136" ht="12" customHeight="1">
      <c r="A7" s="105"/>
      <c r="B7" s="145"/>
      <c r="C7" s="145"/>
      <c r="D7" s="145"/>
      <c r="E7" s="145"/>
      <c r="F7" s="145"/>
      <c r="G7" s="145"/>
      <c r="H7" s="145"/>
      <c r="I7" s="145"/>
      <c r="J7" s="145"/>
      <c r="K7" s="145"/>
      <c r="L7" s="145"/>
      <c r="M7" s="145"/>
      <c r="N7" s="145"/>
      <c r="O7" s="145"/>
      <c r="P7" s="145"/>
      <c r="Q7" s="2100"/>
      <c r="R7" s="145"/>
      <c r="S7" s="145"/>
      <c r="T7" s="145"/>
      <c r="U7" s="2100"/>
      <c r="V7" s="145"/>
      <c r="W7" s="145"/>
      <c r="X7" s="145"/>
      <c r="Y7" s="2100"/>
      <c r="Z7" s="145"/>
      <c r="AA7" s="2194"/>
      <c r="AB7" s="145"/>
      <c r="AC7" s="2100"/>
      <c r="AD7" s="145"/>
      <c r="AE7" s="2194"/>
      <c r="AF7" s="145"/>
      <c r="AG7" s="2100"/>
      <c r="AH7" s="145"/>
      <c r="AI7" s="2194"/>
      <c r="AJ7" s="145"/>
      <c r="AK7" s="2100"/>
      <c r="AL7" s="145"/>
      <c r="AM7" s="2194"/>
      <c r="AN7" s="145"/>
      <c r="AO7" s="2100"/>
      <c r="AP7" s="2192"/>
      <c r="AQ7" s="2194"/>
      <c r="AR7" s="1288"/>
      <c r="AS7" s="2100"/>
      <c r="AT7" s="2192"/>
      <c r="AU7" s="2194"/>
      <c r="AV7" s="1288"/>
      <c r="AW7" s="2100"/>
      <c r="AX7" s="2192"/>
      <c r="AY7" s="2194"/>
      <c r="AZ7" s="1379"/>
      <c r="BA7" s="2100"/>
      <c r="BB7" s="2192"/>
      <c r="BC7" s="2194"/>
      <c r="BD7" s="1538"/>
      <c r="BE7" s="1538"/>
      <c r="BF7" s="1538"/>
      <c r="BG7" s="1538"/>
      <c r="BH7" s="1538"/>
      <c r="BI7" s="1538"/>
      <c r="BJ7" s="1538"/>
      <c r="BK7" s="1538"/>
      <c r="BL7" s="1538"/>
      <c r="BM7" s="1538"/>
      <c r="BN7" s="1538"/>
      <c r="BO7" s="1538"/>
      <c r="BP7" s="1538"/>
      <c r="BQ7" s="1538"/>
      <c r="BR7" s="1538"/>
      <c r="BS7" s="1538"/>
      <c r="BT7" s="2220"/>
      <c r="BU7" s="2220"/>
      <c r="BV7" s="2225"/>
      <c r="BW7" s="2236"/>
      <c r="BX7" s="2237"/>
      <c r="BY7" s="2237"/>
      <c r="BZ7" s="2237"/>
      <c r="CA7" s="2236"/>
      <c r="CB7" s="2237"/>
      <c r="CC7" s="2237"/>
      <c r="CP7" s="1475"/>
      <c r="CQ7" s="1583"/>
      <c r="CR7" s="2219"/>
      <c r="CS7" s="2219"/>
      <c r="CT7" s="2219"/>
      <c r="CU7" s="2124"/>
      <c r="CV7" s="2237"/>
      <c r="CW7" s="2237"/>
      <c r="CX7" s="2162"/>
      <c r="CY7" s="2124"/>
      <c r="CZ7" s="2124"/>
      <c r="DA7" s="2124"/>
      <c r="DB7" s="2124"/>
      <c r="DC7" s="2124"/>
      <c r="DD7" s="1503"/>
      <c r="DE7" s="1503"/>
      <c r="DF7" s="28"/>
      <c r="DG7" s="141"/>
      <c r="DH7" s="141"/>
      <c r="DI7" s="141"/>
      <c r="DJ7" s="141"/>
      <c r="DK7" s="28"/>
      <c r="DL7" s="492"/>
      <c r="DM7" s="492"/>
      <c r="DN7" s="492"/>
      <c r="DO7" s="492"/>
      <c r="DP7" s="374"/>
      <c r="DQ7" s="374"/>
      <c r="DR7" s="1044"/>
      <c r="DS7" s="1044"/>
      <c r="DT7" s="1044"/>
      <c r="DU7" s="1430"/>
      <c r="DV7" s="1430"/>
      <c r="DW7" s="2267"/>
      <c r="DX7" s="2267"/>
      <c r="DY7" s="1044"/>
      <c r="DZ7" s="1674"/>
    </row>
    <row r="8" spans="1:136">
      <c r="A8" s="105"/>
      <c r="B8" s="230"/>
      <c r="C8" s="189"/>
      <c r="D8" s="189"/>
      <c r="E8" s="190"/>
      <c r="F8" s="2284" t="s">
        <v>396</v>
      </c>
      <c r="G8" s="2284"/>
      <c r="H8" s="2284"/>
      <c r="I8" s="2285"/>
      <c r="J8" s="2283" t="s">
        <v>394</v>
      </c>
      <c r="K8" s="2284"/>
      <c r="L8" s="2284"/>
      <c r="M8" s="2285"/>
      <c r="N8" s="2283" t="s">
        <v>395</v>
      </c>
      <c r="O8" s="2284"/>
      <c r="P8" s="2284"/>
      <c r="Q8" s="2285"/>
      <c r="R8" s="2284" t="s">
        <v>9</v>
      </c>
      <c r="S8" s="2284"/>
      <c r="T8" s="2284"/>
      <c r="U8" s="2285"/>
      <c r="V8" s="2283" t="s">
        <v>393</v>
      </c>
      <c r="W8" s="2284"/>
      <c r="X8" s="2284"/>
      <c r="Y8" s="2285"/>
      <c r="Z8" s="2283" t="s">
        <v>392</v>
      </c>
      <c r="AA8" s="2284"/>
      <c r="AB8" s="2284"/>
      <c r="AC8" s="2285"/>
      <c r="AD8" s="2283" t="s">
        <v>391</v>
      </c>
      <c r="AE8" s="2284"/>
      <c r="AF8" s="2284"/>
      <c r="AG8" s="2285"/>
      <c r="AH8" s="2283" t="s">
        <v>390</v>
      </c>
      <c r="AI8" s="2284"/>
      <c r="AJ8" s="2284"/>
      <c r="AK8" s="2285"/>
      <c r="AL8" s="2283" t="s">
        <v>389</v>
      </c>
      <c r="AM8" s="2284"/>
      <c r="AN8" s="2284"/>
      <c r="AO8" s="2285"/>
      <c r="AP8" s="1059" t="s">
        <v>388</v>
      </c>
      <c r="AQ8" s="1165"/>
      <c r="AR8" s="1165"/>
      <c r="AS8" s="1166"/>
      <c r="AT8" s="2292" t="s">
        <v>43</v>
      </c>
      <c r="AU8" s="2293"/>
      <c r="AV8" s="2293"/>
      <c r="AW8" s="2293"/>
      <c r="AX8" s="2289" t="s">
        <v>250</v>
      </c>
      <c r="AY8" s="2290"/>
      <c r="AZ8" s="2290"/>
      <c r="BA8" s="2291"/>
      <c r="BB8" s="2289" t="s">
        <v>324</v>
      </c>
      <c r="BC8" s="2290"/>
      <c r="BD8" s="2290"/>
      <c r="BE8" s="2291"/>
      <c r="BF8" s="2286" t="s">
        <v>908</v>
      </c>
      <c r="BG8" s="2287"/>
      <c r="BH8" s="2287"/>
      <c r="BI8" s="2288"/>
      <c r="BJ8" s="2289" t="s">
        <v>941</v>
      </c>
      <c r="BK8" s="2287"/>
      <c r="BL8" s="2287"/>
      <c r="BM8" s="2288"/>
      <c r="BN8" s="2289" t="s">
        <v>940</v>
      </c>
      <c r="BO8" s="2287"/>
      <c r="BP8" s="2287"/>
      <c r="BQ8" s="2288"/>
      <c r="BR8" s="2289" t="s">
        <v>983</v>
      </c>
      <c r="BS8" s="2287"/>
      <c r="BT8" s="2287"/>
      <c r="BU8" s="2288"/>
      <c r="BV8" s="2280" t="s">
        <v>928</v>
      </c>
      <c r="BW8" s="2281"/>
      <c r="BX8" s="2281"/>
      <c r="BY8" s="2282"/>
      <c r="BZ8" s="2280" t="s">
        <v>985</v>
      </c>
      <c r="CA8" s="2281"/>
      <c r="CB8" s="2281"/>
      <c r="CC8" s="2282"/>
      <c r="CD8" s="12"/>
      <c r="CE8" s="763"/>
      <c r="CF8" s="763"/>
      <c r="CG8" s="763"/>
      <c r="CH8" s="763"/>
      <c r="CI8" s="763"/>
      <c r="CJ8" s="20"/>
      <c r="CK8" s="20"/>
      <c r="CL8" s="765"/>
      <c r="CM8" s="20"/>
      <c r="CN8" s="456"/>
      <c r="CO8" s="20"/>
      <c r="CP8" s="456"/>
      <c r="CQ8" s="20"/>
      <c r="CR8" s="20" t="s">
        <v>270</v>
      </c>
      <c r="CS8" s="1574"/>
      <c r="CT8" s="1574"/>
      <c r="CU8" s="1575"/>
      <c r="CV8" s="1575"/>
      <c r="CW8" s="1575"/>
      <c r="CX8" s="1575"/>
      <c r="CY8" s="1575"/>
      <c r="CZ8" s="1575"/>
      <c r="DA8" s="1575"/>
      <c r="DB8" s="1575"/>
      <c r="DC8" s="1575"/>
      <c r="DD8" s="1576"/>
      <c r="DE8" s="1521"/>
      <c r="DF8" s="28"/>
      <c r="DG8" s="1278"/>
      <c r="DH8" s="1279"/>
      <c r="DI8" s="1280"/>
      <c r="DJ8" s="1280"/>
      <c r="DK8" s="1280"/>
      <c r="DL8" s="1280"/>
      <c r="DM8" s="20"/>
      <c r="DN8" s="20"/>
      <c r="DO8" s="20"/>
      <c r="DP8" s="20"/>
      <c r="DQ8" s="20"/>
      <c r="DR8" s="20"/>
      <c r="DS8" s="1241" t="s">
        <v>666</v>
      </c>
      <c r="DT8" s="20"/>
      <c r="DU8" s="20"/>
      <c r="DV8" s="20"/>
      <c r="DW8" s="20"/>
      <c r="DX8" s="21"/>
      <c r="DY8" s="1044"/>
      <c r="DZ8" s="1674"/>
    </row>
    <row r="9" spans="1:136">
      <c r="A9" s="143"/>
      <c r="B9" s="231" t="s">
        <v>1</v>
      </c>
      <c r="C9" s="191"/>
      <c r="D9" s="191"/>
      <c r="E9" s="192"/>
      <c r="F9" s="787">
        <v>36776</v>
      </c>
      <c r="G9" s="787">
        <v>36867</v>
      </c>
      <c r="H9" s="787">
        <v>36956</v>
      </c>
      <c r="I9" s="537">
        <v>37048</v>
      </c>
      <c r="J9" s="476">
        <v>37141</v>
      </c>
      <c r="K9" s="476">
        <v>37232</v>
      </c>
      <c r="L9" s="476">
        <v>37321</v>
      </c>
      <c r="M9" s="537">
        <v>37413</v>
      </c>
      <c r="N9" s="476">
        <v>37506</v>
      </c>
      <c r="O9" s="476">
        <v>37597</v>
      </c>
      <c r="P9" s="476">
        <v>37686</v>
      </c>
      <c r="Q9" s="453">
        <v>37778</v>
      </c>
      <c r="R9" s="476">
        <v>37871</v>
      </c>
      <c r="S9" s="476">
        <v>37962</v>
      </c>
      <c r="T9" s="476">
        <v>38052</v>
      </c>
      <c r="U9" s="453">
        <v>38144</v>
      </c>
      <c r="V9" s="454">
        <v>38237</v>
      </c>
      <c r="W9" s="476">
        <v>38328</v>
      </c>
      <c r="X9" s="476">
        <v>38417</v>
      </c>
      <c r="Y9" s="453">
        <v>38509</v>
      </c>
      <c r="Z9" s="454">
        <v>38602</v>
      </c>
      <c r="AA9" s="476">
        <v>38693</v>
      </c>
      <c r="AB9" s="476">
        <v>38782</v>
      </c>
      <c r="AC9" s="453">
        <v>38874</v>
      </c>
      <c r="AD9" s="454">
        <v>38967</v>
      </c>
      <c r="AE9" s="476">
        <v>39058</v>
      </c>
      <c r="AF9" s="476">
        <v>39147</v>
      </c>
      <c r="AG9" s="476">
        <v>39239</v>
      </c>
      <c r="AH9" s="454">
        <v>39331</v>
      </c>
      <c r="AI9" s="986">
        <v>39422</v>
      </c>
      <c r="AJ9" s="986">
        <v>39513</v>
      </c>
      <c r="AK9" s="1048">
        <v>39605</v>
      </c>
      <c r="AL9" s="986">
        <v>39697</v>
      </c>
      <c r="AM9" s="986">
        <v>39788</v>
      </c>
      <c r="AN9" s="986">
        <v>39878</v>
      </c>
      <c r="AO9" s="1048">
        <v>39970</v>
      </c>
      <c r="AP9" s="986">
        <v>40062</v>
      </c>
      <c r="AQ9" s="986">
        <v>40153</v>
      </c>
      <c r="AR9" s="986">
        <v>40243</v>
      </c>
      <c r="AS9" s="1048">
        <v>40335</v>
      </c>
      <c r="AT9" s="151">
        <v>40451</v>
      </c>
      <c r="AU9" s="151">
        <v>40542</v>
      </c>
      <c r="AV9" s="151">
        <v>40632</v>
      </c>
      <c r="AW9" s="151">
        <v>40724</v>
      </c>
      <c r="AX9" s="1220">
        <v>40816</v>
      </c>
      <c r="AY9" s="151">
        <v>40907</v>
      </c>
      <c r="AZ9" s="151">
        <v>40998</v>
      </c>
      <c r="BA9" s="151">
        <v>41090</v>
      </c>
      <c r="BB9" s="1220">
        <v>41182</v>
      </c>
      <c r="BC9" s="151">
        <v>41273</v>
      </c>
      <c r="BD9" s="151">
        <v>41364</v>
      </c>
      <c r="BE9" s="1342">
        <v>41455</v>
      </c>
      <c r="BF9" s="1443">
        <v>41547</v>
      </c>
      <c r="BG9" s="1394">
        <v>41638</v>
      </c>
      <c r="BH9" s="1394">
        <v>41728</v>
      </c>
      <c r="BI9" s="1444">
        <v>41820</v>
      </c>
      <c r="BJ9" s="1443">
        <v>41912</v>
      </c>
      <c r="BK9" s="1394">
        <v>42003</v>
      </c>
      <c r="BL9" s="1394">
        <v>42093</v>
      </c>
      <c r="BM9" s="1444">
        <v>42185</v>
      </c>
      <c r="BN9" s="1443">
        <v>42277</v>
      </c>
      <c r="BO9" s="1394">
        <v>42368</v>
      </c>
      <c r="BP9" s="1394">
        <v>42459</v>
      </c>
      <c r="BQ9" s="1444">
        <v>42551</v>
      </c>
      <c r="BR9" s="1443">
        <v>42643</v>
      </c>
      <c r="BS9" s="1394">
        <v>42735</v>
      </c>
      <c r="BT9" s="1394">
        <v>42825</v>
      </c>
      <c r="BU9" s="1444">
        <v>42916</v>
      </c>
      <c r="BV9" s="1443">
        <v>43008</v>
      </c>
      <c r="BW9" s="1443">
        <v>43100</v>
      </c>
      <c r="BX9" s="940">
        <v>43190</v>
      </c>
      <c r="BY9" s="1402">
        <v>43281</v>
      </c>
      <c r="BZ9" s="940">
        <v>43373</v>
      </c>
      <c r="CA9" s="940">
        <v>43465</v>
      </c>
      <c r="CB9" s="940">
        <v>43555</v>
      </c>
      <c r="CC9" s="1402">
        <v>43646</v>
      </c>
      <c r="CD9" s="12"/>
      <c r="CE9" s="2" t="s">
        <v>2</v>
      </c>
      <c r="CF9" s="2" t="s">
        <v>3</v>
      </c>
      <c r="CG9" s="2" t="s">
        <v>78</v>
      </c>
      <c r="CH9" s="1" t="s">
        <v>287</v>
      </c>
      <c r="CI9" s="1" t="s">
        <v>288</v>
      </c>
      <c r="CJ9" s="1" t="s">
        <v>285</v>
      </c>
      <c r="CK9" s="1" t="s">
        <v>674</v>
      </c>
      <c r="CL9" s="1" t="s">
        <v>529</v>
      </c>
      <c r="CM9" s="1" t="s">
        <v>234</v>
      </c>
      <c r="CN9" s="1434" t="s">
        <v>423</v>
      </c>
      <c r="CO9" s="1" t="s">
        <v>44</v>
      </c>
      <c r="CP9" s="1" t="s">
        <v>251</v>
      </c>
      <c r="CQ9" s="1" t="s">
        <v>325</v>
      </c>
      <c r="CR9" s="1445" t="s">
        <v>909</v>
      </c>
      <c r="CS9" s="1" t="s">
        <v>910</v>
      </c>
      <c r="CT9" s="1" t="s">
        <v>937</v>
      </c>
      <c r="CU9" s="1" t="s">
        <v>984</v>
      </c>
      <c r="CV9" s="1543" t="s">
        <v>911</v>
      </c>
      <c r="CW9" s="1543" t="s">
        <v>912</v>
      </c>
      <c r="CX9" s="1543" t="s">
        <v>913</v>
      </c>
      <c r="CY9" s="1543" t="s">
        <v>914</v>
      </c>
      <c r="CZ9" s="1543" t="s">
        <v>915</v>
      </c>
      <c r="DA9" s="1543" t="s">
        <v>916</v>
      </c>
      <c r="DB9" s="1543" t="s">
        <v>986</v>
      </c>
      <c r="DC9" s="1543" t="s">
        <v>987</v>
      </c>
      <c r="DD9" s="1504"/>
      <c r="DE9" s="1521"/>
      <c r="DF9" s="144"/>
      <c r="DG9" s="1281" t="s">
        <v>2</v>
      </c>
      <c r="DH9" s="2" t="s">
        <v>3</v>
      </c>
      <c r="DI9" s="2" t="s">
        <v>78</v>
      </c>
      <c r="DJ9" s="1" t="s">
        <v>287</v>
      </c>
      <c r="DK9" s="1" t="s">
        <v>288</v>
      </c>
      <c r="DL9" s="1" t="s">
        <v>285</v>
      </c>
      <c r="DM9" s="1" t="s">
        <v>674</v>
      </c>
      <c r="DN9" s="1" t="s">
        <v>529</v>
      </c>
      <c r="DO9" s="1" t="s">
        <v>234</v>
      </c>
      <c r="DP9" s="1" t="s">
        <v>423</v>
      </c>
      <c r="DQ9" s="1" t="s">
        <v>44</v>
      </c>
      <c r="DR9" s="1" t="s">
        <v>251</v>
      </c>
      <c r="DS9" s="1234" t="s">
        <v>325</v>
      </c>
      <c r="DT9" s="1" t="s">
        <v>909</v>
      </c>
      <c r="DU9" s="1" t="s">
        <v>910</v>
      </c>
      <c r="DV9" s="1" t="s">
        <v>937</v>
      </c>
      <c r="DW9" s="6" t="s">
        <v>318</v>
      </c>
      <c r="DX9" s="7" t="s">
        <v>911</v>
      </c>
      <c r="DY9" s="1044"/>
      <c r="DZ9" s="1675"/>
    </row>
    <row r="10" spans="1:136" ht="11.25" hidden="1" customHeight="1" outlineLevel="1">
      <c r="A10" s="145"/>
      <c r="B10" s="227"/>
      <c r="C10" s="145"/>
      <c r="D10" s="145"/>
      <c r="E10" s="228"/>
      <c r="F10" s="1597"/>
      <c r="G10" s="1597"/>
      <c r="H10" s="1597"/>
      <c r="I10" s="1598"/>
      <c r="J10" s="1597"/>
      <c r="K10" s="1597"/>
      <c r="L10" s="1597"/>
      <c r="M10" s="1598"/>
      <c r="N10" s="1597"/>
      <c r="O10" s="1597"/>
      <c r="P10" s="1597"/>
      <c r="Q10" s="1598"/>
      <c r="R10" s="1597"/>
      <c r="S10" s="1597"/>
      <c r="T10" s="1597"/>
      <c r="U10" s="1598"/>
      <c r="V10" s="1599"/>
      <c r="W10" s="1597"/>
      <c r="X10" s="1597"/>
      <c r="Y10" s="1598"/>
      <c r="Z10" s="1599"/>
      <c r="AA10" s="1597"/>
      <c r="AB10" s="1597"/>
      <c r="AC10" s="1598"/>
      <c r="AD10" s="1599"/>
      <c r="AE10" s="1597"/>
      <c r="AF10" s="1597"/>
      <c r="AG10" s="1597"/>
      <c r="AH10" s="1599"/>
      <c r="AI10" s="1597"/>
      <c r="AJ10" s="1597"/>
      <c r="AK10" s="1598"/>
      <c r="AL10" s="1597"/>
      <c r="AM10" s="1597"/>
      <c r="AN10" s="1597"/>
      <c r="AO10" s="1600"/>
      <c r="AP10" s="145"/>
      <c r="AQ10" s="145"/>
      <c r="AR10" s="145"/>
      <c r="AS10" s="228"/>
      <c r="AT10" s="145"/>
      <c r="AU10" s="145"/>
      <c r="AV10" s="145"/>
      <c r="AW10" s="228"/>
      <c r="AX10" s="145"/>
      <c r="AY10" s="145"/>
      <c r="AZ10" s="145"/>
      <c r="BA10" s="228"/>
      <c r="BB10" s="1476" t="s">
        <v>960</v>
      </c>
      <c r="BC10" s="1477"/>
      <c r="BD10" s="1477"/>
      <c r="BE10" s="1478"/>
      <c r="BF10" s="1476"/>
      <c r="BG10" s="1477"/>
      <c r="BH10" s="1477"/>
      <c r="BI10" s="2151"/>
      <c r="BJ10" s="1476" t="s">
        <v>959</v>
      </c>
      <c r="BK10" s="1477"/>
      <c r="BL10" s="1477"/>
      <c r="BM10" s="1478"/>
      <c r="BN10" s="2192"/>
      <c r="BO10" s="1594"/>
      <c r="BP10" s="2196"/>
      <c r="BQ10" s="2197"/>
      <c r="BR10" s="2192"/>
      <c r="BS10" s="2198"/>
      <c r="BT10" s="2198"/>
      <c r="BU10" s="2199"/>
      <c r="BV10" s="1708"/>
      <c r="BW10" s="1708"/>
      <c r="BX10" s="1708"/>
      <c r="BY10" s="1709"/>
      <c r="BZ10" s="1708"/>
      <c r="CA10" s="1708"/>
      <c r="CB10" s="1708"/>
      <c r="CC10" s="1709"/>
      <c r="CD10" s="228"/>
      <c r="CE10" s="550"/>
      <c r="CF10" s="550"/>
      <c r="CG10" s="550"/>
      <c r="CH10" s="550"/>
      <c r="CI10" s="550"/>
      <c r="CJ10" s="550"/>
      <c r="CK10" s="550"/>
      <c r="CL10" s="550"/>
      <c r="CM10" s="550"/>
      <c r="CN10" s="145"/>
      <c r="CO10" s="1163"/>
      <c r="CP10" s="145"/>
      <c r="CQ10" s="2061"/>
      <c r="CR10" s="2061"/>
      <c r="CS10" s="2062"/>
      <c r="CT10" s="2062"/>
      <c r="CU10" s="2062"/>
      <c r="CV10" s="2192"/>
      <c r="CW10" s="1708"/>
      <c r="CX10" s="2062"/>
      <c r="CY10" s="2062"/>
      <c r="CZ10" s="2062"/>
      <c r="DA10" s="2062"/>
      <c r="DB10" s="2062"/>
      <c r="DC10" s="2062"/>
      <c r="DD10" s="1505"/>
      <c r="DE10" s="1551"/>
      <c r="DF10" s="141"/>
      <c r="DG10" s="215"/>
      <c r="DH10" s="141"/>
      <c r="DI10" s="141"/>
      <c r="DJ10" s="141"/>
      <c r="DK10" s="141"/>
      <c r="DL10" s="141"/>
      <c r="DM10" s="1242"/>
      <c r="DN10" s="1242"/>
      <c r="DO10" s="1242"/>
      <c r="DP10" s="1242"/>
      <c r="DQ10" s="1242"/>
      <c r="DR10" s="1242"/>
      <c r="DS10" s="1570"/>
      <c r="DT10" s="1242"/>
      <c r="DU10" s="141"/>
      <c r="DV10" s="141"/>
      <c r="DW10" s="641"/>
      <c r="DX10" s="2262"/>
      <c r="DY10" s="2126"/>
      <c r="DZ10" s="1676"/>
    </row>
    <row r="11" spans="1:136" ht="11.25" hidden="1" customHeight="1" outlineLevel="1">
      <c r="A11" s="143" t="s">
        <v>25</v>
      </c>
      <c r="B11" s="232" t="s">
        <v>884</v>
      </c>
      <c r="C11" s="193"/>
      <c r="D11" s="193"/>
      <c r="E11" s="194"/>
      <c r="F11" s="1595">
        <v>424.36599999999999</v>
      </c>
      <c r="G11" s="1595">
        <v>561.57000000000005</v>
      </c>
      <c r="H11" s="1595">
        <v>511.72300000000001</v>
      </c>
      <c r="I11" s="1596">
        <v>455.733</v>
      </c>
      <c r="J11" s="825">
        <f>J395+J382</f>
        <v>440.94299999999998</v>
      </c>
      <c r="K11" s="485">
        <f t="shared" ref="K11:AO11" si="0">K395+K382</f>
        <v>574.66999999999996</v>
      </c>
      <c r="L11" s="485">
        <f t="shared" si="0"/>
        <v>594.8667143407182</v>
      </c>
      <c r="M11" s="486">
        <f t="shared" si="0"/>
        <v>540.67200000000003</v>
      </c>
      <c r="N11" s="825">
        <f t="shared" si="0"/>
        <v>582.90927873704163</v>
      </c>
      <c r="O11" s="485">
        <f t="shared" si="0"/>
        <v>749.48840189176462</v>
      </c>
      <c r="P11" s="485">
        <f t="shared" si="0"/>
        <v>705.83853477611558</v>
      </c>
      <c r="Q11" s="486">
        <f t="shared" si="0"/>
        <v>680.26236561653354</v>
      </c>
      <c r="R11" s="825">
        <f t="shared" si="0"/>
        <v>714.22488345032104</v>
      </c>
      <c r="S11" s="485">
        <f t="shared" si="0"/>
        <v>834.81680169199649</v>
      </c>
      <c r="T11" s="485">
        <f t="shared" si="0"/>
        <v>748.8909767732564</v>
      </c>
      <c r="U11" s="486">
        <f t="shared" si="0"/>
        <v>748.79343562788586</v>
      </c>
      <c r="V11" s="825">
        <f t="shared" si="0"/>
        <v>823.57649571832212</v>
      </c>
      <c r="W11" s="485">
        <f t="shared" si="0"/>
        <v>954.92508108797097</v>
      </c>
      <c r="X11" s="485">
        <f t="shared" si="0"/>
        <v>919.89553710847383</v>
      </c>
      <c r="Y11" s="486">
        <f t="shared" si="0"/>
        <v>940.36705711427976</v>
      </c>
      <c r="Z11" s="825">
        <f t="shared" si="0"/>
        <v>1009.9049524614122</v>
      </c>
      <c r="AA11" s="485">
        <f t="shared" si="0"/>
        <v>1117.0674262637269</v>
      </c>
      <c r="AB11" s="485">
        <f t="shared" si="0"/>
        <v>1128.7699816586421</v>
      </c>
      <c r="AC11" s="486">
        <f t="shared" si="0"/>
        <v>1085.520633982266</v>
      </c>
      <c r="AD11" s="825">
        <f t="shared" si="0"/>
        <v>1263.9988334361215</v>
      </c>
      <c r="AE11" s="485">
        <f t="shared" si="0"/>
        <v>1427.9700114953569</v>
      </c>
      <c r="AF11" s="485">
        <f t="shared" si="0"/>
        <v>1410.029773424646</v>
      </c>
      <c r="AG11" s="485">
        <f t="shared" si="0"/>
        <v>1366.7077743125046</v>
      </c>
      <c r="AH11" s="825">
        <f t="shared" si="0"/>
        <v>1765.988572513043</v>
      </c>
      <c r="AI11" s="485">
        <f t="shared" si="0"/>
        <v>2204.1036084876764</v>
      </c>
      <c r="AJ11" s="485">
        <f t="shared" si="0"/>
        <v>2111.0268418486398</v>
      </c>
      <c r="AK11" s="486">
        <f t="shared" si="0"/>
        <v>1993.0649197251787</v>
      </c>
      <c r="AL11" s="485">
        <f t="shared" si="0"/>
        <v>2108.9897603707814</v>
      </c>
      <c r="AM11" s="485">
        <f t="shared" si="0"/>
        <v>1822.7877252563499</v>
      </c>
      <c r="AN11" s="485">
        <f t="shared" si="0"/>
        <v>1591.8920069350916</v>
      </c>
      <c r="AO11" s="486">
        <f t="shared" si="0"/>
        <v>1928.1865719438424</v>
      </c>
      <c r="AP11" s="485">
        <f>AP28+AP29+AP32+AP35</f>
        <v>2208</v>
      </c>
      <c r="AQ11" s="485">
        <f t="shared" ref="AQ11:BA11" si="1">AQ28+AQ29+AQ32+AQ35</f>
        <v>2619</v>
      </c>
      <c r="AR11" s="485">
        <f t="shared" si="1"/>
        <v>2641</v>
      </c>
      <c r="AS11" s="486">
        <f t="shared" si="1"/>
        <v>2382</v>
      </c>
      <c r="AT11" s="485">
        <f t="shared" si="1"/>
        <v>2447</v>
      </c>
      <c r="AU11" s="485">
        <f t="shared" si="1"/>
        <v>2475</v>
      </c>
      <c r="AV11" s="485">
        <f t="shared" si="1"/>
        <v>2252</v>
      </c>
      <c r="AW11" s="486">
        <f t="shared" si="1"/>
        <v>2403</v>
      </c>
      <c r="AX11" s="485">
        <f t="shared" si="1"/>
        <v>2694</v>
      </c>
      <c r="AY11" s="485">
        <f t="shared" si="1"/>
        <v>1995</v>
      </c>
      <c r="AZ11" s="485">
        <f t="shared" si="1"/>
        <v>3035</v>
      </c>
      <c r="BA11" s="486">
        <f t="shared" si="1"/>
        <v>4754</v>
      </c>
      <c r="BB11" s="485">
        <f>SUM(BB12, BB13, BB14)</f>
        <v>4035</v>
      </c>
      <c r="BC11" s="485">
        <f t="shared" ref="BC11:BY11" si="2">SUM(BC12, BC13, BC14)</f>
        <v>3824</v>
      </c>
      <c r="BD11" s="485">
        <f t="shared" si="2"/>
        <v>3764</v>
      </c>
      <c r="BE11" s="486">
        <f t="shared" si="2"/>
        <v>3728</v>
      </c>
      <c r="BF11" s="485">
        <f t="shared" si="2"/>
        <v>3804</v>
      </c>
      <c r="BG11" s="485">
        <f t="shared" si="2"/>
        <v>3972</v>
      </c>
      <c r="BH11" s="485">
        <f t="shared" si="2"/>
        <v>3703</v>
      </c>
      <c r="BI11" s="486">
        <f t="shared" si="2"/>
        <v>3651</v>
      </c>
      <c r="BJ11" s="825">
        <f t="shared" si="2"/>
        <v>3943</v>
      </c>
      <c r="BK11" s="485">
        <f t="shared" si="2"/>
        <v>3888</v>
      </c>
      <c r="BL11" s="485">
        <f t="shared" si="2"/>
        <v>3550</v>
      </c>
      <c r="BM11" s="486">
        <f t="shared" si="2"/>
        <v>3191</v>
      </c>
      <c r="BN11" s="485">
        <f t="shared" si="2"/>
        <v>3360</v>
      </c>
      <c r="BO11" s="485">
        <f t="shared" si="2"/>
        <v>3317</v>
      </c>
      <c r="BP11" s="485">
        <f t="shared" si="2"/>
        <v>2822</v>
      </c>
      <c r="BQ11" s="486">
        <f t="shared" si="2"/>
        <v>3495</v>
      </c>
      <c r="BR11" s="485">
        <f t="shared" si="2"/>
        <v>4714</v>
      </c>
      <c r="BS11" s="485">
        <f t="shared" si="2"/>
        <v>4888</v>
      </c>
      <c r="BT11" s="485">
        <f t="shared" si="2"/>
        <v>4649</v>
      </c>
      <c r="BU11" s="486">
        <f t="shared" si="2"/>
        <v>4842</v>
      </c>
      <c r="BV11" s="485">
        <f t="shared" si="2"/>
        <v>5181</v>
      </c>
      <c r="BW11" s="485">
        <f t="shared" si="2"/>
        <v>5336</v>
      </c>
      <c r="BX11" s="485">
        <f t="shared" si="2"/>
        <v>4909.098649999999</v>
      </c>
      <c r="BY11" s="486">
        <f t="shared" si="2"/>
        <v>4914.0212792599996</v>
      </c>
      <c r="BZ11" s="485">
        <f>SUM(BZ12, BZ13, BZ14)</f>
        <v>5070.511340858784</v>
      </c>
      <c r="CA11" s="485">
        <f>SUM(CA12, CA13, CA14)</f>
        <v>4990.1074887502618</v>
      </c>
      <c r="CB11" s="485">
        <f>SUM(CB12, CB13, CB14)</f>
        <v>4633.8945384781609</v>
      </c>
      <c r="CC11" s="486">
        <f>SUM(CC12, CC13, CC14)</f>
        <v>4386.1350511964692</v>
      </c>
      <c r="CD11" s="12"/>
      <c r="CE11" s="485">
        <f>SUM(F11:I11)</f>
        <v>1953.3920000000001</v>
      </c>
      <c r="CF11" s="485">
        <f>SUM(J11:M11)</f>
        <v>2151.1517143407182</v>
      </c>
      <c r="CG11" s="485">
        <f>SUM(N11:Q11)</f>
        <v>2718.4985810214557</v>
      </c>
      <c r="CH11" s="485">
        <f>SUM(R11:U11)</f>
        <v>3046.7260975434592</v>
      </c>
      <c r="CI11" s="485">
        <f>SUM(V11:Y11)</f>
        <v>3638.7641710290468</v>
      </c>
      <c r="CJ11" s="485">
        <f>SUM(Z11:AC11)</f>
        <v>4341.2629943660477</v>
      </c>
      <c r="CK11" s="485">
        <f>SUM(AD11:AG11)</f>
        <v>5468.7063926686287</v>
      </c>
      <c r="CL11" s="485">
        <f>SUM(AH11:AK11)</f>
        <v>8074.1839425745384</v>
      </c>
      <c r="CM11" s="485">
        <f>SUM(AL11:AO11)</f>
        <v>7451.8560645060661</v>
      </c>
      <c r="CN11" s="485">
        <f>SUM(AP11:AS11)</f>
        <v>9850</v>
      </c>
      <c r="CO11" s="485">
        <f>SUM(AT11:AW11)</f>
        <v>9577</v>
      </c>
      <c r="CP11" s="485">
        <f>SUM(AX11:BA11)</f>
        <v>12478</v>
      </c>
      <c r="CQ11" s="485">
        <f t="shared" ref="CQ11:DA11" si="3">SUM(CQ12, CQ13, CQ14)</f>
        <v>15351</v>
      </c>
      <c r="CR11" s="485">
        <f t="shared" si="3"/>
        <v>15130</v>
      </c>
      <c r="CS11" s="485">
        <f t="shared" si="3"/>
        <v>14572</v>
      </c>
      <c r="CT11" s="485">
        <f t="shared" si="3"/>
        <v>12994</v>
      </c>
      <c r="CU11" s="485">
        <f t="shared" si="3"/>
        <v>19093</v>
      </c>
      <c r="CV11" s="485">
        <f t="shared" si="3"/>
        <v>20340.119929259999</v>
      </c>
      <c r="CW11" s="485">
        <f t="shared" si="3"/>
        <v>19080.648419283676</v>
      </c>
      <c r="CX11" s="485">
        <f t="shared" si="3"/>
        <v>20472.086350997615</v>
      </c>
      <c r="CY11" s="485">
        <f t="shared" si="3"/>
        <v>21214.245870229453</v>
      </c>
      <c r="CZ11" s="485">
        <f t="shared" si="3"/>
        <v>22021.737746247112</v>
      </c>
      <c r="DA11" s="485">
        <f t="shared" si="3"/>
        <v>23042.389750333001</v>
      </c>
      <c r="DB11" s="485">
        <f>SUM(DB12, DB13, DB14)</f>
        <v>24199.14107577363</v>
      </c>
      <c r="DC11" s="485">
        <f>SUM(DC12, DC13, DC14)</f>
        <v>25509.214931826064</v>
      </c>
      <c r="DD11" s="1506"/>
      <c r="DE11" s="1551"/>
      <c r="DF11" s="30"/>
      <c r="DG11" s="1243">
        <f>SUM(H11:K11)</f>
        <v>1983.069</v>
      </c>
      <c r="DH11" s="1116">
        <f>SUM(L11:O11)</f>
        <v>2467.9363949695244</v>
      </c>
      <c r="DI11" s="1116">
        <f>SUM(P11:S11)</f>
        <v>2935.1425855349671</v>
      </c>
      <c r="DJ11" s="1116">
        <f>SUM(T11:W11)</f>
        <v>3276.1859892074353</v>
      </c>
      <c r="DK11" s="1116">
        <f>SUM(X11:AA11)</f>
        <v>3987.2349729478929</v>
      </c>
      <c r="DL11" s="1116">
        <f>SUM(AB11:AE11)</f>
        <v>4906.2594605723862</v>
      </c>
      <c r="DM11" s="1116">
        <f>SUM(AF11:AI11)</f>
        <v>6746.82972873787</v>
      </c>
      <c r="DN11" s="1116">
        <f>SUM(AJ11:AM11)</f>
        <v>8035.8692472009498</v>
      </c>
      <c r="DO11" s="1116">
        <f>SUM(AN11:AQ11)</f>
        <v>8347.0785788789344</v>
      </c>
      <c r="DP11" s="1116">
        <f>SUM(AR11:AU11)</f>
        <v>9945</v>
      </c>
      <c r="DQ11" s="1116">
        <f>SUM(AV11:AY11)</f>
        <v>9344</v>
      </c>
      <c r="DR11" s="1116">
        <f>SUM(AZ11:BC11)</f>
        <v>15648</v>
      </c>
      <c r="DS11" s="825">
        <f>SUM(BD11:BG11)</f>
        <v>15268</v>
      </c>
      <c r="DT11" s="485">
        <f>SUM(BH11:BK11)</f>
        <v>15185</v>
      </c>
      <c r="DU11" s="485">
        <f>SUM(BL11:BO11)</f>
        <v>13418</v>
      </c>
      <c r="DV11" s="485">
        <f>SUM(BP11:BS11)</f>
        <v>15919</v>
      </c>
      <c r="DW11" s="485">
        <f>SUM(BT11:BW11)</f>
        <v>20008</v>
      </c>
      <c r="DX11" s="2239">
        <f>SUM(BX11:CA11)</f>
        <v>19883.738758869047</v>
      </c>
      <c r="DY11" s="1116"/>
      <c r="DZ11" s="1556">
        <f>CU11*(1+DZ28)</f>
        <v>19665.79</v>
      </c>
    </row>
    <row r="12" spans="1:136" s="52" customFormat="1" ht="11.25" hidden="1" customHeight="1" outlineLevel="1">
      <c r="A12" s="145"/>
      <c r="B12" s="227"/>
      <c r="C12" s="52" t="s">
        <v>943</v>
      </c>
      <c r="D12" s="145"/>
      <c r="E12" s="228"/>
      <c r="F12" s="145"/>
      <c r="G12" s="145"/>
      <c r="H12" s="145"/>
      <c r="I12" s="228"/>
      <c r="J12" s="145"/>
      <c r="K12" s="145"/>
      <c r="L12" s="145"/>
      <c r="M12" s="228"/>
      <c r="N12" s="145"/>
      <c r="O12" s="145"/>
      <c r="P12" s="145"/>
      <c r="Q12" s="228"/>
      <c r="R12" s="145"/>
      <c r="S12" s="145"/>
      <c r="T12" s="145"/>
      <c r="U12" s="228"/>
      <c r="V12" s="145"/>
      <c r="W12" s="145"/>
      <c r="X12" s="145"/>
      <c r="Y12" s="228"/>
      <c r="Z12" s="550"/>
      <c r="AA12" s="550"/>
      <c r="AB12" s="550"/>
      <c r="AC12" s="643"/>
      <c r="AD12" s="641"/>
      <c r="AE12" s="641"/>
      <c r="AF12" s="641"/>
      <c r="AG12" s="641"/>
      <c r="AH12" s="1121"/>
      <c r="AI12" s="145"/>
      <c r="AJ12" s="145"/>
      <c r="AK12" s="228"/>
      <c r="AL12" s="145"/>
      <c r="AM12" s="145"/>
      <c r="AN12" s="145"/>
      <c r="AO12" s="228"/>
      <c r="AP12" s="145"/>
      <c r="AQ12" s="145"/>
      <c r="AR12" s="145"/>
      <c r="AS12" s="228"/>
      <c r="AT12" s="145"/>
      <c r="AU12" s="145"/>
      <c r="AV12" s="145"/>
      <c r="AW12" s="228"/>
      <c r="AX12" s="145"/>
      <c r="AY12" s="145"/>
      <c r="AZ12" s="145"/>
      <c r="BA12" s="228"/>
      <c r="BB12" s="481">
        <f>BB241</f>
        <v>2650</v>
      </c>
      <c r="BC12" s="481">
        <f t="shared" ref="BC12:BY12" si="4">BC241</f>
        <v>2259</v>
      </c>
      <c r="BD12" s="481">
        <f t="shared" si="4"/>
        <v>2168</v>
      </c>
      <c r="BE12" s="482">
        <f t="shared" si="4"/>
        <v>2109</v>
      </c>
      <c r="BF12" s="481">
        <f t="shared" si="4"/>
        <v>2198</v>
      </c>
      <c r="BG12" s="481">
        <f t="shared" si="4"/>
        <v>2226</v>
      </c>
      <c r="BH12" s="481">
        <f t="shared" si="4"/>
        <v>2126</v>
      </c>
      <c r="BI12" s="482">
        <f t="shared" si="4"/>
        <v>2170</v>
      </c>
      <c r="BJ12" s="481">
        <f t="shared" si="4"/>
        <v>2255</v>
      </c>
      <c r="BK12" s="481">
        <f t="shared" si="4"/>
        <v>2089</v>
      </c>
      <c r="BL12" s="481">
        <f t="shared" si="4"/>
        <v>1820</v>
      </c>
      <c r="BM12" s="482">
        <f t="shared" si="4"/>
        <v>1546</v>
      </c>
      <c r="BN12" s="481">
        <f>BN241</f>
        <v>1670</v>
      </c>
      <c r="BO12" s="481">
        <f t="shared" si="4"/>
        <v>1581</v>
      </c>
      <c r="BP12" s="481">
        <f t="shared" si="4"/>
        <v>1370</v>
      </c>
      <c r="BQ12" s="482">
        <f t="shared" si="4"/>
        <v>1584</v>
      </c>
      <c r="BR12" s="481">
        <f t="shared" si="4"/>
        <v>2374</v>
      </c>
      <c r="BS12" s="481">
        <f t="shared" si="4"/>
        <v>2418</v>
      </c>
      <c r="BT12" s="481">
        <f t="shared" si="4"/>
        <v>2318</v>
      </c>
      <c r="BU12" s="482">
        <f t="shared" si="4"/>
        <v>2410</v>
      </c>
      <c r="BV12" s="481">
        <f t="shared" si="4"/>
        <v>2676</v>
      </c>
      <c r="BW12" s="481">
        <f t="shared" si="4"/>
        <v>2647</v>
      </c>
      <c r="BX12" s="481">
        <f t="shared" si="4"/>
        <v>2452.0484499999993</v>
      </c>
      <c r="BY12" s="482">
        <f t="shared" si="4"/>
        <v>2427.5279654999995</v>
      </c>
      <c r="BZ12" s="481">
        <f>BZ241</f>
        <v>2464.4263905755997</v>
      </c>
      <c r="CA12" s="481">
        <f>CA241</f>
        <v>2413.1663216516272</v>
      </c>
      <c r="CB12" s="481">
        <f>CB241</f>
        <v>2247.1404787219954</v>
      </c>
      <c r="CC12" s="482">
        <f>CC241</f>
        <v>2114.1097623816531</v>
      </c>
      <c r="CD12" s="228"/>
      <c r="CE12" s="145"/>
      <c r="CF12" s="145"/>
      <c r="CG12" s="145"/>
      <c r="CH12" s="145"/>
      <c r="CI12" s="145"/>
      <c r="CJ12" s="145"/>
      <c r="CK12" s="145"/>
      <c r="CL12" s="145"/>
      <c r="CM12" s="145"/>
      <c r="CN12" s="145"/>
      <c r="CO12" s="145"/>
      <c r="CP12" s="145"/>
      <c r="CQ12" s="481">
        <f>CQ241</f>
        <v>9186</v>
      </c>
      <c r="CR12" s="481">
        <f t="shared" ref="CR12:DA12" si="5">CR241</f>
        <v>8720</v>
      </c>
      <c r="CS12" s="481">
        <f t="shared" si="5"/>
        <v>7710</v>
      </c>
      <c r="CT12" s="481">
        <f t="shared" si="5"/>
        <v>6205</v>
      </c>
      <c r="CU12" s="481">
        <f t="shared" si="5"/>
        <v>9520</v>
      </c>
      <c r="CV12" s="481">
        <f t="shared" si="5"/>
        <v>10202.5764155</v>
      </c>
      <c r="CW12" s="481">
        <f>CW241</f>
        <v>9238.8429533308754</v>
      </c>
      <c r="CX12" s="481">
        <f t="shared" si="5"/>
        <v>9516.0082419308037</v>
      </c>
      <c r="CY12" s="481">
        <f t="shared" si="5"/>
        <v>9418.9449578631084</v>
      </c>
      <c r="CZ12" s="481">
        <f t="shared" si="5"/>
        <v>9322.8717192929034</v>
      </c>
      <c r="DA12" s="481">
        <f t="shared" si="5"/>
        <v>9319.1425706051868</v>
      </c>
      <c r="DB12" s="481">
        <f>DB241</f>
        <v>9315.4149135769439</v>
      </c>
      <c r="DC12" s="481">
        <f>DC241</f>
        <v>9311.6887476115135</v>
      </c>
      <c r="DD12" s="1505"/>
      <c r="DE12" s="1551"/>
      <c r="DF12" s="141"/>
      <c r="DG12" s="215"/>
      <c r="DH12" s="141"/>
      <c r="DI12" s="141"/>
      <c r="DJ12" s="141"/>
      <c r="DK12" s="141"/>
      <c r="DL12" s="641"/>
      <c r="DM12" s="641"/>
      <c r="DN12" s="641"/>
      <c r="DO12" s="641"/>
      <c r="DP12" s="141"/>
      <c r="DQ12" s="141"/>
      <c r="DR12" s="141"/>
      <c r="DS12" s="834">
        <f>SUM(BD12:BG12)</f>
        <v>8701</v>
      </c>
      <c r="DT12" s="481">
        <f>SUM(BH12:BK12)</f>
        <v>8640</v>
      </c>
      <c r="DU12" s="481">
        <f>SUM(BL12:BO12)</f>
        <v>6617</v>
      </c>
      <c r="DV12" s="481">
        <f>SUM(BP12:BS12)</f>
        <v>7746</v>
      </c>
      <c r="DW12" s="481">
        <f>SUM(BT12:BW12)</f>
        <v>10051</v>
      </c>
      <c r="DX12" s="2240">
        <f>SUM(BX12:CA12)</f>
        <v>9757.1691277272257</v>
      </c>
      <c r="DY12" s="141"/>
      <c r="DZ12" s="1676"/>
      <c r="EA12"/>
      <c r="EB12"/>
      <c r="EC12"/>
      <c r="ED12"/>
      <c r="EE12"/>
      <c r="EF12"/>
    </row>
    <row r="13" spans="1:136" s="52" customFormat="1" ht="11.25" hidden="1" customHeight="1" outlineLevel="1">
      <c r="A13" s="145"/>
      <c r="B13" s="227"/>
      <c r="C13" s="52" t="s">
        <v>944</v>
      </c>
      <c r="D13" s="145"/>
      <c r="E13" s="228"/>
      <c r="F13" s="145"/>
      <c r="G13" s="145"/>
      <c r="H13" s="145"/>
      <c r="I13" s="228"/>
      <c r="J13" s="145"/>
      <c r="K13" s="145"/>
      <c r="L13" s="145"/>
      <c r="M13" s="228"/>
      <c r="N13" s="145"/>
      <c r="O13" s="145"/>
      <c r="P13" s="145"/>
      <c r="Q13" s="228"/>
      <c r="R13" s="145"/>
      <c r="S13" s="145"/>
      <c r="T13" s="145"/>
      <c r="U13" s="228"/>
      <c r="V13" s="145"/>
      <c r="W13" s="145"/>
      <c r="X13" s="145"/>
      <c r="Y13" s="228"/>
      <c r="Z13" s="550"/>
      <c r="AA13" s="550"/>
      <c r="AB13" s="550"/>
      <c r="AC13" s="643"/>
      <c r="AD13" s="641"/>
      <c r="AE13" s="641"/>
      <c r="AF13" s="641"/>
      <c r="AG13" s="641"/>
      <c r="AH13" s="1121"/>
      <c r="AI13" s="145"/>
      <c r="AJ13" s="145"/>
      <c r="AK13" s="228"/>
      <c r="AL13" s="145"/>
      <c r="AM13" s="145"/>
      <c r="AN13" s="145"/>
      <c r="AO13" s="228"/>
      <c r="AP13" s="145"/>
      <c r="AQ13" s="145"/>
      <c r="AR13" s="145"/>
      <c r="AS13" s="228"/>
      <c r="AT13" s="145"/>
      <c r="AU13" s="145"/>
      <c r="AV13" s="145"/>
      <c r="AW13" s="228"/>
      <c r="AX13" s="145"/>
      <c r="AY13" s="145"/>
      <c r="AZ13" s="145"/>
      <c r="BA13" s="228"/>
      <c r="BB13" s="481">
        <f>BB291</f>
        <v>500</v>
      </c>
      <c r="BC13" s="481">
        <f t="shared" ref="BC13:BY13" si="6">BC291</f>
        <v>568</v>
      </c>
      <c r="BD13" s="481">
        <f t="shared" si="6"/>
        <v>500</v>
      </c>
      <c r="BE13" s="482">
        <f t="shared" si="6"/>
        <v>401</v>
      </c>
      <c r="BF13" s="481">
        <f t="shared" si="6"/>
        <v>455</v>
      </c>
      <c r="BG13" s="481">
        <f t="shared" si="6"/>
        <v>543</v>
      </c>
      <c r="BH13" s="481">
        <f t="shared" si="6"/>
        <v>479</v>
      </c>
      <c r="BI13" s="482">
        <f t="shared" si="6"/>
        <v>444</v>
      </c>
      <c r="BJ13" s="481">
        <f t="shared" si="6"/>
        <v>504</v>
      </c>
      <c r="BK13" s="481">
        <f t="shared" si="6"/>
        <v>528</v>
      </c>
      <c r="BL13" s="481">
        <f t="shared" si="6"/>
        <v>452</v>
      </c>
      <c r="BM13" s="482">
        <f t="shared" si="6"/>
        <v>366</v>
      </c>
      <c r="BN13" s="481">
        <f t="shared" si="6"/>
        <v>399</v>
      </c>
      <c r="BO13" s="481">
        <f t="shared" si="6"/>
        <v>459</v>
      </c>
      <c r="BP13" s="481">
        <f t="shared" si="6"/>
        <v>346</v>
      </c>
      <c r="BQ13" s="482">
        <f t="shared" si="6"/>
        <v>666</v>
      </c>
      <c r="BR13" s="481">
        <f t="shared" si="6"/>
        <v>976</v>
      </c>
      <c r="BS13" s="481">
        <f t="shared" si="6"/>
        <v>1076</v>
      </c>
      <c r="BT13" s="481">
        <f t="shared" si="6"/>
        <v>1003</v>
      </c>
      <c r="BU13" s="482">
        <f t="shared" si="6"/>
        <v>1013</v>
      </c>
      <c r="BV13" s="481">
        <f t="shared" si="6"/>
        <v>1136</v>
      </c>
      <c r="BW13" s="481">
        <f t="shared" si="6"/>
        <v>1255</v>
      </c>
      <c r="BX13" s="481">
        <f t="shared" si="6"/>
        <v>1073.527</v>
      </c>
      <c r="BY13" s="482">
        <f t="shared" si="6"/>
        <v>1052.05646</v>
      </c>
      <c r="BZ13" s="481">
        <f>BZ291</f>
        <v>1109.3935370700001</v>
      </c>
      <c r="CA13" s="481">
        <f>CA291</f>
        <v>1113.7756415414262</v>
      </c>
      <c r="CB13" s="481">
        <f>CB291</f>
        <v>1026.0101209879617</v>
      </c>
      <c r="CC13" s="482">
        <f>CC291</f>
        <v>1000.2059664451143</v>
      </c>
      <c r="CD13" s="228"/>
      <c r="CE13" s="145"/>
      <c r="CF13" s="145"/>
      <c r="CG13" s="145"/>
      <c r="CH13" s="145"/>
      <c r="CI13" s="145"/>
      <c r="CJ13" s="145"/>
      <c r="CK13" s="145"/>
      <c r="CL13" s="145"/>
      <c r="CM13" s="145"/>
      <c r="CN13" s="145"/>
      <c r="CO13" s="145"/>
      <c r="CP13" s="145"/>
      <c r="CQ13" s="481">
        <f>CQ291</f>
        <v>1969</v>
      </c>
      <c r="CR13" s="481">
        <f t="shared" ref="CR13:DA13" si="7">CR291</f>
        <v>1921</v>
      </c>
      <c r="CS13" s="481">
        <f t="shared" si="7"/>
        <v>1850</v>
      </c>
      <c r="CT13" s="481">
        <f t="shared" si="7"/>
        <v>1870</v>
      </c>
      <c r="CU13" s="481">
        <f t="shared" si="7"/>
        <v>4068</v>
      </c>
      <c r="CV13" s="481">
        <f t="shared" si="7"/>
        <v>4516.5834599999998</v>
      </c>
      <c r="CW13" s="481">
        <f>CW291</f>
        <v>4249.3852660445018</v>
      </c>
      <c r="CX13" s="481">
        <f t="shared" si="7"/>
        <v>4334.372971365392</v>
      </c>
      <c r="CY13" s="481">
        <f t="shared" si="7"/>
        <v>4332.6392221768447</v>
      </c>
      <c r="CZ13" s="481">
        <f t="shared" si="7"/>
        <v>4288.4463021106412</v>
      </c>
      <c r="DA13" s="481">
        <f t="shared" si="7"/>
        <v>4244.7041498291137</v>
      </c>
      <c r="DB13" s="481">
        <f>DB291</f>
        <v>4201.4081675008565</v>
      </c>
      <c r="DC13" s="481">
        <f>DC291</f>
        <v>4158.5538041923473</v>
      </c>
      <c r="DD13" s="1505"/>
      <c r="DE13" s="1551"/>
      <c r="DF13" s="141"/>
      <c r="DG13" s="215"/>
      <c r="DH13" s="141"/>
      <c r="DI13" s="141"/>
      <c r="DJ13" s="141"/>
      <c r="DK13" s="141"/>
      <c r="DL13" s="641"/>
      <c r="DM13" s="641"/>
      <c r="DN13" s="641"/>
      <c r="DO13" s="641"/>
      <c r="DP13" s="141"/>
      <c r="DQ13" s="141"/>
      <c r="DR13" s="141"/>
      <c r="DS13" s="834">
        <f>SUM(BD13:BG13)</f>
        <v>1899</v>
      </c>
      <c r="DT13" s="481">
        <f>SUM(BH13:BK13)</f>
        <v>1955</v>
      </c>
      <c r="DU13" s="481">
        <f>SUM(BL13:BO13)</f>
        <v>1676</v>
      </c>
      <c r="DV13" s="481">
        <f>SUM(BP13:BS13)</f>
        <v>3064</v>
      </c>
      <c r="DW13" s="481">
        <f>SUM(BT13:BW13)</f>
        <v>4407</v>
      </c>
      <c r="DX13" s="2240">
        <f>SUM(BX13:CA13)</f>
        <v>4348.7526386114259</v>
      </c>
      <c r="DY13" s="141"/>
      <c r="DZ13" s="1676"/>
      <c r="EA13"/>
      <c r="EB13"/>
      <c r="EC13"/>
      <c r="ED13"/>
      <c r="EE13"/>
      <c r="EF13"/>
    </row>
    <row r="14" spans="1:136" s="52" customFormat="1" ht="11.25" hidden="1" customHeight="1" outlineLevel="1">
      <c r="A14" s="145"/>
      <c r="B14" s="227"/>
      <c r="C14" s="145" t="s">
        <v>945</v>
      </c>
      <c r="E14" s="228"/>
      <c r="F14" s="145"/>
      <c r="G14" s="145"/>
      <c r="H14" s="145"/>
      <c r="I14" s="228"/>
      <c r="J14" s="145"/>
      <c r="K14" s="145"/>
      <c r="L14" s="145"/>
      <c r="M14" s="228"/>
      <c r="N14" s="145"/>
      <c r="O14" s="145"/>
      <c r="P14" s="145"/>
      <c r="Q14" s="228"/>
      <c r="R14" s="145"/>
      <c r="S14" s="145"/>
      <c r="T14" s="145"/>
      <c r="U14" s="228"/>
      <c r="V14" s="145"/>
      <c r="W14" s="145"/>
      <c r="X14" s="145"/>
      <c r="Y14" s="228"/>
      <c r="Z14" s="550"/>
      <c r="AA14" s="550"/>
      <c r="AB14" s="550"/>
      <c r="AC14" s="643"/>
      <c r="AD14" s="641"/>
      <c r="AE14" s="641"/>
      <c r="AF14" s="641"/>
      <c r="AG14" s="641"/>
      <c r="AH14" s="1121"/>
      <c r="AI14" s="145"/>
      <c r="AJ14" s="145"/>
      <c r="AK14" s="228"/>
      <c r="AL14" s="145"/>
      <c r="AM14" s="145"/>
      <c r="AN14" s="145"/>
      <c r="AO14" s="228"/>
      <c r="AP14" s="145"/>
      <c r="AQ14" s="145"/>
      <c r="AR14" s="145"/>
      <c r="AS14" s="228"/>
      <c r="AT14" s="145"/>
      <c r="AU14" s="145"/>
      <c r="AV14" s="145"/>
      <c r="AW14" s="228"/>
      <c r="AX14" s="145"/>
      <c r="AY14" s="145"/>
      <c r="AZ14" s="145"/>
      <c r="BA14" s="228"/>
      <c r="BB14" s="481">
        <f>BB317</f>
        <v>885</v>
      </c>
      <c r="BC14" s="481">
        <f t="shared" ref="BC14:BY14" si="8">BC317</f>
        <v>997</v>
      </c>
      <c r="BD14" s="481">
        <f t="shared" si="8"/>
        <v>1096</v>
      </c>
      <c r="BE14" s="482">
        <f t="shared" si="8"/>
        <v>1218</v>
      </c>
      <c r="BF14" s="481">
        <f t="shared" si="8"/>
        <v>1151</v>
      </c>
      <c r="BG14" s="481">
        <f t="shared" si="8"/>
        <v>1203</v>
      </c>
      <c r="BH14" s="481">
        <f t="shared" si="8"/>
        <v>1098</v>
      </c>
      <c r="BI14" s="482">
        <f t="shared" si="8"/>
        <v>1037</v>
      </c>
      <c r="BJ14" s="481">
        <f t="shared" si="8"/>
        <v>1184</v>
      </c>
      <c r="BK14" s="481">
        <f t="shared" si="8"/>
        <v>1271</v>
      </c>
      <c r="BL14" s="481">
        <f t="shared" si="8"/>
        <v>1278</v>
      </c>
      <c r="BM14" s="482">
        <f t="shared" si="8"/>
        <v>1279</v>
      </c>
      <c r="BN14" s="481">
        <f t="shared" si="8"/>
        <v>1291</v>
      </c>
      <c r="BO14" s="481">
        <f t="shared" si="8"/>
        <v>1277</v>
      </c>
      <c r="BP14" s="481">
        <f t="shared" si="8"/>
        <v>1106</v>
      </c>
      <c r="BQ14" s="482">
        <f t="shared" si="8"/>
        <v>1245</v>
      </c>
      <c r="BR14" s="481">
        <f t="shared" si="8"/>
        <v>1364</v>
      </c>
      <c r="BS14" s="481">
        <f t="shared" si="8"/>
        <v>1394</v>
      </c>
      <c r="BT14" s="481">
        <f t="shared" si="8"/>
        <v>1328</v>
      </c>
      <c r="BU14" s="482">
        <f t="shared" si="8"/>
        <v>1419</v>
      </c>
      <c r="BV14" s="481">
        <f t="shared" si="8"/>
        <v>1369</v>
      </c>
      <c r="BW14" s="481">
        <f t="shared" si="8"/>
        <v>1434</v>
      </c>
      <c r="BX14" s="481">
        <f t="shared" si="8"/>
        <v>1383.5231999999999</v>
      </c>
      <c r="BY14" s="482">
        <f t="shared" si="8"/>
        <v>1434.4368537599998</v>
      </c>
      <c r="BZ14" s="481">
        <f>BZ317</f>
        <v>1496.691413213184</v>
      </c>
      <c r="CA14" s="481">
        <f>CA317</f>
        <v>1463.1655255572086</v>
      </c>
      <c r="CB14" s="481">
        <f>CB317</f>
        <v>1360.7439387682039</v>
      </c>
      <c r="CC14" s="482">
        <f>CC317</f>
        <v>1271.8193223697017</v>
      </c>
      <c r="CD14" s="228"/>
      <c r="CE14" s="145"/>
      <c r="CF14" s="145"/>
      <c r="CG14" s="145"/>
      <c r="CH14" s="145"/>
      <c r="CI14" s="145"/>
      <c r="CJ14" s="145"/>
      <c r="CK14" s="145"/>
      <c r="CL14" s="145"/>
      <c r="CM14" s="145"/>
      <c r="CN14" s="145"/>
      <c r="CO14" s="145"/>
      <c r="CP14" s="145"/>
      <c r="CQ14" s="481">
        <f>CQ317</f>
        <v>4196</v>
      </c>
      <c r="CR14" s="481">
        <f t="shared" ref="CR14:DA14" si="9">CR317</f>
        <v>4489</v>
      </c>
      <c r="CS14" s="481">
        <f t="shared" si="9"/>
        <v>5012</v>
      </c>
      <c r="CT14" s="481">
        <f t="shared" si="9"/>
        <v>4919</v>
      </c>
      <c r="CU14" s="481">
        <f t="shared" si="9"/>
        <v>5505</v>
      </c>
      <c r="CV14" s="481">
        <f t="shared" si="9"/>
        <v>5620.9600537599999</v>
      </c>
      <c r="CW14" s="481">
        <f>CW317</f>
        <v>5592.4201999082979</v>
      </c>
      <c r="CX14" s="481">
        <f t="shared" si="9"/>
        <v>6621.7051377014204</v>
      </c>
      <c r="CY14" s="481">
        <f t="shared" si="9"/>
        <v>7462.6616901895004</v>
      </c>
      <c r="CZ14" s="481">
        <f t="shared" si="9"/>
        <v>8410.4197248435667</v>
      </c>
      <c r="DA14" s="481">
        <f t="shared" si="9"/>
        <v>9478.5430298986994</v>
      </c>
      <c r="DB14" s="481">
        <f>DB317</f>
        <v>10682.317994695832</v>
      </c>
      <c r="DC14" s="481">
        <f>DC317</f>
        <v>12038.972380022202</v>
      </c>
      <c r="DD14" s="1505"/>
      <c r="DE14" s="1551"/>
      <c r="DF14" s="141"/>
      <c r="DG14" s="215"/>
      <c r="DH14" s="141"/>
      <c r="DI14" s="141"/>
      <c r="DJ14" s="141"/>
      <c r="DK14" s="141"/>
      <c r="DL14" s="641"/>
      <c r="DM14" s="641"/>
      <c r="DN14" s="641"/>
      <c r="DO14" s="641"/>
      <c r="DP14" s="141"/>
      <c r="DQ14" s="141"/>
      <c r="DR14" s="141"/>
      <c r="DS14" s="834">
        <f>SUM(BD14:BG14)</f>
        <v>4668</v>
      </c>
      <c r="DT14" s="481">
        <f>SUM(BH14:BK14)</f>
        <v>4590</v>
      </c>
      <c r="DU14" s="481">
        <f>SUM(BL14:BO14)</f>
        <v>5125</v>
      </c>
      <c r="DV14" s="481">
        <f>SUM(BP14:BS14)</f>
        <v>5109</v>
      </c>
      <c r="DW14" s="481">
        <f>SUM(BT14:BW14)</f>
        <v>5550</v>
      </c>
      <c r="DX14" s="2240">
        <f>SUM(BX14:CA14)</f>
        <v>5777.8169925303928</v>
      </c>
      <c r="DY14" s="141"/>
      <c r="DZ14" s="1676"/>
      <c r="EA14"/>
      <c r="EB14"/>
      <c r="EC14"/>
      <c r="ED14"/>
      <c r="EE14"/>
      <c r="EF14"/>
    </row>
    <row r="15" spans="1:136" ht="11.25" hidden="1" customHeight="1" outlineLevel="1">
      <c r="A15" s="145"/>
      <c r="B15" s="227"/>
      <c r="C15" s="145"/>
      <c r="D15" s="52"/>
      <c r="E15" s="228"/>
      <c r="F15" s="145"/>
      <c r="G15" s="145"/>
      <c r="H15" s="145"/>
      <c r="I15" s="228"/>
      <c r="J15" s="145"/>
      <c r="K15" s="145"/>
      <c r="L15" s="145"/>
      <c r="M15" s="228"/>
      <c r="N15" s="145"/>
      <c r="O15" s="145"/>
      <c r="P15" s="145"/>
      <c r="Q15" s="228"/>
      <c r="R15" s="145"/>
      <c r="S15" s="145"/>
      <c r="T15" s="145"/>
      <c r="U15" s="228"/>
      <c r="V15" s="145"/>
      <c r="W15" s="145"/>
      <c r="X15" s="145"/>
      <c r="Y15" s="228"/>
      <c r="Z15" s="550"/>
      <c r="AA15" s="550"/>
      <c r="AB15" s="550"/>
      <c r="AC15" s="643"/>
      <c r="AD15" s="641"/>
      <c r="AE15" s="641"/>
      <c r="AF15" s="641"/>
      <c r="AG15" s="641"/>
      <c r="AH15" s="1121"/>
      <c r="AI15" s="145"/>
      <c r="AJ15" s="145"/>
      <c r="AK15" s="2232"/>
      <c r="AL15" s="145"/>
      <c r="AM15" s="145"/>
      <c r="AN15" s="145"/>
      <c r="AO15" s="228"/>
      <c r="AP15" s="145"/>
      <c r="AQ15" s="145"/>
      <c r="AR15" s="145"/>
      <c r="AS15" s="228"/>
      <c r="AT15" s="145"/>
      <c r="AU15" s="145"/>
      <c r="AV15" s="145"/>
      <c r="AW15" s="228"/>
      <c r="AX15" s="145"/>
      <c r="AY15" s="145"/>
      <c r="AZ15" s="145"/>
      <c r="BA15" s="228"/>
      <c r="BB15" s="145"/>
      <c r="BC15" s="145"/>
      <c r="BD15" s="1331"/>
      <c r="BE15" s="228"/>
      <c r="BF15" s="201"/>
      <c r="BG15" s="201"/>
      <c r="BH15" s="201"/>
      <c r="BI15" s="202"/>
      <c r="BJ15" s="550"/>
      <c r="BK15" s="201"/>
      <c r="BL15" s="481"/>
      <c r="BM15" s="202"/>
      <c r="BN15" s="201"/>
      <c r="BO15" s="201"/>
      <c r="BP15" s="201"/>
      <c r="BQ15" s="202"/>
      <c r="BR15" s="201"/>
      <c r="BS15" s="201"/>
      <c r="BT15" s="201"/>
      <c r="BU15" s="202"/>
      <c r="BV15" s="201"/>
      <c r="BW15" s="201"/>
      <c r="BX15" s="201"/>
      <c r="BY15" s="202"/>
      <c r="BZ15" s="201"/>
      <c r="CA15" s="201"/>
      <c r="CB15" s="201"/>
      <c r="CC15" s="202"/>
      <c r="CD15" s="228"/>
      <c r="CE15" s="145"/>
      <c r="CF15" s="145"/>
      <c r="CG15" s="145"/>
      <c r="CH15" s="145"/>
      <c r="CI15" s="145"/>
      <c r="CJ15" s="145"/>
      <c r="CK15" s="145"/>
      <c r="CL15" s="145"/>
      <c r="CM15" s="145"/>
      <c r="CN15" s="145"/>
      <c r="CO15" s="145"/>
      <c r="CP15" s="145"/>
      <c r="CQ15" s="145"/>
      <c r="CR15" s="145"/>
      <c r="CS15" s="201"/>
      <c r="CT15" s="201"/>
      <c r="CU15" s="201"/>
      <c r="CV15" s="1537"/>
      <c r="CW15" s="201"/>
      <c r="CX15" s="201"/>
      <c r="CY15" s="201"/>
      <c r="CZ15" s="201"/>
      <c r="DA15" s="201"/>
      <c r="DB15" s="201"/>
      <c r="DC15" s="201"/>
      <c r="DD15" s="1505"/>
      <c r="DE15" s="1551"/>
      <c r="DF15" s="141"/>
      <c r="DG15" s="215"/>
      <c r="DH15" s="141"/>
      <c r="DI15" s="141"/>
      <c r="DJ15" s="141"/>
      <c r="DK15" s="141"/>
      <c r="DL15" s="641"/>
      <c r="DM15" s="641"/>
      <c r="DN15" s="641"/>
      <c r="DO15" s="641"/>
      <c r="DP15" s="141"/>
      <c r="DQ15" s="141"/>
      <c r="DR15" s="141"/>
      <c r="DS15" s="215"/>
      <c r="DT15" s="141"/>
      <c r="DU15" s="141"/>
      <c r="DV15" s="141"/>
      <c r="DW15" s="141"/>
      <c r="DX15" s="2241"/>
      <c r="DY15" s="141"/>
      <c r="DZ15" s="1676"/>
    </row>
    <row r="16" spans="1:136" ht="11.25" hidden="1" customHeight="1" outlineLevel="1">
      <c r="A16" s="145"/>
      <c r="B16" s="209" t="s">
        <v>885</v>
      </c>
      <c r="C16" s="494"/>
      <c r="D16" s="494"/>
      <c r="E16" s="198"/>
      <c r="F16" s="823"/>
      <c r="G16" s="823"/>
      <c r="H16" s="823"/>
      <c r="I16" s="835"/>
      <c r="J16" s="823"/>
      <c r="K16" s="823"/>
      <c r="L16" s="823"/>
      <c r="M16" s="835"/>
      <c r="N16" s="823"/>
      <c r="O16" s="823"/>
      <c r="P16" s="823"/>
      <c r="Q16" s="835"/>
      <c r="R16" s="823"/>
      <c r="S16" s="823"/>
      <c r="T16" s="823"/>
      <c r="U16" s="835"/>
      <c r="V16" s="823"/>
      <c r="W16" s="823"/>
      <c r="X16" s="823"/>
      <c r="Y16" s="835"/>
      <c r="Z16" s="823"/>
      <c r="AA16" s="823"/>
      <c r="AB16" s="823"/>
      <c r="AC16" s="838"/>
      <c r="AD16" s="620"/>
      <c r="AE16" s="620"/>
      <c r="AF16" s="620"/>
      <c r="AG16" s="620"/>
      <c r="AH16" s="822"/>
      <c r="AI16" s="823"/>
      <c r="AJ16" s="823"/>
      <c r="AK16" s="2233"/>
      <c r="AL16" s="823"/>
      <c r="AM16" s="823"/>
      <c r="AN16" s="823"/>
      <c r="AO16" s="835"/>
      <c r="AP16" s="823"/>
      <c r="AQ16" s="823"/>
      <c r="AR16" s="823"/>
      <c r="AS16" s="835"/>
      <c r="AT16" s="823"/>
      <c r="AU16" s="823"/>
      <c r="AV16" s="823"/>
      <c r="AW16" s="835"/>
      <c r="AX16" s="823"/>
      <c r="AY16" s="823"/>
      <c r="AZ16" s="823"/>
      <c r="BA16" s="835"/>
      <c r="BB16" s="823">
        <f>SUM(BB17:BB19)</f>
        <v>2804.1</v>
      </c>
      <c r="BC16" s="823">
        <f t="shared" ref="BC16:BY16" si="10">SUM(BC17:BC19)</f>
        <v>2726.9445000000001</v>
      </c>
      <c r="BD16" s="823">
        <f t="shared" si="10"/>
        <v>2665.2799999999997</v>
      </c>
      <c r="BE16" s="835">
        <f t="shared" si="10"/>
        <v>2642.7620000000002</v>
      </c>
      <c r="BF16" s="823">
        <f t="shared" si="10"/>
        <v>2668.9297999999999</v>
      </c>
      <c r="BG16" s="823">
        <f t="shared" si="10"/>
        <v>2776.1760000000004</v>
      </c>
      <c r="BH16" s="823">
        <f t="shared" si="10"/>
        <v>2587.9920000000002</v>
      </c>
      <c r="BI16" s="835">
        <f t="shared" si="10"/>
        <v>2572.69</v>
      </c>
      <c r="BJ16" s="823">
        <f t="shared" si="10"/>
        <v>2749.806</v>
      </c>
      <c r="BK16" s="823">
        <f t="shared" si="10"/>
        <v>2693.096</v>
      </c>
      <c r="BL16" s="823">
        <f t="shared" si="10"/>
        <v>2480.1039999999998</v>
      </c>
      <c r="BM16" s="835">
        <f t="shared" si="10"/>
        <v>2238.0175000000004</v>
      </c>
      <c r="BN16" s="823">
        <f t="shared" si="10"/>
        <v>2382.7750000000001</v>
      </c>
      <c r="BO16" s="823">
        <f t="shared" si="10"/>
        <v>2371.7875000000004</v>
      </c>
      <c r="BP16" s="823">
        <f t="shared" si="10"/>
        <v>2025.7400000000002</v>
      </c>
      <c r="BQ16" s="835">
        <f t="shared" si="10"/>
        <v>2403.27</v>
      </c>
      <c r="BR16" s="823">
        <f t="shared" si="10"/>
        <v>3115.444</v>
      </c>
      <c r="BS16" s="823">
        <f t="shared" si="10"/>
        <v>3096.1469999999999</v>
      </c>
      <c r="BT16" s="823">
        <f t="shared" si="10"/>
        <v>2822.924</v>
      </c>
      <c r="BU16" s="835">
        <f t="shared" si="10"/>
        <v>2843.9230000000007</v>
      </c>
      <c r="BV16" s="823">
        <f t="shared" si="10"/>
        <v>2989.1350000000002</v>
      </c>
      <c r="BW16" s="823">
        <f t="shared" si="10"/>
        <v>3029.64</v>
      </c>
      <c r="BX16" s="823">
        <f t="shared" si="10"/>
        <v>2822.8951079999997</v>
      </c>
      <c r="BY16" s="835">
        <f t="shared" si="10"/>
        <v>2965.7079311943994</v>
      </c>
      <c r="BZ16" s="823">
        <f>SUM(BZ17:BZ19)</f>
        <v>3104.9368833271187</v>
      </c>
      <c r="CA16" s="823">
        <f>SUM(CA17:CA19)</f>
        <v>3130.777759576039</v>
      </c>
      <c r="CB16" s="823">
        <f>SUM(CB17:CB19)</f>
        <v>2953.2264758052456</v>
      </c>
      <c r="CC16" s="835">
        <f>SUM(CC17:CC19)</f>
        <v>2832.7764801638273</v>
      </c>
      <c r="CD16" s="50"/>
      <c r="CE16" s="30"/>
      <c r="CF16" s="49"/>
      <c r="CG16" s="49"/>
      <c r="CH16" s="49"/>
      <c r="CI16" s="49"/>
      <c r="CJ16" s="49"/>
      <c r="CK16" s="49"/>
      <c r="CL16" s="49"/>
      <c r="CM16" s="49"/>
      <c r="CN16" s="49"/>
      <c r="CO16" s="49"/>
      <c r="CP16" s="49"/>
      <c r="CQ16" s="1198">
        <f t="shared" ref="CQ16:DA16" si="11">SUM(CQ17:CQ19)</f>
        <v>10839.086499999999</v>
      </c>
      <c r="CR16" s="1198">
        <f t="shared" si="11"/>
        <v>10605.7878</v>
      </c>
      <c r="CS16" s="1198">
        <f t="shared" si="11"/>
        <v>10161.023500000001</v>
      </c>
      <c r="CT16" s="1198">
        <f t="shared" si="11"/>
        <v>9183.5724999999984</v>
      </c>
      <c r="CU16" s="1198">
        <f t="shared" si="11"/>
        <v>11878.438</v>
      </c>
      <c r="CV16" s="1198">
        <f t="shared" si="11"/>
        <v>11807.3780391944</v>
      </c>
      <c r="CW16" s="823">
        <f t="shared" si="11"/>
        <v>12021.71759887223</v>
      </c>
      <c r="CX16" s="823">
        <f t="shared" si="11"/>
        <v>12971.248311436393</v>
      </c>
      <c r="CY16" s="823">
        <f t="shared" si="11"/>
        <v>13533.792502738335</v>
      </c>
      <c r="CZ16" s="823">
        <f t="shared" si="11"/>
        <v>14091.528201862351</v>
      </c>
      <c r="DA16" s="823">
        <f t="shared" si="11"/>
        <v>14844.490500121501</v>
      </c>
      <c r="DB16" s="823">
        <f>SUM(DB17:DB19)</f>
        <v>15691.435626676181</v>
      </c>
      <c r="DC16" s="823">
        <f>SUM(DC17:DC19)</f>
        <v>16645.918552477393</v>
      </c>
      <c r="DD16" s="1508"/>
      <c r="DE16" s="1551"/>
      <c r="DF16" s="30"/>
      <c r="DG16" s="57"/>
      <c r="DH16" s="29"/>
      <c r="DI16" s="29"/>
      <c r="DJ16" s="29"/>
      <c r="DK16" s="29"/>
      <c r="DL16" s="641"/>
      <c r="DM16" s="641"/>
      <c r="DN16" s="641"/>
      <c r="DO16" s="641"/>
      <c r="DP16" s="641"/>
      <c r="DQ16" s="641"/>
      <c r="DR16" s="641"/>
      <c r="DS16" s="1243">
        <f>SUM(BD16:BG16)</f>
        <v>10753.147799999999</v>
      </c>
      <c r="DT16" s="1116">
        <f>SUM(BH16:BK16)</f>
        <v>10603.584000000001</v>
      </c>
      <c r="DU16" s="1116">
        <f>SUM(BL16:BO16)</f>
        <v>9472.6840000000011</v>
      </c>
      <c r="DV16" s="1116">
        <f>SUM(BP16:BS16)</f>
        <v>10640.600999999999</v>
      </c>
      <c r="DW16" s="1116">
        <f>SUM(BT16:BW16)</f>
        <v>11685.621999999999</v>
      </c>
      <c r="DX16" s="2242">
        <f>SUM(BX16:CA16)</f>
        <v>12024.317682097557</v>
      </c>
      <c r="DY16" s="30"/>
      <c r="DZ16" s="1556"/>
    </row>
    <row r="17" spans="1:136" s="52" customFormat="1" ht="11.25" hidden="1" customHeight="1" outlineLevel="1">
      <c r="A17" s="145"/>
      <c r="B17" s="227"/>
      <c r="C17" s="52" t="s">
        <v>943</v>
      </c>
      <c r="D17" s="145"/>
      <c r="E17" s="228"/>
      <c r="F17" s="555"/>
      <c r="G17" s="555"/>
      <c r="H17" s="555"/>
      <c r="I17" s="556"/>
      <c r="J17" s="555"/>
      <c r="K17" s="555"/>
      <c r="L17" s="555"/>
      <c r="M17" s="556"/>
      <c r="N17" s="555"/>
      <c r="O17" s="555"/>
      <c r="P17" s="555"/>
      <c r="Q17" s="556"/>
      <c r="R17" s="555"/>
      <c r="S17" s="555"/>
      <c r="T17" s="555"/>
      <c r="U17" s="556"/>
      <c r="V17" s="555"/>
      <c r="W17" s="555"/>
      <c r="X17" s="555"/>
      <c r="Y17" s="556"/>
      <c r="Z17" s="555"/>
      <c r="AA17" s="555"/>
      <c r="AB17" s="555"/>
      <c r="AC17" s="496"/>
      <c r="AD17" s="374"/>
      <c r="AE17" s="374"/>
      <c r="AF17" s="374"/>
      <c r="AG17" s="374"/>
      <c r="AH17" s="836"/>
      <c r="AI17" s="555"/>
      <c r="AJ17" s="555"/>
      <c r="AK17" s="2234"/>
      <c r="AL17" s="555"/>
      <c r="AM17" s="555"/>
      <c r="AN17" s="555"/>
      <c r="AO17" s="556"/>
      <c r="AP17" s="555"/>
      <c r="AQ17" s="555"/>
      <c r="AR17" s="555"/>
      <c r="AS17" s="556"/>
      <c r="AT17" s="555"/>
      <c r="AU17" s="555"/>
      <c r="AV17" s="555"/>
      <c r="AW17" s="556"/>
      <c r="AX17" s="555"/>
      <c r="AY17" s="555"/>
      <c r="AZ17" s="555"/>
      <c r="BA17" s="556"/>
      <c r="BB17" s="555">
        <f t="shared" ref="BB17:BY17" si="12">(1-BB516)*BB12</f>
        <v>1996.7750000000001</v>
      </c>
      <c r="BC17" s="555">
        <f t="shared" si="12"/>
        <v>1766.538</v>
      </c>
      <c r="BD17" s="555">
        <f t="shared" si="12"/>
        <v>1691.04</v>
      </c>
      <c r="BE17" s="556">
        <f t="shared" si="12"/>
        <v>1678.7640000000001</v>
      </c>
      <c r="BF17" s="555">
        <f t="shared" si="12"/>
        <v>1706.9667999999999</v>
      </c>
      <c r="BG17" s="555">
        <f t="shared" si="12"/>
        <v>1736.28</v>
      </c>
      <c r="BH17" s="555">
        <f t="shared" si="12"/>
        <v>1643.3980000000001</v>
      </c>
      <c r="BI17" s="556">
        <f t="shared" si="12"/>
        <v>1675.24</v>
      </c>
      <c r="BJ17" s="555">
        <f t="shared" si="12"/>
        <v>1736.3500000000001</v>
      </c>
      <c r="BK17" s="555">
        <f t="shared" si="12"/>
        <v>1608.53</v>
      </c>
      <c r="BL17" s="555">
        <f t="shared" si="12"/>
        <v>1437.8</v>
      </c>
      <c r="BM17" s="556">
        <f t="shared" si="12"/>
        <v>1236.8000000000002</v>
      </c>
      <c r="BN17" s="555">
        <f t="shared" si="12"/>
        <v>1352.7</v>
      </c>
      <c r="BO17" s="555">
        <f t="shared" si="12"/>
        <v>1292.4675</v>
      </c>
      <c r="BP17" s="555">
        <f t="shared" si="12"/>
        <v>1123.4000000000001</v>
      </c>
      <c r="BQ17" s="556">
        <f t="shared" si="12"/>
        <v>1247.3999999999999</v>
      </c>
      <c r="BR17" s="555">
        <f t="shared" si="12"/>
        <v>1756.76</v>
      </c>
      <c r="BS17" s="555">
        <f t="shared" si="12"/>
        <v>1716.78</v>
      </c>
      <c r="BT17" s="555">
        <f t="shared" si="12"/>
        <v>1576.2399999999998</v>
      </c>
      <c r="BU17" s="556">
        <f t="shared" si="12"/>
        <v>1602.65</v>
      </c>
      <c r="BV17" s="555">
        <f t="shared" si="12"/>
        <v>1739.4</v>
      </c>
      <c r="BW17" s="555">
        <f t="shared" si="12"/>
        <v>1694.08</v>
      </c>
      <c r="BX17" s="555">
        <f t="shared" si="12"/>
        <v>1569.3110079999997</v>
      </c>
      <c r="BY17" s="556">
        <f t="shared" si="12"/>
        <v>1650.7190165399995</v>
      </c>
      <c r="BZ17" s="555">
        <f t="shared" ref="BZ17:CC19" si="13">(1-BZ516)*BZ12</f>
        <v>1688.1320775442859</v>
      </c>
      <c r="CA17" s="555">
        <f t="shared" si="13"/>
        <v>1689.2164251561389</v>
      </c>
      <c r="CB17" s="555">
        <f t="shared" si="13"/>
        <v>1595.4697398926166</v>
      </c>
      <c r="CC17" s="556">
        <f t="shared" si="13"/>
        <v>1522.1590289147903</v>
      </c>
      <c r="CD17" s="12"/>
      <c r="CE17" s="29"/>
      <c r="CF17" s="11"/>
      <c r="CG17" s="11"/>
      <c r="CH17" s="11"/>
      <c r="CI17" s="11"/>
      <c r="CJ17" s="11"/>
      <c r="CK17" s="11"/>
      <c r="CL17" s="11"/>
      <c r="CM17" s="11"/>
      <c r="CN17" s="11"/>
      <c r="CO17" s="11"/>
      <c r="CP17" s="11"/>
      <c r="CQ17" s="481">
        <f>SUM(BB17:BE17)</f>
        <v>7133.1170000000002</v>
      </c>
      <c r="CR17" s="481">
        <f>SUM(BF17:BI17)</f>
        <v>6761.8847999999998</v>
      </c>
      <c r="CS17" s="481">
        <f>SUM(BJ17:BM17)</f>
        <v>6019.4800000000005</v>
      </c>
      <c r="CT17" s="481">
        <f>SUM(BN17:BQ17)</f>
        <v>5015.9674999999997</v>
      </c>
      <c r="CU17" s="481">
        <f>SUM(BR17:BU17)</f>
        <v>6652.43</v>
      </c>
      <c r="CV17" s="481">
        <f>SUM(BV17:BY17)</f>
        <v>6653.5100245399999</v>
      </c>
      <c r="CW17" s="481">
        <f>SUM(BZ17:CC17)</f>
        <v>6494.9772715078325</v>
      </c>
      <c r="CX17" s="555">
        <f t="shared" ref="CX17:DA19" si="14">(1-CX516)*CX12</f>
        <v>6756.36585177087</v>
      </c>
      <c r="CY17" s="555">
        <f t="shared" si="14"/>
        <v>6781.6403696614379</v>
      </c>
      <c r="CZ17" s="555">
        <f t="shared" si="14"/>
        <v>6759.0819964873544</v>
      </c>
      <c r="DA17" s="555">
        <f t="shared" si="14"/>
        <v>6849.5697893948118</v>
      </c>
      <c r="DB17" s="555">
        <f t="shared" ref="DB17:DC19" si="15">(1-DB516)*DB12</f>
        <v>6939.9841106148233</v>
      </c>
      <c r="DC17" s="555">
        <f t="shared" si="15"/>
        <v>7030.3250044466931</v>
      </c>
      <c r="DD17" s="1509"/>
      <c r="DE17" s="1551"/>
      <c r="DF17" s="29"/>
      <c r="DG17" s="57"/>
      <c r="DH17" s="29"/>
      <c r="DI17" s="29"/>
      <c r="DJ17" s="29"/>
      <c r="DK17" s="29"/>
      <c r="DL17" s="641"/>
      <c r="DM17" s="641"/>
      <c r="DN17" s="641"/>
      <c r="DO17" s="641"/>
      <c r="DP17" s="641"/>
      <c r="DQ17" s="641"/>
      <c r="DR17" s="641"/>
      <c r="DS17" s="1102"/>
      <c r="DT17" s="29"/>
      <c r="DU17" s="29"/>
      <c r="DV17" s="29"/>
      <c r="DW17" s="29"/>
      <c r="DX17" s="2243"/>
      <c r="DY17" s="29"/>
      <c r="DZ17" s="1559"/>
      <c r="EA17"/>
      <c r="EB17"/>
      <c r="EC17"/>
      <c r="ED17"/>
      <c r="EE17"/>
      <c r="EF17"/>
    </row>
    <row r="18" spans="1:136" s="52" customFormat="1" ht="11.25" hidden="1" customHeight="1" outlineLevel="1">
      <c r="A18" s="145"/>
      <c r="B18" s="227"/>
      <c r="C18" s="52" t="s">
        <v>944</v>
      </c>
      <c r="D18" s="145"/>
      <c r="E18" s="228"/>
      <c r="F18" s="555"/>
      <c r="G18" s="555"/>
      <c r="H18" s="555"/>
      <c r="I18" s="556"/>
      <c r="J18" s="555"/>
      <c r="K18" s="555"/>
      <c r="L18" s="555"/>
      <c r="M18" s="556"/>
      <c r="N18" s="555"/>
      <c r="O18" s="555"/>
      <c r="P18" s="555"/>
      <c r="Q18" s="556"/>
      <c r="R18" s="555"/>
      <c r="S18" s="555"/>
      <c r="T18" s="555"/>
      <c r="U18" s="556"/>
      <c r="V18" s="555"/>
      <c r="W18" s="555"/>
      <c r="X18" s="555"/>
      <c r="Y18" s="556"/>
      <c r="Z18" s="555"/>
      <c r="AA18" s="555"/>
      <c r="AB18" s="555"/>
      <c r="AC18" s="496"/>
      <c r="AD18" s="374"/>
      <c r="AE18" s="374"/>
      <c r="AF18" s="374"/>
      <c r="AG18" s="374"/>
      <c r="AH18" s="836"/>
      <c r="AI18" s="555"/>
      <c r="AJ18" s="555"/>
      <c r="AK18" s="2234"/>
      <c r="AL18" s="555"/>
      <c r="AM18" s="555"/>
      <c r="AN18" s="555"/>
      <c r="AO18" s="556"/>
      <c r="AP18" s="555"/>
      <c r="AQ18" s="555"/>
      <c r="AR18" s="555"/>
      <c r="AS18" s="556"/>
      <c r="AT18" s="555"/>
      <c r="AU18" s="555"/>
      <c r="AV18" s="555"/>
      <c r="AW18" s="556"/>
      <c r="AX18" s="555"/>
      <c r="AY18" s="555"/>
      <c r="AZ18" s="555"/>
      <c r="BA18" s="556"/>
      <c r="BB18" s="555">
        <f t="shared" ref="BB18:BY18" si="16">(1-BB517)*BB13</f>
        <v>325</v>
      </c>
      <c r="BC18" s="555">
        <f t="shared" si="16"/>
        <v>397.59999999999997</v>
      </c>
      <c r="BD18" s="555">
        <f t="shared" si="16"/>
        <v>355</v>
      </c>
      <c r="BE18" s="556">
        <f t="shared" si="16"/>
        <v>280.7</v>
      </c>
      <c r="BF18" s="555">
        <f t="shared" si="16"/>
        <v>313.95</v>
      </c>
      <c r="BG18" s="555">
        <f t="shared" si="16"/>
        <v>363.80999999999995</v>
      </c>
      <c r="BH18" s="555">
        <f t="shared" si="16"/>
        <v>320.92999999999995</v>
      </c>
      <c r="BI18" s="556">
        <f t="shared" si="16"/>
        <v>306.35999999999996</v>
      </c>
      <c r="BJ18" s="555">
        <f t="shared" si="16"/>
        <v>342.71999999999997</v>
      </c>
      <c r="BK18" s="555">
        <f t="shared" si="16"/>
        <v>360.09599999999995</v>
      </c>
      <c r="BL18" s="555">
        <f t="shared" si="16"/>
        <v>316.39999999999998</v>
      </c>
      <c r="BM18" s="556">
        <f t="shared" si="16"/>
        <v>256.2</v>
      </c>
      <c r="BN18" s="555">
        <f t="shared" si="16"/>
        <v>281.29500000000002</v>
      </c>
      <c r="BO18" s="555">
        <f t="shared" si="16"/>
        <v>325.89</v>
      </c>
      <c r="BP18" s="555">
        <f t="shared" si="16"/>
        <v>238.73999999999998</v>
      </c>
      <c r="BQ18" s="556">
        <f t="shared" si="16"/>
        <v>446.21999999999997</v>
      </c>
      <c r="BR18" s="555">
        <f t="shared" si="16"/>
        <v>634.4</v>
      </c>
      <c r="BS18" s="555">
        <f t="shared" si="16"/>
        <v>688.64</v>
      </c>
      <c r="BT18" s="555">
        <f t="shared" si="16"/>
        <v>621.86</v>
      </c>
      <c r="BU18" s="556">
        <f t="shared" si="16"/>
        <v>624.00800000000004</v>
      </c>
      <c r="BV18" s="555">
        <f t="shared" si="16"/>
        <v>681.6</v>
      </c>
      <c r="BW18" s="555">
        <f t="shared" si="16"/>
        <v>740.45</v>
      </c>
      <c r="BX18" s="555">
        <f t="shared" si="16"/>
        <v>665.58674000000008</v>
      </c>
      <c r="BY18" s="556">
        <f t="shared" si="16"/>
        <v>683.83669900000007</v>
      </c>
      <c r="BZ18" s="555">
        <f t="shared" si="13"/>
        <v>743.29366983689999</v>
      </c>
      <c r="CA18" s="555">
        <f t="shared" si="13"/>
        <v>768.50519266358401</v>
      </c>
      <c r="CB18" s="555">
        <f t="shared" si="13"/>
        <v>718.20708469157319</v>
      </c>
      <c r="CC18" s="556">
        <f t="shared" si="13"/>
        <v>700.14417651157999</v>
      </c>
      <c r="CD18" s="12"/>
      <c r="CE18" s="29"/>
      <c r="CF18" s="11"/>
      <c r="CG18" s="11"/>
      <c r="CH18" s="11"/>
      <c r="CI18" s="11"/>
      <c r="CJ18" s="11"/>
      <c r="CK18" s="11"/>
      <c r="CL18" s="11"/>
      <c r="CM18" s="11"/>
      <c r="CN18" s="11"/>
      <c r="CO18" s="11"/>
      <c r="CP18" s="11"/>
      <c r="CQ18" s="481">
        <f>SUM(BB18:BE18)</f>
        <v>1358.3</v>
      </c>
      <c r="CR18" s="481">
        <f>SUM(BF18:BI18)</f>
        <v>1305.05</v>
      </c>
      <c r="CS18" s="481">
        <f>SUM(BJ18:BM18)</f>
        <v>1275.4159999999999</v>
      </c>
      <c r="CT18" s="481">
        <f>SUM(BN18:BQ18)</f>
        <v>1292.145</v>
      </c>
      <c r="CU18" s="481">
        <f>SUM(BR18:BU18)</f>
        <v>2568.9080000000004</v>
      </c>
      <c r="CV18" s="481">
        <f>SUM(BV18:BY18)</f>
        <v>2771.4734390000003</v>
      </c>
      <c r="CW18" s="481">
        <f>SUM(BZ18:CC18)</f>
        <v>2930.1501237036373</v>
      </c>
      <c r="CX18" s="555">
        <f t="shared" si="14"/>
        <v>2904.0298908148125</v>
      </c>
      <c r="CY18" s="555">
        <f t="shared" si="14"/>
        <v>2946.194671080254</v>
      </c>
      <c r="CZ18" s="555">
        <f t="shared" si="14"/>
        <v>2959.0279484563421</v>
      </c>
      <c r="DA18" s="555">
        <f t="shared" si="14"/>
        <v>2971.2929048803794</v>
      </c>
      <c r="DB18" s="555">
        <f t="shared" si="15"/>
        <v>2982.999798925608</v>
      </c>
      <c r="DC18" s="555">
        <f t="shared" si="15"/>
        <v>2994.15873901849</v>
      </c>
      <c r="DD18" s="1509"/>
      <c r="DE18" s="1551"/>
      <c r="DF18" s="29"/>
      <c r="DG18" s="57"/>
      <c r="DH18" s="29"/>
      <c r="DI18" s="29"/>
      <c r="DJ18" s="29"/>
      <c r="DK18" s="29"/>
      <c r="DL18" s="641"/>
      <c r="DM18" s="641"/>
      <c r="DN18" s="641"/>
      <c r="DO18" s="641"/>
      <c r="DP18" s="641"/>
      <c r="DQ18" s="641"/>
      <c r="DR18" s="641"/>
      <c r="DS18" s="1102"/>
      <c r="DT18" s="29"/>
      <c r="DU18" s="29"/>
      <c r="DV18" s="29"/>
      <c r="DW18" s="29"/>
      <c r="DX18" s="2243"/>
      <c r="DY18" s="29"/>
      <c r="DZ18" s="1559"/>
      <c r="EA18"/>
      <c r="EB18"/>
      <c r="EC18"/>
      <c r="ED18"/>
      <c r="EE18"/>
      <c r="EF18"/>
    </row>
    <row r="19" spans="1:136" s="52" customFormat="1" ht="11.25" hidden="1" customHeight="1" outlineLevel="1">
      <c r="A19" s="145"/>
      <c r="B19" s="227"/>
      <c r="C19" s="145" t="s">
        <v>969</v>
      </c>
      <c r="E19" s="228"/>
      <c r="F19" s="555"/>
      <c r="G19" s="555"/>
      <c r="H19" s="555"/>
      <c r="I19" s="556"/>
      <c r="J19" s="555"/>
      <c r="K19" s="555"/>
      <c r="L19" s="555"/>
      <c r="M19" s="556"/>
      <c r="N19" s="555"/>
      <c r="O19" s="555"/>
      <c r="P19" s="555"/>
      <c r="Q19" s="556"/>
      <c r="R19" s="555"/>
      <c r="S19" s="555"/>
      <c r="T19" s="555"/>
      <c r="U19" s="556"/>
      <c r="V19" s="555"/>
      <c r="W19" s="555"/>
      <c r="X19" s="555"/>
      <c r="Y19" s="556"/>
      <c r="Z19" s="555"/>
      <c r="AA19" s="555"/>
      <c r="AB19" s="555"/>
      <c r="AC19" s="496"/>
      <c r="AD19" s="374"/>
      <c r="AE19" s="374"/>
      <c r="AF19" s="374"/>
      <c r="AG19" s="374"/>
      <c r="AH19" s="836"/>
      <c r="AI19" s="555"/>
      <c r="AJ19" s="555"/>
      <c r="AK19" s="2234"/>
      <c r="AL19" s="555"/>
      <c r="AM19" s="555"/>
      <c r="AN19" s="555"/>
      <c r="AO19" s="556"/>
      <c r="AP19" s="555"/>
      <c r="AQ19" s="555"/>
      <c r="AR19" s="555"/>
      <c r="AS19" s="556"/>
      <c r="AT19" s="555"/>
      <c r="AU19" s="555"/>
      <c r="AV19" s="555"/>
      <c r="AW19" s="556"/>
      <c r="AX19" s="555"/>
      <c r="AY19" s="555"/>
      <c r="AZ19" s="555"/>
      <c r="BA19" s="556"/>
      <c r="BB19" s="555">
        <f t="shared" ref="BB19:BY19" si="17">(1-BB518)*BB14</f>
        <v>482.32499999999993</v>
      </c>
      <c r="BC19" s="555">
        <f t="shared" si="17"/>
        <v>562.80650000000003</v>
      </c>
      <c r="BD19" s="555">
        <f t="shared" si="17"/>
        <v>619.2399999999999</v>
      </c>
      <c r="BE19" s="556">
        <f t="shared" si="17"/>
        <v>683.29799999999989</v>
      </c>
      <c r="BF19" s="555">
        <f t="shared" si="17"/>
        <v>648.01299999999992</v>
      </c>
      <c r="BG19" s="555">
        <f t="shared" si="17"/>
        <v>676.08600000000001</v>
      </c>
      <c r="BH19" s="555">
        <f t="shared" si="17"/>
        <v>623.6640000000001</v>
      </c>
      <c r="BI19" s="556">
        <f t="shared" si="17"/>
        <v>591.09</v>
      </c>
      <c r="BJ19" s="555">
        <f t="shared" si="17"/>
        <v>670.73599999999999</v>
      </c>
      <c r="BK19" s="555">
        <f t="shared" si="17"/>
        <v>724.47</v>
      </c>
      <c r="BL19" s="555">
        <f t="shared" si="17"/>
        <v>725.90400000000011</v>
      </c>
      <c r="BM19" s="556">
        <f t="shared" si="17"/>
        <v>745.01750000000004</v>
      </c>
      <c r="BN19" s="555">
        <f t="shared" si="17"/>
        <v>748.78000000000009</v>
      </c>
      <c r="BO19" s="555">
        <f t="shared" si="17"/>
        <v>753.43000000000006</v>
      </c>
      <c r="BP19" s="555">
        <f t="shared" si="17"/>
        <v>663.6</v>
      </c>
      <c r="BQ19" s="556">
        <f t="shared" si="17"/>
        <v>709.65000000000009</v>
      </c>
      <c r="BR19" s="555">
        <f t="shared" si="17"/>
        <v>724.28399999999999</v>
      </c>
      <c r="BS19" s="555">
        <f t="shared" si="17"/>
        <v>690.72700000000009</v>
      </c>
      <c r="BT19" s="555">
        <f t="shared" si="17"/>
        <v>624.82400000000007</v>
      </c>
      <c r="BU19" s="556">
        <f t="shared" si="17"/>
        <v>617.2650000000001</v>
      </c>
      <c r="BV19" s="555">
        <f t="shared" si="17"/>
        <v>568.1350000000001</v>
      </c>
      <c r="BW19" s="555">
        <f t="shared" si="17"/>
        <v>595.11</v>
      </c>
      <c r="BX19" s="555">
        <f t="shared" si="17"/>
        <v>587.99735999999996</v>
      </c>
      <c r="BY19" s="556">
        <f t="shared" si="17"/>
        <v>631.15221565439981</v>
      </c>
      <c r="BZ19" s="555">
        <f t="shared" si="13"/>
        <v>673.51113594593278</v>
      </c>
      <c r="CA19" s="555">
        <f t="shared" si="13"/>
        <v>673.05614175631592</v>
      </c>
      <c r="CB19" s="555">
        <f t="shared" si="13"/>
        <v>639.5496512210558</v>
      </c>
      <c r="CC19" s="556">
        <f t="shared" si="13"/>
        <v>610.47327473745679</v>
      </c>
      <c r="CD19" s="12"/>
      <c r="CE19" s="29"/>
      <c r="CF19" s="11"/>
      <c r="CG19" s="11"/>
      <c r="CH19" s="11"/>
      <c r="CI19" s="11"/>
      <c r="CJ19" s="11"/>
      <c r="CK19" s="11"/>
      <c r="CL19" s="11"/>
      <c r="CM19" s="11"/>
      <c r="CN19" s="11"/>
      <c r="CO19" s="11"/>
      <c r="CP19" s="11"/>
      <c r="CQ19" s="481">
        <f>SUM(BB19:BE19)</f>
        <v>2347.6694999999995</v>
      </c>
      <c r="CR19" s="481">
        <f>SUM(BF19:BI19)</f>
        <v>2538.8530000000001</v>
      </c>
      <c r="CS19" s="481">
        <f>SUM(BJ19:BM19)</f>
        <v>2866.1275000000001</v>
      </c>
      <c r="CT19" s="481">
        <f>SUM(BN19:BQ19)</f>
        <v>2875.46</v>
      </c>
      <c r="CU19" s="481">
        <f>SUM(BR19:BU19)</f>
        <v>2657.1000000000004</v>
      </c>
      <c r="CV19" s="481">
        <f>SUM(BV19:BY19)</f>
        <v>2382.3945756543999</v>
      </c>
      <c r="CW19" s="481">
        <f>SUM(BZ19:CC19)</f>
        <v>2596.5902036607613</v>
      </c>
      <c r="CX19" s="555">
        <f t="shared" si="14"/>
        <v>3310.8525688507102</v>
      </c>
      <c r="CY19" s="555">
        <f t="shared" si="14"/>
        <v>3805.9574619966452</v>
      </c>
      <c r="CZ19" s="555">
        <f t="shared" si="14"/>
        <v>4373.4182569186551</v>
      </c>
      <c r="DA19" s="555">
        <f t="shared" si="14"/>
        <v>5023.6278058463113</v>
      </c>
      <c r="DB19" s="555">
        <f t="shared" si="15"/>
        <v>5768.4517171357493</v>
      </c>
      <c r="DC19" s="555">
        <f t="shared" si="15"/>
        <v>6621.4348090122112</v>
      </c>
      <c r="DD19" s="1509"/>
      <c r="DE19" s="1551"/>
      <c r="DF19" s="29"/>
      <c r="DG19" s="57"/>
      <c r="DH19" s="29"/>
      <c r="DI19" s="29"/>
      <c r="DJ19" s="29"/>
      <c r="DK19" s="29"/>
      <c r="DL19" s="641"/>
      <c r="DM19" s="641"/>
      <c r="DN19" s="641"/>
      <c r="DO19" s="641"/>
      <c r="DP19" s="641"/>
      <c r="DQ19" s="641"/>
      <c r="DR19" s="641"/>
      <c r="DS19" s="1102"/>
      <c r="DT19" s="29"/>
      <c r="DU19" s="29"/>
      <c r="DV19" s="29"/>
      <c r="DW19" s="29"/>
      <c r="DX19" s="2243"/>
      <c r="DY19" s="29"/>
      <c r="DZ19" s="1559"/>
      <c r="EA19"/>
      <c r="EB19"/>
      <c r="EC19"/>
      <c r="ED19"/>
      <c r="EE19"/>
      <c r="EF19"/>
    </row>
    <row r="20" spans="1:136" ht="11.25" hidden="1" customHeight="1" outlineLevel="1">
      <c r="A20" s="145"/>
      <c r="B20" s="209"/>
      <c r="C20" s="180"/>
      <c r="D20" s="494"/>
      <c r="E20" s="198"/>
      <c r="F20" s="823"/>
      <c r="G20" s="823"/>
      <c r="H20" s="823"/>
      <c r="I20" s="835"/>
      <c r="J20" s="823"/>
      <c r="K20" s="823"/>
      <c r="L20" s="823"/>
      <c r="M20" s="835"/>
      <c r="N20" s="823"/>
      <c r="O20" s="823"/>
      <c r="P20" s="823"/>
      <c r="Q20" s="835"/>
      <c r="R20" s="823"/>
      <c r="S20" s="823"/>
      <c r="T20" s="823"/>
      <c r="U20" s="835"/>
      <c r="V20" s="823"/>
      <c r="W20" s="823"/>
      <c r="X20" s="823"/>
      <c r="Y20" s="835"/>
      <c r="Z20" s="823"/>
      <c r="AA20" s="823"/>
      <c r="AB20" s="823"/>
      <c r="AC20" s="838"/>
      <c r="AD20" s="620"/>
      <c r="AE20" s="620"/>
      <c r="AF20" s="620"/>
      <c r="AG20" s="620"/>
      <c r="AH20" s="822"/>
      <c r="AI20" s="823"/>
      <c r="AJ20" s="823"/>
      <c r="AK20" s="2233"/>
      <c r="AL20" s="823"/>
      <c r="AM20" s="823"/>
      <c r="AN20" s="823"/>
      <c r="AO20" s="835"/>
      <c r="AP20" s="823"/>
      <c r="AQ20" s="823"/>
      <c r="AR20" s="823"/>
      <c r="AS20" s="835"/>
      <c r="AT20" s="823"/>
      <c r="AU20" s="823"/>
      <c r="AV20" s="823"/>
      <c r="AW20" s="835"/>
      <c r="AX20" s="823"/>
      <c r="AY20" s="823"/>
      <c r="AZ20" s="823"/>
      <c r="BA20" s="835"/>
      <c r="BB20" s="823"/>
      <c r="BC20" s="823"/>
      <c r="BD20" s="823"/>
      <c r="BE20" s="835"/>
      <c r="BF20" s="823"/>
      <c r="BG20" s="823"/>
      <c r="BH20" s="823"/>
      <c r="BI20" s="835"/>
      <c r="BJ20" s="823"/>
      <c r="BK20" s="823"/>
      <c r="BL20" s="823"/>
      <c r="BM20" s="835"/>
      <c r="BN20" s="823"/>
      <c r="BO20" s="823"/>
      <c r="BP20" s="823"/>
      <c r="BQ20" s="835"/>
      <c r="BR20" s="823"/>
      <c r="BS20" s="823"/>
      <c r="BT20" s="2174"/>
      <c r="BU20" s="835"/>
      <c r="BV20" s="2276">
        <f>AVERAGE(BR22:BW22)</f>
        <v>0.39440319955554348</v>
      </c>
      <c r="BW20" s="823"/>
      <c r="BX20" s="823"/>
      <c r="BY20" s="835"/>
      <c r="BZ20" s="2221"/>
      <c r="CA20" s="2221"/>
      <c r="CB20" s="2221"/>
      <c r="CC20" s="2222"/>
      <c r="CD20" s="50"/>
      <c r="CE20" s="30"/>
      <c r="CF20" s="49"/>
      <c r="CG20" s="49"/>
      <c r="CH20" s="49"/>
      <c r="CI20" s="49"/>
      <c r="CJ20" s="49"/>
      <c r="CK20" s="49"/>
      <c r="CL20" s="49"/>
      <c r="CM20" s="49"/>
      <c r="CN20" s="49"/>
      <c r="CO20" s="49"/>
      <c r="CP20" s="49"/>
      <c r="CQ20" s="1198"/>
      <c r="CR20" s="1198"/>
      <c r="CS20" s="1198"/>
      <c r="CT20" s="1198"/>
      <c r="CU20" s="1198"/>
      <c r="CV20" s="1607"/>
      <c r="CW20" s="2221"/>
      <c r="CX20" s="1198"/>
      <c r="CY20" s="1198"/>
      <c r="CZ20" s="1198"/>
      <c r="DA20" s="1198"/>
      <c r="DB20" s="1198"/>
      <c r="DC20" s="1198"/>
      <c r="DD20" s="1508"/>
      <c r="DE20" s="1551"/>
      <c r="DF20" s="30"/>
      <c r="DG20" s="57"/>
      <c r="DH20" s="29"/>
      <c r="DI20" s="29"/>
      <c r="DJ20" s="29"/>
      <c r="DK20" s="29"/>
      <c r="DL20" s="641"/>
      <c r="DM20" s="641"/>
      <c r="DN20" s="641"/>
      <c r="DO20" s="641"/>
      <c r="DP20" s="641"/>
      <c r="DQ20" s="641"/>
      <c r="DR20" s="641"/>
      <c r="DS20" s="1102"/>
      <c r="DT20" s="30"/>
      <c r="DU20" s="30"/>
      <c r="DV20" s="30"/>
      <c r="DW20" s="30"/>
      <c r="DX20" s="2244"/>
      <c r="DY20" s="30"/>
      <c r="DZ20" s="1556"/>
    </row>
    <row r="21" spans="1:136" ht="11.25" hidden="1" customHeight="1" outlineLevel="1">
      <c r="A21" s="145"/>
      <c r="B21" s="209" t="s">
        <v>55</v>
      </c>
      <c r="C21" s="494"/>
      <c r="D21" s="494"/>
      <c r="E21" s="198"/>
      <c r="F21" s="823"/>
      <c r="G21" s="823"/>
      <c r="H21" s="823"/>
      <c r="I21" s="835"/>
      <c r="J21" s="823"/>
      <c r="K21" s="823"/>
      <c r="L21" s="823"/>
      <c r="M21" s="835"/>
      <c r="N21" s="823"/>
      <c r="O21" s="823"/>
      <c r="P21" s="823"/>
      <c r="Q21" s="835"/>
      <c r="R21" s="823"/>
      <c r="S21" s="823"/>
      <c r="T21" s="823"/>
      <c r="U21" s="835"/>
      <c r="V21" s="823"/>
      <c r="W21" s="823"/>
      <c r="X21" s="823"/>
      <c r="Y21" s="835"/>
      <c r="Z21" s="823"/>
      <c r="AA21" s="823"/>
      <c r="AB21" s="823"/>
      <c r="AC21" s="838"/>
      <c r="AD21" s="620"/>
      <c r="AE21" s="620"/>
      <c r="AF21" s="620"/>
      <c r="AG21" s="620"/>
      <c r="AH21" s="822"/>
      <c r="AI21" s="823"/>
      <c r="AJ21" s="823"/>
      <c r="AK21" s="2233"/>
      <c r="AL21" s="823"/>
      <c r="AM21" s="823"/>
      <c r="AN21" s="823"/>
      <c r="AO21" s="835"/>
      <c r="AP21" s="823"/>
      <c r="AQ21" s="823"/>
      <c r="AR21" s="823"/>
      <c r="AS21" s="835"/>
      <c r="AT21" s="823"/>
      <c r="AU21" s="823"/>
      <c r="AV21" s="823"/>
      <c r="AW21" s="835"/>
      <c r="AX21" s="823"/>
      <c r="AY21" s="823"/>
      <c r="AZ21" s="823"/>
      <c r="BA21" s="835"/>
      <c r="BB21" s="823">
        <f>SUM(BB23, BB24, BB25)</f>
        <v>1230.9000000000001</v>
      </c>
      <c r="BC21" s="823">
        <f t="shared" ref="BC21:BY21" si="18">SUM(BC23, BC24, BC25)</f>
        <v>1097.0554999999999</v>
      </c>
      <c r="BD21" s="823">
        <f t="shared" si="18"/>
        <v>1098.7200000000003</v>
      </c>
      <c r="BE21" s="835">
        <f t="shared" si="18"/>
        <v>1085.2379999999998</v>
      </c>
      <c r="BF21" s="823">
        <f t="shared" si="18"/>
        <v>1135.0702000000001</v>
      </c>
      <c r="BG21" s="823">
        <f t="shared" si="18"/>
        <v>1195.8240000000001</v>
      </c>
      <c r="BH21" s="823">
        <f t="shared" si="18"/>
        <v>1115.0079999999998</v>
      </c>
      <c r="BI21" s="835">
        <f t="shared" si="18"/>
        <v>1078.31</v>
      </c>
      <c r="BJ21" s="823">
        <f t="shared" si="18"/>
        <v>1193.194</v>
      </c>
      <c r="BK21" s="823">
        <f t="shared" si="18"/>
        <v>1194.904</v>
      </c>
      <c r="BL21" s="823">
        <f t="shared" si="18"/>
        <v>1069.896</v>
      </c>
      <c r="BM21" s="835">
        <f t="shared" si="18"/>
        <v>952.98249999999985</v>
      </c>
      <c r="BN21" s="823">
        <f t="shared" si="18"/>
        <v>977.22499999999991</v>
      </c>
      <c r="BO21" s="823">
        <f t="shared" si="18"/>
        <v>945.21249999999998</v>
      </c>
      <c r="BP21" s="823">
        <f t="shared" si="18"/>
        <v>796.25999999999988</v>
      </c>
      <c r="BQ21" s="835">
        <f t="shared" si="18"/>
        <v>1091.73</v>
      </c>
      <c r="BR21" s="823">
        <f t="shared" si="18"/>
        <v>1598.556</v>
      </c>
      <c r="BS21" s="823">
        <f t="shared" si="18"/>
        <v>1791.8529999999998</v>
      </c>
      <c r="BT21" s="823">
        <f t="shared" si="18"/>
        <v>1826.076</v>
      </c>
      <c r="BU21" s="835">
        <f t="shared" si="18"/>
        <v>1998.0769999999998</v>
      </c>
      <c r="BV21" s="823">
        <f t="shared" si="18"/>
        <v>2191.8649999999998</v>
      </c>
      <c r="BW21" s="823">
        <f t="shared" si="18"/>
        <v>2306.36</v>
      </c>
      <c r="BX21" s="823">
        <f t="shared" si="18"/>
        <v>2086.2035419999993</v>
      </c>
      <c r="BY21" s="835">
        <f t="shared" si="18"/>
        <v>1948.3133480656002</v>
      </c>
      <c r="BZ21" s="823">
        <f>SUM(BZ23, BZ24, BZ25)</f>
        <v>1965.5744575316653</v>
      </c>
      <c r="CA21" s="823">
        <f>SUM(CA23, CA24, CA25)</f>
        <v>1859.3297291742233</v>
      </c>
      <c r="CB21" s="823">
        <f>SUM(CB23, CB24, CB25)</f>
        <v>1680.6680626729153</v>
      </c>
      <c r="CC21" s="835">
        <f>SUM(CC23, CC24, CC25)</f>
        <v>1553.358571032642</v>
      </c>
      <c r="CD21" s="50"/>
      <c r="CE21" s="30"/>
      <c r="CF21" s="49"/>
      <c r="CG21" s="49"/>
      <c r="CH21" s="49"/>
      <c r="CI21" s="49"/>
      <c r="CJ21" s="49"/>
      <c r="CK21" s="49"/>
      <c r="CL21" s="49"/>
      <c r="CM21" s="49"/>
      <c r="CN21" s="49"/>
      <c r="CO21" s="49"/>
      <c r="CP21" s="49"/>
      <c r="CQ21" s="1198">
        <f xml:space="preserve"> SUM(CQ23, CQ24, CQ25)</f>
        <v>4511.9135000000006</v>
      </c>
      <c r="CR21" s="1198">
        <f t="shared" ref="CR21:DA21" si="19" xml:space="preserve"> SUM(CR23, CR24, CR25)</f>
        <v>4524.2121999999999</v>
      </c>
      <c r="CS21" s="1198">
        <f t="shared" si="19"/>
        <v>4410.9764999999998</v>
      </c>
      <c r="CT21" s="1198">
        <f t="shared" si="19"/>
        <v>3810.4274999999998</v>
      </c>
      <c r="CU21" s="1198">
        <f t="shared" si="19"/>
        <v>7214.5619999999999</v>
      </c>
      <c r="CV21" s="1198">
        <f t="shared" si="19"/>
        <v>8532.7418900655994</v>
      </c>
      <c r="CW21" s="823">
        <f t="shared" si="19"/>
        <v>7058.9308204114441</v>
      </c>
      <c r="CX21" s="823">
        <f t="shared" si="19"/>
        <v>7500.8380395612239</v>
      </c>
      <c r="CY21" s="823">
        <f t="shared" si="19"/>
        <v>7680.4533674911163</v>
      </c>
      <c r="CZ21" s="823">
        <f t="shared" si="19"/>
        <v>7930.2095443847593</v>
      </c>
      <c r="DA21" s="823">
        <f t="shared" si="19"/>
        <v>8197.8992502114979</v>
      </c>
      <c r="DB21" s="823">
        <f xml:space="preserve"> SUM(DB23, DB24, DB25)</f>
        <v>8507.7054490974515</v>
      </c>
      <c r="DC21" s="823">
        <f xml:space="preserve"> SUM(DC23, DC24, DC25)</f>
        <v>8863.2963793486688</v>
      </c>
      <c r="DD21" s="1508"/>
      <c r="DE21" s="1551"/>
      <c r="DF21" s="30"/>
      <c r="DG21" s="57"/>
      <c r="DH21" s="29"/>
      <c r="DI21" s="29"/>
      <c r="DJ21" s="29"/>
      <c r="DK21" s="29"/>
      <c r="DL21" s="641"/>
      <c r="DM21" s="641"/>
      <c r="DN21" s="641"/>
      <c r="DO21" s="641"/>
      <c r="DP21" s="641"/>
      <c r="DQ21" s="641"/>
      <c r="DR21" s="641"/>
      <c r="DS21" s="1243">
        <f>SUM(BD21:BG21)</f>
        <v>4514.8522000000003</v>
      </c>
      <c r="DT21" s="1116">
        <f>SUM(BH21:BK21)</f>
        <v>4581.4159999999993</v>
      </c>
      <c r="DU21" s="1116">
        <f>SUM(BL21:BO21)</f>
        <v>3945.3159999999998</v>
      </c>
      <c r="DV21" s="1116">
        <f>SUM(BP21:BS21)</f>
        <v>5278.3989999999994</v>
      </c>
      <c r="DW21" s="1116">
        <f>SUM(BT21:BW21)</f>
        <v>8322.3780000000006</v>
      </c>
      <c r="DX21" s="2242">
        <f>SUM(BX21:CA21)</f>
        <v>7859.4210767714885</v>
      </c>
      <c r="DY21" s="30"/>
      <c r="DZ21" s="1556"/>
    </row>
    <row r="22" spans="1:136" ht="11.25" hidden="1" customHeight="1" outlineLevel="1">
      <c r="A22" s="768"/>
      <c r="B22" s="397" t="s">
        <v>309</v>
      </c>
      <c r="C22" s="398"/>
      <c r="D22" s="398"/>
      <c r="E22" s="399"/>
      <c r="F22" s="769"/>
      <c r="G22" s="769"/>
      <c r="H22" s="769"/>
      <c r="I22" s="771"/>
      <c r="J22" s="770"/>
      <c r="K22" s="769"/>
      <c r="L22" s="769"/>
      <c r="M22" s="771"/>
      <c r="N22" s="770"/>
      <c r="O22" s="769"/>
      <c r="P22" s="769"/>
      <c r="Q22" s="771"/>
      <c r="R22" s="770"/>
      <c r="S22" s="769"/>
      <c r="T22" s="769"/>
      <c r="U22" s="771"/>
      <c r="V22" s="770"/>
      <c r="W22" s="769"/>
      <c r="X22" s="769"/>
      <c r="Y22" s="771"/>
      <c r="Z22" s="770"/>
      <c r="AA22" s="769"/>
      <c r="AB22" s="769"/>
      <c r="AC22" s="1055"/>
      <c r="AD22" s="1050"/>
      <c r="AE22" s="1052"/>
      <c r="AF22" s="1052"/>
      <c r="AG22" s="1052"/>
      <c r="AH22" s="770"/>
      <c r="AI22" s="769"/>
      <c r="AJ22" s="769"/>
      <c r="AK22" s="2235"/>
      <c r="AL22" s="769"/>
      <c r="AM22" s="769"/>
      <c r="AN22" s="769"/>
      <c r="AO22" s="771"/>
      <c r="AP22" s="770"/>
      <c r="AQ22" s="769"/>
      <c r="AR22" s="769"/>
      <c r="AS22" s="771"/>
      <c r="AT22" s="770"/>
      <c r="AU22" s="769"/>
      <c r="AV22" s="769"/>
      <c r="AW22" s="771"/>
      <c r="AX22" s="769"/>
      <c r="AY22" s="769"/>
      <c r="AZ22" s="769"/>
      <c r="BA22" s="771"/>
      <c r="BB22" s="770">
        <f t="shared" ref="BB22:BY22" si="20">BB21/BB11</f>
        <v>0.30505576208178442</v>
      </c>
      <c r="BC22" s="769">
        <f t="shared" si="20"/>
        <v>0.28688689853556482</v>
      </c>
      <c r="BD22" s="769">
        <f t="shared" si="20"/>
        <v>0.29190223166843787</v>
      </c>
      <c r="BE22" s="771">
        <f t="shared" si="20"/>
        <v>0.29110461373390556</v>
      </c>
      <c r="BF22" s="769">
        <f t="shared" si="20"/>
        <v>0.29838859095688752</v>
      </c>
      <c r="BG22" s="769">
        <f t="shared" si="20"/>
        <v>0.30106344410876135</v>
      </c>
      <c r="BH22" s="769">
        <f t="shared" si="20"/>
        <v>0.30110937078044825</v>
      </c>
      <c r="BI22" s="771">
        <f t="shared" si="20"/>
        <v>0.29534648041632428</v>
      </c>
      <c r="BJ22" s="770">
        <f t="shared" si="20"/>
        <v>0.3026107025107786</v>
      </c>
      <c r="BK22" s="769">
        <f t="shared" si="20"/>
        <v>0.30733127572016461</v>
      </c>
      <c r="BL22" s="1052">
        <f t="shared" si="20"/>
        <v>0.30137915492957745</v>
      </c>
      <c r="BM22" s="771">
        <f t="shared" si="20"/>
        <v>0.29864697586963329</v>
      </c>
      <c r="BN22" s="770">
        <f t="shared" si="20"/>
        <v>0.29084077380952378</v>
      </c>
      <c r="BO22" s="769">
        <f t="shared" si="20"/>
        <v>0.28496005426590293</v>
      </c>
      <c r="BP22" s="769">
        <f t="shared" si="20"/>
        <v>0.28216158752657683</v>
      </c>
      <c r="BQ22" s="769">
        <f t="shared" si="20"/>
        <v>0.31236909871244634</v>
      </c>
      <c r="BR22" s="770">
        <f t="shared" si="20"/>
        <v>0.33910818837505302</v>
      </c>
      <c r="BS22" s="769">
        <f t="shared" si="20"/>
        <v>0.36658203764320785</v>
      </c>
      <c r="BT22" s="769">
        <f t="shared" si="20"/>
        <v>0.39278898687889868</v>
      </c>
      <c r="BU22" s="771">
        <f t="shared" si="20"/>
        <v>0.41265530772408093</v>
      </c>
      <c r="BV22" s="770">
        <f t="shared" si="20"/>
        <v>0.4230582899054236</v>
      </c>
      <c r="BW22" s="769">
        <f t="shared" si="20"/>
        <v>0.43222638680659675</v>
      </c>
      <c r="BX22" s="769">
        <f t="shared" si="20"/>
        <v>0.42496671807562875</v>
      </c>
      <c r="BY22" s="771">
        <f t="shared" si="20"/>
        <v>0.39648044592086013</v>
      </c>
      <c r="BZ22" s="770">
        <f>BZ21/BZ11</f>
        <v>0.3876481730141953</v>
      </c>
      <c r="CA22" s="769">
        <f>CA21/CA11</f>
        <v>0.37260314198960864</v>
      </c>
      <c r="CB22" s="769">
        <f>CB21/CB11</f>
        <v>0.36269018397317077</v>
      </c>
      <c r="CC22" s="771">
        <f>CC21/CC11</f>
        <v>0.35415201604631624</v>
      </c>
      <c r="CD22" s="766"/>
      <c r="CE22" s="769"/>
      <c r="CF22" s="769"/>
      <c r="CG22" s="769"/>
      <c r="CH22" s="769"/>
      <c r="CI22" s="769"/>
      <c r="CJ22" s="769"/>
      <c r="CK22" s="769"/>
      <c r="CL22" s="769"/>
      <c r="CM22" s="769"/>
      <c r="CN22" s="769"/>
      <c r="CO22" s="769"/>
      <c r="CP22" s="769"/>
      <c r="CQ22" s="769">
        <f t="shared" ref="CQ22:DA22" si="21">CQ21/CQ11</f>
        <v>0.2939165852387467</v>
      </c>
      <c r="CR22" s="769">
        <f t="shared" si="21"/>
        <v>0.29902261731658958</v>
      </c>
      <c r="CS22" s="769">
        <f t="shared" si="21"/>
        <v>0.30270220285478999</v>
      </c>
      <c r="CT22" s="769">
        <f t="shared" si="21"/>
        <v>0.29324515160843462</v>
      </c>
      <c r="CU22" s="769">
        <f t="shared" si="21"/>
        <v>0.37786424344000419</v>
      </c>
      <c r="CV22" s="769">
        <f t="shared" si="21"/>
        <v>0.4195030275013738</v>
      </c>
      <c r="CW22" s="769">
        <f t="shared" si="21"/>
        <v>0.36995235514519531</v>
      </c>
      <c r="CX22" s="769">
        <f t="shared" si="21"/>
        <v>0.3663934349903572</v>
      </c>
      <c r="CY22" s="769">
        <f t="shared" si="21"/>
        <v>0.36204225285563002</v>
      </c>
      <c r="CZ22" s="769">
        <f t="shared" si="21"/>
        <v>0.36010825466015756</v>
      </c>
      <c r="DA22" s="769">
        <f t="shared" si="21"/>
        <v>0.35577469780854759</v>
      </c>
      <c r="DB22" s="769">
        <f>DB21/DB11</f>
        <v>0.35157055461008613</v>
      </c>
      <c r="DC22" s="769">
        <f>DC21/DC11</f>
        <v>0.34745469051227262</v>
      </c>
      <c r="DD22" s="1510"/>
      <c r="DE22" s="1551"/>
      <c r="DF22" s="1480"/>
      <c r="DG22" s="1282"/>
      <c r="DH22" s="767"/>
      <c r="DI22" s="767"/>
      <c r="DJ22" s="767"/>
      <c r="DK22" s="767"/>
      <c r="DL22" s="769"/>
      <c r="DM22" s="769"/>
      <c r="DN22" s="769"/>
      <c r="DO22" s="769"/>
      <c r="DP22" s="769"/>
      <c r="DQ22" s="769"/>
      <c r="DR22" s="769"/>
      <c r="DS22" s="770">
        <f t="shared" ref="DS22:DX22" si="22">DS21/DS11</f>
        <v>0.29570685093004978</v>
      </c>
      <c r="DT22" s="769">
        <f t="shared" si="22"/>
        <v>0.3017066842278564</v>
      </c>
      <c r="DU22" s="769">
        <f t="shared" si="22"/>
        <v>0.29403159934416456</v>
      </c>
      <c r="DV22" s="769">
        <f t="shared" si="22"/>
        <v>0.33157855392926688</v>
      </c>
      <c r="DW22" s="769">
        <f t="shared" si="22"/>
        <v>0.41595251899240304</v>
      </c>
      <c r="DX22" s="2235">
        <f t="shared" si="22"/>
        <v>0.39526877576108926</v>
      </c>
      <c r="DY22" s="769"/>
      <c r="DZ22" s="1677"/>
    </row>
    <row r="23" spans="1:136" s="52" customFormat="1" ht="11.25" hidden="1" customHeight="1" outlineLevel="1">
      <c r="A23" s="145"/>
      <c r="B23" s="227"/>
      <c r="C23" s="52" t="s">
        <v>943</v>
      </c>
      <c r="D23" s="145"/>
      <c r="E23" s="228"/>
      <c r="F23" s="555"/>
      <c r="G23" s="555"/>
      <c r="H23" s="555"/>
      <c r="I23" s="556"/>
      <c r="J23" s="555"/>
      <c r="K23" s="555"/>
      <c r="L23" s="555"/>
      <c r="M23" s="556"/>
      <c r="N23" s="555"/>
      <c r="O23" s="555"/>
      <c r="P23" s="555"/>
      <c r="Q23" s="556"/>
      <c r="R23" s="555"/>
      <c r="S23" s="555"/>
      <c r="T23" s="555"/>
      <c r="U23" s="556"/>
      <c r="V23" s="555"/>
      <c r="W23" s="555"/>
      <c r="X23" s="555"/>
      <c r="Y23" s="556"/>
      <c r="Z23" s="555"/>
      <c r="AA23" s="555"/>
      <c r="AB23" s="555"/>
      <c r="AC23" s="496"/>
      <c r="AD23" s="374"/>
      <c r="AE23" s="374"/>
      <c r="AF23" s="374"/>
      <c r="AG23" s="374"/>
      <c r="AH23" s="836"/>
      <c r="AI23" s="555"/>
      <c r="AJ23" s="555"/>
      <c r="AK23" s="2234"/>
      <c r="AL23" s="555"/>
      <c r="AM23" s="555"/>
      <c r="AN23" s="555"/>
      <c r="AO23" s="556"/>
      <c r="AP23" s="555"/>
      <c r="AQ23" s="555"/>
      <c r="AR23" s="555"/>
      <c r="AS23" s="556"/>
      <c r="AT23" s="555"/>
      <c r="AU23" s="555"/>
      <c r="AV23" s="555"/>
      <c r="AW23" s="556"/>
      <c r="AX23" s="555"/>
      <c r="AY23" s="555"/>
      <c r="AZ23" s="555"/>
      <c r="BA23" s="556"/>
      <c r="BB23" s="555">
        <f t="shared" ref="BB23:BY23" si="23">BB12-BB17</f>
        <v>653.22499999999991</v>
      </c>
      <c r="BC23" s="555">
        <f t="shared" si="23"/>
        <v>492.46199999999999</v>
      </c>
      <c r="BD23" s="555">
        <f t="shared" si="23"/>
        <v>476.96000000000004</v>
      </c>
      <c r="BE23" s="556">
        <f t="shared" si="23"/>
        <v>430.23599999999988</v>
      </c>
      <c r="BF23" s="555">
        <f t="shared" si="23"/>
        <v>491.03320000000008</v>
      </c>
      <c r="BG23" s="555">
        <f t="shared" si="23"/>
        <v>489.72</v>
      </c>
      <c r="BH23" s="555">
        <f t="shared" si="23"/>
        <v>482.60199999999986</v>
      </c>
      <c r="BI23" s="556">
        <f t="shared" si="23"/>
        <v>494.76</v>
      </c>
      <c r="BJ23" s="555">
        <f t="shared" si="23"/>
        <v>518.64999999999986</v>
      </c>
      <c r="BK23" s="555">
        <f t="shared" si="23"/>
        <v>480.47</v>
      </c>
      <c r="BL23" s="555">
        <f t="shared" si="23"/>
        <v>382.20000000000005</v>
      </c>
      <c r="BM23" s="556">
        <f t="shared" si="23"/>
        <v>309.19999999999982</v>
      </c>
      <c r="BN23" s="555">
        <f t="shared" si="23"/>
        <v>317.29999999999995</v>
      </c>
      <c r="BO23" s="555">
        <f t="shared" si="23"/>
        <v>288.53250000000003</v>
      </c>
      <c r="BP23" s="555">
        <f t="shared" si="23"/>
        <v>246.59999999999991</v>
      </c>
      <c r="BQ23" s="556">
        <f t="shared" si="23"/>
        <v>336.60000000000014</v>
      </c>
      <c r="BR23" s="555">
        <f t="shared" si="23"/>
        <v>617.24</v>
      </c>
      <c r="BS23" s="555">
        <f t="shared" si="23"/>
        <v>701.22</v>
      </c>
      <c r="BT23" s="555">
        <f t="shared" si="23"/>
        <v>741.76000000000022</v>
      </c>
      <c r="BU23" s="556">
        <f t="shared" si="23"/>
        <v>807.34999999999991</v>
      </c>
      <c r="BV23" s="555">
        <f t="shared" si="23"/>
        <v>936.59999999999991</v>
      </c>
      <c r="BW23" s="555">
        <f t="shared" si="23"/>
        <v>952.92000000000007</v>
      </c>
      <c r="BX23" s="555">
        <f t="shared" si="23"/>
        <v>882.73744199999965</v>
      </c>
      <c r="BY23" s="556">
        <f t="shared" si="23"/>
        <v>776.80894895999995</v>
      </c>
      <c r="BZ23" s="555">
        <f t="shared" ref="BZ23:CC25" si="24">BZ12-BZ17</f>
        <v>776.29431303131378</v>
      </c>
      <c r="CA23" s="555">
        <f t="shared" si="24"/>
        <v>723.94989649548825</v>
      </c>
      <c r="CB23" s="555">
        <f t="shared" si="24"/>
        <v>651.67073882937871</v>
      </c>
      <c r="CC23" s="556">
        <f t="shared" si="24"/>
        <v>591.95073346686286</v>
      </c>
      <c r="CD23" s="12"/>
      <c r="CE23" s="29"/>
      <c r="CF23" s="11"/>
      <c r="CG23" s="11"/>
      <c r="CH23" s="11"/>
      <c r="CI23" s="11"/>
      <c r="CJ23" s="11"/>
      <c r="CK23" s="11"/>
      <c r="CL23" s="11"/>
      <c r="CM23" s="11"/>
      <c r="CN23" s="11"/>
      <c r="CO23" s="11"/>
      <c r="CP23" s="11"/>
      <c r="CQ23" s="481">
        <f>SUM(BB23:BE23)</f>
        <v>2052.8829999999998</v>
      </c>
      <c r="CR23" s="481">
        <f>SUM(BF23:BI23)</f>
        <v>1958.1152</v>
      </c>
      <c r="CS23" s="481">
        <f>SUM(BJ23:BM23)</f>
        <v>1690.5199999999998</v>
      </c>
      <c r="CT23" s="481">
        <f>SUM(BN23:BQ23)</f>
        <v>1189.0325</v>
      </c>
      <c r="CU23" s="481">
        <f>SUM(BR23:BU23)</f>
        <v>2867.57</v>
      </c>
      <c r="CV23" s="481">
        <f>SUM(BV23:BY23)</f>
        <v>3549.0663909599998</v>
      </c>
      <c r="CW23" s="555">
        <f t="shared" ref="CW23:DA25" si="25">CW12-CW17</f>
        <v>2743.8656818230429</v>
      </c>
      <c r="CX23" s="555">
        <f t="shared" si="25"/>
        <v>2759.6423901599337</v>
      </c>
      <c r="CY23" s="555">
        <f t="shared" si="25"/>
        <v>2637.3045882016704</v>
      </c>
      <c r="CZ23" s="555">
        <f t="shared" si="25"/>
        <v>2563.789722805549</v>
      </c>
      <c r="DA23" s="555">
        <f t="shared" si="25"/>
        <v>2469.5727812103751</v>
      </c>
      <c r="DB23" s="555">
        <f t="shared" ref="DB23:DC25" si="26">DB12-DB17</f>
        <v>2375.4308029621207</v>
      </c>
      <c r="DC23" s="555">
        <f t="shared" si="26"/>
        <v>2281.3637431648203</v>
      </c>
      <c r="DD23" s="1509"/>
      <c r="DE23" s="1551"/>
      <c r="DF23" s="29"/>
      <c r="DG23" s="57"/>
      <c r="DH23" s="29"/>
      <c r="DI23" s="29"/>
      <c r="DJ23" s="29"/>
      <c r="DK23" s="29"/>
      <c r="DL23" s="641"/>
      <c r="DM23" s="641"/>
      <c r="DN23" s="641"/>
      <c r="DO23" s="641"/>
      <c r="DP23" s="641"/>
      <c r="DQ23" s="641"/>
      <c r="DR23" s="641"/>
      <c r="DS23" s="1102"/>
      <c r="DT23" s="29"/>
      <c r="DU23" s="29"/>
      <c r="DV23" s="29"/>
      <c r="DW23" s="29"/>
      <c r="DX23" s="2243"/>
      <c r="DY23" s="29"/>
      <c r="DZ23" s="1559"/>
      <c r="EA23"/>
      <c r="EB23"/>
      <c r="EC23"/>
      <c r="ED23"/>
      <c r="EE23"/>
      <c r="EF23"/>
    </row>
    <row r="24" spans="1:136" s="52" customFormat="1" ht="11.25" hidden="1" customHeight="1" outlineLevel="1">
      <c r="A24" s="145"/>
      <c r="B24" s="227"/>
      <c r="C24" s="52" t="s">
        <v>944</v>
      </c>
      <c r="D24" s="145"/>
      <c r="E24" s="228"/>
      <c r="F24" s="555"/>
      <c r="G24" s="555"/>
      <c r="H24" s="555"/>
      <c r="I24" s="556"/>
      <c r="J24" s="555"/>
      <c r="K24" s="555"/>
      <c r="L24" s="555"/>
      <c r="M24" s="556"/>
      <c r="N24" s="555"/>
      <c r="O24" s="555"/>
      <c r="P24" s="555"/>
      <c r="Q24" s="556"/>
      <c r="R24" s="555"/>
      <c r="S24" s="555"/>
      <c r="T24" s="555"/>
      <c r="U24" s="556"/>
      <c r="V24" s="555"/>
      <c r="W24" s="555"/>
      <c r="X24" s="555"/>
      <c r="Y24" s="556"/>
      <c r="Z24" s="555"/>
      <c r="AA24" s="555"/>
      <c r="AB24" s="555"/>
      <c r="AC24" s="496"/>
      <c r="AD24" s="374"/>
      <c r="AE24" s="374"/>
      <c r="AF24" s="374"/>
      <c r="AG24" s="374"/>
      <c r="AH24" s="836"/>
      <c r="AI24" s="555"/>
      <c r="AJ24" s="555"/>
      <c r="AK24" s="2234"/>
      <c r="AL24" s="555"/>
      <c r="AM24" s="555"/>
      <c r="AN24" s="555"/>
      <c r="AO24" s="556"/>
      <c r="AP24" s="555"/>
      <c r="AQ24" s="555"/>
      <c r="AR24" s="555"/>
      <c r="AS24" s="556"/>
      <c r="AT24" s="555"/>
      <c r="AU24" s="555"/>
      <c r="AV24" s="555"/>
      <c r="AW24" s="556"/>
      <c r="AX24" s="555"/>
      <c r="AY24" s="555"/>
      <c r="AZ24" s="555"/>
      <c r="BA24" s="556"/>
      <c r="BB24" s="555">
        <f t="shared" ref="BB24:BY24" si="27">BB13-BB18</f>
        <v>175</v>
      </c>
      <c r="BC24" s="555">
        <f t="shared" si="27"/>
        <v>170.40000000000003</v>
      </c>
      <c r="BD24" s="555">
        <f t="shared" si="27"/>
        <v>145</v>
      </c>
      <c r="BE24" s="556">
        <f t="shared" si="27"/>
        <v>120.30000000000001</v>
      </c>
      <c r="BF24" s="555">
        <f t="shared" si="27"/>
        <v>141.05000000000001</v>
      </c>
      <c r="BG24" s="555">
        <f t="shared" si="27"/>
        <v>179.19000000000005</v>
      </c>
      <c r="BH24" s="555">
        <f t="shared" si="27"/>
        <v>158.07000000000005</v>
      </c>
      <c r="BI24" s="556">
        <f t="shared" si="27"/>
        <v>137.64000000000004</v>
      </c>
      <c r="BJ24" s="555">
        <f t="shared" si="27"/>
        <v>161.28000000000003</v>
      </c>
      <c r="BK24" s="555">
        <f t="shared" si="27"/>
        <v>167.90400000000005</v>
      </c>
      <c r="BL24" s="555">
        <f t="shared" si="27"/>
        <v>135.60000000000002</v>
      </c>
      <c r="BM24" s="556">
        <f t="shared" si="27"/>
        <v>109.80000000000001</v>
      </c>
      <c r="BN24" s="555">
        <f t="shared" si="27"/>
        <v>117.70499999999998</v>
      </c>
      <c r="BO24" s="555">
        <f t="shared" si="27"/>
        <v>133.11000000000001</v>
      </c>
      <c r="BP24" s="555">
        <f t="shared" si="27"/>
        <v>107.26000000000002</v>
      </c>
      <c r="BQ24" s="556">
        <f t="shared" si="27"/>
        <v>219.78000000000003</v>
      </c>
      <c r="BR24" s="555">
        <f t="shared" si="27"/>
        <v>341.6</v>
      </c>
      <c r="BS24" s="555">
        <f t="shared" si="27"/>
        <v>387.36</v>
      </c>
      <c r="BT24" s="555">
        <f t="shared" si="27"/>
        <v>381.14</v>
      </c>
      <c r="BU24" s="556">
        <f t="shared" si="27"/>
        <v>388.99199999999996</v>
      </c>
      <c r="BV24" s="555">
        <f t="shared" si="27"/>
        <v>454.4</v>
      </c>
      <c r="BW24" s="555">
        <f t="shared" si="27"/>
        <v>514.54999999999995</v>
      </c>
      <c r="BX24" s="555">
        <f t="shared" si="27"/>
        <v>407.94025999999997</v>
      </c>
      <c r="BY24" s="556">
        <f t="shared" si="27"/>
        <v>368.21976099999995</v>
      </c>
      <c r="BZ24" s="555">
        <f t="shared" si="24"/>
        <v>366.0998672331001</v>
      </c>
      <c r="CA24" s="555">
        <f t="shared" si="24"/>
        <v>345.27044887784223</v>
      </c>
      <c r="CB24" s="555">
        <f t="shared" si="24"/>
        <v>307.80303629638854</v>
      </c>
      <c r="CC24" s="556">
        <f t="shared" si="24"/>
        <v>300.06178993353433</v>
      </c>
      <c r="CD24" s="12"/>
      <c r="CE24" s="29"/>
      <c r="CF24" s="11"/>
      <c r="CG24" s="11"/>
      <c r="CH24" s="11"/>
      <c r="CI24" s="11"/>
      <c r="CJ24" s="11"/>
      <c r="CK24" s="11"/>
      <c r="CL24" s="11"/>
      <c r="CM24" s="11"/>
      <c r="CN24" s="11"/>
      <c r="CO24" s="11"/>
      <c r="CP24" s="11"/>
      <c r="CQ24" s="481">
        <f>SUM(BB24:BE24)</f>
        <v>610.70000000000005</v>
      </c>
      <c r="CR24" s="481">
        <f>SUM(BF24:BI24)</f>
        <v>615.95000000000016</v>
      </c>
      <c r="CS24" s="481">
        <f>SUM(BJ24:BM24)</f>
        <v>574.58400000000006</v>
      </c>
      <c r="CT24" s="481">
        <f>SUM(BN24:BQ24)</f>
        <v>577.85500000000002</v>
      </c>
      <c r="CU24" s="481">
        <f>SUM(BR24:BU24)</f>
        <v>1499.0919999999999</v>
      </c>
      <c r="CV24" s="481">
        <f>SUM(BV24:BY24)</f>
        <v>1745.110021</v>
      </c>
      <c r="CW24" s="555">
        <f t="shared" si="25"/>
        <v>1319.2351423408645</v>
      </c>
      <c r="CX24" s="555">
        <f t="shared" si="25"/>
        <v>1430.3430805505795</v>
      </c>
      <c r="CY24" s="555">
        <f t="shared" si="25"/>
        <v>1386.4445510965907</v>
      </c>
      <c r="CZ24" s="555">
        <f t="shared" si="25"/>
        <v>1329.4183536542992</v>
      </c>
      <c r="DA24" s="555">
        <f t="shared" si="25"/>
        <v>1273.4112449487343</v>
      </c>
      <c r="DB24" s="555">
        <f t="shared" si="26"/>
        <v>1218.4083685752485</v>
      </c>
      <c r="DC24" s="555">
        <f t="shared" si="26"/>
        <v>1164.3950651738573</v>
      </c>
      <c r="DD24" s="1509"/>
      <c r="DE24" s="1551"/>
      <c r="DF24" s="29"/>
      <c r="DG24" s="57"/>
      <c r="DH24" s="29"/>
      <c r="DI24" s="29"/>
      <c r="DJ24" s="29"/>
      <c r="DK24" s="29"/>
      <c r="DL24" s="641"/>
      <c r="DM24" s="641"/>
      <c r="DN24" s="641"/>
      <c r="DO24" s="641"/>
      <c r="DP24" s="641"/>
      <c r="DQ24" s="641"/>
      <c r="DR24" s="641"/>
      <c r="DS24" s="1102"/>
      <c r="DT24" s="29"/>
      <c r="DU24" s="29"/>
      <c r="DV24" s="29"/>
      <c r="DW24" s="29"/>
      <c r="DX24" s="2243"/>
      <c r="DY24" s="29"/>
      <c r="DZ24" s="1559"/>
      <c r="EA24"/>
      <c r="EB24"/>
      <c r="EC24"/>
      <c r="ED24"/>
      <c r="EE24"/>
      <c r="EF24"/>
    </row>
    <row r="25" spans="1:136" s="52" customFormat="1" ht="11.25" hidden="1" customHeight="1" outlineLevel="1">
      <c r="A25" s="145"/>
      <c r="B25" s="227"/>
      <c r="C25" s="145" t="s">
        <v>969</v>
      </c>
      <c r="E25" s="228"/>
      <c r="F25" s="555"/>
      <c r="G25" s="555"/>
      <c r="H25" s="555"/>
      <c r="I25" s="556"/>
      <c r="J25" s="555"/>
      <c r="K25" s="555"/>
      <c r="L25" s="555"/>
      <c r="M25" s="556"/>
      <c r="N25" s="555"/>
      <c r="O25" s="555"/>
      <c r="P25" s="555"/>
      <c r="Q25" s="556"/>
      <c r="R25" s="555"/>
      <c r="S25" s="555"/>
      <c r="T25" s="555"/>
      <c r="U25" s="556"/>
      <c r="V25" s="555"/>
      <c r="W25" s="555"/>
      <c r="X25" s="555"/>
      <c r="Y25" s="556"/>
      <c r="Z25" s="555"/>
      <c r="AA25" s="555"/>
      <c r="AB25" s="555"/>
      <c r="AC25" s="496"/>
      <c r="AD25" s="374"/>
      <c r="AE25" s="374"/>
      <c r="AF25" s="374"/>
      <c r="AG25" s="374"/>
      <c r="AH25" s="836"/>
      <c r="AI25" s="555"/>
      <c r="AJ25" s="555"/>
      <c r="AK25" s="2234"/>
      <c r="AL25" s="555"/>
      <c r="AM25" s="555"/>
      <c r="AN25" s="555"/>
      <c r="AO25" s="556"/>
      <c r="AP25" s="555"/>
      <c r="AQ25" s="555"/>
      <c r="AR25" s="555"/>
      <c r="AS25" s="556"/>
      <c r="AT25" s="555"/>
      <c r="AU25" s="555"/>
      <c r="AV25" s="555"/>
      <c r="AW25" s="556"/>
      <c r="AX25" s="555"/>
      <c r="AY25" s="555"/>
      <c r="AZ25" s="555"/>
      <c r="BA25" s="556"/>
      <c r="BB25" s="555">
        <f t="shared" ref="BB25:BY25" si="28">BB14-BB19</f>
        <v>402.67500000000007</v>
      </c>
      <c r="BC25" s="555">
        <f t="shared" si="28"/>
        <v>434.19349999999997</v>
      </c>
      <c r="BD25" s="555">
        <f t="shared" si="28"/>
        <v>476.7600000000001</v>
      </c>
      <c r="BE25" s="556">
        <f t="shared" si="28"/>
        <v>534.70200000000011</v>
      </c>
      <c r="BF25" s="555">
        <f t="shared" si="28"/>
        <v>502.98700000000008</v>
      </c>
      <c r="BG25" s="555">
        <f t="shared" si="28"/>
        <v>526.91399999999999</v>
      </c>
      <c r="BH25" s="555">
        <f t="shared" si="28"/>
        <v>474.3359999999999</v>
      </c>
      <c r="BI25" s="556">
        <f t="shared" si="28"/>
        <v>445.90999999999997</v>
      </c>
      <c r="BJ25" s="555">
        <f t="shared" si="28"/>
        <v>513.26400000000001</v>
      </c>
      <c r="BK25" s="555">
        <f t="shared" si="28"/>
        <v>546.53</v>
      </c>
      <c r="BL25" s="555">
        <f t="shared" si="28"/>
        <v>552.09599999999989</v>
      </c>
      <c r="BM25" s="556">
        <f t="shared" si="28"/>
        <v>533.98249999999996</v>
      </c>
      <c r="BN25" s="555">
        <f t="shared" si="28"/>
        <v>542.21999999999991</v>
      </c>
      <c r="BO25" s="555">
        <f t="shared" si="28"/>
        <v>523.56999999999994</v>
      </c>
      <c r="BP25" s="555">
        <f t="shared" si="28"/>
        <v>442.4</v>
      </c>
      <c r="BQ25" s="556">
        <f t="shared" si="28"/>
        <v>535.34999999999991</v>
      </c>
      <c r="BR25" s="555">
        <f t="shared" si="28"/>
        <v>639.71600000000001</v>
      </c>
      <c r="BS25" s="555">
        <f t="shared" si="28"/>
        <v>703.27299999999991</v>
      </c>
      <c r="BT25" s="555">
        <f t="shared" si="28"/>
        <v>703.17599999999993</v>
      </c>
      <c r="BU25" s="556">
        <f t="shared" si="28"/>
        <v>801.7349999999999</v>
      </c>
      <c r="BV25" s="555">
        <f t="shared" si="28"/>
        <v>800.8649999999999</v>
      </c>
      <c r="BW25" s="555">
        <f t="shared" si="28"/>
        <v>838.89</v>
      </c>
      <c r="BX25" s="555">
        <f t="shared" si="28"/>
        <v>795.5258399999999</v>
      </c>
      <c r="BY25" s="556">
        <f t="shared" si="28"/>
        <v>803.28463810560004</v>
      </c>
      <c r="BZ25" s="555">
        <f t="shared" si="24"/>
        <v>823.1802772672512</v>
      </c>
      <c r="CA25" s="555">
        <f t="shared" si="24"/>
        <v>790.10938380089272</v>
      </c>
      <c r="CB25" s="555">
        <f t="shared" si="24"/>
        <v>721.19428754714806</v>
      </c>
      <c r="CC25" s="556">
        <f t="shared" si="24"/>
        <v>661.3460476322449</v>
      </c>
      <c r="CD25" s="12"/>
      <c r="CE25" s="29"/>
      <c r="CF25" s="11"/>
      <c r="CG25" s="11"/>
      <c r="CH25" s="11"/>
      <c r="CI25" s="11"/>
      <c r="CJ25" s="11"/>
      <c r="CK25" s="11"/>
      <c r="CL25" s="11"/>
      <c r="CM25" s="11"/>
      <c r="CN25" s="11"/>
      <c r="CO25" s="11"/>
      <c r="CP25" s="11"/>
      <c r="CQ25" s="481">
        <f>SUM(BB25:BE25)</f>
        <v>1848.3305000000005</v>
      </c>
      <c r="CR25" s="481">
        <f>SUM(BF25:BI25)</f>
        <v>1950.1469999999999</v>
      </c>
      <c r="CS25" s="481">
        <f>SUM(BJ25:BM25)</f>
        <v>2145.8724999999999</v>
      </c>
      <c r="CT25" s="481">
        <f>SUM(BN25:BQ25)</f>
        <v>2043.54</v>
      </c>
      <c r="CU25" s="481">
        <f>SUM(BR25:BU25)</f>
        <v>2847.8999999999996</v>
      </c>
      <c r="CV25" s="481">
        <f>SUM(BV25:BY25)</f>
        <v>3238.5654781056001</v>
      </c>
      <c r="CW25" s="555">
        <f t="shared" si="25"/>
        <v>2995.8299962475367</v>
      </c>
      <c r="CX25" s="555">
        <f t="shared" si="25"/>
        <v>3310.8525688507102</v>
      </c>
      <c r="CY25" s="555">
        <f t="shared" si="25"/>
        <v>3656.7042281928552</v>
      </c>
      <c r="CZ25" s="555">
        <f t="shared" si="25"/>
        <v>4037.0014679249116</v>
      </c>
      <c r="DA25" s="555">
        <f t="shared" si="25"/>
        <v>4454.9152240523881</v>
      </c>
      <c r="DB25" s="555">
        <f t="shared" si="26"/>
        <v>4913.8662775600824</v>
      </c>
      <c r="DC25" s="555">
        <f t="shared" si="26"/>
        <v>5417.5375710099906</v>
      </c>
      <c r="DD25" s="1509"/>
      <c r="DE25" s="1551"/>
      <c r="DF25" s="29"/>
      <c r="DG25" s="57"/>
      <c r="DH25" s="29"/>
      <c r="DI25" s="29"/>
      <c r="DJ25" s="29"/>
      <c r="DK25" s="29"/>
      <c r="DL25" s="641"/>
      <c r="DM25" s="641"/>
      <c r="DN25" s="641"/>
      <c r="DO25" s="641"/>
      <c r="DP25" s="641"/>
      <c r="DQ25" s="641"/>
      <c r="DR25" s="641"/>
      <c r="DS25" s="1102"/>
      <c r="DT25" s="29"/>
      <c r="DU25" s="29"/>
      <c r="DV25" s="29"/>
      <c r="DW25" s="29"/>
      <c r="DX25" s="2243"/>
      <c r="DY25" s="29"/>
      <c r="DZ25" s="1559"/>
      <c r="EA25"/>
      <c r="EB25"/>
      <c r="EC25"/>
      <c r="ED25"/>
      <c r="EE25"/>
      <c r="EF25"/>
    </row>
    <row r="26" spans="1:136" ht="11.25" hidden="1" customHeight="1" outlineLevel="1">
      <c r="A26" s="145"/>
      <c r="B26" s="209"/>
      <c r="C26" s="180"/>
      <c r="D26" s="494"/>
      <c r="E26" s="198"/>
      <c r="F26" s="823"/>
      <c r="G26" s="823"/>
      <c r="H26" s="823"/>
      <c r="I26" s="835"/>
      <c r="J26" s="823"/>
      <c r="K26" s="823"/>
      <c r="L26" s="823"/>
      <c r="M26" s="835"/>
      <c r="N26" s="823"/>
      <c r="O26" s="823"/>
      <c r="P26" s="823"/>
      <c r="Q26" s="835"/>
      <c r="R26" s="823"/>
      <c r="S26" s="823"/>
      <c r="T26" s="823"/>
      <c r="U26" s="835"/>
      <c r="V26" s="823"/>
      <c r="W26" s="823"/>
      <c r="X26" s="823"/>
      <c r="Y26" s="835"/>
      <c r="Z26" s="823"/>
      <c r="AA26" s="823"/>
      <c r="AB26" s="823"/>
      <c r="AC26" s="838"/>
      <c r="AD26" s="620"/>
      <c r="AE26" s="620"/>
      <c r="AF26" s="620"/>
      <c r="AG26" s="620"/>
      <c r="AH26" s="822"/>
      <c r="AI26" s="823"/>
      <c r="AJ26" s="823"/>
      <c r="AK26" s="2233"/>
      <c r="AL26" s="823"/>
      <c r="AM26" s="823"/>
      <c r="AN26" s="823"/>
      <c r="AO26" s="835"/>
      <c r="AP26" s="823"/>
      <c r="AQ26" s="823"/>
      <c r="AR26" s="823"/>
      <c r="AS26" s="835"/>
      <c r="AT26" s="823"/>
      <c r="AU26" s="823"/>
      <c r="AV26" s="823"/>
      <c r="AW26" s="835"/>
      <c r="AX26" s="823"/>
      <c r="AY26" s="823"/>
      <c r="AZ26" s="823"/>
      <c r="BA26" s="835"/>
      <c r="BB26" s="823"/>
      <c r="BC26" s="823"/>
      <c r="BD26" s="823"/>
      <c r="BE26" s="835"/>
      <c r="BF26" s="823"/>
      <c r="BG26" s="823"/>
      <c r="BH26" s="823"/>
      <c r="BI26" s="835"/>
      <c r="BJ26" s="823"/>
      <c r="BK26" s="823"/>
      <c r="BL26" s="823"/>
      <c r="BM26" s="835"/>
      <c r="BN26" s="823"/>
      <c r="BO26" s="823"/>
      <c r="BP26" s="823"/>
      <c r="BQ26" s="835"/>
      <c r="BR26" s="823"/>
      <c r="BS26" s="823"/>
      <c r="BT26" s="823"/>
      <c r="BU26" s="835"/>
      <c r="BV26" s="823"/>
      <c r="BW26" s="823"/>
      <c r="BX26" s="823"/>
      <c r="BY26" s="835"/>
      <c r="BZ26" s="823"/>
      <c r="CA26" s="823"/>
      <c r="CB26" s="823"/>
      <c r="CC26" s="835"/>
      <c r="CD26" s="50"/>
      <c r="CE26" s="30"/>
      <c r="CF26" s="49"/>
      <c r="CG26" s="49"/>
      <c r="CH26" s="49"/>
      <c r="CI26" s="49"/>
      <c r="CJ26" s="49"/>
      <c r="CK26" s="49"/>
      <c r="CL26" s="49"/>
      <c r="CM26" s="49"/>
      <c r="CN26" s="49"/>
      <c r="CO26" s="49"/>
      <c r="CP26" s="49"/>
      <c r="CQ26" s="1198"/>
      <c r="CR26" s="1198"/>
      <c r="CS26" s="1198"/>
      <c r="CT26" s="1198"/>
      <c r="CU26" s="1198"/>
      <c r="CV26" s="2265"/>
      <c r="CW26" s="823"/>
      <c r="CX26" s="823"/>
      <c r="CY26" s="823"/>
      <c r="CZ26" s="823"/>
      <c r="DA26" s="823"/>
      <c r="DB26" s="823"/>
      <c r="DC26" s="823"/>
      <c r="DD26" s="1508"/>
      <c r="DE26" s="1551"/>
      <c r="DF26" s="30"/>
      <c r="DG26" s="57"/>
      <c r="DH26" s="29"/>
      <c r="DI26" s="29"/>
      <c r="DJ26" s="29"/>
      <c r="DK26" s="29"/>
      <c r="DL26" s="641"/>
      <c r="DM26" s="641"/>
      <c r="DN26" s="641"/>
      <c r="DO26" s="641"/>
      <c r="DP26" s="641"/>
      <c r="DQ26" s="641"/>
      <c r="DR26" s="641"/>
      <c r="DS26" s="1102"/>
      <c r="DT26" s="30"/>
      <c r="DU26" s="30"/>
      <c r="DV26" s="30"/>
      <c r="DW26" s="30"/>
      <c r="DX26" s="2244"/>
      <c r="DY26" s="30"/>
      <c r="DZ26" s="1556"/>
    </row>
    <row r="27" spans="1:136" s="1727" customFormat="1" ht="11.25" hidden="1" customHeight="1" outlineLevel="2">
      <c r="A27" s="1713"/>
      <c r="B27" s="1714" t="s">
        <v>958</v>
      </c>
      <c r="C27" s="1713"/>
      <c r="D27" s="1715"/>
      <c r="E27" s="1716"/>
      <c r="F27" s="1713"/>
      <c r="G27" s="1713"/>
      <c r="H27" s="1713"/>
      <c r="I27" s="1716"/>
      <c r="J27" s="1713"/>
      <c r="K27" s="1713"/>
      <c r="L27" s="1713"/>
      <c r="M27" s="1716"/>
      <c r="N27" s="1713"/>
      <c r="O27" s="1713"/>
      <c r="P27" s="1713"/>
      <c r="Q27" s="1716"/>
      <c r="R27" s="1713"/>
      <c r="S27" s="1713"/>
      <c r="T27" s="1713"/>
      <c r="U27" s="1716"/>
      <c r="V27" s="1713"/>
      <c r="W27" s="1713"/>
      <c r="X27" s="1713"/>
      <c r="Y27" s="1716"/>
      <c r="Z27" s="1717"/>
      <c r="AA27" s="1717"/>
      <c r="AB27" s="1717"/>
      <c r="AC27" s="1718"/>
      <c r="AD27" s="1719"/>
      <c r="AE27" s="1719"/>
      <c r="AF27" s="1719"/>
      <c r="AG27" s="1719"/>
      <c r="AH27" s="1720"/>
      <c r="AI27" s="1713"/>
      <c r="AJ27" s="1713"/>
      <c r="AK27" s="1716"/>
      <c r="AL27" s="1713"/>
      <c r="AM27" s="1713"/>
      <c r="AN27" s="1713"/>
      <c r="AO27" s="1716"/>
      <c r="AP27" s="1713"/>
      <c r="AQ27" s="1713"/>
      <c r="AR27" s="1713"/>
      <c r="AS27" s="1716"/>
      <c r="AT27" s="1713"/>
      <c r="AU27" s="1713"/>
      <c r="AV27" s="1713"/>
      <c r="AW27" s="1716"/>
      <c r="AX27" s="1713"/>
      <c r="AY27" s="1713"/>
      <c r="AZ27" s="1713"/>
      <c r="BA27" s="1716"/>
      <c r="BB27" s="1713"/>
      <c r="BC27" s="1713"/>
      <c r="BD27" s="1721"/>
      <c r="BE27" s="1716"/>
      <c r="BF27" s="1722"/>
      <c r="BG27" s="1722"/>
      <c r="BH27" s="1722"/>
      <c r="BI27" s="1723"/>
      <c r="BJ27" s="1720"/>
      <c r="BK27" s="1722"/>
      <c r="BL27" s="1724"/>
      <c r="BM27" s="1723"/>
      <c r="BN27" s="1722"/>
      <c r="BO27" s="1722"/>
      <c r="BP27" s="1722"/>
      <c r="BQ27" s="1723"/>
      <c r="BR27" s="1722"/>
      <c r="BS27" s="1722"/>
      <c r="BT27" s="1722"/>
      <c r="BU27" s="1723"/>
      <c r="BV27" s="1722"/>
      <c r="BW27" s="1722"/>
      <c r="BX27" s="1722"/>
      <c r="BY27" s="1723"/>
      <c r="BZ27" s="1722"/>
      <c r="CA27" s="1722"/>
      <c r="CB27" s="1722"/>
      <c r="CC27" s="1723"/>
      <c r="CD27" s="1716"/>
      <c r="CE27" s="1713"/>
      <c r="CF27" s="1713"/>
      <c r="CG27" s="1713"/>
      <c r="CH27" s="1713"/>
      <c r="CI27" s="1713"/>
      <c r="CJ27" s="1713"/>
      <c r="CK27" s="1713"/>
      <c r="CL27" s="1713"/>
      <c r="CM27" s="1713"/>
      <c r="CN27" s="1713"/>
      <c r="CO27" s="1713"/>
      <c r="CP27" s="1713"/>
      <c r="CQ27" s="1713"/>
      <c r="CR27" s="1713"/>
      <c r="CS27" s="1722"/>
      <c r="CT27" s="1722"/>
      <c r="CU27" s="1722"/>
      <c r="CV27" s="1722"/>
      <c r="CW27" s="1722"/>
      <c r="CX27" s="1722"/>
      <c r="CY27" s="1722"/>
      <c r="CZ27" s="1722"/>
      <c r="DA27" s="1722"/>
      <c r="DB27" s="1722"/>
      <c r="DC27" s="1722"/>
      <c r="DD27" s="1716"/>
      <c r="DE27" s="1713"/>
      <c r="DF27" s="1725"/>
      <c r="DG27" s="1726"/>
      <c r="DH27" s="1725"/>
      <c r="DI27" s="1725"/>
      <c r="DJ27" s="1725"/>
      <c r="DK27" s="1725"/>
      <c r="DL27" s="1719"/>
      <c r="DM27" s="1719"/>
      <c r="DN27" s="1719"/>
      <c r="DO27" s="1719"/>
      <c r="DP27" s="1725"/>
      <c r="DQ27" s="1725"/>
      <c r="DR27" s="1725"/>
      <c r="DS27" s="1726"/>
      <c r="DT27" s="1725"/>
      <c r="DU27" s="1725"/>
      <c r="DV27" s="1725"/>
      <c r="DW27" s="1725"/>
      <c r="DX27" s="2245"/>
      <c r="DY27" s="1725"/>
      <c r="DZ27" s="1725"/>
      <c r="EA27"/>
      <c r="EB27"/>
      <c r="EC27"/>
      <c r="ED27"/>
      <c r="EE27"/>
      <c r="EF27"/>
    </row>
    <row r="28" spans="1:136" s="1727" customFormat="1" ht="11.25" hidden="1" customHeight="1" outlineLevel="2">
      <c r="A28" s="1728"/>
      <c r="B28" s="1729"/>
      <c r="C28" s="1727" t="s">
        <v>813</v>
      </c>
      <c r="E28" s="1730"/>
      <c r="F28" s="1724"/>
      <c r="G28" s="1724"/>
      <c r="H28" s="1724"/>
      <c r="I28" s="1731"/>
      <c r="J28" s="1724"/>
      <c r="K28" s="1724"/>
      <c r="L28" s="1724"/>
      <c r="M28" s="1731"/>
      <c r="N28" s="1724"/>
      <c r="O28" s="1724"/>
      <c r="P28" s="1724"/>
      <c r="Q28" s="1731"/>
      <c r="R28" s="1724"/>
      <c r="S28" s="1724"/>
      <c r="T28" s="1724"/>
      <c r="U28" s="1731"/>
      <c r="V28" s="1724"/>
      <c r="W28" s="1724"/>
      <c r="X28" s="1724"/>
      <c r="Y28" s="1731"/>
      <c r="Z28" s="1724"/>
      <c r="AA28" s="1724"/>
      <c r="AB28" s="1724"/>
      <c r="AC28" s="1732"/>
      <c r="AD28" s="1733"/>
      <c r="AE28" s="1733"/>
      <c r="AF28" s="1733"/>
      <c r="AG28" s="1733"/>
      <c r="AH28" s="1734"/>
      <c r="AI28" s="1724"/>
      <c r="AJ28" s="1724"/>
      <c r="AK28" s="1724"/>
      <c r="AL28" s="1734"/>
      <c r="AM28" s="1724"/>
      <c r="AN28" s="1724"/>
      <c r="AO28" s="1732"/>
      <c r="AP28" s="1724">
        <f>AP382</f>
        <v>48.438200000000052</v>
      </c>
      <c r="AQ28" s="1724">
        <f>AQ382</f>
        <v>43.30199999999968</v>
      </c>
      <c r="AR28" s="1724">
        <f>AR382</f>
        <v>34.240999999999985</v>
      </c>
      <c r="AS28" s="1731">
        <f>AS382</f>
        <v>47.383499999999913</v>
      </c>
      <c r="AT28" s="1724">
        <f>AT382</f>
        <v>115.27873</v>
      </c>
      <c r="AU28" s="1724">
        <f t="shared" ref="AU28:BA28" si="29">AU382</f>
        <v>19.1550000000002</v>
      </c>
      <c r="AV28" s="1724">
        <f t="shared" si="29"/>
        <v>10.729770250000456</v>
      </c>
      <c r="AW28" s="1731">
        <f t="shared" si="29"/>
        <v>33.820508062500267</v>
      </c>
      <c r="AX28" s="1724">
        <f t="shared" si="29"/>
        <v>32.860469903750072</v>
      </c>
      <c r="AY28" s="1724">
        <f t="shared" si="29"/>
        <v>30.434710013962786</v>
      </c>
      <c r="AZ28" s="1724">
        <f t="shared" si="29"/>
        <v>26.9633757825668</v>
      </c>
      <c r="BA28" s="1731">
        <f t="shared" si="29"/>
        <v>136.18808295873987</v>
      </c>
      <c r="BB28" s="1724">
        <f t="shared" ref="BB28:BH28" si="30">BB382</f>
        <v>161.37924625921096</v>
      </c>
      <c r="BC28" s="1724">
        <f t="shared" si="30"/>
        <v>150.80279135177716</v>
      </c>
      <c r="BD28" s="1724">
        <f t="shared" si="30"/>
        <v>93.489379550004287</v>
      </c>
      <c r="BE28" s="1731">
        <f t="shared" si="30"/>
        <v>134.52133014458013</v>
      </c>
      <c r="BF28" s="1724">
        <f t="shared" si="30"/>
        <v>172.47589725574107</v>
      </c>
      <c r="BG28" s="1724">
        <f t="shared" si="30"/>
        <v>186.89624462826487</v>
      </c>
      <c r="BH28" s="1724">
        <f t="shared" si="30"/>
        <v>198.59069497806377</v>
      </c>
      <c r="BI28" s="1731">
        <f>BI382</f>
        <v>117.69745924889139</v>
      </c>
      <c r="BJ28" s="1724">
        <f>BJ382</f>
        <v>187.84799999999996</v>
      </c>
      <c r="BK28" s="1724">
        <f>BK382</f>
        <v>225.5825110902565</v>
      </c>
      <c r="BL28" s="1724">
        <f t="shared" ref="BL28:BQ28" si="31">BL382</f>
        <v>212.04849707549965</v>
      </c>
      <c r="BM28" s="1731">
        <f t="shared" si="31"/>
        <v>279.73141672331349</v>
      </c>
      <c r="BN28" s="1724">
        <f t="shared" si="31"/>
        <v>299.35155542683788</v>
      </c>
      <c r="BO28" s="1724">
        <f t="shared" si="31"/>
        <v>309.57862300813167</v>
      </c>
      <c r="BP28" s="1724">
        <f t="shared" si="31"/>
        <v>254.1975074843931</v>
      </c>
      <c r="BQ28" s="1732">
        <f t="shared" si="31"/>
        <v>239.11740195563743</v>
      </c>
      <c r="BR28" s="1724">
        <f>BR382</f>
        <v>244.59488705866033</v>
      </c>
      <c r="BS28" s="1724"/>
      <c r="BT28" s="1724"/>
      <c r="BU28" s="1731"/>
      <c r="BV28" s="1724"/>
      <c r="BW28" s="1724"/>
      <c r="BX28" s="1724"/>
      <c r="BY28" s="1731"/>
      <c r="BZ28" s="1724"/>
      <c r="CA28" s="1724"/>
      <c r="CB28" s="1724"/>
      <c r="CC28" s="1731"/>
      <c r="CD28" s="1735"/>
      <c r="CE28" s="1728"/>
      <c r="CF28" s="1728"/>
      <c r="CG28" s="1728"/>
      <c r="CH28" s="1728"/>
      <c r="CI28" s="1728"/>
      <c r="CJ28" s="1728"/>
      <c r="CK28" s="1728"/>
      <c r="CL28" s="1728"/>
      <c r="CM28" s="1728"/>
      <c r="CN28" s="1728">
        <f t="shared" ref="CN28:CN37" si="32">SUM(AP28:AS28)</f>
        <v>173.36469999999963</v>
      </c>
      <c r="CO28" s="1724">
        <f t="shared" ref="CO28:CO37" si="33">SUM(AT28:AW28)</f>
        <v>178.98400831250092</v>
      </c>
      <c r="CP28" s="1724">
        <f t="shared" ref="CP28:CP37" si="34">SUM(AX28:BA28)</f>
        <v>226.44663865901953</v>
      </c>
      <c r="CQ28" s="1724">
        <f t="shared" ref="CQ28:CQ37" si="35">SUM(BB28:BE28)</f>
        <v>540.19274730557254</v>
      </c>
      <c r="CR28" s="1724">
        <f t="shared" ref="CR28:CR37" si="36">SUM(BF28:BI28)</f>
        <v>675.6602961109611</v>
      </c>
      <c r="CS28" s="1724">
        <f t="shared" ref="CS28:CS37" si="37">SUM(BJ28:BM28)</f>
        <v>905.2104248890696</v>
      </c>
      <c r="CT28" s="1724">
        <f t="shared" ref="CT28:CT38" si="38">SUM(BN28:BQ28)</f>
        <v>1102.2450878750001</v>
      </c>
      <c r="CU28" s="1724">
        <f t="shared" ref="CU28:CU38" si="39">SUM(BR28:BU28)</f>
        <v>244.59488705866033</v>
      </c>
      <c r="CV28" s="1724"/>
      <c r="CW28" s="1724"/>
      <c r="CX28" s="1724"/>
      <c r="CY28" s="1724"/>
      <c r="CZ28" s="1724"/>
      <c r="DA28" s="1724"/>
      <c r="DB28" s="1724"/>
      <c r="DC28" s="1724"/>
      <c r="DD28" s="1736"/>
      <c r="DE28" s="1713"/>
      <c r="DF28" s="1737"/>
      <c r="DG28" s="1738"/>
      <c r="DH28" s="1737"/>
      <c r="DI28" s="1737"/>
      <c r="DJ28" s="1737"/>
      <c r="DK28" s="1737"/>
      <c r="DL28" s="1719"/>
      <c r="DM28" s="1719"/>
      <c r="DN28" s="1719"/>
      <c r="DO28" s="1719"/>
      <c r="DP28" s="1719">
        <f t="shared" ref="DP28:DP37" si="40">SUM(AR28:AU28)</f>
        <v>216.05823000000009</v>
      </c>
      <c r="DQ28" s="1719">
        <f t="shared" ref="DQ28:DQ37" si="41">SUM(AV28:AY28)</f>
        <v>107.84545823021358</v>
      </c>
      <c r="DR28" s="1719">
        <f t="shared" ref="DR28:DR37" si="42">SUM(AZ28:BC28)</f>
        <v>475.33349635229479</v>
      </c>
      <c r="DS28" s="1739">
        <f t="shared" ref="DS28:DS37" si="43">SUM(BD28:BG28)</f>
        <v>587.38285157859036</v>
      </c>
      <c r="DT28" s="1719">
        <f t="shared" ref="DT28:DT37" si="44">SUM(BH28:BK28)</f>
        <v>729.71866531721162</v>
      </c>
      <c r="DU28" s="1719">
        <f>DU382</f>
        <v>1100.7100922337827</v>
      </c>
      <c r="DV28" s="1719">
        <f>DV382</f>
        <v>737.90979649869087</v>
      </c>
      <c r="DW28" s="1719">
        <f>DW382</f>
        <v>0</v>
      </c>
      <c r="DX28" s="2246">
        <f>DX382</f>
        <v>0</v>
      </c>
      <c r="DY28" s="1719"/>
      <c r="DZ28" s="1740">
        <v>0.03</v>
      </c>
      <c r="EA28"/>
      <c r="EB28"/>
      <c r="EC28"/>
      <c r="ED28"/>
      <c r="EE28"/>
      <c r="EF28"/>
    </row>
    <row r="29" spans="1:136" s="1727" customFormat="1" ht="11.25" hidden="1" customHeight="1" outlineLevel="2">
      <c r="A29" s="1741"/>
      <c r="B29" s="1742"/>
      <c r="C29" s="1743" t="s">
        <v>575</v>
      </c>
      <c r="D29" s="1743"/>
      <c r="E29" s="1744"/>
      <c r="F29" s="1721"/>
      <c r="G29" s="1721"/>
      <c r="H29" s="1721"/>
      <c r="I29" s="1745"/>
      <c r="J29" s="1721"/>
      <c r="K29" s="1721"/>
      <c r="L29" s="1721"/>
      <c r="M29" s="1745"/>
      <c r="N29" s="1721"/>
      <c r="O29" s="1721"/>
      <c r="P29" s="1721"/>
      <c r="Q29" s="1745"/>
      <c r="R29" s="1721"/>
      <c r="S29" s="1721"/>
      <c r="T29" s="1721"/>
      <c r="U29" s="1745"/>
      <c r="V29" s="1721"/>
      <c r="W29" s="1721"/>
      <c r="X29" s="1721"/>
      <c r="Y29" s="1745"/>
      <c r="Z29" s="1721"/>
      <c r="AA29" s="1721"/>
      <c r="AB29" s="1721"/>
      <c r="AC29" s="1746"/>
      <c r="AD29" s="1747"/>
      <c r="AE29" s="1747"/>
      <c r="AF29" s="1747"/>
      <c r="AG29" s="1747"/>
      <c r="AH29" s="1748"/>
      <c r="AI29" s="1721"/>
      <c r="AJ29" s="1721"/>
      <c r="AK29" s="1721"/>
      <c r="AL29" s="1748"/>
      <c r="AM29" s="1721"/>
      <c r="AN29" s="1721"/>
      <c r="AO29" s="1746"/>
      <c r="AP29" s="1721">
        <f>AP406</f>
        <v>155.21700000000001</v>
      </c>
      <c r="AQ29" s="1721">
        <f>AQ406</f>
        <v>206.15</v>
      </c>
      <c r="AR29" s="1721">
        <f>AR406</f>
        <v>223.82</v>
      </c>
      <c r="AS29" s="1745">
        <f>AS406</f>
        <v>215.83199999999999</v>
      </c>
      <c r="AT29" s="1721">
        <f>AT406</f>
        <v>211.029</v>
      </c>
      <c r="AU29" s="1721">
        <f t="shared" ref="AU29:BE29" si="45">AU406</f>
        <v>203.27600000000001</v>
      </c>
      <c r="AV29" s="1721">
        <f t="shared" si="45"/>
        <v>197.01840999999996</v>
      </c>
      <c r="AW29" s="1745">
        <f t="shared" si="45"/>
        <v>209.34268499999996</v>
      </c>
      <c r="AX29" s="1721">
        <f t="shared" si="45"/>
        <v>210.41404697499993</v>
      </c>
      <c r="AY29" s="1721">
        <f t="shared" si="45"/>
        <v>223.56292646599994</v>
      </c>
      <c r="AZ29" s="1721">
        <f t="shared" si="45"/>
        <v>495.21122693143997</v>
      </c>
      <c r="BA29" s="1745">
        <f t="shared" si="45"/>
        <v>1117.5251239838656</v>
      </c>
      <c r="BB29" s="1721">
        <f>BB406</f>
        <v>818.43209218483946</v>
      </c>
      <c r="BC29" s="1721">
        <f t="shared" si="45"/>
        <v>871.18724536114428</v>
      </c>
      <c r="BD29" s="1721">
        <f t="shared" si="45"/>
        <v>924.37072672540705</v>
      </c>
      <c r="BE29" s="1745">
        <f t="shared" si="45"/>
        <v>996.48889821057742</v>
      </c>
      <c r="BF29" s="1721">
        <f t="shared" ref="BF29:BM29" si="46">BF406</f>
        <v>962.74514412893404</v>
      </c>
      <c r="BG29" s="1721">
        <f t="shared" si="46"/>
        <v>987.0385368073396</v>
      </c>
      <c r="BH29" s="1721">
        <f t="shared" si="46"/>
        <v>868.65150302208099</v>
      </c>
      <c r="BI29" s="1745">
        <f t="shared" si="46"/>
        <v>844.92336296391181</v>
      </c>
      <c r="BJ29" s="1721">
        <f>BJ406</f>
        <v>938.89566112580587</v>
      </c>
      <c r="BK29" s="1721">
        <f>BK406</f>
        <v>981.29621894719617</v>
      </c>
      <c r="BL29" s="1721">
        <f t="shared" si="46"/>
        <v>938.62888073442741</v>
      </c>
      <c r="BM29" s="1745">
        <f t="shared" si="46"/>
        <v>878.77112596532857</v>
      </c>
      <c r="BN29" s="1721">
        <f>BN406</f>
        <v>869.76242527314491</v>
      </c>
      <c r="BO29" s="1721">
        <f>BO406</f>
        <v>845.95831990734951</v>
      </c>
      <c r="BP29" s="1721">
        <f>BP406</f>
        <v>738.43084013123678</v>
      </c>
      <c r="BQ29" s="1746">
        <f>BQ406</f>
        <v>719.92650041110107</v>
      </c>
      <c r="BR29" s="1721">
        <f>BR406</f>
        <v>770.31642187364412</v>
      </c>
      <c r="BS29" s="1721"/>
      <c r="BT29" s="1721"/>
      <c r="BU29" s="1745"/>
      <c r="BV29" s="1721"/>
      <c r="BW29" s="1721"/>
      <c r="BX29" s="1721"/>
      <c r="BY29" s="1745"/>
      <c r="BZ29" s="1721"/>
      <c r="CA29" s="1721"/>
      <c r="CB29" s="1721"/>
      <c r="CC29" s="1745"/>
      <c r="CD29" s="1749"/>
      <c r="CE29" s="1741"/>
      <c r="CF29" s="1741"/>
      <c r="CG29" s="1741"/>
      <c r="CH29" s="1741"/>
      <c r="CI29" s="1741"/>
      <c r="CJ29" s="1741"/>
      <c r="CK29" s="1741"/>
      <c r="CL29" s="1741"/>
      <c r="CM29" s="1741"/>
      <c r="CN29" s="1741">
        <f t="shared" si="32"/>
        <v>801.01900000000001</v>
      </c>
      <c r="CO29" s="1721">
        <f t="shared" si="33"/>
        <v>820.66609499999993</v>
      </c>
      <c r="CP29" s="1721">
        <f t="shared" si="34"/>
        <v>2046.7133243563053</v>
      </c>
      <c r="CQ29" s="1721">
        <f t="shared" si="35"/>
        <v>3610.4789624819687</v>
      </c>
      <c r="CR29" s="1721">
        <f t="shared" si="36"/>
        <v>3663.3585469222662</v>
      </c>
      <c r="CS29" s="1721">
        <f t="shared" si="37"/>
        <v>3737.5918867727578</v>
      </c>
      <c r="CT29" s="1747">
        <f t="shared" si="38"/>
        <v>3174.0780857228324</v>
      </c>
      <c r="CU29" s="1721">
        <f t="shared" si="39"/>
        <v>770.31642187364412</v>
      </c>
      <c r="CV29" s="1721"/>
      <c r="CW29" s="1721"/>
      <c r="CX29" s="1721"/>
      <c r="CY29" s="1721"/>
      <c r="CZ29" s="1721"/>
      <c r="DA29" s="1721"/>
      <c r="DB29" s="1721"/>
      <c r="DC29" s="1721"/>
      <c r="DD29" s="1749"/>
      <c r="DE29" s="1713"/>
      <c r="DF29" s="1750"/>
      <c r="DG29" s="1751"/>
      <c r="DH29" s="1750"/>
      <c r="DI29" s="1750"/>
      <c r="DJ29" s="1750"/>
      <c r="DK29" s="1750"/>
      <c r="DL29" s="1752"/>
      <c r="DM29" s="1752"/>
      <c r="DN29" s="1752"/>
      <c r="DO29" s="1752"/>
      <c r="DP29" s="1752">
        <f t="shared" si="40"/>
        <v>853.95700000000011</v>
      </c>
      <c r="DQ29" s="1752">
        <f t="shared" si="41"/>
        <v>840.33806844099979</v>
      </c>
      <c r="DR29" s="1752">
        <f t="shared" si="42"/>
        <v>3302.355688461289</v>
      </c>
      <c r="DS29" s="1753">
        <f t="shared" si="43"/>
        <v>3870.6433058722578</v>
      </c>
      <c r="DT29" s="1752">
        <f t="shared" si="44"/>
        <v>3633.7667460589946</v>
      </c>
      <c r="DU29" s="1752">
        <f t="shared" ref="DU29:DU37" si="47">SUM(BL29:BO29)</f>
        <v>3533.1207518802503</v>
      </c>
      <c r="DV29" s="1752">
        <f t="shared" ref="DV29:DV37" si="48">SUM(BP29:BS29)</f>
        <v>2228.6737624159819</v>
      </c>
      <c r="DW29" s="1752">
        <f t="shared" ref="DW29:DW37" si="49">SUM(BT29:BW29)</f>
        <v>0</v>
      </c>
      <c r="DX29" s="2247">
        <f t="shared" ref="DX29:DX37" si="50">SUM(BX29:CA29)</f>
        <v>0</v>
      </c>
      <c r="DY29" s="1752"/>
      <c r="DZ29" s="1750"/>
      <c r="EA29"/>
      <c r="EB29"/>
      <c r="EC29"/>
      <c r="ED29"/>
      <c r="EE29"/>
      <c r="EF29"/>
    </row>
    <row r="30" spans="1:136" s="1727" customFormat="1" ht="11.25" hidden="1" customHeight="1" outlineLevel="2">
      <c r="A30" s="1728"/>
      <c r="B30" s="1729"/>
      <c r="D30" s="1727" t="s">
        <v>663</v>
      </c>
      <c r="E30" s="1730"/>
      <c r="F30" s="1724"/>
      <c r="G30" s="1724"/>
      <c r="H30" s="1724"/>
      <c r="I30" s="1731"/>
      <c r="J30" s="1724"/>
      <c r="K30" s="1724"/>
      <c r="L30" s="1724"/>
      <c r="M30" s="1731"/>
      <c r="N30" s="1724"/>
      <c r="O30" s="1724"/>
      <c r="P30" s="1724"/>
      <c r="Q30" s="1731"/>
      <c r="R30" s="1724"/>
      <c r="S30" s="1724"/>
      <c r="T30" s="1724"/>
      <c r="U30" s="1731"/>
      <c r="V30" s="1724"/>
      <c r="W30" s="1724"/>
      <c r="X30" s="1724"/>
      <c r="Y30" s="1731"/>
      <c r="Z30" s="1724"/>
      <c r="AA30" s="1724"/>
      <c r="AB30" s="1724"/>
      <c r="AC30" s="1732"/>
      <c r="AD30" s="1733"/>
      <c r="AE30" s="1733"/>
      <c r="AF30" s="1733"/>
      <c r="AG30" s="1733"/>
      <c r="AH30" s="1734"/>
      <c r="AI30" s="1724"/>
      <c r="AJ30" s="1724"/>
      <c r="AK30" s="1724"/>
      <c r="AL30" s="1734"/>
      <c r="AM30" s="1724"/>
      <c r="AN30" s="1724"/>
      <c r="AO30" s="1732"/>
      <c r="AP30" s="1724">
        <f>AP416</f>
        <v>0</v>
      </c>
      <c r="AQ30" s="1724">
        <f>AQ416</f>
        <v>0</v>
      </c>
      <c r="AR30" s="1724">
        <f>AR416</f>
        <v>0</v>
      </c>
      <c r="AS30" s="1731">
        <f>AS416</f>
        <v>0</v>
      </c>
      <c r="AT30" s="1724">
        <f>AT416</f>
        <v>0</v>
      </c>
      <c r="AU30" s="1724">
        <f t="shared" ref="AU30:BE30" si="51">AU416</f>
        <v>0</v>
      </c>
      <c r="AV30" s="1724">
        <f t="shared" si="51"/>
        <v>0</v>
      </c>
      <c r="AW30" s="1731">
        <f t="shared" si="51"/>
        <v>0</v>
      </c>
      <c r="AX30" s="1724">
        <f t="shared" si="51"/>
        <v>0</v>
      </c>
      <c r="AY30" s="1724">
        <f t="shared" si="51"/>
        <v>0</v>
      </c>
      <c r="AZ30" s="1724">
        <f t="shared" si="51"/>
        <v>74</v>
      </c>
      <c r="BA30" s="1731">
        <f t="shared" si="51"/>
        <v>632.70000000000005</v>
      </c>
      <c r="BB30" s="1724">
        <f>BB416</f>
        <v>470.12773499999992</v>
      </c>
      <c r="BC30" s="1724">
        <f t="shared" si="51"/>
        <v>489.96712541700003</v>
      </c>
      <c r="BD30" s="1724">
        <f t="shared" si="51"/>
        <v>492.76973737438522</v>
      </c>
      <c r="BE30" s="1731">
        <f t="shared" si="51"/>
        <v>500.11200646126349</v>
      </c>
      <c r="BF30" s="1724">
        <f t="shared" ref="BF30:BM30" si="52">BF416</f>
        <v>503.47275914468327</v>
      </c>
      <c r="BG30" s="1724">
        <f t="shared" si="52"/>
        <v>503.47275914468327</v>
      </c>
      <c r="BH30" s="1724">
        <f t="shared" si="52"/>
        <v>451.5143704009518</v>
      </c>
      <c r="BI30" s="1731">
        <f t="shared" si="52"/>
        <v>438.05924216300343</v>
      </c>
      <c r="BJ30" s="1724">
        <f>BJ416</f>
        <v>469.57827121505028</v>
      </c>
      <c r="BK30" s="1724">
        <f>BK416</f>
        <v>477.82523960326455</v>
      </c>
      <c r="BL30" s="1724">
        <f t="shared" si="52"/>
        <v>491.39452075751808</v>
      </c>
      <c r="BM30" s="1731">
        <f t="shared" si="52"/>
        <v>452.67263252182556</v>
      </c>
      <c r="BN30" s="1724">
        <f>BN416</f>
        <v>436.89699127843994</v>
      </c>
      <c r="BO30" s="1724">
        <f>BO416</f>
        <v>399.56414337369716</v>
      </c>
      <c r="BP30" s="1724">
        <f>BP416</f>
        <v>329.44063621161325</v>
      </c>
      <c r="BQ30" s="1732">
        <f>BQ416</f>
        <v>295.04209218157763</v>
      </c>
      <c r="BR30" s="1724">
        <f>BR416</f>
        <v>301.05283720454685</v>
      </c>
      <c r="BS30" s="1724"/>
      <c r="BT30" s="1724"/>
      <c r="BU30" s="1731"/>
      <c r="BV30" s="1724"/>
      <c r="BW30" s="1724"/>
      <c r="BX30" s="1724"/>
      <c r="BY30" s="1731"/>
      <c r="BZ30" s="1724"/>
      <c r="CA30" s="1724"/>
      <c r="CB30" s="1724"/>
      <c r="CC30" s="1731"/>
      <c r="CD30" s="1735"/>
      <c r="CE30" s="1728"/>
      <c r="CF30" s="1728"/>
      <c r="CG30" s="1728"/>
      <c r="CH30" s="1728"/>
      <c r="CI30" s="1728"/>
      <c r="CJ30" s="1728"/>
      <c r="CK30" s="1728"/>
      <c r="CL30" s="1728"/>
      <c r="CM30" s="1728"/>
      <c r="CN30" s="1728">
        <f t="shared" si="32"/>
        <v>0</v>
      </c>
      <c r="CO30" s="1724">
        <f t="shared" si="33"/>
        <v>0</v>
      </c>
      <c r="CP30" s="1724">
        <f t="shared" si="34"/>
        <v>706.7</v>
      </c>
      <c r="CQ30" s="1724">
        <f t="shared" si="35"/>
        <v>1952.9766042526487</v>
      </c>
      <c r="CR30" s="1724">
        <f t="shared" si="36"/>
        <v>1896.5191308533217</v>
      </c>
      <c r="CS30" s="1724">
        <f t="shared" si="37"/>
        <v>1891.4706640976583</v>
      </c>
      <c r="CT30" s="1733">
        <f t="shared" si="38"/>
        <v>1460.943863045328</v>
      </c>
      <c r="CU30" s="1724">
        <f t="shared" si="39"/>
        <v>301.05283720454685</v>
      </c>
      <c r="CV30" s="1724"/>
      <c r="CW30" s="1724"/>
      <c r="CX30" s="1724"/>
      <c r="CY30" s="1724"/>
      <c r="CZ30" s="1724"/>
      <c r="DA30" s="1724"/>
      <c r="DB30" s="1724"/>
      <c r="DC30" s="1724"/>
      <c r="DD30" s="1735"/>
      <c r="DE30" s="1713"/>
      <c r="DF30" s="1737"/>
      <c r="DG30" s="1738"/>
      <c r="DH30" s="1737"/>
      <c r="DI30" s="1737"/>
      <c r="DJ30" s="1737"/>
      <c r="DK30" s="1737"/>
      <c r="DL30" s="1719"/>
      <c r="DM30" s="1719"/>
      <c r="DN30" s="1719"/>
      <c r="DO30" s="1719"/>
      <c r="DP30" s="1719">
        <f t="shared" si="40"/>
        <v>0</v>
      </c>
      <c r="DQ30" s="1719">
        <f t="shared" si="41"/>
        <v>0</v>
      </c>
      <c r="DR30" s="1719">
        <f t="shared" si="42"/>
        <v>1666.7948604169999</v>
      </c>
      <c r="DS30" s="1739">
        <f t="shared" si="43"/>
        <v>1999.8272621250153</v>
      </c>
      <c r="DT30" s="1719">
        <f t="shared" si="44"/>
        <v>1836.9771233822703</v>
      </c>
      <c r="DU30" s="1719">
        <f t="shared" si="47"/>
        <v>1780.5282879314807</v>
      </c>
      <c r="DV30" s="1719">
        <f t="shared" si="48"/>
        <v>925.53556559773779</v>
      </c>
      <c r="DW30" s="1719">
        <f t="shared" si="49"/>
        <v>0</v>
      </c>
      <c r="DX30" s="2246">
        <f t="shared" si="50"/>
        <v>0</v>
      </c>
      <c r="DY30" s="1719"/>
      <c r="DZ30" s="1737"/>
      <c r="EA30"/>
      <c r="EB30"/>
      <c r="EC30"/>
      <c r="ED30"/>
      <c r="EE30"/>
      <c r="EF30"/>
    </row>
    <row r="31" spans="1:136" s="1727" customFormat="1" ht="11.25" hidden="1" customHeight="1" outlineLevel="2">
      <c r="A31" s="1728"/>
      <c r="B31" s="1729"/>
      <c r="D31" s="1727" t="s">
        <v>664</v>
      </c>
      <c r="E31" s="1730"/>
      <c r="F31" s="1724"/>
      <c r="G31" s="1724"/>
      <c r="H31" s="1724"/>
      <c r="I31" s="1731"/>
      <c r="J31" s="1724"/>
      <c r="K31" s="1724"/>
      <c r="L31" s="1724"/>
      <c r="M31" s="1731"/>
      <c r="N31" s="1724"/>
      <c r="O31" s="1724"/>
      <c r="P31" s="1724"/>
      <c r="Q31" s="1731"/>
      <c r="R31" s="1724"/>
      <c r="S31" s="1724"/>
      <c r="T31" s="1724"/>
      <c r="U31" s="1731"/>
      <c r="V31" s="1724"/>
      <c r="W31" s="1724"/>
      <c r="X31" s="1724"/>
      <c r="Y31" s="1731"/>
      <c r="Z31" s="1724"/>
      <c r="AA31" s="1724"/>
      <c r="AB31" s="1724"/>
      <c r="AC31" s="1732"/>
      <c r="AD31" s="1733"/>
      <c r="AE31" s="1733"/>
      <c r="AF31" s="1733"/>
      <c r="AG31" s="1733"/>
      <c r="AH31" s="1734"/>
      <c r="AI31" s="1724"/>
      <c r="AJ31" s="1724"/>
      <c r="AK31" s="1724"/>
      <c r="AL31" s="1734"/>
      <c r="AM31" s="1724"/>
      <c r="AN31" s="1724"/>
      <c r="AO31" s="1732"/>
      <c r="AP31" s="1724">
        <f>AP426</f>
        <v>155.21700000000001</v>
      </c>
      <c r="AQ31" s="1724">
        <f>AQ426</f>
        <v>206.15</v>
      </c>
      <c r="AR31" s="1724">
        <f>AR426</f>
        <v>223.82</v>
      </c>
      <c r="AS31" s="1731">
        <f>AS426</f>
        <v>215.83199999999999</v>
      </c>
      <c r="AT31" s="1724">
        <f>AT426</f>
        <v>211.029</v>
      </c>
      <c r="AU31" s="1724">
        <f t="shared" ref="AU31:BE31" si="53">AU426</f>
        <v>203.27600000000001</v>
      </c>
      <c r="AV31" s="1724">
        <f t="shared" si="53"/>
        <v>197.01840999999996</v>
      </c>
      <c r="AW31" s="1731">
        <f t="shared" si="53"/>
        <v>209.34268499999996</v>
      </c>
      <c r="AX31" s="1724">
        <f t="shared" si="53"/>
        <v>210.41404697499993</v>
      </c>
      <c r="AY31" s="1724">
        <f t="shared" si="53"/>
        <v>223.56292646599994</v>
      </c>
      <c r="AZ31" s="1724">
        <f t="shared" si="53"/>
        <v>421.21122693143997</v>
      </c>
      <c r="BA31" s="1731">
        <f t="shared" si="53"/>
        <v>484.82512398386547</v>
      </c>
      <c r="BB31" s="1724">
        <f>BB426</f>
        <v>348.30435718483955</v>
      </c>
      <c r="BC31" s="1724">
        <f t="shared" si="53"/>
        <v>381.2201199441443</v>
      </c>
      <c r="BD31" s="1724">
        <f t="shared" si="53"/>
        <v>431.60098935102184</v>
      </c>
      <c r="BE31" s="1731">
        <f t="shared" si="53"/>
        <v>496.37689174931393</v>
      </c>
      <c r="BF31" s="1724">
        <f t="shared" ref="BF31:BM31" si="54">BF426</f>
        <v>459.27238498425083</v>
      </c>
      <c r="BG31" s="1724">
        <f t="shared" si="54"/>
        <v>483.56577766265639</v>
      </c>
      <c r="BH31" s="1724">
        <f t="shared" si="54"/>
        <v>417.13713262112924</v>
      </c>
      <c r="BI31" s="1731">
        <f t="shared" si="54"/>
        <v>406.86412080090838</v>
      </c>
      <c r="BJ31" s="1724">
        <f>BJ426</f>
        <v>469.31738991075565</v>
      </c>
      <c r="BK31" s="1724">
        <f>BK426</f>
        <v>503.47097934393156</v>
      </c>
      <c r="BL31" s="1724">
        <f t="shared" si="54"/>
        <v>447.23435997690933</v>
      </c>
      <c r="BM31" s="1731">
        <f t="shared" si="54"/>
        <v>426.098493443503</v>
      </c>
      <c r="BN31" s="1724">
        <f>BN426</f>
        <v>432.86543399470497</v>
      </c>
      <c r="BO31" s="1724">
        <f>BO426</f>
        <v>446.39417653365234</v>
      </c>
      <c r="BP31" s="1724">
        <f>BP426</f>
        <v>408.99020391962353</v>
      </c>
      <c r="BQ31" s="1732">
        <f>BQ426</f>
        <v>424.88440822952344</v>
      </c>
      <c r="BR31" s="1724">
        <f>BR426</f>
        <v>469.26358466909727</v>
      </c>
      <c r="BS31" s="1724"/>
      <c r="BT31" s="1724"/>
      <c r="BU31" s="1731"/>
      <c r="BV31" s="1724"/>
      <c r="BW31" s="1724"/>
      <c r="BX31" s="1724"/>
      <c r="BY31" s="1731"/>
      <c r="BZ31" s="1724"/>
      <c r="CA31" s="1724"/>
      <c r="CB31" s="1724"/>
      <c r="CC31" s="1731"/>
      <c r="CD31" s="1735"/>
      <c r="CE31" s="1728"/>
      <c r="CF31" s="1728"/>
      <c r="CG31" s="1728"/>
      <c r="CH31" s="1728"/>
      <c r="CI31" s="1728"/>
      <c r="CJ31" s="1728"/>
      <c r="CK31" s="1728"/>
      <c r="CL31" s="1728"/>
      <c r="CM31" s="1728"/>
      <c r="CN31" s="1728">
        <f t="shared" si="32"/>
        <v>801.01900000000001</v>
      </c>
      <c r="CO31" s="1724">
        <f t="shared" si="33"/>
        <v>820.66609499999993</v>
      </c>
      <c r="CP31" s="1724">
        <f t="shared" si="34"/>
        <v>1340.0133243563052</v>
      </c>
      <c r="CQ31" s="1724">
        <f t="shared" si="35"/>
        <v>1657.5023582293195</v>
      </c>
      <c r="CR31" s="1724">
        <f t="shared" si="36"/>
        <v>1766.839416068945</v>
      </c>
      <c r="CS31" s="1724">
        <f t="shared" si="37"/>
        <v>1846.1212226750997</v>
      </c>
      <c r="CT31" s="1733">
        <f t="shared" si="38"/>
        <v>1713.1342226775043</v>
      </c>
      <c r="CU31" s="1724">
        <f t="shared" si="39"/>
        <v>469.26358466909727</v>
      </c>
      <c r="CV31" s="1724"/>
      <c r="CW31" s="1724"/>
      <c r="CX31" s="1724"/>
      <c r="CY31" s="1724"/>
      <c r="CZ31" s="1724"/>
      <c r="DA31" s="1724"/>
      <c r="DB31" s="1724"/>
      <c r="DC31" s="1724"/>
      <c r="DD31" s="1735"/>
      <c r="DE31" s="1713"/>
      <c r="DF31" s="1737"/>
      <c r="DG31" s="1738"/>
      <c r="DH31" s="1737"/>
      <c r="DI31" s="1737"/>
      <c r="DJ31" s="1737"/>
      <c r="DK31" s="1737"/>
      <c r="DL31" s="1719"/>
      <c r="DM31" s="1719"/>
      <c r="DN31" s="1719"/>
      <c r="DO31" s="1719"/>
      <c r="DP31" s="1719">
        <f t="shared" si="40"/>
        <v>853.95700000000011</v>
      </c>
      <c r="DQ31" s="1719">
        <f t="shared" si="41"/>
        <v>840.33806844099979</v>
      </c>
      <c r="DR31" s="1719">
        <f t="shared" si="42"/>
        <v>1635.5608280442893</v>
      </c>
      <c r="DS31" s="1739">
        <f t="shared" si="43"/>
        <v>1870.8160437472429</v>
      </c>
      <c r="DT31" s="1719">
        <f t="shared" si="44"/>
        <v>1796.7896226767248</v>
      </c>
      <c r="DU31" s="1719">
        <f t="shared" si="47"/>
        <v>1752.5924639487696</v>
      </c>
      <c r="DV31" s="1719">
        <f t="shared" si="48"/>
        <v>1303.1381968182443</v>
      </c>
      <c r="DW31" s="1719">
        <f t="shared" si="49"/>
        <v>0</v>
      </c>
      <c r="DX31" s="2246">
        <f t="shared" si="50"/>
        <v>0</v>
      </c>
      <c r="DY31" s="1719"/>
      <c r="DZ31" s="1737"/>
      <c r="EA31"/>
      <c r="EB31"/>
      <c r="EC31"/>
      <c r="ED31"/>
      <c r="EE31"/>
      <c r="EF31"/>
    </row>
    <row r="32" spans="1:136" s="1727" customFormat="1" ht="11.25" hidden="1" customHeight="1" outlineLevel="2">
      <c r="A32" s="1741"/>
      <c r="B32" s="1742"/>
      <c r="C32" s="1743" t="s">
        <v>186</v>
      </c>
      <c r="D32" s="1743"/>
      <c r="E32" s="1744"/>
      <c r="F32" s="1721"/>
      <c r="G32" s="1721"/>
      <c r="H32" s="1721"/>
      <c r="I32" s="1745"/>
      <c r="J32" s="1721"/>
      <c r="K32" s="1721"/>
      <c r="L32" s="1721"/>
      <c r="M32" s="1745"/>
      <c r="N32" s="1721"/>
      <c r="O32" s="1721"/>
      <c r="P32" s="1721"/>
      <c r="Q32" s="1745"/>
      <c r="R32" s="1721"/>
      <c r="S32" s="1721"/>
      <c r="T32" s="1721"/>
      <c r="U32" s="1745"/>
      <c r="V32" s="1721"/>
      <c r="W32" s="1721"/>
      <c r="X32" s="1721"/>
      <c r="Y32" s="1745"/>
      <c r="Z32" s="1721"/>
      <c r="AA32" s="1721"/>
      <c r="AB32" s="1721"/>
      <c r="AC32" s="1746"/>
      <c r="AD32" s="1747"/>
      <c r="AE32" s="1747"/>
      <c r="AF32" s="1747"/>
      <c r="AG32" s="1747"/>
      <c r="AH32" s="1748"/>
      <c r="AI32" s="1721"/>
      <c r="AJ32" s="1721"/>
      <c r="AK32" s="1721"/>
      <c r="AL32" s="1748"/>
      <c r="AM32" s="1721"/>
      <c r="AN32" s="1721"/>
      <c r="AO32" s="1746"/>
      <c r="AP32" s="1721">
        <f>AP437</f>
        <v>1499.7847999999999</v>
      </c>
      <c r="AQ32" s="1721">
        <f>AQ437</f>
        <v>1633.145</v>
      </c>
      <c r="AR32" s="1721">
        <f>AR437</f>
        <v>1723.2545</v>
      </c>
      <c r="AS32" s="1745">
        <f>AS437</f>
        <v>1514.5035</v>
      </c>
      <c r="AT32" s="1721">
        <f>AT437</f>
        <v>1499.2297699999999</v>
      </c>
      <c r="AU32" s="1721">
        <f t="shared" ref="AU32:BE32" si="55">AU437</f>
        <v>1529.9814999999999</v>
      </c>
      <c r="AV32" s="1721">
        <f t="shared" si="55"/>
        <v>1432.6052572499998</v>
      </c>
      <c r="AW32" s="1745">
        <f t="shared" si="55"/>
        <v>1545.3673047499999</v>
      </c>
      <c r="AX32" s="1721">
        <f t="shared" si="55"/>
        <v>1693.9633745775</v>
      </c>
      <c r="AY32" s="1721">
        <f t="shared" si="55"/>
        <v>1285.3473370408124</v>
      </c>
      <c r="AZ32" s="1721">
        <f t="shared" si="55"/>
        <v>2031.0329467673273</v>
      </c>
      <c r="BA32" s="1745">
        <f t="shared" si="55"/>
        <v>2870.7322255613794</v>
      </c>
      <c r="BB32" s="1721">
        <f>BB437</f>
        <v>2202.8280797158122</v>
      </c>
      <c r="BC32" s="1721">
        <f t="shared" si="55"/>
        <v>1939.8643218270029</v>
      </c>
      <c r="BD32" s="1721">
        <f t="shared" si="55"/>
        <v>1950.2797206256937</v>
      </c>
      <c r="BE32" s="1745">
        <f t="shared" si="55"/>
        <v>1915.2525834519847</v>
      </c>
      <c r="BF32" s="1721">
        <f t="shared" ref="BF32:BM32" si="56">BF437</f>
        <v>1862.9762242909023</v>
      </c>
      <c r="BG32" s="1721">
        <f t="shared" si="56"/>
        <v>1865.7615712777624</v>
      </c>
      <c r="BH32" s="1721">
        <f t="shared" si="56"/>
        <v>1789.3004681752946</v>
      </c>
      <c r="BI32" s="1745">
        <f t="shared" si="56"/>
        <v>1782.8027656318563</v>
      </c>
      <c r="BJ32" s="1721">
        <f>BJ437</f>
        <v>1849.7292098251955</v>
      </c>
      <c r="BK32" s="1721">
        <f>BK437</f>
        <v>1723.4613534731518</v>
      </c>
      <c r="BL32" s="1721">
        <f t="shared" si="56"/>
        <v>1543.4633418337562</v>
      </c>
      <c r="BM32" s="1745">
        <f t="shared" si="56"/>
        <v>1256.3044549570784</v>
      </c>
      <c r="BN32" s="1721">
        <f>BN437</f>
        <v>1273.6375714580736</v>
      </c>
      <c r="BO32" s="1721">
        <f>BO437</f>
        <v>1293.037457678719</v>
      </c>
      <c r="BP32" s="1721">
        <f>BP437</f>
        <v>1095.5146480903136</v>
      </c>
      <c r="BQ32" s="1746">
        <f>BQ437</f>
        <v>927.80495817806263</v>
      </c>
      <c r="BR32" s="1721">
        <f>BR437</f>
        <v>1142.233290695091</v>
      </c>
      <c r="BS32" s="1721"/>
      <c r="BT32" s="1721"/>
      <c r="BU32" s="1745"/>
      <c r="BV32" s="1721"/>
      <c r="BW32" s="1721"/>
      <c r="BX32" s="1721"/>
      <c r="BY32" s="1745"/>
      <c r="BZ32" s="1721"/>
      <c r="CA32" s="1721"/>
      <c r="CB32" s="1721"/>
      <c r="CC32" s="1745"/>
      <c r="CD32" s="1749"/>
      <c r="CE32" s="1741"/>
      <c r="CF32" s="1741"/>
      <c r="CG32" s="1741"/>
      <c r="CH32" s="1741"/>
      <c r="CI32" s="1741"/>
      <c r="CJ32" s="1741"/>
      <c r="CK32" s="1741"/>
      <c r="CL32" s="1741"/>
      <c r="CM32" s="1741"/>
      <c r="CN32" s="1741">
        <f t="shared" si="32"/>
        <v>6370.6877999999997</v>
      </c>
      <c r="CO32" s="1721">
        <f t="shared" si="33"/>
        <v>6007.1838319999988</v>
      </c>
      <c r="CP32" s="1721">
        <f t="shared" si="34"/>
        <v>7881.07588394702</v>
      </c>
      <c r="CQ32" s="1721">
        <f t="shared" si="35"/>
        <v>8008.2247056204933</v>
      </c>
      <c r="CR32" s="1721">
        <f t="shared" si="36"/>
        <v>7300.8410293758161</v>
      </c>
      <c r="CS32" s="1721">
        <f t="shared" si="37"/>
        <v>6372.958360089182</v>
      </c>
      <c r="CT32" s="1747">
        <f t="shared" si="38"/>
        <v>4589.994635405169</v>
      </c>
      <c r="CU32" s="1721">
        <f t="shared" si="39"/>
        <v>1142.233290695091</v>
      </c>
      <c r="CV32" s="1721"/>
      <c r="CW32" s="1721"/>
      <c r="CX32" s="1721"/>
      <c r="CY32" s="1721"/>
      <c r="CZ32" s="1721"/>
      <c r="DA32" s="1721"/>
      <c r="DB32" s="1721"/>
      <c r="DC32" s="1721"/>
      <c r="DD32" s="1749"/>
      <c r="DE32" s="1713"/>
      <c r="DF32" s="1750"/>
      <c r="DG32" s="1751"/>
      <c r="DH32" s="1750"/>
      <c r="DI32" s="1750"/>
      <c r="DJ32" s="1750"/>
      <c r="DK32" s="1750"/>
      <c r="DL32" s="1752"/>
      <c r="DM32" s="1752"/>
      <c r="DN32" s="1752"/>
      <c r="DO32" s="1752"/>
      <c r="DP32" s="1752">
        <f t="shared" si="40"/>
        <v>6266.9692699999996</v>
      </c>
      <c r="DQ32" s="1752">
        <f t="shared" si="41"/>
        <v>5957.2832736183118</v>
      </c>
      <c r="DR32" s="1752">
        <f t="shared" si="42"/>
        <v>9044.457573871523</v>
      </c>
      <c r="DS32" s="1753">
        <f t="shared" si="43"/>
        <v>7594.2700996463427</v>
      </c>
      <c r="DT32" s="1752">
        <f t="shared" si="44"/>
        <v>7145.293797105498</v>
      </c>
      <c r="DU32" s="1752">
        <f t="shared" si="47"/>
        <v>5366.4428259276274</v>
      </c>
      <c r="DV32" s="1752">
        <f t="shared" si="48"/>
        <v>3165.552896963467</v>
      </c>
      <c r="DW32" s="1752">
        <f t="shared" si="49"/>
        <v>0</v>
      </c>
      <c r="DX32" s="2247">
        <f t="shared" si="50"/>
        <v>0</v>
      </c>
      <c r="DY32" s="1752"/>
      <c r="DZ32" s="1750"/>
      <c r="EA32"/>
      <c r="EB32"/>
      <c r="EC32"/>
      <c r="ED32"/>
      <c r="EE32"/>
      <c r="EF32"/>
    </row>
    <row r="33" spans="1:136" s="1727" customFormat="1" ht="11.25" hidden="1" customHeight="1" outlineLevel="2">
      <c r="A33" s="1728"/>
      <c r="B33" s="1729"/>
      <c r="D33" s="1727" t="s">
        <v>680</v>
      </c>
      <c r="E33" s="1730"/>
      <c r="F33" s="1724"/>
      <c r="G33" s="1724"/>
      <c r="H33" s="1724"/>
      <c r="I33" s="1731"/>
      <c r="J33" s="1724"/>
      <c r="K33" s="1724"/>
      <c r="L33" s="1724"/>
      <c r="M33" s="1731"/>
      <c r="N33" s="1724"/>
      <c r="O33" s="1724"/>
      <c r="P33" s="1724"/>
      <c r="Q33" s="1731"/>
      <c r="R33" s="1724"/>
      <c r="S33" s="1724"/>
      <c r="T33" s="1724"/>
      <c r="U33" s="1731"/>
      <c r="V33" s="1724"/>
      <c r="W33" s="1724"/>
      <c r="X33" s="1724"/>
      <c r="Y33" s="1731"/>
      <c r="Z33" s="1724"/>
      <c r="AA33" s="1724"/>
      <c r="AB33" s="1724"/>
      <c r="AC33" s="1732"/>
      <c r="AD33" s="1733"/>
      <c r="AE33" s="1733"/>
      <c r="AF33" s="1733"/>
      <c r="AG33" s="1733"/>
      <c r="AH33" s="1734"/>
      <c r="AI33" s="1724"/>
      <c r="AJ33" s="1724"/>
      <c r="AK33" s="1724"/>
      <c r="AL33" s="1734"/>
      <c r="AM33" s="1724"/>
      <c r="AN33" s="1724"/>
      <c r="AO33" s="1732"/>
      <c r="AP33" s="1724">
        <f>AP447</f>
        <v>717.3152</v>
      </c>
      <c r="AQ33" s="1724">
        <f>AQ447</f>
        <v>789.20749999999998</v>
      </c>
      <c r="AR33" s="1724">
        <f>AR447</f>
        <v>768.24</v>
      </c>
      <c r="AS33" s="1731">
        <f>AS447</f>
        <v>693.08249999999998</v>
      </c>
      <c r="AT33" s="1724">
        <f>AT447</f>
        <v>667.42550000000006</v>
      </c>
      <c r="AU33" s="1724">
        <f t="shared" ref="AU33:BE33" si="57">AU447</f>
        <v>708.43875000000003</v>
      </c>
      <c r="AV33" s="1724">
        <f t="shared" si="57"/>
        <v>644.71899374999987</v>
      </c>
      <c r="AW33" s="1731">
        <f t="shared" si="57"/>
        <v>670.14699374999987</v>
      </c>
      <c r="AX33" s="1724">
        <f t="shared" si="57"/>
        <v>814.6888839374999</v>
      </c>
      <c r="AY33" s="1724">
        <f t="shared" si="57"/>
        <v>601.01677417031249</v>
      </c>
      <c r="AZ33" s="1724">
        <f t="shared" si="57"/>
        <v>1087.6273046599897</v>
      </c>
      <c r="BA33" s="1731">
        <f t="shared" si="57"/>
        <v>1755.9019534789084</v>
      </c>
      <c r="BB33" s="1724">
        <f>BB447</f>
        <v>1345.3569356975941</v>
      </c>
      <c r="BC33" s="1724">
        <f t="shared" si="57"/>
        <v>1068.2249443657511</v>
      </c>
      <c r="BD33" s="1724">
        <f t="shared" si="57"/>
        <v>1061.7016256297879</v>
      </c>
      <c r="BE33" s="1731">
        <f t="shared" si="57"/>
        <v>1152.4774349005504</v>
      </c>
      <c r="BF33" s="1724">
        <f t="shared" ref="BF33:BM33" si="58">BF447</f>
        <v>1067.7142064608015</v>
      </c>
      <c r="BG33" s="1724">
        <f t="shared" si="58"/>
        <v>1077.1853235750252</v>
      </c>
      <c r="BH33" s="1724">
        <f t="shared" si="58"/>
        <v>1021.3244567442687</v>
      </c>
      <c r="BI33" s="1731">
        <f t="shared" si="58"/>
        <v>1050.6813312683262</v>
      </c>
      <c r="BJ33" s="1724">
        <f>BJ447</f>
        <v>1095.927834450993</v>
      </c>
      <c r="BK33" s="1724">
        <f>BK447</f>
        <v>1004.4314914505972</v>
      </c>
      <c r="BL33" s="1724">
        <f t="shared" si="58"/>
        <v>902.69649675996516</v>
      </c>
      <c r="BM33" s="1731">
        <f t="shared" si="58"/>
        <v>723.09953854725677</v>
      </c>
      <c r="BN33" s="1724">
        <f>BN447</f>
        <v>736.66377278417099</v>
      </c>
      <c r="BO33" s="1724">
        <f>BO447</f>
        <v>717.58015375002969</v>
      </c>
      <c r="BP33" s="1724">
        <f>BP447</f>
        <v>616.94138758586178</v>
      </c>
      <c r="BQ33" s="1732">
        <f>BQ447</f>
        <v>551.45935503121189</v>
      </c>
      <c r="BR33" s="1724">
        <f>BR447</f>
        <v>710.6051591344501</v>
      </c>
      <c r="BS33" s="1724"/>
      <c r="BT33" s="1724"/>
      <c r="BU33" s="1731"/>
      <c r="BV33" s="1724"/>
      <c r="BW33" s="1724"/>
      <c r="BX33" s="1724"/>
      <c r="BY33" s="1731"/>
      <c r="BZ33" s="1724"/>
      <c r="CA33" s="1724"/>
      <c r="CB33" s="1724"/>
      <c r="CC33" s="1731"/>
      <c r="CD33" s="1735"/>
      <c r="CE33" s="1728"/>
      <c r="CF33" s="1728"/>
      <c r="CG33" s="1728"/>
      <c r="CH33" s="1728"/>
      <c r="CI33" s="1728"/>
      <c r="CJ33" s="1728"/>
      <c r="CK33" s="1728"/>
      <c r="CL33" s="1728"/>
      <c r="CM33" s="1728"/>
      <c r="CN33" s="1728">
        <f t="shared" si="32"/>
        <v>2967.8452000000002</v>
      </c>
      <c r="CO33" s="1724">
        <f t="shared" si="33"/>
        <v>2690.7302374999999</v>
      </c>
      <c r="CP33" s="1724">
        <f t="shared" si="34"/>
        <v>4259.2349162467108</v>
      </c>
      <c r="CQ33" s="1724">
        <f t="shared" si="35"/>
        <v>4627.7609405936837</v>
      </c>
      <c r="CR33" s="1724">
        <f t="shared" si="36"/>
        <v>4216.9053180484216</v>
      </c>
      <c r="CS33" s="1724">
        <f t="shared" si="37"/>
        <v>3726.1553612088119</v>
      </c>
      <c r="CT33" s="1733">
        <f t="shared" si="38"/>
        <v>2622.6446691512747</v>
      </c>
      <c r="CU33" s="1724">
        <f t="shared" si="39"/>
        <v>710.6051591344501</v>
      </c>
      <c r="CV33" s="1724"/>
      <c r="CW33" s="1724"/>
      <c r="CX33" s="1724"/>
      <c r="CY33" s="1724"/>
      <c r="CZ33" s="1724"/>
      <c r="DA33" s="1724"/>
      <c r="DB33" s="1724"/>
      <c r="DC33" s="1724"/>
      <c r="DD33" s="1735"/>
      <c r="DE33" s="1713"/>
      <c r="DF33" s="1737"/>
      <c r="DG33" s="1738"/>
      <c r="DH33" s="1737"/>
      <c r="DI33" s="1737"/>
      <c r="DJ33" s="1737"/>
      <c r="DK33" s="1737"/>
      <c r="DL33" s="1719"/>
      <c r="DM33" s="1719"/>
      <c r="DN33" s="1719"/>
      <c r="DO33" s="1719"/>
      <c r="DP33" s="1719">
        <f t="shared" si="40"/>
        <v>2837.1867499999998</v>
      </c>
      <c r="DQ33" s="1719">
        <f t="shared" si="41"/>
        <v>2730.5716456078126</v>
      </c>
      <c r="DR33" s="1719">
        <f t="shared" si="42"/>
        <v>5257.1111382022427</v>
      </c>
      <c r="DS33" s="1739">
        <f t="shared" si="43"/>
        <v>4359.0785905661651</v>
      </c>
      <c r="DT33" s="1719">
        <f t="shared" si="44"/>
        <v>4172.3651139141857</v>
      </c>
      <c r="DU33" s="1719">
        <f t="shared" si="47"/>
        <v>3080.0399618414226</v>
      </c>
      <c r="DV33" s="1719">
        <f t="shared" si="48"/>
        <v>1879.0059017515239</v>
      </c>
      <c r="DW33" s="1719">
        <f t="shared" si="49"/>
        <v>0</v>
      </c>
      <c r="DX33" s="2246">
        <f t="shared" si="50"/>
        <v>0</v>
      </c>
      <c r="DY33" s="1719"/>
      <c r="DZ33" s="1737"/>
      <c r="EA33"/>
      <c r="EB33"/>
      <c r="EC33"/>
      <c r="ED33"/>
      <c r="EE33"/>
      <c r="EF33"/>
    </row>
    <row r="34" spans="1:136" s="1727" customFormat="1" ht="11.25" hidden="1" customHeight="1" outlineLevel="2">
      <c r="A34" s="1728"/>
      <c r="B34" s="1729"/>
      <c r="D34" s="1727" t="s">
        <v>679</v>
      </c>
      <c r="E34" s="1730"/>
      <c r="F34" s="1724"/>
      <c r="G34" s="1724"/>
      <c r="H34" s="1724"/>
      <c r="I34" s="1731"/>
      <c r="J34" s="1724"/>
      <c r="K34" s="1724"/>
      <c r="L34" s="1724"/>
      <c r="M34" s="1731"/>
      <c r="N34" s="1724"/>
      <c r="O34" s="1724"/>
      <c r="P34" s="1724"/>
      <c r="Q34" s="1731"/>
      <c r="R34" s="1724"/>
      <c r="S34" s="1724"/>
      <c r="T34" s="1724"/>
      <c r="U34" s="1731"/>
      <c r="V34" s="1724"/>
      <c r="W34" s="1724"/>
      <c r="X34" s="1724"/>
      <c r="Y34" s="1731"/>
      <c r="Z34" s="1724"/>
      <c r="AA34" s="1724"/>
      <c r="AB34" s="1724"/>
      <c r="AC34" s="1732"/>
      <c r="AD34" s="1733"/>
      <c r="AE34" s="1733"/>
      <c r="AF34" s="1733"/>
      <c r="AG34" s="1733"/>
      <c r="AH34" s="1734"/>
      <c r="AI34" s="1724"/>
      <c r="AJ34" s="1724"/>
      <c r="AK34" s="1724"/>
      <c r="AL34" s="1734"/>
      <c r="AM34" s="1724"/>
      <c r="AN34" s="1724"/>
      <c r="AO34" s="1732"/>
      <c r="AP34" s="1724">
        <f>AP457</f>
        <v>782.46960000000001</v>
      </c>
      <c r="AQ34" s="1724">
        <f>AQ457</f>
        <v>843.9375</v>
      </c>
      <c r="AR34" s="1724">
        <f>AR457</f>
        <v>955.0145</v>
      </c>
      <c r="AS34" s="1731">
        <f>AS457</f>
        <v>821.42100000000005</v>
      </c>
      <c r="AT34" s="1724">
        <f>AT457</f>
        <v>831.80426999999997</v>
      </c>
      <c r="AU34" s="1724">
        <f t="shared" ref="AU34:BE34" si="59">AU457</f>
        <v>821.54274999999996</v>
      </c>
      <c r="AV34" s="1724">
        <f t="shared" si="59"/>
        <v>787.88626350000004</v>
      </c>
      <c r="AW34" s="1731">
        <f t="shared" si="59"/>
        <v>875.22031100000004</v>
      </c>
      <c r="AX34" s="1724">
        <f t="shared" si="59"/>
        <v>879.27449063999995</v>
      </c>
      <c r="AY34" s="1724">
        <f t="shared" si="59"/>
        <v>684.33056287049999</v>
      </c>
      <c r="AZ34" s="1724">
        <f t="shared" si="59"/>
        <v>943.40564210733748</v>
      </c>
      <c r="BA34" s="1731">
        <f t="shared" si="59"/>
        <v>1114.8302720824711</v>
      </c>
      <c r="BB34" s="1724">
        <f>BB457</f>
        <v>857.4711440182183</v>
      </c>
      <c r="BC34" s="1724">
        <f t="shared" si="59"/>
        <v>871.6393774612518</v>
      </c>
      <c r="BD34" s="1724">
        <f t="shared" si="59"/>
        <v>888.57809499590587</v>
      </c>
      <c r="BE34" s="1731">
        <f t="shared" si="59"/>
        <v>762.77514855143431</v>
      </c>
      <c r="BF34" s="1724">
        <f t="shared" ref="BF34:BM34" si="60">BF457</f>
        <v>795.26201783010083</v>
      </c>
      <c r="BG34" s="1724">
        <f t="shared" si="60"/>
        <v>788.57624770273731</v>
      </c>
      <c r="BH34" s="1724">
        <f t="shared" si="60"/>
        <v>767.97601143102588</v>
      </c>
      <c r="BI34" s="1731">
        <f t="shared" si="60"/>
        <v>732.12143436353017</v>
      </c>
      <c r="BJ34" s="1724">
        <f>BJ457</f>
        <v>753.80137537420251</v>
      </c>
      <c r="BK34" s="1724">
        <f>BK457</f>
        <v>719.02986202255465</v>
      </c>
      <c r="BL34" s="1724">
        <f t="shared" si="60"/>
        <v>640.76684507379093</v>
      </c>
      <c r="BM34" s="1731">
        <f t="shared" si="60"/>
        <v>533.20491640982164</v>
      </c>
      <c r="BN34" s="1724">
        <f>BN457</f>
        <v>536.97379867390271</v>
      </c>
      <c r="BO34" s="1724">
        <f>BO457</f>
        <v>575.45730392868938</v>
      </c>
      <c r="BP34" s="1724">
        <f>BP457</f>
        <v>478.57326050445187</v>
      </c>
      <c r="BQ34" s="1732">
        <f>BQ457</f>
        <v>376.34560314685081</v>
      </c>
      <c r="BR34" s="1724">
        <f>BR457</f>
        <v>431.62813156064078</v>
      </c>
      <c r="BS34" s="1724"/>
      <c r="BT34" s="1724"/>
      <c r="BU34" s="1731"/>
      <c r="BV34" s="1724"/>
      <c r="BW34" s="1724"/>
      <c r="BX34" s="1724"/>
      <c r="BY34" s="1731"/>
      <c r="BZ34" s="1724"/>
      <c r="CA34" s="1724"/>
      <c r="CB34" s="1724"/>
      <c r="CC34" s="1731"/>
      <c r="CD34" s="1735"/>
      <c r="CE34" s="1728"/>
      <c r="CF34" s="1728"/>
      <c r="CG34" s="1728"/>
      <c r="CH34" s="1728"/>
      <c r="CI34" s="1728"/>
      <c r="CJ34" s="1728"/>
      <c r="CK34" s="1728"/>
      <c r="CL34" s="1728"/>
      <c r="CM34" s="1728"/>
      <c r="CN34" s="1728">
        <f t="shared" si="32"/>
        <v>3402.8425999999999</v>
      </c>
      <c r="CO34" s="1724">
        <f t="shared" si="33"/>
        <v>3316.4535944999998</v>
      </c>
      <c r="CP34" s="1724">
        <f t="shared" si="34"/>
        <v>3621.8409677003083</v>
      </c>
      <c r="CQ34" s="1724">
        <f t="shared" si="35"/>
        <v>3380.4637650268105</v>
      </c>
      <c r="CR34" s="1724">
        <f t="shared" si="36"/>
        <v>3083.9357113273945</v>
      </c>
      <c r="CS34" s="1724">
        <f t="shared" si="37"/>
        <v>2646.8029988803696</v>
      </c>
      <c r="CT34" s="1733">
        <f t="shared" si="38"/>
        <v>1967.3499662538948</v>
      </c>
      <c r="CU34" s="1724">
        <f t="shared" si="39"/>
        <v>431.62813156064078</v>
      </c>
      <c r="CV34" s="1724"/>
      <c r="CW34" s="1724"/>
      <c r="CX34" s="1724"/>
      <c r="CY34" s="1724"/>
      <c r="CZ34" s="1724"/>
      <c r="DA34" s="1724"/>
      <c r="DB34" s="1724"/>
      <c r="DC34" s="1724"/>
      <c r="DD34" s="1735"/>
      <c r="DE34" s="1713"/>
      <c r="DF34" s="1737"/>
      <c r="DG34" s="1738"/>
      <c r="DH34" s="1737"/>
      <c r="DI34" s="1737"/>
      <c r="DJ34" s="1737"/>
      <c r="DK34" s="1737"/>
      <c r="DL34" s="1719"/>
      <c r="DM34" s="1719"/>
      <c r="DN34" s="1719"/>
      <c r="DO34" s="1719"/>
      <c r="DP34" s="1719">
        <f t="shared" si="40"/>
        <v>3429.7825200000002</v>
      </c>
      <c r="DQ34" s="1719">
        <f t="shared" si="41"/>
        <v>3226.7116280105001</v>
      </c>
      <c r="DR34" s="1719">
        <f t="shared" si="42"/>
        <v>3787.3464356692784</v>
      </c>
      <c r="DS34" s="1739">
        <f t="shared" si="43"/>
        <v>3235.1915090801785</v>
      </c>
      <c r="DT34" s="1719">
        <f t="shared" si="44"/>
        <v>2972.9286831913132</v>
      </c>
      <c r="DU34" s="1719">
        <f t="shared" si="47"/>
        <v>2286.4028640862048</v>
      </c>
      <c r="DV34" s="1719">
        <f t="shared" si="48"/>
        <v>1286.5469952119433</v>
      </c>
      <c r="DW34" s="1719">
        <f t="shared" si="49"/>
        <v>0</v>
      </c>
      <c r="DX34" s="2246">
        <f t="shared" si="50"/>
        <v>0</v>
      </c>
      <c r="DY34" s="1719"/>
      <c r="DZ34" s="1737"/>
      <c r="EA34"/>
      <c r="EB34"/>
      <c r="EC34"/>
      <c r="ED34"/>
      <c r="EE34"/>
      <c r="EF34"/>
    </row>
    <row r="35" spans="1:136" s="1727" customFormat="1" ht="11.25" hidden="1" customHeight="1" outlineLevel="2">
      <c r="A35" s="1741"/>
      <c r="B35" s="1742"/>
      <c r="C35" s="1743" t="s">
        <v>189</v>
      </c>
      <c r="D35" s="1743"/>
      <c r="E35" s="1744"/>
      <c r="F35" s="1721"/>
      <c r="G35" s="1721"/>
      <c r="H35" s="1721"/>
      <c r="I35" s="1745"/>
      <c r="J35" s="1721"/>
      <c r="K35" s="1721"/>
      <c r="L35" s="1721"/>
      <c r="M35" s="1745"/>
      <c r="N35" s="1721"/>
      <c r="O35" s="1721"/>
      <c r="P35" s="1721"/>
      <c r="Q35" s="1745"/>
      <c r="R35" s="1721"/>
      <c r="S35" s="1721"/>
      <c r="T35" s="1721"/>
      <c r="U35" s="1745"/>
      <c r="V35" s="1721"/>
      <c r="W35" s="1721"/>
      <c r="X35" s="1721"/>
      <c r="Y35" s="1745"/>
      <c r="Z35" s="1721"/>
      <c r="AA35" s="1721"/>
      <c r="AB35" s="1721"/>
      <c r="AC35" s="1746"/>
      <c r="AD35" s="1747"/>
      <c r="AE35" s="1747"/>
      <c r="AF35" s="1747"/>
      <c r="AG35" s="1747"/>
      <c r="AH35" s="1748"/>
      <c r="AI35" s="1721"/>
      <c r="AJ35" s="1721"/>
      <c r="AK35" s="1721"/>
      <c r="AL35" s="1748"/>
      <c r="AM35" s="1721"/>
      <c r="AN35" s="1721"/>
      <c r="AO35" s="1746"/>
      <c r="AP35" s="1721">
        <f>AP468</f>
        <v>504.56</v>
      </c>
      <c r="AQ35" s="1721">
        <f>AQ468</f>
        <v>736.40300000000002</v>
      </c>
      <c r="AR35" s="1721">
        <f>AR468</f>
        <v>659.68450000000007</v>
      </c>
      <c r="AS35" s="1745">
        <f>AS468</f>
        <v>604.28099999999995</v>
      </c>
      <c r="AT35" s="1721">
        <f>AT468</f>
        <v>621.46249999999998</v>
      </c>
      <c r="AU35" s="1721">
        <f t="shared" ref="AU35:BE35" si="61">AU468</f>
        <v>722.58749999999998</v>
      </c>
      <c r="AV35" s="1721">
        <f t="shared" si="61"/>
        <v>611.64656249999996</v>
      </c>
      <c r="AW35" s="1745">
        <f t="shared" si="61"/>
        <v>614.46950218749998</v>
      </c>
      <c r="AX35" s="1721">
        <f t="shared" si="61"/>
        <v>756.76210854374995</v>
      </c>
      <c r="AY35" s="1721">
        <f t="shared" si="61"/>
        <v>455.655026479225</v>
      </c>
      <c r="AZ35" s="1721">
        <f t="shared" si="61"/>
        <v>481.79245051866587</v>
      </c>
      <c r="BA35" s="1745">
        <f t="shared" si="61"/>
        <v>629.55456749601467</v>
      </c>
      <c r="BB35" s="1721">
        <f>BB468</f>
        <v>852.36058184013723</v>
      </c>
      <c r="BC35" s="1721">
        <f t="shared" si="61"/>
        <v>862.14564146007592</v>
      </c>
      <c r="BD35" s="1721">
        <f t="shared" si="61"/>
        <v>795.86017309889496</v>
      </c>
      <c r="BE35" s="1745">
        <f t="shared" si="61"/>
        <v>681.73718819285773</v>
      </c>
      <c r="BF35" s="1721">
        <f t="shared" ref="BF35:BM35" si="62">BF468</f>
        <v>805.80273432442243</v>
      </c>
      <c r="BG35" s="1721">
        <f t="shared" si="62"/>
        <v>932.30364728663312</v>
      </c>
      <c r="BH35" s="1721">
        <f t="shared" si="62"/>
        <v>846.45733382456115</v>
      </c>
      <c r="BI35" s="1745">
        <f t="shared" si="62"/>
        <v>905.57641215534034</v>
      </c>
      <c r="BJ35" s="1721">
        <f>BJ468</f>
        <v>966.5271290489984</v>
      </c>
      <c r="BK35" s="1721">
        <f>BK468</f>
        <v>957.65991648939541</v>
      </c>
      <c r="BL35" s="1721">
        <f t="shared" si="62"/>
        <v>855.85928035631673</v>
      </c>
      <c r="BM35" s="1745">
        <f t="shared" si="62"/>
        <v>776.19300235427943</v>
      </c>
      <c r="BN35" s="1721">
        <f>BN468</f>
        <v>917.24844784194352</v>
      </c>
      <c r="BO35" s="1721">
        <f>BO468</f>
        <v>868.42559940579974</v>
      </c>
      <c r="BP35" s="1721">
        <f>BP468</f>
        <v>733.85700429405665</v>
      </c>
      <c r="BQ35" s="1746">
        <f>BQ468</f>
        <v>866.74373073517427</v>
      </c>
      <c r="BR35" s="1721">
        <f>BR468</f>
        <v>1009.983090807737</v>
      </c>
      <c r="BS35" s="1721"/>
      <c r="BT35" s="1721"/>
      <c r="BU35" s="1745"/>
      <c r="BV35" s="1721"/>
      <c r="BW35" s="1721"/>
      <c r="BX35" s="1721"/>
      <c r="BY35" s="1745"/>
      <c r="BZ35" s="1721"/>
      <c r="CA35" s="1721"/>
      <c r="CB35" s="1721"/>
      <c r="CC35" s="1745"/>
      <c r="CD35" s="1749"/>
      <c r="CE35" s="1741"/>
      <c r="CF35" s="1741"/>
      <c r="CG35" s="1741"/>
      <c r="CH35" s="1741"/>
      <c r="CI35" s="1741"/>
      <c r="CJ35" s="1741"/>
      <c r="CK35" s="1741"/>
      <c r="CL35" s="1741"/>
      <c r="CM35" s="1741"/>
      <c r="CN35" s="1741">
        <f t="shared" si="32"/>
        <v>2504.9285</v>
      </c>
      <c r="CO35" s="1721">
        <f t="shared" si="33"/>
        <v>2570.1660646874998</v>
      </c>
      <c r="CP35" s="1721">
        <f t="shared" si="34"/>
        <v>2323.7641530376554</v>
      </c>
      <c r="CQ35" s="1721">
        <f t="shared" si="35"/>
        <v>3192.103584591966</v>
      </c>
      <c r="CR35" s="1721">
        <f t="shared" si="36"/>
        <v>3490.1401275909566</v>
      </c>
      <c r="CS35" s="1721">
        <f t="shared" si="37"/>
        <v>3556.2393282489898</v>
      </c>
      <c r="CT35" s="1747">
        <f t="shared" si="38"/>
        <v>3386.2747822769738</v>
      </c>
      <c r="CU35" s="1721">
        <f t="shared" si="39"/>
        <v>1009.983090807737</v>
      </c>
      <c r="CV35" s="1721"/>
      <c r="CW35" s="1721"/>
      <c r="CX35" s="1721"/>
      <c r="CY35" s="1721"/>
      <c r="CZ35" s="1721"/>
      <c r="DA35" s="1721"/>
      <c r="DB35" s="1721"/>
      <c r="DC35" s="1721"/>
      <c r="DD35" s="1749"/>
      <c r="DE35" s="1713"/>
      <c r="DF35" s="1750"/>
      <c r="DG35" s="1751"/>
      <c r="DH35" s="1750"/>
      <c r="DI35" s="1750"/>
      <c r="DJ35" s="1750"/>
      <c r="DK35" s="1750"/>
      <c r="DL35" s="1752"/>
      <c r="DM35" s="1752"/>
      <c r="DN35" s="1752"/>
      <c r="DO35" s="1752"/>
      <c r="DP35" s="1752">
        <f t="shared" si="40"/>
        <v>2608.0155</v>
      </c>
      <c r="DQ35" s="1752">
        <f t="shared" si="41"/>
        <v>2438.5331997104749</v>
      </c>
      <c r="DR35" s="1752">
        <f t="shared" si="42"/>
        <v>2825.8532413148937</v>
      </c>
      <c r="DS35" s="1753">
        <f t="shared" si="43"/>
        <v>3215.7037429028087</v>
      </c>
      <c r="DT35" s="1752">
        <f t="shared" si="44"/>
        <v>3676.2207915182958</v>
      </c>
      <c r="DU35" s="1752">
        <f t="shared" si="47"/>
        <v>3417.7263299583396</v>
      </c>
      <c r="DV35" s="1752">
        <f t="shared" si="48"/>
        <v>2610.5838258369677</v>
      </c>
      <c r="DW35" s="1752">
        <f t="shared" si="49"/>
        <v>0</v>
      </c>
      <c r="DX35" s="2247">
        <f t="shared" si="50"/>
        <v>0</v>
      </c>
      <c r="DY35" s="1752"/>
      <c r="DZ35" s="1750"/>
      <c r="EA35"/>
      <c r="EB35"/>
      <c r="EC35"/>
      <c r="ED35"/>
      <c r="EE35"/>
      <c r="EF35"/>
    </row>
    <row r="36" spans="1:136" s="1727" customFormat="1" ht="11.25" hidden="1" customHeight="1" outlineLevel="2">
      <c r="A36" s="1728"/>
      <c r="B36" s="1729"/>
      <c r="D36" s="1727" t="s">
        <v>576</v>
      </c>
      <c r="E36" s="1730"/>
      <c r="F36" s="1724"/>
      <c r="G36" s="1724"/>
      <c r="H36" s="1724"/>
      <c r="I36" s="1731"/>
      <c r="J36" s="1724"/>
      <c r="K36" s="1724"/>
      <c r="L36" s="1724"/>
      <c r="M36" s="1731"/>
      <c r="N36" s="1724"/>
      <c r="O36" s="1724"/>
      <c r="P36" s="1724"/>
      <c r="Q36" s="1731"/>
      <c r="R36" s="1724"/>
      <c r="S36" s="1724"/>
      <c r="T36" s="1724"/>
      <c r="U36" s="1731"/>
      <c r="V36" s="1724"/>
      <c r="W36" s="1724"/>
      <c r="X36" s="1724"/>
      <c r="Y36" s="1731"/>
      <c r="Z36" s="1724"/>
      <c r="AA36" s="1724"/>
      <c r="AB36" s="1724"/>
      <c r="AC36" s="1732"/>
      <c r="AD36" s="1733"/>
      <c r="AE36" s="1733"/>
      <c r="AF36" s="1733"/>
      <c r="AG36" s="1733"/>
      <c r="AH36" s="1734"/>
      <c r="AI36" s="1724"/>
      <c r="AJ36" s="1724"/>
      <c r="AK36" s="1724"/>
      <c r="AL36" s="1734"/>
      <c r="AM36" s="1724"/>
      <c r="AN36" s="1724"/>
      <c r="AO36" s="1732"/>
      <c r="AP36" s="1724">
        <f>AP478</f>
        <v>122.56</v>
      </c>
      <c r="AQ36" s="1724">
        <f>AQ478</f>
        <v>167.40299999999999</v>
      </c>
      <c r="AR36" s="1724">
        <f>AR478</f>
        <v>192.68450000000001</v>
      </c>
      <c r="AS36" s="1731">
        <f>AS478</f>
        <v>204.28100000000001</v>
      </c>
      <c r="AT36" s="1724">
        <f>AT478</f>
        <v>196.46250000000001</v>
      </c>
      <c r="AU36" s="1724">
        <f t="shared" ref="AU36:BE36" si="63">AU478</f>
        <v>176.58750000000001</v>
      </c>
      <c r="AV36" s="1724">
        <f t="shared" si="63"/>
        <v>170.64656249999999</v>
      </c>
      <c r="AW36" s="1731">
        <f t="shared" si="63"/>
        <v>232.46950218749996</v>
      </c>
      <c r="AX36" s="1724">
        <f t="shared" si="63"/>
        <v>267.76210854374995</v>
      </c>
      <c r="AY36" s="1724">
        <f t="shared" si="63"/>
        <v>127.65502647922499</v>
      </c>
      <c r="AZ36" s="1724">
        <f t="shared" si="63"/>
        <v>191.79245051866587</v>
      </c>
      <c r="BA36" s="1731">
        <f t="shared" si="63"/>
        <v>194.6853945636839</v>
      </c>
      <c r="BB36" s="1724">
        <f>BB478</f>
        <v>364.46370965968606</v>
      </c>
      <c r="BC36" s="1724">
        <f t="shared" si="63"/>
        <v>279.3144608585722</v>
      </c>
      <c r="BD36" s="1724">
        <f t="shared" si="63"/>
        <v>275.78049654889503</v>
      </c>
      <c r="BE36" s="1731">
        <f t="shared" si="63"/>
        <v>270.83075078852505</v>
      </c>
      <c r="BF36" s="1724">
        <f t="shared" ref="BF36:BM36" si="64">BF478</f>
        <v>341.93830801152382</v>
      </c>
      <c r="BG36" s="1724">
        <f t="shared" si="64"/>
        <v>376.141823164095</v>
      </c>
      <c r="BH36" s="1724">
        <f t="shared" si="64"/>
        <v>359.35530736707653</v>
      </c>
      <c r="BI36" s="1731">
        <f t="shared" si="64"/>
        <v>448.00494605184065</v>
      </c>
      <c r="BJ36" s="1724">
        <f>BJ478</f>
        <v>439.71531916802627</v>
      </c>
      <c r="BK36" s="1724">
        <f>BK478</f>
        <v>394.68224275752402</v>
      </c>
      <c r="BL36" s="1724">
        <f t="shared" si="64"/>
        <v>370.42178982207207</v>
      </c>
      <c r="BM36" s="1731">
        <f t="shared" si="64"/>
        <v>377.92143284202371</v>
      </c>
      <c r="BN36" s="1724">
        <f>BN478</f>
        <v>484.03823234379183</v>
      </c>
      <c r="BO36" s="1724">
        <f>BO478</f>
        <v>361.25812444714489</v>
      </c>
      <c r="BP36" s="1724">
        <f>BP478</f>
        <v>321.82928298609295</v>
      </c>
      <c r="BQ36" s="1732">
        <f>BQ478</f>
        <v>467.93573150741543</v>
      </c>
      <c r="BR36" s="1724">
        <f>BR478</f>
        <v>573.14901562897705</v>
      </c>
      <c r="BS36" s="1724"/>
      <c r="BT36" s="1724"/>
      <c r="BU36" s="1731"/>
      <c r="BV36" s="1724"/>
      <c r="BW36" s="1724"/>
      <c r="BX36" s="1724"/>
      <c r="BY36" s="1731"/>
      <c r="BZ36" s="1724"/>
      <c r="CA36" s="1724"/>
      <c r="CB36" s="1724"/>
      <c r="CC36" s="1731"/>
      <c r="CD36" s="1735"/>
      <c r="CE36" s="1728"/>
      <c r="CF36" s="1728"/>
      <c r="CG36" s="1728"/>
      <c r="CH36" s="1728"/>
      <c r="CI36" s="1728"/>
      <c r="CJ36" s="1728"/>
      <c r="CK36" s="1728"/>
      <c r="CL36" s="1728"/>
      <c r="CM36" s="1728"/>
      <c r="CN36" s="1728">
        <f t="shared" si="32"/>
        <v>686.92849999999999</v>
      </c>
      <c r="CO36" s="1724">
        <f t="shared" si="33"/>
        <v>776.16606468750001</v>
      </c>
      <c r="CP36" s="1724">
        <f t="shared" si="34"/>
        <v>781.89498010532463</v>
      </c>
      <c r="CQ36" s="1724">
        <f t="shared" si="35"/>
        <v>1190.3894178556784</v>
      </c>
      <c r="CR36" s="1724">
        <f t="shared" si="36"/>
        <v>1525.4403845945362</v>
      </c>
      <c r="CS36" s="1724">
        <f t="shared" si="37"/>
        <v>1582.740784589646</v>
      </c>
      <c r="CT36" s="1724">
        <f t="shared" si="38"/>
        <v>1635.0613712844452</v>
      </c>
      <c r="CU36" s="1724">
        <f t="shared" si="39"/>
        <v>573.14901562897705</v>
      </c>
      <c r="CV36" s="1724"/>
      <c r="CW36" s="1724"/>
      <c r="CX36" s="1724"/>
      <c r="CY36" s="1724"/>
      <c r="CZ36" s="1724"/>
      <c r="DA36" s="1724"/>
      <c r="DB36" s="1724"/>
      <c r="DC36" s="1724"/>
      <c r="DD36" s="1735"/>
      <c r="DE36" s="1713"/>
      <c r="DF36" s="1737"/>
      <c r="DG36" s="1738"/>
      <c r="DH36" s="1737"/>
      <c r="DI36" s="1737"/>
      <c r="DJ36" s="1737"/>
      <c r="DK36" s="1737"/>
      <c r="DL36" s="1719"/>
      <c r="DM36" s="1719"/>
      <c r="DN36" s="1719"/>
      <c r="DO36" s="1719"/>
      <c r="DP36" s="1719">
        <f t="shared" si="40"/>
        <v>770.01549999999997</v>
      </c>
      <c r="DQ36" s="1719">
        <f t="shared" si="41"/>
        <v>798.53319971047483</v>
      </c>
      <c r="DR36" s="1719">
        <f t="shared" si="42"/>
        <v>1030.256015600608</v>
      </c>
      <c r="DS36" s="1739">
        <f t="shared" si="43"/>
        <v>1264.6913785130389</v>
      </c>
      <c r="DT36" s="1719">
        <f t="shared" si="44"/>
        <v>1641.7578153444674</v>
      </c>
      <c r="DU36" s="1719">
        <f t="shared" si="47"/>
        <v>1593.6395794550324</v>
      </c>
      <c r="DV36" s="1719">
        <f t="shared" si="48"/>
        <v>1362.9140301224854</v>
      </c>
      <c r="DW36" s="1719">
        <f t="shared" si="49"/>
        <v>0</v>
      </c>
      <c r="DX36" s="2246">
        <f t="shared" si="50"/>
        <v>0</v>
      </c>
      <c r="DY36" s="1719"/>
      <c r="DZ36" s="1737"/>
      <c r="EA36"/>
      <c r="EB36"/>
      <c r="EC36"/>
      <c r="ED36"/>
      <c r="EE36"/>
      <c r="EF36"/>
    </row>
    <row r="37" spans="1:136" s="1727" customFormat="1" ht="11.25" hidden="1" customHeight="1" outlineLevel="2">
      <c r="A37" s="1728"/>
      <c r="B37" s="1729"/>
      <c r="D37" s="1727" t="s">
        <v>565</v>
      </c>
      <c r="E37" s="1730"/>
      <c r="F37" s="1724"/>
      <c r="G37" s="1724"/>
      <c r="H37" s="1724"/>
      <c r="I37" s="1731"/>
      <c r="J37" s="1724"/>
      <c r="K37" s="1724"/>
      <c r="L37" s="1724"/>
      <c r="M37" s="1731"/>
      <c r="N37" s="1724"/>
      <c r="O37" s="1724"/>
      <c r="P37" s="1724"/>
      <c r="Q37" s="1731"/>
      <c r="R37" s="1724"/>
      <c r="S37" s="1724"/>
      <c r="T37" s="1724"/>
      <c r="U37" s="1731"/>
      <c r="V37" s="1724"/>
      <c r="W37" s="1724"/>
      <c r="X37" s="1724"/>
      <c r="Y37" s="1731"/>
      <c r="Z37" s="1724"/>
      <c r="AA37" s="1724"/>
      <c r="AB37" s="1724"/>
      <c r="AC37" s="1732"/>
      <c r="AD37" s="1733"/>
      <c r="AE37" s="1733"/>
      <c r="AF37" s="1733"/>
      <c r="AG37" s="1733"/>
      <c r="AH37" s="1734"/>
      <c r="AI37" s="1724"/>
      <c r="AJ37" s="1724"/>
      <c r="AK37" s="1724"/>
      <c r="AL37" s="1734"/>
      <c r="AM37" s="1724"/>
      <c r="AN37" s="1724"/>
      <c r="AO37" s="1732"/>
      <c r="AP37" s="1724">
        <f>AP488</f>
        <v>382</v>
      </c>
      <c r="AQ37" s="1724">
        <f>AQ488</f>
        <v>569</v>
      </c>
      <c r="AR37" s="1724">
        <f>AR488</f>
        <v>467</v>
      </c>
      <c r="AS37" s="1731">
        <f>AS488</f>
        <v>400</v>
      </c>
      <c r="AT37" s="1724">
        <f>AT488</f>
        <v>425</v>
      </c>
      <c r="AU37" s="1724">
        <f t="shared" ref="AU37:BE37" si="65">AU488</f>
        <v>546</v>
      </c>
      <c r="AV37" s="1724">
        <f t="shared" si="65"/>
        <v>441</v>
      </c>
      <c r="AW37" s="1731">
        <f t="shared" si="65"/>
        <v>382</v>
      </c>
      <c r="AX37" s="1724">
        <f t="shared" si="65"/>
        <v>489</v>
      </c>
      <c r="AY37" s="1724">
        <f t="shared" si="65"/>
        <v>328</v>
      </c>
      <c r="AZ37" s="1724">
        <f t="shared" si="65"/>
        <v>290</v>
      </c>
      <c r="BA37" s="1731">
        <f t="shared" si="65"/>
        <v>434.8691729323308</v>
      </c>
      <c r="BB37" s="1724">
        <f>BB488</f>
        <v>487.89687218045111</v>
      </c>
      <c r="BC37" s="1724">
        <f t="shared" si="65"/>
        <v>582.83118060150366</v>
      </c>
      <c r="BD37" s="1724">
        <f t="shared" si="65"/>
        <v>520.07967654999993</v>
      </c>
      <c r="BE37" s="1731">
        <f t="shared" si="65"/>
        <v>410.90643740433268</v>
      </c>
      <c r="BF37" s="1724">
        <f t="shared" ref="BF37:BM37" si="66">BF488</f>
        <v>463.86442631289862</v>
      </c>
      <c r="BG37" s="1724">
        <f t="shared" si="66"/>
        <v>556.16182412253806</v>
      </c>
      <c r="BH37" s="1724">
        <f t="shared" si="66"/>
        <v>487.10202645748467</v>
      </c>
      <c r="BI37" s="1731">
        <f t="shared" si="66"/>
        <v>457.57146610349969</v>
      </c>
      <c r="BJ37" s="1724">
        <f>BJ488</f>
        <v>526.81180988097208</v>
      </c>
      <c r="BK37" s="1724">
        <f>BK488</f>
        <v>562.97767373187139</v>
      </c>
      <c r="BL37" s="1724">
        <f t="shared" si="66"/>
        <v>485.4374905342446</v>
      </c>
      <c r="BM37" s="1731">
        <f t="shared" si="66"/>
        <v>398.27156951225572</v>
      </c>
      <c r="BN37" s="1724">
        <f>BN488</f>
        <v>433.21021549815174</v>
      </c>
      <c r="BO37" s="1724">
        <f>BO488</f>
        <v>507.16747495865485</v>
      </c>
      <c r="BP37" s="1724">
        <f>BP488</f>
        <v>412.02772130796365</v>
      </c>
      <c r="BQ37" s="1732">
        <f>BQ488</f>
        <v>398.8079992277589</v>
      </c>
      <c r="BR37" s="1724">
        <f>BR488</f>
        <v>436.83407517875992</v>
      </c>
      <c r="BS37" s="1724"/>
      <c r="BT37" s="1724"/>
      <c r="BU37" s="1731"/>
      <c r="BV37" s="1724"/>
      <c r="BW37" s="1724"/>
      <c r="BX37" s="1724"/>
      <c r="BY37" s="1731"/>
      <c r="BZ37" s="1724"/>
      <c r="CA37" s="1724"/>
      <c r="CB37" s="1724"/>
      <c r="CC37" s="1731"/>
      <c r="CD37" s="1735"/>
      <c r="CE37" s="1728"/>
      <c r="CF37" s="1728"/>
      <c r="CG37" s="1728"/>
      <c r="CH37" s="1728"/>
      <c r="CI37" s="1728"/>
      <c r="CJ37" s="1728"/>
      <c r="CK37" s="1728"/>
      <c r="CL37" s="1728"/>
      <c r="CM37" s="1728"/>
      <c r="CN37" s="1728">
        <f t="shared" si="32"/>
        <v>1818</v>
      </c>
      <c r="CO37" s="1724">
        <f t="shared" si="33"/>
        <v>1794</v>
      </c>
      <c r="CP37" s="1724">
        <f t="shared" si="34"/>
        <v>1541.8691729323309</v>
      </c>
      <c r="CQ37" s="1724">
        <f t="shared" si="35"/>
        <v>2001.7141667362876</v>
      </c>
      <c r="CR37" s="1724">
        <f t="shared" si="36"/>
        <v>1964.699742996421</v>
      </c>
      <c r="CS37" s="1724">
        <f t="shared" si="37"/>
        <v>1973.4985436593438</v>
      </c>
      <c r="CT37" s="1724">
        <f t="shared" si="38"/>
        <v>1751.2134109925291</v>
      </c>
      <c r="CU37" s="1724">
        <f t="shared" si="39"/>
        <v>436.83407517875992</v>
      </c>
      <c r="CV37" s="1724"/>
      <c r="CW37" s="1724"/>
      <c r="CX37" s="1724"/>
      <c r="CY37" s="1724"/>
      <c r="CZ37" s="1724"/>
      <c r="DA37" s="1724"/>
      <c r="DB37" s="1724"/>
      <c r="DC37" s="1724"/>
      <c r="DD37" s="1735"/>
      <c r="DE37" s="1713"/>
      <c r="DF37" s="1737"/>
      <c r="DG37" s="1738"/>
      <c r="DH37" s="1737"/>
      <c r="DI37" s="1737"/>
      <c r="DJ37" s="1737"/>
      <c r="DK37" s="1737"/>
      <c r="DL37" s="1719"/>
      <c r="DM37" s="1719"/>
      <c r="DN37" s="1719"/>
      <c r="DO37" s="1719"/>
      <c r="DP37" s="1719">
        <f t="shared" si="40"/>
        <v>1838</v>
      </c>
      <c r="DQ37" s="1719">
        <f t="shared" si="41"/>
        <v>1640</v>
      </c>
      <c r="DR37" s="1719">
        <f t="shared" si="42"/>
        <v>1795.5972257142857</v>
      </c>
      <c r="DS37" s="1739">
        <f t="shared" si="43"/>
        <v>1951.0123643897693</v>
      </c>
      <c r="DT37" s="1719">
        <f t="shared" si="44"/>
        <v>2034.4629761738279</v>
      </c>
      <c r="DU37" s="1719">
        <f t="shared" si="47"/>
        <v>1824.0867505033068</v>
      </c>
      <c r="DV37" s="1719">
        <f t="shared" si="48"/>
        <v>1247.6697957144825</v>
      </c>
      <c r="DW37" s="1719">
        <f t="shared" si="49"/>
        <v>0</v>
      </c>
      <c r="DX37" s="2246">
        <f t="shared" si="50"/>
        <v>0</v>
      </c>
      <c r="DY37" s="1719"/>
      <c r="DZ37" s="1737"/>
      <c r="EA37"/>
      <c r="EB37"/>
      <c r="EC37"/>
      <c r="ED37"/>
      <c r="EE37"/>
      <c r="EF37"/>
    </row>
    <row r="38" spans="1:136" s="1743" customFormat="1" ht="11.25" hidden="1" customHeight="1" outlineLevel="2">
      <c r="A38" s="1741"/>
      <c r="B38" s="1742"/>
      <c r="C38" s="1743" t="s">
        <v>923</v>
      </c>
      <c r="E38" s="1744"/>
      <c r="F38" s="1721"/>
      <c r="G38" s="1721"/>
      <c r="H38" s="1721"/>
      <c r="I38" s="1745"/>
      <c r="J38" s="1721"/>
      <c r="K38" s="1721"/>
      <c r="L38" s="1721"/>
      <c r="M38" s="1745"/>
      <c r="N38" s="1721"/>
      <c r="O38" s="1721"/>
      <c r="P38" s="1721"/>
      <c r="Q38" s="1745"/>
      <c r="R38" s="1721"/>
      <c r="S38" s="1721"/>
      <c r="T38" s="1721"/>
      <c r="U38" s="1745"/>
      <c r="V38" s="1721"/>
      <c r="W38" s="1721"/>
      <c r="X38" s="1721"/>
      <c r="Y38" s="1745"/>
      <c r="Z38" s="1721"/>
      <c r="AA38" s="1721"/>
      <c r="AB38" s="1724"/>
      <c r="AC38" s="1731"/>
      <c r="AD38" s="1734"/>
      <c r="AE38" s="1724"/>
      <c r="AF38" s="1724"/>
      <c r="AG38" s="1731"/>
      <c r="AH38" s="1734"/>
      <c r="AI38" s="1724"/>
      <c r="AJ38" s="1724"/>
      <c r="AK38" s="1731"/>
      <c r="AL38" s="1734"/>
      <c r="AM38" s="1724"/>
      <c r="AN38" s="1724"/>
      <c r="AO38" s="1731"/>
      <c r="AP38" s="1724"/>
      <c r="AQ38" s="1724"/>
      <c r="AR38" s="1724"/>
      <c r="AS38" s="1731"/>
      <c r="AT38" s="1724"/>
      <c r="AU38" s="1724"/>
      <c r="AV38" s="1724"/>
      <c r="AW38" s="1731"/>
      <c r="AX38" s="1724"/>
      <c r="AY38" s="1724"/>
      <c r="AZ38" s="1724"/>
      <c r="BA38" s="1731"/>
      <c r="BB38" s="1724"/>
      <c r="BC38" s="1724"/>
      <c r="BD38" s="1724"/>
      <c r="BE38" s="1731"/>
      <c r="BF38" s="1724"/>
      <c r="BG38" s="1724"/>
      <c r="BH38" s="1724"/>
      <c r="BI38" s="1731"/>
      <c r="BJ38" s="1724"/>
      <c r="BK38" s="1724"/>
      <c r="BL38" s="1724"/>
      <c r="BM38" s="1731"/>
      <c r="BN38" s="1724"/>
      <c r="BO38" s="1724"/>
      <c r="BP38" s="1724"/>
      <c r="BQ38" s="1746">
        <f>BQ500*BQ499</f>
        <v>741.4074087200247</v>
      </c>
      <c r="BR38" s="1721">
        <f>BR500</f>
        <v>1546.8723095648675</v>
      </c>
      <c r="BS38" s="1721"/>
      <c r="BT38" s="1721"/>
      <c r="BU38" s="1745"/>
      <c r="BV38" s="1721"/>
      <c r="BW38" s="1721"/>
      <c r="BX38" s="1721"/>
      <c r="BY38" s="1745"/>
      <c r="BZ38" s="1721"/>
      <c r="CA38" s="1721"/>
      <c r="CB38" s="1721"/>
      <c r="CC38" s="1745"/>
      <c r="CD38" s="1749"/>
      <c r="CE38" s="1741"/>
      <c r="CF38" s="1741"/>
      <c r="CG38" s="1741"/>
      <c r="CH38" s="1741"/>
      <c r="CI38" s="1741"/>
      <c r="CJ38" s="1741"/>
      <c r="CK38" s="1741"/>
      <c r="CL38" s="1741"/>
      <c r="CM38" s="1741"/>
      <c r="CN38" s="1728"/>
      <c r="CO38" s="1724"/>
      <c r="CP38" s="1724"/>
      <c r="CQ38" s="1724"/>
      <c r="CR38" s="1724"/>
      <c r="CS38" s="1724"/>
      <c r="CT38" s="1721">
        <f t="shared" si="38"/>
        <v>741.4074087200247</v>
      </c>
      <c r="CU38" s="1721">
        <f t="shared" si="39"/>
        <v>1546.8723095648675</v>
      </c>
      <c r="CV38" s="1721"/>
      <c r="CW38" s="1721"/>
      <c r="CX38" s="1721"/>
      <c r="CY38" s="1721"/>
      <c r="CZ38" s="1721"/>
      <c r="DA38" s="1721"/>
      <c r="DB38" s="1721"/>
      <c r="DC38" s="1721"/>
      <c r="DD38" s="1749"/>
      <c r="DE38" s="1713"/>
      <c r="DF38" s="1750"/>
      <c r="DG38" s="1751"/>
      <c r="DH38" s="1750"/>
      <c r="DI38" s="1750"/>
      <c r="DJ38" s="1750"/>
      <c r="DK38" s="1750"/>
      <c r="DL38" s="1752"/>
      <c r="DM38" s="1752"/>
      <c r="DN38" s="1752"/>
      <c r="DO38" s="1752"/>
      <c r="DP38" s="1752"/>
      <c r="DQ38" s="1752"/>
      <c r="DR38" s="1752"/>
      <c r="DS38" s="1753"/>
      <c r="DT38" s="1752"/>
      <c r="DU38" s="1752"/>
      <c r="DV38" s="1752"/>
      <c r="DW38" s="1752"/>
      <c r="DX38" s="2247"/>
      <c r="DY38" s="1752"/>
      <c r="DZ38" s="1750"/>
      <c r="EA38"/>
      <c r="EB38"/>
      <c r="EC38"/>
      <c r="ED38"/>
      <c r="EE38"/>
      <c r="EF38"/>
    </row>
    <row r="39" spans="1:136" ht="11.25" hidden="1" customHeight="1" outlineLevel="2">
      <c r="A39" s="145"/>
      <c r="B39" s="227"/>
      <c r="C39" s="145"/>
      <c r="D39" s="740"/>
      <c r="E39" s="228"/>
      <c r="F39" s="145"/>
      <c r="G39" s="145"/>
      <c r="H39" s="145"/>
      <c r="I39" s="228"/>
      <c r="J39" s="145"/>
      <c r="K39" s="145"/>
      <c r="L39" s="145"/>
      <c r="M39" s="228"/>
      <c r="N39" s="145"/>
      <c r="O39" s="145"/>
      <c r="P39" s="145"/>
      <c r="Q39" s="228"/>
      <c r="R39" s="145"/>
      <c r="S39" s="145"/>
      <c r="T39" s="145"/>
      <c r="U39" s="228"/>
      <c r="V39" s="145"/>
      <c r="W39" s="145"/>
      <c r="X39" s="145"/>
      <c r="Y39" s="228"/>
      <c r="Z39" s="550"/>
      <c r="AA39" s="550"/>
      <c r="AB39" s="550"/>
      <c r="AC39" s="643"/>
      <c r="AD39" s="641"/>
      <c r="AE39" s="641"/>
      <c r="AF39" s="641"/>
      <c r="AG39" s="641"/>
      <c r="AH39" s="1121"/>
      <c r="AI39" s="145"/>
      <c r="AJ39" s="145"/>
      <c r="AK39" s="228"/>
      <c r="AL39" s="145"/>
      <c r="AM39" s="145"/>
      <c r="AN39" s="145"/>
      <c r="AO39" s="228"/>
      <c r="AP39" s="145"/>
      <c r="AQ39" s="145"/>
      <c r="AR39" s="145"/>
      <c r="AS39" s="228"/>
      <c r="AT39" s="145"/>
      <c r="AU39" s="145"/>
      <c r="AV39" s="145"/>
      <c r="AW39" s="228"/>
      <c r="AX39" s="145"/>
      <c r="AY39" s="145"/>
      <c r="AZ39" s="145"/>
      <c r="BA39" s="228"/>
      <c r="BB39" s="145"/>
      <c r="BC39" s="145"/>
      <c r="BD39" s="1331"/>
      <c r="BE39" s="228"/>
      <c r="BF39" s="201"/>
      <c r="BG39" s="201"/>
      <c r="BH39" s="201"/>
      <c r="BI39" s="202"/>
      <c r="BJ39" s="1121"/>
      <c r="BK39" s="201"/>
      <c r="BL39" s="481"/>
      <c r="BM39" s="202"/>
      <c r="BN39" s="201"/>
      <c r="BO39" s="201"/>
      <c r="BP39" s="201"/>
      <c r="BQ39" s="202"/>
      <c r="BR39" s="201"/>
      <c r="BS39" s="201"/>
      <c r="BT39" s="201"/>
      <c r="BU39" s="202"/>
      <c r="BV39" s="201"/>
      <c r="BW39" s="201"/>
      <c r="BX39" s="201"/>
      <c r="BY39" s="202"/>
      <c r="BZ39" s="201"/>
      <c r="CA39" s="201"/>
      <c r="CB39" s="201"/>
      <c r="CC39" s="202"/>
      <c r="CD39" s="228"/>
      <c r="CE39" s="145"/>
      <c r="CF39" s="145"/>
      <c r="CG39" s="145"/>
      <c r="CH39" s="145"/>
      <c r="CI39" s="145"/>
      <c r="CJ39" s="145"/>
      <c r="CK39" s="145"/>
      <c r="CL39" s="145"/>
      <c r="CM39" s="145"/>
      <c r="CN39" s="145"/>
      <c r="CO39" s="145"/>
      <c r="CP39" s="145"/>
      <c r="CQ39" s="145"/>
      <c r="CR39" s="145"/>
      <c r="CS39" s="201"/>
      <c r="CT39" s="201"/>
      <c r="CU39" s="201"/>
      <c r="CV39" s="201"/>
      <c r="CW39" s="201"/>
      <c r="CX39" s="201"/>
      <c r="CY39" s="201"/>
      <c r="CZ39" s="201"/>
      <c r="DA39" s="201"/>
      <c r="DB39" s="201"/>
      <c r="DC39" s="201"/>
      <c r="DD39" s="1505"/>
      <c r="DE39" s="1551"/>
      <c r="DF39" s="141"/>
      <c r="DG39" s="215"/>
      <c r="DH39" s="141"/>
      <c r="DI39" s="141"/>
      <c r="DJ39" s="141"/>
      <c r="DK39" s="141"/>
      <c r="DL39" s="641"/>
      <c r="DM39" s="641"/>
      <c r="DN39" s="641"/>
      <c r="DO39" s="641"/>
      <c r="DP39" s="141"/>
      <c r="DQ39" s="141"/>
      <c r="DR39" s="141"/>
      <c r="DS39" s="215"/>
      <c r="DT39" s="141"/>
      <c r="DU39" s="141"/>
      <c r="DV39" s="141"/>
      <c r="DW39" s="141"/>
      <c r="DX39" s="2241"/>
      <c r="DY39" s="141"/>
      <c r="DZ39" s="1676"/>
    </row>
    <row r="40" spans="1:136" s="1727" customFormat="1" ht="11.25" hidden="1" customHeight="1" outlineLevel="2">
      <c r="A40" s="1741"/>
      <c r="B40" s="1742" t="s">
        <v>885</v>
      </c>
      <c r="C40" s="1754"/>
      <c r="D40" s="1754"/>
      <c r="E40" s="1755"/>
      <c r="F40" s="1756">
        <v>398.43</v>
      </c>
      <c r="G40" s="1757">
        <v>494.029</v>
      </c>
      <c r="H40" s="1757">
        <v>448.42800000000005</v>
      </c>
      <c r="I40" s="1758">
        <v>404.767</v>
      </c>
      <c r="J40" s="1756">
        <v>384.93599999999998</v>
      </c>
      <c r="K40" s="1757">
        <v>504.11200000000002</v>
      </c>
      <c r="L40" s="1757">
        <v>513.84900000000005</v>
      </c>
      <c r="M40" s="1758">
        <v>466.65400000000005</v>
      </c>
      <c r="N40" s="1756">
        <v>499.26600000000002</v>
      </c>
      <c r="O40" s="1757">
        <v>605.40899999999999</v>
      </c>
      <c r="P40" s="1757">
        <v>583.81899999999996</v>
      </c>
      <c r="Q40" s="1758">
        <v>568.58500000000004</v>
      </c>
      <c r="R40" s="1756">
        <v>618</v>
      </c>
      <c r="S40" s="1757">
        <v>693.01680169199642</v>
      </c>
      <c r="T40" s="1757">
        <v>626.29999999999995</v>
      </c>
      <c r="U40" s="1758">
        <v>647.89325088492831</v>
      </c>
      <c r="V40" s="1756">
        <v>710.4764957183221</v>
      </c>
      <c r="W40" s="1757">
        <v>804.7</v>
      </c>
      <c r="X40" s="1757">
        <v>752.9</v>
      </c>
      <c r="Y40" s="1758">
        <v>780.9</v>
      </c>
      <c r="Z40" s="1756">
        <v>831.6</v>
      </c>
      <c r="AA40" s="1757">
        <v>888.8</v>
      </c>
      <c r="AB40" s="1757">
        <v>910.9</v>
      </c>
      <c r="AC40" s="1759">
        <v>894.1</v>
      </c>
      <c r="AD40" s="1760">
        <v>1046</v>
      </c>
      <c r="AE40" s="1761">
        <v>1173</v>
      </c>
      <c r="AF40" s="1761">
        <v>1188</v>
      </c>
      <c r="AG40" s="1761">
        <v>1162</v>
      </c>
      <c r="AH40" s="1756">
        <v>1443</v>
      </c>
      <c r="AI40" s="1757">
        <v>1690.8</v>
      </c>
      <c r="AJ40" s="1757">
        <v>1634.42</v>
      </c>
      <c r="AK40" s="1758">
        <v>1568</v>
      </c>
      <c r="AL40" s="1757">
        <v>1685</v>
      </c>
      <c r="AM40" s="1757">
        <v>1533</v>
      </c>
      <c r="AN40" s="1757">
        <v>1339</v>
      </c>
      <c r="AO40" s="1758">
        <v>1558</v>
      </c>
      <c r="AP40" s="1761">
        <f>AP41+AP42+AP45+AP48</f>
        <v>1693.0511488400002</v>
      </c>
      <c r="AQ40" s="1761">
        <f t="shared" ref="AQ40:BH40" si="67">AQ41+AQ42+AQ45+AQ48</f>
        <v>1931.0599247499999</v>
      </c>
      <c r="AR40" s="1761">
        <f t="shared" si="67"/>
        <v>1975.1607485</v>
      </c>
      <c r="AS40" s="1759">
        <f t="shared" si="67"/>
        <v>1845.4346603015113</v>
      </c>
      <c r="AT40" s="1761">
        <f t="shared" si="67"/>
        <v>2000.0286711570002</v>
      </c>
      <c r="AU40" s="1761">
        <f t="shared" si="67"/>
        <v>1999.4178322750004</v>
      </c>
      <c r="AV40" s="1761">
        <f t="shared" si="67"/>
        <v>1841.9468782173003</v>
      </c>
      <c r="AW40" s="1759">
        <f>AW41+AW42+AW45+AW48</f>
        <v>1933.6860662528125</v>
      </c>
      <c r="AX40" s="1761">
        <f t="shared" si="67"/>
        <v>2152.565385935196</v>
      </c>
      <c r="AY40" s="1761">
        <f t="shared" si="67"/>
        <v>1346.6213286634995</v>
      </c>
      <c r="AZ40" s="1761">
        <f t="shared" si="67"/>
        <v>1957.8280386563097</v>
      </c>
      <c r="BA40" s="1759">
        <f>BA41+BA42+BA45+BA48</f>
        <v>3242.8997089799432</v>
      </c>
      <c r="BB40" s="1761">
        <f t="shared" si="67"/>
        <v>2803.6095215450373</v>
      </c>
      <c r="BC40" s="1761">
        <f t="shared" si="67"/>
        <v>2727.0801996310906</v>
      </c>
      <c r="BD40" s="1761">
        <f t="shared" si="67"/>
        <v>2665</v>
      </c>
      <c r="BE40" s="1759">
        <f>BE41+BE42+BE45+BE48</f>
        <v>2643.0020621932777</v>
      </c>
      <c r="BF40" s="1761">
        <f t="shared" si="67"/>
        <v>2668.9898191622578</v>
      </c>
      <c r="BG40" s="1761">
        <f t="shared" si="67"/>
        <v>2776.0085899858295</v>
      </c>
      <c r="BH40" s="1761">
        <f t="shared" si="67"/>
        <v>2587.9795699008332</v>
      </c>
      <c r="BI40" s="1759">
        <f t="shared" ref="BI40:BP40" si="68">BI41+BI42+BI45+BI48</f>
        <v>2573.0188462934257</v>
      </c>
      <c r="BJ40" s="1761">
        <f t="shared" si="68"/>
        <v>2749.7449846551863</v>
      </c>
      <c r="BK40" s="1761">
        <f t="shared" si="68"/>
        <v>2692.6971047949737</v>
      </c>
      <c r="BL40" s="1761">
        <f t="shared" si="68"/>
        <v>2480.1005203896239</v>
      </c>
      <c r="BM40" s="1759">
        <f t="shared" si="68"/>
        <v>2237.7636050585706</v>
      </c>
      <c r="BN40" s="1761">
        <f t="shared" si="68"/>
        <v>2383.0497307821224</v>
      </c>
      <c r="BO40" s="1761">
        <f t="shared" si="68"/>
        <v>2371.8496851637292</v>
      </c>
      <c r="BP40" s="1761">
        <f t="shared" si="68"/>
        <v>2025.97098374966</v>
      </c>
      <c r="BQ40" s="1759">
        <f>BQ41+BQ42+BQ45+BQ48+BQ51</f>
        <v>2403.1182245686009</v>
      </c>
      <c r="BR40" s="1761">
        <f>BR41+BR42+BR45+BR48+BR51</f>
        <v>3115.081982620964</v>
      </c>
      <c r="BS40" s="1761"/>
      <c r="BT40" s="1761"/>
      <c r="BU40" s="1759"/>
      <c r="BV40" s="1761"/>
      <c r="BW40" s="1761"/>
      <c r="BX40" s="1761"/>
      <c r="BY40" s="1759"/>
      <c r="BZ40" s="1761"/>
      <c r="CA40" s="1761"/>
      <c r="CB40" s="1761"/>
      <c r="CC40" s="1759"/>
      <c r="CD40" s="1749"/>
      <c r="CE40" s="1750">
        <f>SUM(F40:I40)</f>
        <v>1745.6540000000002</v>
      </c>
      <c r="CF40" s="1741">
        <f>SUM(J40:M40)</f>
        <v>1869.5509999999999</v>
      </c>
      <c r="CG40" s="1741">
        <f>SUM(N40:Q40)</f>
        <v>2257.0789999999997</v>
      </c>
      <c r="CH40" s="1741">
        <f>SUM(R40:U40)</f>
        <v>2585.2100525769247</v>
      </c>
      <c r="CI40" s="1741">
        <f>SUM(V40:Y40)</f>
        <v>3048.9764957183224</v>
      </c>
      <c r="CJ40" s="1741">
        <f>SUM(Z40:AC40)</f>
        <v>3525.4</v>
      </c>
      <c r="CK40" s="1741">
        <f>SUM(AD40:AG40)</f>
        <v>4569</v>
      </c>
      <c r="CL40" s="1741">
        <f>SUM(AH40:AK40)</f>
        <v>6336.22</v>
      </c>
      <c r="CM40" s="1741">
        <f>SUM(AL40:AO40)</f>
        <v>6115</v>
      </c>
      <c r="CN40" s="1741">
        <f>SUM(AP40:AS40)</f>
        <v>7444.7064823915116</v>
      </c>
      <c r="CO40" s="1741">
        <f>SUM(AT40:AW40)</f>
        <v>7775.0794479021133</v>
      </c>
      <c r="CP40" s="1741">
        <f>SUM(AX40:BA40)</f>
        <v>8699.9144622349486</v>
      </c>
      <c r="CQ40" s="1741">
        <f>SUM(BB40:BE40)</f>
        <v>10838.691783369406</v>
      </c>
      <c r="CR40" s="1741">
        <f t="shared" ref="CR40:CR50" si="69">SUM(BF40:BI40)</f>
        <v>10605.996825342347</v>
      </c>
      <c r="CS40" s="1741">
        <f t="shared" ref="CS40:CS50" si="70">SUM(BJ40:BM40)</f>
        <v>10160.306214898355</v>
      </c>
      <c r="CT40" s="1741">
        <f t="shared" ref="CT40:CT51" si="71">SUM(BN40:BQ40)</f>
        <v>9183.9886242641132</v>
      </c>
      <c r="CU40" s="1761">
        <f t="shared" ref="CU40:CU51" si="72">SUM(BR40:BU40)</f>
        <v>3115.081982620964</v>
      </c>
      <c r="CV40" s="1761"/>
      <c r="CW40" s="1761"/>
      <c r="CX40" s="1761"/>
      <c r="CY40" s="1761"/>
      <c r="CZ40" s="1761"/>
      <c r="DA40" s="1761"/>
      <c r="DB40" s="1761"/>
      <c r="DC40" s="1761"/>
      <c r="DD40" s="1749"/>
      <c r="DE40" s="1713"/>
      <c r="DF40" s="1750"/>
      <c r="DG40" s="1751">
        <f>SUM(H40:K40)</f>
        <v>1742.2430000000002</v>
      </c>
      <c r="DH40" s="1750">
        <f>SUM(L40:O40)</f>
        <v>2085.1780000000003</v>
      </c>
      <c r="DI40" s="1750">
        <f>SUM(P40:S40)</f>
        <v>2463.4208016919965</v>
      </c>
      <c r="DJ40" s="1750">
        <f>SUM(T40:W40)</f>
        <v>2789.36974660325</v>
      </c>
      <c r="DK40" s="1750">
        <f>SUM(X40:AA40)</f>
        <v>3254.2</v>
      </c>
      <c r="DL40" s="1752">
        <f>SUM(AB40:AE40)</f>
        <v>4024</v>
      </c>
      <c r="DM40" s="1752">
        <f>SUM(AF40:AI40)</f>
        <v>5483.8</v>
      </c>
      <c r="DN40" s="1752">
        <f>SUM(AJ40:AM40)</f>
        <v>6420.42</v>
      </c>
      <c r="DO40" s="1752">
        <f>SUM(AN40:AQ40)</f>
        <v>6521.1110735900002</v>
      </c>
      <c r="DP40" s="1752">
        <f t="shared" ref="DP40:DP50" si="73">SUM(AR40:AU40)</f>
        <v>7820.0419122335124</v>
      </c>
      <c r="DQ40" s="1752">
        <f t="shared" ref="DQ40:DQ50" si="74">SUM(AV40:AY40)</f>
        <v>7274.8196590688076</v>
      </c>
      <c r="DR40" s="1752">
        <f t="shared" ref="DR40:DR50" si="75">SUM(AZ40:BC40)</f>
        <v>10731.41746881238</v>
      </c>
      <c r="DS40" s="1753">
        <f>SUM(BD40:BG40)</f>
        <v>10753.000471341365</v>
      </c>
      <c r="DT40" s="1752">
        <f>SUM(BH40:BK40)</f>
        <v>10603.440505644419</v>
      </c>
      <c r="DU40" s="1752">
        <f>SUM(BL40:BO40)</f>
        <v>9472.7635413940461</v>
      </c>
      <c r="DV40" s="1752">
        <f>SUM(BP40:BS40)</f>
        <v>7544.1711909392252</v>
      </c>
      <c r="DW40" s="1752">
        <f>SUM(BT40:BW40)</f>
        <v>0</v>
      </c>
      <c r="DX40" s="2247">
        <f>SUM(BX40:CA40)</f>
        <v>0</v>
      </c>
      <c r="DY40" s="1752"/>
      <c r="DZ40" s="1750"/>
      <c r="EA40"/>
      <c r="EB40"/>
      <c r="EC40"/>
      <c r="ED40"/>
      <c r="EE40"/>
      <c r="EF40"/>
    </row>
    <row r="41" spans="1:136" s="1727" customFormat="1" ht="11.25" hidden="1" customHeight="1" outlineLevel="2">
      <c r="A41" s="1728"/>
      <c r="B41" s="1729"/>
      <c r="C41" s="1727" t="s">
        <v>665</v>
      </c>
      <c r="E41" s="1730"/>
      <c r="F41" s="1762"/>
      <c r="G41" s="1763"/>
      <c r="H41" s="1763"/>
      <c r="I41" s="1764"/>
      <c r="J41" s="1762"/>
      <c r="K41" s="1763"/>
      <c r="L41" s="1763"/>
      <c r="M41" s="1764"/>
      <c r="N41" s="1762"/>
      <c r="O41" s="1763"/>
      <c r="P41" s="1763"/>
      <c r="Q41" s="1764"/>
      <c r="R41" s="1762"/>
      <c r="S41" s="1763"/>
      <c r="T41" s="1763"/>
      <c r="U41" s="1764"/>
      <c r="V41" s="1762"/>
      <c r="W41" s="1763"/>
      <c r="X41" s="1763"/>
      <c r="Y41" s="1764"/>
      <c r="Z41" s="1762"/>
      <c r="AA41" s="1763"/>
      <c r="AB41" s="1763"/>
      <c r="AC41" s="1765"/>
      <c r="AD41" s="1766"/>
      <c r="AE41" s="1767"/>
      <c r="AF41" s="1767"/>
      <c r="AG41" s="1767"/>
      <c r="AH41" s="1762"/>
      <c r="AI41" s="1763"/>
      <c r="AJ41" s="1763"/>
      <c r="AK41" s="1763"/>
      <c r="AL41" s="1762"/>
      <c r="AM41" s="1763"/>
      <c r="AN41" s="1763"/>
      <c r="AO41" s="1764"/>
      <c r="AP41" s="1763">
        <f t="shared" ref="AP41:BR41" si="76">AP28*(1-AP523)</f>
        <v>37.15209940000004</v>
      </c>
      <c r="AQ41" s="1763">
        <f t="shared" si="76"/>
        <v>31.956875999999763</v>
      </c>
      <c r="AR41" s="1763">
        <f t="shared" si="76"/>
        <v>25.61226799999999</v>
      </c>
      <c r="AS41" s="1764">
        <f t="shared" si="76"/>
        <v>36.741110201511269</v>
      </c>
      <c r="AT41" s="1763">
        <f t="shared" si="76"/>
        <v>94.298001139999997</v>
      </c>
      <c r="AU41" s="1767">
        <f t="shared" si="76"/>
        <v>15.47724000000016</v>
      </c>
      <c r="AV41" s="1763">
        <f t="shared" si="76"/>
        <v>8.7769520645003745</v>
      </c>
      <c r="AW41" s="1764">
        <f t="shared" si="76"/>
        <v>27.225508990312711</v>
      </c>
      <c r="AX41" s="1763">
        <f t="shared" si="76"/>
        <v>26.255515453096304</v>
      </c>
      <c r="AY41" s="1763">
        <f t="shared" si="76"/>
        <v>20.543429259424883</v>
      </c>
      <c r="AZ41" s="1763">
        <f t="shared" si="76"/>
        <v>17.391377379755586</v>
      </c>
      <c r="BA41" s="1764">
        <f t="shared" si="76"/>
        <v>95.3316580711179</v>
      </c>
      <c r="BB41" s="1763">
        <f t="shared" si="76"/>
        <v>112.96547238144767</v>
      </c>
      <c r="BC41" s="1763">
        <f t="shared" si="76"/>
        <v>105.561953946244</v>
      </c>
      <c r="BD41" s="1763">
        <f t="shared" si="76"/>
        <v>65.442565685003004</v>
      </c>
      <c r="BE41" s="1764">
        <f t="shared" si="76"/>
        <v>94.164931101206093</v>
      </c>
      <c r="BF41" s="1763">
        <f t="shared" si="76"/>
        <v>115.55885116134651</v>
      </c>
      <c r="BG41" s="1763">
        <f t="shared" si="76"/>
        <v>112.13774677695892</v>
      </c>
      <c r="BH41" s="1763">
        <f t="shared" si="76"/>
        <v>113.59387752745249</v>
      </c>
      <c r="BI41" s="1764">
        <f t="shared" si="76"/>
        <v>67.087551771868107</v>
      </c>
      <c r="BJ41" s="1763">
        <f t="shared" si="76"/>
        <v>107.07335999999999</v>
      </c>
      <c r="BK41" s="1763">
        <f t="shared" si="76"/>
        <v>128.58203132144621</v>
      </c>
      <c r="BL41" s="1763">
        <f t="shared" si="76"/>
        <v>120.86764333303482</v>
      </c>
      <c r="BM41" s="1764">
        <f t="shared" si="76"/>
        <v>159.44690753228869</v>
      </c>
      <c r="BN41" s="1762">
        <f t="shared" si="76"/>
        <v>170.6303865932976</v>
      </c>
      <c r="BO41" s="1763">
        <f t="shared" si="76"/>
        <v>175.53107924561064</v>
      </c>
      <c r="BP41" s="1763">
        <f t="shared" si="76"/>
        <v>144.89257926610409</v>
      </c>
      <c r="BQ41" s="1764">
        <f t="shared" si="76"/>
        <v>136.29691911471335</v>
      </c>
      <c r="BR41" s="1762">
        <f t="shared" si="76"/>
        <v>139.41908562343642</v>
      </c>
      <c r="BS41" s="1763"/>
      <c r="BT41" s="1763"/>
      <c r="BU41" s="1764"/>
      <c r="BV41" s="1762"/>
      <c r="BW41" s="1763"/>
      <c r="BX41" s="1763"/>
      <c r="BY41" s="1764"/>
      <c r="BZ41" s="1762"/>
      <c r="CA41" s="1763"/>
      <c r="CB41" s="1763"/>
      <c r="CC41" s="1764"/>
      <c r="CD41" s="1735"/>
      <c r="CE41" s="1737"/>
      <c r="CF41" s="1728"/>
      <c r="CG41" s="1728"/>
      <c r="CH41" s="1728"/>
      <c r="CI41" s="1728"/>
      <c r="CJ41" s="1728"/>
      <c r="CK41" s="1728"/>
      <c r="CL41" s="1728"/>
      <c r="CM41" s="1728"/>
      <c r="CN41" s="1728"/>
      <c r="CO41" s="1728"/>
      <c r="CP41" s="1728"/>
      <c r="CQ41" s="1728"/>
      <c r="CR41" s="1728">
        <f t="shared" si="69"/>
        <v>408.37802723762604</v>
      </c>
      <c r="CS41" s="1728">
        <f t="shared" si="70"/>
        <v>515.96994218676969</v>
      </c>
      <c r="CT41" s="1728">
        <f t="shared" si="71"/>
        <v>627.35096421972571</v>
      </c>
      <c r="CU41" s="1763">
        <f t="shared" si="72"/>
        <v>139.41908562343642</v>
      </c>
      <c r="CV41" s="1763"/>
      <c r="CW41" s="1763"/>
      <c r="CX41" s="1763"/>
      <c r="CY41" s="1763"/>
      <c r="CZ41" s="1763"/>
      <c r="DA41" s="1763"/>
      <c r="DB41" s="1763"/>
      <c r="DC41" s="1763"/>
      <c r="DD41" s="1735"/>
      <c r="DE41" s="1713"/>
      <c r="DF41" s="1737"/>
      <c r="DG41" s="1738"/>
      <c r="DH41" s="1737"/>
      <c r="DI41" s="1737"/>
      <c r="DJ41" s="1737"/>
      <c r="DK41" s="1737"/>
      <c r="DL41" s="1719"/>
      <c r="DM41" s="1719"/>
      <c r="DN41" s="1719"/>
      <c r="DO41" s="1719"/>
      <c r="DP41" s="1719">
        <f t="shared" si="73"/>
        <v>172.12861934151141</v>
      </c>
      <c r="DQ41" s="1719">
        <f t="shared" si="74"/>
        <v>82.801405767334273</v>
      </c>
      <c r="DR41" s="1719">
        <f t="shared" si="75"/>
        <v>331.25046177856512</v>
      </c>
      <c r="DS41" s="1739"/>
      <c r="DT41" s="1737"/>
      <c r="DU41" s="1737"/>
      <c r="DV41" s="1737"/>
      <c r="DW41" s="1737"/>
      <c r="DX41" s="2248"/>
      <c r="DY41" s="1737"/>
      <c r="DZ41" s="1737"/>
      <c r="EA41"/>
      <c r="EB41"/>
      <c r="EC41"/>
      <c r="ED41"/>
      <c r="EE41"/>
      <c r="EF41"/>
    </row>
    <row r="42" spans="1:136" s="1727" customFormat="1" ht="11.25" hidden="1" customHeight="1" outlineLevel="2">
      <c r="A42" s="1741"/>
      <c r="B42" s="1742"/>
      <c r="C42" s="1743" t="s">
        <v>575</v>
      </c>
      <c r="D42" s="1743"/>
      <c r="E42" s="1744"/>
      <c r="F42" s="1756"/>
      <c r="G42" s="1757"/>
      <c r="H42" s="1757"/>
      <c r="I42" s="1758"/>
      <c r="J42" s="1756"/>
      <c r="K42" s="1757"/>
      <c r="L42" s="1757"/>
      <c r="M42" s="1758"/>
      <c r="N42" s="1756"/>
      <c r="O42" s="1757"/>
      <c r="P42" s="1757"/>
      <c r="Q42" s="1758"/>
      <c r="R42" s="1756"/>
      <c r="S42" s="1757"/>
      <c r="T42" s="1757"/>
      <c r="U42" s="1758"/>
      <c r="V42" s="1756"/>
      <c r="W42" s="1757"/>
      <c r="X42" s="1757"/>
      <c r="Y42" s="1758"/>
      <c r="Z42" s="1756"/>
      <c r="AA42" s="1757"/>
      <c r="AB42" s="1757"/>
      <c r="AC42" s="1759"/>
      <c r="AD42" s="1760"/>
      <c r="AE42" s="1761"/>
      <c r="AF42" s="1761"/>
      <c r="AG42" s="1761"/>
      <c r="AH42" s="1756"/>
      <c r="AI42" s="1757"/>
      <c r="AJ42" s="1757"/>
      <c r="AK42" s="1757"/>
      <c r="AL42" s="1756"/>
      <c r="AM42" s="1757"/>
      <c r="AN42" s="1757"/>
      <c r="AO42" s="1758"/>
      <c r="AP42" s="1757">
        <f t="shared" ref="AP42:AU42" si="77">AP43+AP44</f>
        <v>93.130200000000002</v>
      </c>
      <c r="AQ42" s="1757">
        <f t="shared" si="77"/>
        <v>121.62850000000002</v>
      </c>
      <c r="AR42" s="1757">
        <f t="shared" si="77"/>
        <v>134.292</v>
      </c>
      <c r="AS42" s="1758">
        <f t="shared" si="77"/>
        <v>131.65752000000001</v>
      </c>
      <c r="AT42" s="1757">
        <f t="shared" si="77"/>
        <v>131.893125</v>
      </c>
      <c r="AU42" s="1757">
        <f t="shared" si="77"/>
        <v>127.04750000000001</v>
      </c>
      <c r="AV42" s="1757">
        <f t="shared" ref="AV42:BD42" si="78">AV43+AV44</f>
        <v>126.09178239999997</v>
      </c>
      <c r="AW42" s="1758">
        <f t="shared" si="78"/>
        <v>131.88589154999997</v>
      </c>
      <c r="AX42" s="1757">
        <f t="shared" si="78"/>
        <v>130.45670912449995</v>
      </c>
      <c r="AY42" s="1757">
        <f t="shared" si="78"/>
        <v>114.01709249765997</v>
      </c>
      <c r="AZ42" s="1757">
        <f t="shared" si="78"/>
        <v>239.18138892709118</v>
      </c>
      <c r="BA42" s="1758">
        <f t="shared" si="78"/>
        <v>603.46356695128748</v>
      </c>
      <c r="BB42" s="1757">
        <f t="shared" si="78"/>
        <v>445.43637335166176</v>
      </c>
      <c r="BC42" s="1757">
        <f t="shared" si="78"/>
        <v>491.67705860168235</v>
      </c>
      <c r="BD42" s="1757">
        <f t="shared" si="78"/>
        <v>517.34176322611108</v>
      </c>
      <c r="BE42" s="1758">
        <f t="shared" ref="BE42:BM42" si="79">BE43+BE44</f>
        <v>558.01510742436358</v>
      </c>
      <c r="BF42" s="1757">
        <f t="shared" si="79"/>
        <v>541.21264076632224</v>
      </c>
      <c r="BG42" s="1757">
        <f t="shared" si="79"/>
        <v>557.57723838873676</v>
      </c>
      <c r="BH42" s="1757">
        <f t="shared" si="79"/>
        <v>492.8737848705814</v>
      </c>
      <c r="BI42" s="1758">
        <f>BI43+BI44</f>
        <v>479.4160206786147</v>
      </c>
      <c r="BJ42" s="1757">
        <f>BJ43+BJ44</f>
        <v>530.47474412955899</v>
      </c>
      <c r="BK42" s="1757">
        <f>BK43+BK44</f>
        <v>557.07794730058879</v>
      </c>
      <c r="BL42" s="1757">
        <f t="shared" si="79"/>
        <v>534.79766121472062</v>
      </c>
      <c r="BM42" s="1758">
        <f t="shared" si="79"/>
        <v>509.55438236449891</v>
      </c>
      <c r="BN42" s="1756">
        <f>BN43+BN44</f>
        <v>510.97534595476333</v>
      </c>
      <c r="BO42" s="1757">
        <f>BO43+BO44</f>
        <v>504.37847879742014</v>
      </c>
      <c r="BP42" s="1757">
        <f>BP43+BP44</f>
        <v>443.05850407874209</v>
      </c>
      <c r="BQ42" s="1758">
        <f>BQ43+BQ44</f>
        <v>424.75663524254969</v>
      </c>
      <c r="BR42" s="1756">
        <f>BR43+BR44</f>
        <v>439.08036046797719</v>
      </c>
      <c r="BS42" s="1757"/>
      <c r="BT42" s="1757"/>
      <c r="BU42" s="1758"/>
      <c r="BV42" s="1756"/>
      <c r="BW42" s="1757"/>
      <c r="BX42" s="1757"/>
      <c r="BY42" s="1758"/>
      <c r="BZ42" s="1756"/>
      <c r="CA42" s="1757"/>
      <c r="CB42" s="1757"/>
      <c r="CC42" s="1758"/>
      <c r="CD42" s="1749"/>
      <c r="CE42" s="1750"/>
      <c r="CF42" s="1741"/>
      <c r="CG42" s="1741"/>
      <c r="CH42" s="1741"/>
      <c r="CI42" s="1741"/>
      <c r="CJ42" s="1741"/>
      <c r="CK42" s="1741"/>
      <c r="CL42" s="1741"/>
      <c r="CM42" s="1741"/>
      <c r="CN42" s="1741">
        <f t="shared" ref="CN42:CN50" si="80">SUM(AP42:AS42)</f>
        <v>480.70821999999998</v>
      </c>
      <c r="CO42" s="1741">
        <f t="shared" ref="CO42:CO50" si="81">SUM(AT42:AW42)</f>
        <v>516.91829895000001</v>
      </c>
      <c r="CP42" s="1741">
        <f t="shared" ref="CP42:CP50" si="82">SUM(AX42:BA42)</f>
        <v>1087.1187575005385</v>
      </c>
      <c r="CQ42" s="1741">
        <f t="shared" ref="CQ42:CQ50" si="83">SUM(BB42:BE42)</f>
        <v>2012.4703026038187</v>
      </c>
      <c r="CR42" s="1741">
        <f t="shared" si="69"/>
        <v>2071.0796847042552</v>
      </c>
      <c r="CS42" s="1741">
        <f t="shared" si="70"/>
        <v>2131.904735009367</v>
      </c>
      <c r="CT42" s="1741">
        <f t="shared" si="71"/>
        <v>1883.1689640734753</v>
      </c>
      <c r="CU42" s="1757">
        <f t="shared" si="72"/>
        <v>439.08036046797719</v>
      </c>
      <c r="CV42" s="1757"/>
      <c r="CW42" s="1757"/>
      <c r="CX42" s="1757"/>
      <c r="CY42" s="1757"/>
      <c r="CZ42" s="1757"/>
      <c r="DA42" s="1757"/>
      <c r="DB42" s="1757"/>
      <c r="DC42" s="1757"/>
      <c r="DD42" s="1749"/>
      <c r="DE42" s="1713"/>
      <c r="DF42" s="1750"/>
      <c r="DG42" s="1751"/>
      <c r="DH42" s="1750"/>
      <c r="DI42" s="1750"/>
      <c r="DJ42" s="1750"/>
      <c r="DK42" s="1750"/>
      <c r="DL42" s="1752"/>
      <c r="DM42" s="1752"/>
      <c r="DN42" s="1752"/>
      <c r="DO42" s="1752"/>
      <c r="DP42" s="1752">
        <f t="shared" si="73"/>
        <v>524.89014500000008</v>
      </c>
      <c r="DQ42" s="1752">
        <f t="shared" si="74"/>
        <v>502.45147557215989</v>
      </c>
      <c r="DR42" s="1752">
        <f t="shared" si="75"/>
        <v>1779.7583878317228</v>
      </c>
      <c r="DS42" s="1753"/>
      <c r="DT42" s="1737"/>
      <c r="DU42" s="1737"/>
      <c r="DV42" s="1737"/>
      <c r="DW42" s="1737"/>
      <c r="DX42" s="2248"/>
      <c r="DY42" s="1737"/>
      <c r="DZ42" s="1750"/>
      <c r="EA42"/>
      <c r="EB42"/>
      <c r="EC42"/>
      <c r="ED42"/>
      <c r="EE42"/>
      <c r="EF42"/>
    </row>
    <row r="43" spans="1:136" s="1727" customFormat="1" ht="11.25" hidden="1" customHeight="1" outlineLevel="2">
      <c r="A43" s="1728"/>
      <c r="B43" s="1729"/>
      <c r="D43" s="1727" t="s">
        <v>663</v>
      </c>
      <c r="E43" s="1730"/>
      <c r="F43" s="1762"/>
      <c r="G43" s="1763"/>
      <c r="H43" s="1763"/>
      <c r="I43" s="1764"/>
      <c r="J43" s="1762"/>
      <c r="K43" s="1763"/>
      <c r="L43" s="1763"/>
      <c r="M43" s="1764"/>
      <c r="N43" s="1762"/>
      <c r="O43" s="1763"/>
      <c r="P43" s="1763"/>
      <c r="Q43" s="1764"/>
      <c r="R43" s="1762"/>
      <c r="S43" s="1763"/>
      <c r="T43" s="1763"/>
      <c r="U43" s="1764"/>
      <c r="V43" s="1762"/>
      <c r="W43" s="1763"/>
      <c r="X43" s="1763"/>
      <c r="Y43" s="1764"/>
      <c r="Z43" s="1762"/>
      <c r="AA43" s="1763"/>
      <c r="AB43" s="1763"/>
      <c r="AC43" s="1765"/>
      <c r="AD43" s="1766"/>
      <c r="AE43" s="1767"/>
      <c r="AF43" s="1767"/>
      <c r="AG43" s="1767"/>
      <c r="AH43" s="1762"/>
      <c r="AI43" s="1763"/>
      <c r="AJ43" s="1763"/>
      <c r="AK43" s="1763"/>
      <c r="AL43" s="1762"/>
      <c r="AM43" s="1763"/>
      <c r="AN43" s="1763"/>
      <c r="AO43" s="1764"/>
      <c r="AP43" s="1763">
        <f t="shared" ref="AP43:BR43" si="84">AP30*(1-AP525)</f>
        <v>0</v>
      </c>
      <c r="AQ43" s="1763">
        <f t="shared" si="84"/>
        <v>0</v>
      </c>
      <c r="AR43" s="1763">
        <f t="shared" si="84"/>
        <v>0</v>
      </c>
      <c r="AS43" s="1764">
        <f t="shared" si="84"/>
        <v>0</v>
      </c>
      <c r="AT43" s="1763">
        <f t="shared" si="84"/>
        <v>0</v>
      </c>
      <c r="AU43" s="1767">
        <f t="shared" si="84"/>
        <v>0</v>
      </c>
      <c r="AV43" s="1763">
        <f t="shared" si="84"/>
        <v>0</v>
      </c>
      <c r="AW43" s="1764">
        <f t="shared" si="84"/>
        <v>0</v>
      </c>
      <c r="AX43" s="1763">
        <f t="shared" si="84"/>
        <v>0</v>
      </c>
      <c r="AY43" s="1763">
        <f t="shared" si="84"/>
        <v>0</v>
      </c>
      <c r="AZ43" s="1763">
        <f t="shared" si="84"/>
        <v>37</v>
      </c>
      <c r="BA43" s="1764">
        <f t="shared" si="84"/>
        <v>341.65800000000007</v>
      </c>
      <c r="BB43" s="1763">
        <f t="shared" si="84"/>
        <v>253.86897689999998</v>
      </c>
      <c r="BC43" s="1763">
        <f t="shared" si="84"/>
        <v>274.38159023352006</v>
      </c>
      <c r="BD43" s="1763">
        <f t="shared" si="84"/>
        <v>273.48720424278378</v>
      </c>
      <c r="BE43" s="1764">
        <f t="shared" si="84"/>
        <v>277.56216358600119</v>
      </c>
      <c r="BF43" s="1763">
        <f t="shared" si="84"/>
        <v>279.42738132529917</v>
      </c>
      <c r="BG43" s="1763">
        <f t="shared" si="84"/>
        <v>281.94474512102266</v>
      </c>
      <c r="BH43" s="1763">
        <f t="shared" si="84"/>
        <v>255.10561927653774</v>
      </c>
      <c r="BI43" s="1764">
        <f t="shared" si="84"/>
        <v>247.50347182209691</v>
      </c>
      <c r="BJ43" s="1763">
        <f t="shared" si="84"/>
        <v>262.96383188042819</v>
      </c>
      <c r="BK43" s="1763">
        <f t="shared" si="84"/>
        <v>267.58213417782815</v>
      </c>
      <c r="BL43" s="1763">
        <f t="shared" si="84"/>
        <v>277.63790422799769</v>
      </c>
      <c r="BM43" s="1764">
        <f t="shared" si="84"/>
        <v>260.28676370004968</v>
      </c>
      <c r="BN43" s="1762">
        <f t="shared" si="84"/>
        <v>255.58473989788735</v>
      </c>
      <c r="BO43" s="1763">
        <f t="shared" si="84"/>
        <v>236.54197287722874</v>
      </c>
      <c r="BP43" s="1763">
        <f t="shared" si="84"/>
        <v>197.66438172696795</v>
      </c>
      <c r="BQ43" s="1764">
        <f t="shared" si="84"/>
        <v>174.07483438713084</v>
      </c>
      <c r="BR43" s="1762">
        <f t="shared" si="84"/>
        <v>171.60011720659173</v>
      </c>
      <c r="BS43" s="1763"/>
      <c r="BT43" s="1763"/>
      <c r="BU43" s="1764"/>
      <c r="BV43" s="1762"/>
      <c r="BW43" s="1763"/>
      <c r="BX43" s="1763"/>
      <c r="BY43" s="1764"/>
      <c r="BZ43" s="1762"/>
      <c r="CA43" s="1763"/>
      <c r="CB43" s="1763"/>
      <c r="CC43" s="1764"/>
      <c r="CD43" s="1735"/>
      <c r="CE43" s="1737"/>
      <c r="CF43" s="1728"/>
      <c r="CG43" s="1728"/>
      <c r="CH43" s="1728"/>
      <c r="CI43" s="1728"/>
      <c r="CJ43" s="1728"/>
      <c r="CK43" s="1728"/>
      <c r="CL43" s="1728"/>
      <c r="CM43" s="1728"/>
      <c r="CN43" s="1728">
        <f t="shared" si="80"/>
        <v>0</v>
      </c>
      <c r="CO43" s="1728">
        <f t="shared" si="81"/>
        <v>0</v>
      </c>
      <c r="CP43" s="1728">
        <f t="shared" si="82"/>
        <v>378.65800000000007</v>
      </c>
      <c r="CQ43" s="1728">
        <f t="shared" si="83"/>
        <v>1079.2999349623049</v>
      </c>
      <c r="CR43" s="1728">
        <f t="shared" si="69"/>
        <v>1063.9812175449565</v>
      </c>
      <c r="CS43" s="1728">
        <f t="shared" si="70"/>
        <v>1068.4706339863037</v>
      </c>
      <c r="CT43" s="1728">
        <f t="shared" si="71"/>
        <v>863.86592888921484</v>
      </c>
      <c r="CU43" s="1763">
        <f t="shared" si="72"/>
        <v>171.60011720659173</v>
      </c>
      <c r="CV43" s="1763"/>
      <c r="CW43" s="1763"/>
      <c r="CX43" s="1763"/>
      <c r="CY43" s="1763"/>
      <c r="CZ43" s="1763"/>
      <c r="DA43" s="1763"/>
      <c r="DB43" s="1763"/>
      <c r="DC43" s="1763"/>
      <c r="DD43" s="1735"/>
      <c r="DE43" s="1713"/>
      <c r="DF43" s="1737"/>
      <c r="DG43" s="1738"/>
      <c r="DH43" s="1737"/>
      <c r="DI43" s="1737"/>
      <c r="DJ43" s="1737"/>
      <c r="DK43" s="1737"/>
      <c r="DL43" s="1719"/>
      <c r="DM43" s="1719"/>
      <c r="DN43" s="1719"/>
      <c r="DO43" s="1719"/>
      <c r="DP43" s="1719">
        <f t="shared" si="73"/>
        <v>0</v>
      </c>
      <c r="DQ43" s="1719">
        <f t="shared" si="74"/>
        <v>0</v>
      </c>
      <c r="DR43" s="1719">
        <f t="shared" si="75"/>
        <v>906.90856713352014</v>
      </c>
      <c r="DS43" s="1739"/>
      <c r="DT43" s="1737"/>
      <c r="DU43" s="1737"/>
      <c r="DV43" s="1737"/>
      <c r="DW43" s="1737"/>
      <c r="DX43" s="2248"/>
      <c r="DY43" s="1737"/>
      <c r="DZ43" s="1737"/>
      <c r="EA43"/>
      <c r="EB43"/>
      <c r="EC43"/>
      <c r="ED43"/>
      <c r="EE43"/>
      <c r="EF43"/>
    </row>
    <row r="44" spans="1:136" s="1727" customFormat="1" ht="11.25" hidden="1" customHeight="1" outlineLevel="2">
      <c r="A44" s="1728"/>
      <c r="B44" s="1729"/>
      <c r="D44" s="1727" t="s">
        <v>664</v>
      </c>
      <c r="E44" s="1730"/>
      <c r="F44" s="1762"/>
      <c r="G44" s="1763"/>
      <c r="H44" s="1763"/>
      <c r="I44" s="1764"/>
      <c r="J44" s="1762"/>
      <c r="K44" s="1763"/>
      <c r="L44" s="1763"/>
      <c r="M44" s="1764"/>
      <c r="N44" s="1762"/>
      <c r="O44" s="1763"/>
      <c r="P44" s="1763"/>
      <c r="Q44" s="1764"/>
      <c r="R44" s="1762"/>
      <c r="S44" s="1763"/>
      <c r="T44" s="1763"/>
      <c r="U44" s="1764"/>
      <c r="V44" s="1762"/>
      <c r="W44" s="1763"/>
      <c r="X44" s="1763"/>
      <c r="Y44" s="1764"/>
      <c r="Z44" s="1762"/>
      <c r="AA44" s="1763"/>
      <c r="AB44" s="1763"/>
      <c r="AC44" s="1765"/>
      <c r="AD44" s="1766"/>
      <c r="AE44" s="1767"/>
      <c r="AF44" s="1767"/>
      <c r="AG44" s="1767"/>
      <c r="AH44" s="1762"/>
      <c r="AI44" s="1763"/>
      <c r="AJ44" s="1763"/>
      <c r="AK44" s="1763"/>
      <c r="AL44" s="1762"/>
      <c r="AM44" s="1763"/>
      <c r="AN44" s="1763"/>
      <c r="AO44" s="1764"/>
      <c r="AP44" s="1763">
        <f t="shared" ref="AP44:BR44" si="85">AP31*(1-AP526)</f>
        <v>93.130200000000002</v>
      </c>
      <c r="AQ44" s="1763">
        <f t="shared" si="85"/>
        <v>121.62850000000002</v>
      </c>
      <c r="AR44" s="1763">
        <f t="shared" si="85"/>
        <v>134.292</v>
      </c>
      <c r="AS44" s="1764">
        <f t="shared" si="85"/>
        <v>131.65752000000001</v>
      </c>
      <c r="AT44" s="1763">
        <f t="shared" si="85"/>
        <v>131.893125</v>
      </c>
      <c r="AU44" s="1767">
        <f t="shared" si="85"/>
        <v>127.04750000000001</v>
      </c>
      <c r="AV44" s="1763">
        <f t="shared" si="85"/>
        <v>126.09178239999997</v>
      </c>
      <c r="AW44" s="1764">
        <f t="shared" si="85"/>
        <v>131.88589154999997</v>
      </c>
      <c r="AX44" s="1763">
        <f t="shared" si="85"/>
        <v>130.45670912449995</v>
      </c>
      <c r="AY44" s="1763">
        <f t="shared" si="85"/>
        <v>114.01709249765997</v>
      </c>
      <c r="AZ44" s="1763">
        <f t="shared" si="85"/>
        <v>202.18138892709118</v>
      </c>
      <c r="BA44" s="1764">
        <f t="shared" si="85"/>
        <v>261.80556695128735</v>
      </c>
      <c r="BB44" s="1763">
        <f t="shared" si="85"/>
        <v>191.56739645166178</v>
      </c>
      <c r="BC44" s="1763">
        <f t="shared" si="85"/>
        <v>217.29546836816226</v>
      </c>
      <c r="BD44" s="1763">
        <f t="shared" si="85"/>
        <v>243.85455898332731</v>
      </c>
      <c r="BE44" s="1764">
        <f t="shared" si="85"/>
        <v>280.45294383836233</v>
      </c>
      <c r="BF44" s="1763">
        <f t="shared" si="85"/>
        <v>261.78525944102302</v>
      </c>
      <c r="BG44" s="1763">
        <f t="shared" si="85"/>
        <v>275.63249326771415</v>
      </c>
      <c r="BH44" s="1763">
        <f t="shared" si="85"/>
        <v>237.76816559404369</v>
      </c>
      <c r="BI44" s="1764">
        <f t="shared" si="85"/>
        <v>231.91254885651782</v>
      </c>
      <c r="BJ44" s="1763">
        <f t="shared" si="85"/>
        <v>267.51091224913074</v>
      </c>
      <c r="BK44" s="1763">
        <f t="shared" si="85"/>
        <v>289.49581312276064</v>
      </c>
      <c r="BL44" s="1763">
        <f t="shared" si="85"/>
        <v>257.15975698672287</v>
      </c>
      <c r="BM44" s="1764">
        <f t="shared" si="85"/>
        <v>249.26761866444923</v>
      </c>
      <c r="BN44" s="1762">
        <f t="shared" si="85"/>
        <v>255.39060605687598</v>
      </c>
      <c r="BO44" s="1763">
        <f t="shared" si="85"/>
        <v>267.83650592019137</v>
      </c>
      <c r="BP44" s="1763">
        <f t="shared" si="85"/>
        <v>245.39412235177412</v>
      </c>
      <c r="BQ44" s="1764">
        <f t="shared" si="85"/>
        <v>250.68180085541886</v>
      </c>
      <c r="BR44" s="1762">
        <f t="shared" si="85"/>
        <v>267.48024326138545</v>
      </c>
      <c r="BS44" s="1763"/>
      <c r="BT44" s="1763"/>
      <c r="BU44" s="1764"/>
      <c r="BV44" s="1762"/>
      <c r="BW44" s="1763"/>
      <c r="BX44" s="1763"/>
      <c r="BY44" s="1764"/>
      <c r="BZ44" s="1762"/>
      <c r="CA44" s="1763"/>
      <c r="CB44" s="1763"/>
      <c r="CC44" s="1764"/>
      <c r="CD44" s="1735"/>
      <c r="CE44" s="1737"/>
      <c r="CF44" s="1728"/>
      <c r="CG44" s="1728"/>
      <c r="CH44" s="1728"/>
      <c r="CI44" s="1728"/>
      <c r="CJ44" s="1728"/>
      <c r="CK44" s="1728"/>
      <c r="CL44" s="1728"/>
      <c r="CM44" s="1728"/>
      <c r="CN44" s="1728">
        <f t="shared" si="80"/>
        <v>480.70821999999998</v>
      </c>
      <c r="CO44" s="1728">
        <f t="shared" si="81"/>
        <v>516.91829895000001</v>
      </c>
      <c r="CP44" s="1728">
        <f t="shared" si="82"/>
        <v>708.46075750053842</v>
      </c>
      <c r="CQ44" s="1728">
        <f t="shared" si="83"/>
        <v>933.17036764151374</v>
      </c>
      <c r="CR44" s="1728">
        <f t="shared" si="69"/>
        <v>1007.0984671592987</v>
      </c>
      <c r="CS44" s="1728">
        <f t="shared" si="70"/>
        <v>1063.4341010230635</v>
      </c>
      <c r="CT44" s="1728">
        <f t="shared" si="71"/>
        <v>1019.3030351842602</v>
      </c>
      <c r="CU44" s="1763">
        <f t="shared" si="72"/>
        <v>267.48024326138545</v>
      </c>
      <c r="CV44" s="1763"/>
      <c r="CW44" s="1763"/>
      <c r="CX44" s="1763"/>
      <c r="CY44" s="1763"/>
      <c r="CZ44" s="1763"/>
      <c r="DA44" s="1763"/>
      <c r="DB44" s="1763"/>
      <c r="DC44" s="1763"/>
      <c r="DD44" s="1735"/>
      <c r="DE44" s="1713"/>
      <c r="DF44" s="1737"/>
      <c r="DG44" s="1738"/>
      <c r="DH44" s="1737"/>
      <c r="DI44" s="1737"/>
      <c r="DJ44" s="1737"/>
      <c r="DK44" s="1737"/>
      <c r="DL44" s="1719"/>
      <c r="DM44" s="1719"/>
      <c r="DN44" s="1719"/>
      <c r="DO44" s="1719"/>
      <c r="DP44" s="1719">
        <f t="shared" si="73"/>
        <v>524.89014500000008</v>
      </c>
      <c r="DQ44" s="1719">
        <f t="shared" si="74"/>
        <v>502.45147557215989</v>
      </c>
      <c r="DR44" s="1719">
        <f t="shared" si="75"/>
        <v>872.84982069820251</v>
      </c>
      <c r="DS44" s="1739"/>
      <c r="DT44" s="1737"/>
      <c r="DU44" s="1737"/>
      <c r="DV44" s="1737"/>
      <c r="DW44" s="1737"/>
      <c r="DX44" s="2248"/>
      <c r="DY44" s="1737"/>
      <c r="DZ44" s="1737"/>
      <c r="EA44"/>
      <c r="EB44"/>
      <c r="EC44"/>
      <c r="ED44"/>
      <c r="EE44"/>
      <c r="EF44"/>
    </row>
    <row r="45" spans="1:136" s="1727" customFormat="1" ht="11.25" hidden="1" customHeight="1" outlineLevel="2">
      <c r="A45" s="1741"/>
      <c r="B45" s="1742"/>
      <c r="C45" s="1743" t="s">
        <v>186</v>
      </c>
      <c r="D45" s="1743"/>
      <c r="E45" s="1744"/>
      <c r="F45" s="1756"/>
      <c r="G45" s="1757"/>
      <c r="H45" s="1757"/>
      <c r="I45" s="1758"/>
      <c r="J45" s="1756"/>
      <c r="K45" s="1757"/>
      <c r="L45" s="1757"/>
      <c r="M45" s="1758"/>
      <c r="N45" s="1756"/>
      <c r="O45" s="1757"/>
      <c r="P45" s="1757"/>
      <c r="Q45" s="1758"/>
      <c r="R45" s="1756"/>
      <c r="S45" s="1757"/>
      <c r="T45" s="1757"/>
      <c r="U45" s="1758"/>
      <c r="V45" s="1756"/>
      <c r="W45" s="1757"/>
      <c r="X45" s="1757"/>
      <c r="Y45" s="1758"/>
      <c r="Z45" s="1756"/>
      <c r="AA45" s="1757"/>
      <c r="AB45" s="1757"/>
      <c r="AC45" s="1759"/>
      <c r="AD45" s="1760"/>
      <c r="AE45" s="1761"/>
      <c r="AF45" s="1761"/>
      <c r="AG45" s="1761"/>
      <c r="AH45" s="1756"/>
      <c r="AI45" s="1757"/>
      <c r="AJ45" s="1757"/>
      <c r="AK45" s="1757"/>
      <c r="AL45" s="1756"/>
      <c r="AM45" s="1757"/>
      <c r="AN45" s="1757"/>
      <c r="AO45" s="1758"/>
      <c r="AP45" s="1757">
        <f t="shared" ref="AP45:AU45" si="86">AP46+AP47</f>
        <v>1208.09644944</v>
      </c>
      <c r="AQ45" s="1757">
        <f t="shared" si="86"/>
        <v>1266.17326875</v>
      </c>
      <c r="AR45" s="1757">
        <f t="shared" si="86"/>
        <v>1349.3294155000001</v>
      </c>
      <c r="AS45" s="1758">
        <f t="shared" si="86"/>
        <v>1237.6112301000001</v>
      </c>
      <c r="AT45" s="1757">
        <f t="shared" si="86"/>
        <v>1305.2547950170001</v>
      </c>
      <c r="AU45" s="1757">
        <f t="shared" si="86"/>
        <v>1324.593717275</v>
      </c>
      <c r="AV45" s="1757">
        <f t="shared" ref="AV45:BD45" si="87">AV46+AV47</f>
        <v>1247.2121000028001</v>
      </c>
      <c r="AW45" s="1758">
        <f t="shared" si="87"/>
        <v>1309.9902838749999</v>
      </c>
      <c r="AX45" s="1757">
        <f t="shared" si="87"/>
        <v>1426.1879901808497</v>
      </c>
      <c r="AY45" s="1757">
        <f t="shared" si="87"/>
        <v>923.34918784137255</v>
      </c>
      <c r="AZ45" s="1757">
        <f t="shared" si="87"/>
        <v>1393.9364059967702</v>
      </c>
      <c r="BA45" s="1758">
        <f t="shared" si="87"/>
        <v>2116.3989026015784</v>
      </c>
      <c r="BB45" s="1757">
        <f t="shared" si="87"/>
        <v>1661.2872734237442</v>
      </c>
      <c r="BC45" s="1757">
        <f t="shared" si="87"/>
        <v>1530.1004730250711</v>
      </c>
      <c r="BD45" s="1757">
        <f t="shared" si="87"/>
        <v>1526.6121022232367</v>
      </c>
      <c r="BE45" s="1758">
        <f t="shared" ref="BE45:BM45" si="88">BE46+BE47</f>
        <v>1507.6754109327198</v>
      </c>
      <c r="BF45" s="1757">
        <f t="shared" si="88"/>
        <v>1457.2082377763645</v>
      </c>
      <c r="BG45" s="1757">
        <f t="shared" si="88"/>
        <v>1459.6231617347391</v>
      </c>
      <c r="BH45" s="1757">
        <f t="shared" si="88"/>
        <v>1390.508089515552</v>
      </c>
      <c r="BI45" s="1758">
        <f>BI46+BI47</f>
        <v>1386.4505418182607</v>
      </c>
      <c r="BJ45" s="1757">
        <f>BJ46+BJ47</f>
        <v>1438.6720345006784</v>
      </c>
      <c r="BK45" s="1757">
        <f>BK46+BK47</f>
        <v>1344.9857308403662</v>
      </c>
      <c r="BL45" s="1757">
        <f t="shared" si="88"/>
        <v>1220.6738028753816</v>
      </c>
      <c r="BM45" s="1758">
        <f t="shared" si="88"/>
        <v>1006.9425101870372</v>
      </c>
      <c r="BN45" s="1756">
        <f>BN46+BN47</f>
        <v>1033.6433326221425</v>
      </c>
      <c r="BO45" s="1757">
        <f>BO46+BO47</f>
        <v>1067.4665168340498</v>
      </c>
      <c r="BP45" s="1757">
        <f>BP46+BP47</f>
        <v>909.96899855036736</v>
      </c>
      <c r="BQ45" s="1758">
        <f>BQ46+BQ47</f>
        <v>761.67563446543318</v>
      </c>
      <c r="BR45" s="1756">
        <f>BR46+BR47</f>
        <v>902.36429964912179</v>
      </c>
      <c r="BS45" s="1757"/>
      <c r="BT45" s="1757"/>
      <c r="BU45" s="1758"/>
      <c r="BV45" s="1756"/>
      <c r="BW45" s="1757"/>
      <c r="BX45" s="1757"/>
      <c r="BY45" s="1758"/>
      <c r="BZ45" s="1756"/>
      <c r="CA45" s="1757"/>
      <c r="CB45" s="1757"/>
      <c r="CC45" s="1758"/>
      <c r="CD45" s="1749"/>
      <c r="CE45" s="1750"/>
      <c r="CF45" s="1741"/>
      <c r="CG45" s="1741"/>
      <c r="CH45" s="1741"/>
      <c r="CI45" s="1741"/>
      <c r="CJ45" s="1741"/>
      <c r="CK45" s="1741"/>
      <c r="CL45" s="1741"/>
      <c r="CM45" s="1741"/>
      <c r="CN45" s="1741">
        <f t="shared" si="80"/>
        <v>5061.2103637900009</v>
      </c>
      <c r="CO45" s="1741">
        <f t="shared" si="81"/>
        <v>5187.0508961697997</v>
      </c>
      <c r="CP45" s="1741">
        <f t="shared" si="82"/>
        <v>5859.8724866205703</v>
      </c>
      <c r="CQ45" s="1741">
        <f t="shared" si="83"/>
        <v>6225.6752596047718</v>
      </c>
      <c r="CR45" s="1741">
        <f t="shared" si="69"/>
        <v>5693.7900308449161</v>
      </c>
      <c r="CS45" s="1741">
        <f t="shared" si="70"/>
        <v>5011.2740784034631</v>
      </c>
      <c r="CT45" s="1741">
        <f t="shared" si="71"/>
        <v>3772.7544824719926</v>
      </c>
      <c r="CU45" s="1757">
        <f t="shared" si="72"/>
        <v>902.36429964912179</v>
      </c>
      <c r="CV45" s="1757"/>
      <c r="CW45" s="1757"/>
      <c r="CX45" s="1757"/>
      <c r="CY45" s="1757"/>
      <c r="CZ45" s="1757"/>
      <c r="DA45" s="1757"/>
      <c r="DB45" s="1757"/>
      <c r="DC45" s="1757"/>
      <c r="DD45" s="1749"/>
      <c r="DE45" s="1713"/>
      <c r="DF45" s="1750"/>
      <c r="DG45" s="1751"/>
      <c r="DH45" s="1750"/>
      <c r="DI45" s="1750"/>
      <c r="DJ45" s="1750"/>
      <c r="DK45" s="1750"/>
      <c r="DL45" s="1752"/>
      <c r="DM45" s="1752"/>
      <c r="DN45" s="1752"/>
      <c r="DO45" s="1752"/>
      <c r="DP45" s="1752">
        <f t="shared" si="73"/>
        <v>5216.7891578920007</v>
      </c>
      <c r="DQ45" s="1752">
        <f t="shared" si="74"/>
        <v>4906.7395619000226</v>
      </c>
      <c r="DR45" s="1752">
        <f t="shared" si="75"/>
        <v>6701.7230550471631</v>
      </c>
      <c r="DS45" s="1753"/>
      <c r="DT45" s="1750"/>
      <c r="DU45" s="1750"/>
      <c r="DV45" s="1750"/>
      <c r="DW45" s="1750"/>
      <c r="DX45" s="2249"/>
      <c r="DY45" s="1750"/>
      <c r="DZ45" s="1750"/>
      <c r="EA45"/>
      <c r="EB45"/>
      <c r="EC45"/>
      <c r="ED45"/>
      <c r="EE45"/>
      <c r="EF45"/>
    </row>
    <row r="46" spans="1:136" s="1727" customFormat="1" ht="11.25" hidden="1" customHeight="1" outlineLevel="2">
      <c r="A46" s="1728"/>
      <c r="B46" s="1729"/>
      <c r="D46" s="1727" t="s">
        <v>680</v>
      </c>
      <c r="E46" s="1730"/>
      <c r="F46" s="1762"/>
      <c r="G46" s="1763"/>
      <c r="H46" s="1763"/>
      <c r="I46" s="1764"/>
      <c r="J46" s="1762"/>
      <c r="K46" s="1763"/>
      <c r="L46" s="1763"/>
      <c r="M46" s="1764"/>
      <c r="N46" s="1762"/>
      <c r="O46" s="1763"/>
      <c r="P46" s="1763"/>
      <c r="Q46" s="1764"/>
      <c r="R46" s="1762"/>
      <c r="S46" s="1763"/>
      <c r="T46" s="1763"/>
      <c r="U46" s="1764"/>
      <c r="V46" s="1762"/>
      <c r="W46" s="1763"/>
      <c r="X46" s="1763"/>
      <c r="Y46" s="1764"/>
      <c r="Z46" s="1762"/>
      <c r="AA46" s="1763"/>
      <c r="AB46" s="1763"/>
      <c r="AC46" s="1765"/>
      <c r="AD46" s="1766"/>
      <c r="AE46" s="1767"/>
      <c r="AF46" s="1767"/>
      <c r="AG46" s="1767"/>
      <c r="AH46" s="1762"/>
      <c r="AI46" s="1763"/>
      <c r="AJ46" s="1763"/>
      <c r="AK46" s="1763"/>
      <c r="AL46" s="1762"/>
      <c r="AM46" s="1763"/>
      <c r="AN46" s="1763"/>
      <c r="AO46" s="1764"/>
      <c r="AP46" s="1763">
        <f t="shared" ref="AP46:BR46" si="89">AP33*(1-AP528)</f>
        <v>581.02531199999999</v>
      </c>
      <c r="AQ46" s="1763">
        <f t="shared" si="89"/>
        <v>615.58185000000003</v>
      </c>
      <c r="AR46" s="1763">
        <f t="shared" si="89"/>
        <v>605.37312000000009</v>
      </c>
      <c r="AS46" s="1764">
        <f t="shared" si="89"/>
        <v>569.71381500000007</v>
      </c>
      <c r="AT46" s="1763">
        <f t="shared" si="89"/>
        <v>583.99731250000002</v>
      </c>
      <c r="AU46" s="1767">
        <f t="shared" si="89"/>
        <v>616.34171249999997</v>
      </c>
      <c r="AV46" s="1763">
        <f t="shared" si="89"/>
        <v>563.48440053749994</v>
      </c>
      <c r="AW46" s="1764">
        <f t="shared" si="89"/>
        <v>570.42912107999985</v>
      </c>
      <c r="AX46" s="1763">
        <f t="shared" si="89"/>
        <v>687.59741804324995</v>
      </c>
      <c r="AY46" s="1763">
        <f t="shared" si="89"/>
        <v>432.73207740262495</v>
      </c>
      <c r="AZ46" s="1763">
        <f t="shared" si="89"/>
        <v>752.42056936378083</v>
      </c>
      <c r="BA46" s="1764">
        <f t="shared" si="89"/>
        <v>1308.1469553417867</v>
      </c>
      <c r="BB46" s="1763">
        <f t="shared" si="89"/>
        <v>1022.4712711301715</v>
      </c>
      <c r="BC46" s="1763">
        <f t="shared" si="89"/>
        <v>854.5799554926009</v>
      </c>
      <c r="BD46" s="1763">
        <f t="shared" si="89"/>
        <v>844.05279237568141</v>
      </c>
      <c r="BE46" s="1764">
        <f t="shared" si="89"/>
        <v>916.21956074593766</v>
      </c>
      <c r="BF46" s="1763">
        <f t="shared" si="89"/>
        <v>848.83279413633727</v>
      </c>
      <c r="BG46" s="1763">
        <f t="shared" si="89"/>
        <v>856.36233224214504</v>
      </c>
      <c r="BH46" s="1763">
        <f t="shared" si="89"/>
        <v>806.84632082797225</v>
      </c>
      <c r="BI46" s="1764">
        <f t="shared" si="89"/>
        <v>830.03825170197774</v>
      </c>
      <c r="BJ46" s="1763">
        <f t="shared" si="89"/>
        <v>865.78298921628459</v>
      </c>
      <c r="BK46" s="1763">
        <f t="shared" si="89"/>
        <v>798.52303570322476</v>
      </c>
      <c r="BL46" s="1763">
        <f t="shared" si="89"/>
        <v>722.15719740797215</v>
      </c>
      <c r="BM46" s="1764">
        <f t="shared" si="89"/>
        <v>585.71062622327804</v>
      </c>
      <c r="BN46" s="1762">
        <f t="shared" si="89"/>
        <v>604.06429368302031</v>
      </c>
      <c r="BO46" s="1763">
        <f t="shared" si="89"/>
        <v>595.5915276125246</v>
      </c>
      <c r="BP46" s="1763">
        <f t="shared" si="89"/>
        <v>515.14605863419456</v>
      </c>
      <c r="BQ46" s="1764">
        <f t="shared" si="89"/>
        <v>454.95396790074977</v>
      </c>
      <c r="BR46" s="1762">
        <f t="shared" si="89"/>
        <v>561.37807571621556</v>
      </c>
      <c r="BS46" s="1763"/>
      <c r="BT46" s="1763"/>
      <c r="BU46" s="1764"/>
      <c r="BV46" s="1762"/>
      <c r="BW46" s="1763"/>
      <c r="BX46" s="1763"/>
      <c r="BY46" s="1764"/>
      <c r="BZ46" s="1762"/>
      <c r="CA46" s="1763"/>
      <c r="CB46" s="1763"/>
      <c r="CC46" s="1764"/>
      <c r="CD46" s="1735"/>
      <c r="CE46" s="1737"/>
      <c r="CF46" s="1728"/>
      <c r="CG46" s="1728"/>
      <c r="CH46" s="1728"/>
      <c r="CI46" s="1728"/>
      <c r="CJ46" s="1728"/>
      <c r="CK46" s="1728"/>
      <c r="CL46" s="1728"/>
      <c r="CM46" s="1728"/>
      <c r="CN46" s="1728">
        <f t="shared" si="80"/>
        <v>2371.6940970000001</v>
      </c>
      <c r="CO46" s="1728">
        <f t="shared" si="81"/>
        <v>2334.2525466174998</v>
      </c>
      <c r="CP46" s="1728">
        <f t="shared" si="82"/>
        <v>3180.8970201514421</v>
      </c>
      <c r="CQ46" s="1728">
        <f t="shared" si="83"/>
        <v>3637.3235797443913</v>
      </c>
      <c r="CR46" s="1728">
        <f t="shared" si="69"/>
        <v>3342.079698908432</v>
      </c>
      <c r="CS46" s="1728">
        <f t="shared" si="70"/>
        <v>2972.1738485507594</v>
      </c>
      <c r="CT46" s="1728">
        <f t="shared" si="71"/>
        <v>2169.7558478304891</v>
      </c>
      <c r="CU46" s="1763">
        <f t="shared" si="72"/>
        <v>561.37807571621556</v>
      </c>
      <c r="CV46" s="1763"/>
      <c r="CW46" s="1763"/>
      <c r="CX46" s="1763"/>
      <c r="CY46" s="1763"/>
      <c r="CZ46" s="1763"/>
      <c r="DA46" s="1763"/>
      <c r="DB46" s="1763"/>
      <c r="DC46" s="1763"/>
      <c r="DD46" s="1735"/>
      <c r="DE46" s="1713"/>
      <c r="DF46" s="1737"/>
      <c r="DG46" s="1738"/>
      <c r="DH46" s="1737"/>
      <c r="DI46" s="1737"/>
      <c r="DJ46" s="1737"/>
      <c r="DK46" s="1737"/>
      <c r="DL46" s="1719"/>
      <c r="DM46" s="1719"/>
      <c r="DN46" s="1719"/>
      <c r="DO46" s="1719"/>
      <c r="DP46" s="1719">
        <f t="shared" si="73"/>
        <v>2375.4259600000005</v>
      </c>
      <c r="DQ46" s="1719">
        <f t="shared" si="74"/>
        <v>2254.2430170633747</v>
      </c>
      <c r="DR46" s="1719">
        <f t="shared" si="75"/>
        <v>3937.6187513283394</v>
      </c>
      <c r="DS46" s="1739"/>
      <c r="DT46" s="1737"/>
      <c r="DU46" s="1737"/>
      <c r="DV46" s="1737"/>
      <c r="DW46" s="1737"/>
      <c r="DX46" s="2248"/>
      <c r="DY46" s="1737"/>
      <c r="DZ46" s="1737"/>
      <c r="EA46"/>
      <c r="EB46"/>
      <c r="EC46"/>
      <c r="ED46"/>
      <c r="EE46"/>
      <c r="EF46"/>
    </row>
    <row r="47" spans="1:136" s="1727" customFormat="1" ht="11.25" hidden="1" customHeight="1" outlineLevel="2">
      <c r="A47" s="1728"/>
      <c r="B47" s="1729"/>
      <c r="D47" s="1727" t="s">
        <v>679</v>
      </c>
      <c r="E47" s="1730"/>
      <c r="F47" s="1762"/>
      <c r="G47" s="1763"/>
      <c r="H47" s="1763"/>
      <c r="I47" s="1764"/>
      <c r="J47" s="1762"/>
      <c r="K47" s="1763"/>
      <c r="L47" s="1763"/>
      <c r="M47" s="1764"/>
      <c r="N47" s="1762"/>
      <c r="O47" s="1763"/>
      <c r="P47" s="1763"/>
      <c r="Q47" s="1764"/>
      <c r="R47" s="1762"/>
      <c r="S47" s="1763"/>
      <c r="T47" s="1763"/>
      <c r="U47" s="1764"/>
      <c r="V47" s="1762"/>
      <c r="W47" s="1763"/>
      <c r="X47" s="1763"/>
      <c r="Y47" s="1764"/>
      <c r="Z47" s="1762"/>
      <c r="AA47" s="1763"/>
      <c r="AB47" s="1763"/>
      <c r="AC47" s="1765"/>
      <c r="AD47" s="1766"/>
      <c r="AE47" s="1767"/>
      <c r="AF47" s="1767"/>
      <c r="AG47" s="1767"/>
      <c r="AH47" s="1762"/>
      <c r="AI47" s="1763"/>
      <c r="AJ47" s="1763"/>
      <c r="AK47" s="1763"/>
      <c r="AL47" s="1762"/>
      <c r="AM47" s="1763"/>
      <c r="AN47" s="1763"/>
      <c r="AO47" s="1764"/>
      <c r="AP47" s="1763">
        <f t="shared" ref="AP47:BR47" si="90">AP34*(1-AP529)</f>
        <v>627.07113744000003</v>
      </c>
      <c r="AQ47" s="1763">
        <f t="shared" si="90"/>
        <v>650.59141875</v>
      </c>
      <c r="AR47" s="1763">
        <f t="shared" si="90"/>
        <v>743.95629550000001</v>
      </c>
      <c r="AS47" s="1764">
        <f t="shared" si="90"/>
        <v>667.89741509999999</v>
      </c>
      <c r="AT47" s="1763">
        <f t="shared" si="90"/>
        <v>721.25748251699997</v>
      </c>
      <c r="AU47" s="1767">
        <f t="shared" si="90"/>
        <v>708.25200477499993</v>
      </c>
      <c r="AV47" s="1763">
        <f t="shared" si="90"/>
        <v>683.72769946530002</v>
      </c>
      <c r="AW47" s="1764">
        <f t="shared" si="90"/>
        <v>739.56116279499997</v>
      </c>
      <c r="AX47" s="1763">
        <f t="shared" si="90"/>
        <v>738.59057213759991</v>
      </c>
      <c r="AY47" s="1763">
        <f t="shared" si="90"/>
        <v>490.6171104387476</v>
      </c>
      <c r="AZ47" s="1763">
        <f t="shared" si="90"/>
        <v>641.51583663298948</v>
      </c>
      <c r="BA47" s="1764">
        <f t="shared" si="90"/>
        <v>808.25194725979156</v>
      </c>
      <c r="BB47" s="1763">
        <f t="shared" si="90"/>
        <v>638.81600229357264</v>
      </c>
      <c r="BC47" s="1763">
        <f t="shared" si="90"/>
        <v>675.52051753247019</v>
      </c>
      <c r="BD47" s="1763">
        <f t="shared" si="90"/>
        <v>682.55930984755526</v>
      </c>
      <c r="BE47" s="1764">
        <f t="shared" si="90"/>
        <v>591.45585018678219</v>
      </c>
      <c r="BF47" s="1763">
        <f t="shared" si="90"/>
        <v>608.37544364002713</v>
      </c>
      <c r="BG47" s="1763">
        <f t="shared" si="90"/>
        <v>603.2608294925941</v>
      </c>
      <c r="BH47" s="1763">
        <f t="shared" si="90"/>
        <v>583.66176868757964</v>
      </c>
      <c r="BI47" s="1764">
        <f t="shared" si="90"/>
        <v>556.41229011628297</v>
      </c>
      <c r="BJ47" s="1763">
        <f t="shared" si="90"/>
        <v>572.88904528439389</v>
      </c>
      <c r="BK47" s="1763">
        <f t="shared" si="90"/>
        <v>546.46269513714151</v>
      </c>
      <c r="BL47" s="1763">
        <f t="shared" si="90"/>
        <v>498.51660546740936</v>
      </c>
      <c r="BM47" s="1764">
        <f t="shared" si="90"/>
        <v>421.23188396375912</v>
      </c>
      <c r="BN47" s="1762">
        <f t="shared" si="90"/>
        <v>429.5790389391222</v>
      </c>
      <c r="BO47" s="1763">
        <f t="shared" si="90"/>
        <v>471.87498922152531</v>
      </c>
      <c r="BP47" s="1763">
        <f t="shared" si="90"/>
        <v>394.82293991617274</v>
      </c>
      <c r="BQ47" s="1764">
        <f t="shared" si="90"/>
        <v>306.7216665646834</v>
      </c>
      <c r="BR47" s="1762">
        <f t="shared" si="90"/>
        <v>340.98622393290623</v>
      </c>
      <c r="BS47" s="1763"/>
      <c r="BT47" s="1763"/>
      <c r="BU47" s="1764"/>
      <c r="BV47" s="1762"/>
      <c r="BW47" s="1763"/>
      <c r="BX47" s="1763"/>
      <c r="BY47" s="1764"/>
      <c r="BZ47" s="1762"/>
      <c r="CA47" s="1763"/>
      <c r="CB47" s="1763"/>
      <c r="CC47" s="1764"/>
      <c r="CD47" s="1735"/>
      <c r="CE47" s="1737"/>
      <c r="CF47" s="1728"/>
      <c r="CG47" s="1728"/>
      <c r="CH47" s="1728"/>
      <c r="CI47" s="1728"/>
      <c r="CJ47" s="1728"/>
      <c r="CK47" s="1728"/>
      <c r="CL47" s="1728"/>
      <c r="CM47" s="1728"/>
      <c r="CN47" s="1728">
        <f t="shared" si="80"/>
        <v>2689.5162667900004</v>
      </c>
      <c r="CO47" s="1728">
        <f t="shared" si="81"/>
        <v>2852.7983495523004</v>
      </c>
      <c r="CP47" s="1728">
        <f t="shared" si="82"/>
        <v>2678.9754664691286</v>
      </c>
      <c r="CQ47" s="1728">
        <f t="shared" si="83"/>
        <v>2588.3516798603805</v>
      </c>
      <c r="CR47" s="1728">
        <f t="shared" si="69"/>
        <v>2351.7103319364842</v>
      </c>
      <c r="CS47" s="1728">
        <f t="shared" si="70"/>
        <v>2039.1002298527039</v>
      </c>
      <c r="CT47" s="1728">
        <f t="shared" si="71"/>
        <v>1602.9986346415037</v>
      </c>
      <c r="CU47" s="1763">
        <f t="shared" si="72"/>
        <v>340.98622393290623</v>
      </c>
      <c r="CV47" s="1763"/>
      <c r="CW47" s="1763"/>
      <c r="CX47" s="1763"/>
      <c r="CY47" s="1763"/>
      <c r="CZ47" s="1763"/>
      <c r="DA47" s="1763"/>
      <c r="DB47" s="1763"/>
      <c r="DC47" s="1763"/>
      <c r="DD47" s="1735"/>
      <c r="DE47" s="1713"/>
      <c r="DF47" s="1737"/>
      <c r="DG47" s="1738"/>
      <c r="DH47" s="1737"/>
      <c r="DI47" s="1737"/>
      <c r="DJ47" s="1737"/>
      <c r="DK47" s="1737"/>
      <c r="DL47" s="1719"/>
      <c r="DM47" s="1719"/>
      <c r="DN47" s="1719"/>
      <c r="DO47" s="1719"/>
      <c r="DP47" s="1719">
        <f t="shared" si="73"/>
        <v>2841.3631978919998</v>
      </c>
      <c r="DQ47" s="1719">
        <f t="shared" si="74"/>
        <v>2652.4965448366474</v>
      </c>
      <c r="DR47" s="1719">
        <f t="shared" si="75"/>
        <v>2764.1043037188238</v>
      </c>
      <c r="DS47" s="1739"/>
      <c r="DT47" s="1737"/>
      <c r="DU47" s="1737"/>
      <c r="DV47" s="1737"/>
      <c r="DW47" s="1737"/>
      <c r="DX47" s="2248"/>
      <c r="DY47" s="1737"/>
      <c r="DZ47" s="1737"/>
      <c r="EA47"/>
      <c r="EB47"/>
      <c r="EC47"/>
      <c r="ED47"/>
      <c r="EE47"/>
      <c r="EF47"/>
    </row>
    <row r="48" spans="1:136" s="1727" customFormat="1" ht="11.25" hidden="1" customHeight="1" outlineLevel="2">
      <c r="A48" s="1741"/>
      <c r="B48" s="1742"/>
      <c r="C48" s="1743" t="s">
        <v>189</v>
      </c>
      <c r="D48" s="1743"/>
      <c r="E48" s="1744"/>
      <c r="F48" s="1756"/>
      <c r="G48" s="1757"/>
      <c r="H48" s="1757"/>
      <c r="I48" s="1758"/>
      <c r="J48" s="1756"/>
      <c r="K48" s="1757"/>
      <c r="L48" s="1757"/>
      <c r="M48" s="1758"/>
      <c r="N48" s="1756"/>
      <c r="O48" s="1757"/>
      <c r="P48" s="1757"/>
      <c r="Q48" s="1758"/>
      <c r="R48" s="1756"/>
      <c r="S48" s="1757"/>
      <c r="T48" s="1757"/>
      <c r="U48" s="1758"/>
      <c r="V48" s="1756"/>
      <c r="W48" s="1757"/>
      <c r="X48" s="1757"/>
      <c r="Y48" s="1758"/>
      <c r="Z48" s="1756"/>
      <c r="AA48" s="1757"/>
      <c r="AB48" s="1757"/>
      <c r="AC48" s="1759"/>
      <c r="AD48" s="1760"/>
      <c r="AE48" s="1761"/>
      <c r="AF48" s="1761"/>
      <c r="AG48" s="1761"/>
      <c r="AH48" s="1756"/>
      <c r="AI48" s="1757"/>
      <c r="AJ48" s="1757"/>
      <c r="AK48" s="1757"/>
      <c r="AL48" s="1756"/>
      <c r="AM48" s="1757"/>
      <c r="AN48" s="1757"/>
      <c r="AO48" s="1758"/>
      <c r="AP48" s="1757">
        <f t="shared" ref="AP48:AU48" si="91">AP49+AP50</f>
        <v>354.67240000000004</v>
      </c>
      <c r="AQ48" s="1757">
        <f t="shared" si="91"/>
        <v>511.30128000000002</v>
      </c>
      <c r="AR48" s="1757">
        <f t="shared" si="91"/>
        <v>465.92706499999997</v>
      </c>
      <c r="AS48" s="1758">
        <f t="shared" si="91"/>
        <v>439.4248</v>
      </c>
      <c r="AT48" s="1757">
        <f t="shared" si="91"/>
        <v>468.58275000000003</v>
      </c>
      <c r="AU48" s="1757">
        <f t="shared" si="91"/>
        <v>532.29937500000005</v>
      </c>
      <c r="AV48" s="1757">
        <f t="shared" ref="AV48:BD48" si="92">AV49+AV50</f>
        <v>459.8660437499999</v>
      </c>
      <c r="AW48" s="1758">
        <f t="shared" si="92"/>
        <v>464.58438183749996</v>
      </c>
      <c r="AX48" s="1757">
        <f t="shared" si="92"/>
        <v>569.66517117675005</v>
      </c>
      <c r="AY48" s="1757">
        <f t="shared" si="92"/>
        <v>288.71161906504199</v>
      </c>
      <c r="AZ48" s="1757">
        <f t="shared" si="92"/>
        <v>307.31886635269279</v>
      </c>
      <c r="BA48" s="1758">
        <f t="shared" si="92"/>
        <v>427.70558135595957</v>
      </c>
      <c r="BB48" s="1757">
        <f t="shared" si="92"/>
        <v>583.92040238818345</v>
      </c>
      <c r="BC48" s="1757">
        <f t="shared" si="92"/>
        <v>599.74071405809298</v>
      </c>
      <c r="BD48" s="1757">
        <f t="shared" si="92"/>
        <v>555.60356886564909</v>
      </c>
      <c r="BE48" s="1758">
        <f t="shared" ref="BE48:BM48" si="93">BE49+BE50</f>
        <v>483.14661273498814</v>
      </c>
      <c r="BF48" s="1757">
        <f t="shared" si="93"/>
        <v>555.01008945822468</v>
      </c>
      <c r="BG48" s="1757">
        <f t="shared" si="93"/>
        <v>646.67044308539494</v>
      </c>
      <c r="BH48" s="1757">
        <f t="shared" si="93"/>
        <v>591.0038179872472</v>
      </c>
      <c r="BI48" s="1758">
        <f>BI49+BI50</f>
        <v>640.06473202468192</v>
      </c>
      <c r="BJ48" s="1757">
        <f>BJ49+BJ50</f>
        <v>673.52484602494906</v>
      </c>
      <c r="BK48" s="1757">
        <f>BK49+BK50</f>
        <v>662.05139533257272</v>
      </c>
      <c r="BL48" s="1757">
        <f t="shared" si="93"/>
        <v>603.76141296648655</v>
      </c>
      <c r="BM48" s="1758">
        <f t="shared" si="93"/>
        <v>561.81980497474592</v>
      </c>
      <c r="BN48" s="1756">
        <f>BN49+BN50</f>
        <v>667.80066561191938</v>
      </c>
      <c r="BO48" s="1757">
        <f>BO49+BO50</f>
        <v>624.47361028664886</v>
      </c>
      <c r="BP48" s="1757">
        <f>BP49+BP50</f>
        <v>528.05090185444647</v>
      </c>
      <c r="BQ48" s="1758">
        <f>BQ49+BQ50</f>
        <v>634.06297298441223</v>
      </c>
      <c r="BR48" s="1756">
        <f>BR49+BR50</f>
        <v>726.76948657414891</v>
      </c>
      <c r="BS48" s="1757"/>
      <c r="BT48" s="1757"/>
      <c r="BU48" s="1758"/>
      <c r="BV48" s="1756"/>
      <c r="BW48" s="1757"/>
      <c r="BX48" s="1757"/>
      <c r="BY48" s="1758"/>
      <c r="BZ48" s="1756"/>
      <c r="CA48" s="1757"/>
      <c r="CB48" s="1757"/>
      <c r="CC48" s="1758"/>
      <c r="CD48" s="1749"/>
      <c r="CE48" s="1750"/>
      <c r="CF48" s="1741"/>
      <c r="CG48" s="1741"/>
      <c r="CH48" s="1741"/>
      <c r="CI48" s="1741"/>
      <c r="CJ48" s="1741"/>
      <c r="CK48" s="1741"/>
      <c r="CL48" s="1741"/>
      <c r="CM48" s="1741"/>
      <c r="CN48" s="1741">
        <f t="shared" si="80"/>
        <v>1771.3255449999999</v>
      </c>
      <c r="CO48" s="1741">
        <f t="shared" si="81"/>
        <v>1925.3325505874998</v>
      </c>
      <c r="CP48" s="1741">
        <f t="shared" si="82"/>
        <v>1593.4012379504443</v>
      </c>
      <c r="CQ48" s="1741">
        <f t="shared" si="83"/>
        <v>2222.4112980469135</v>
      </c>
      <c r="CR48" s="1741">
        <f t="shared" si="69"/>
        <v>2432.7490825555487</v>
      </c>
      <c r="CS48" s="1741">
        <f t="shared" si="70"/>
        <v>2501.1574592987545</v>
      </c>
      <c r="CT48" s="1741">
        <f t="shared" si="71"/>
        <v>2454.3881507374272</v>
      </c>
      <c r="CU48" s="1757">
        <f t="shared" si="72"/>
        <v>726.76948657414891</v>
      </c>
      <c r="CV48" s="1757"/>
      <c r="CW48" s="1757"/>
      <c r="CX48" s="1757"/>
      <c r="CY48" s="1757"/>
      <c r="CZ48" s="1757"/>
      <c r="DA48" s="1757"/>
      <c r="DB48" s="1757"/>
      <c r="DC48" s="1757"/>
      <c r="DD48" s="1749"/>
      <c r="DE48" s="1713"/>
      <c r="DF48" s="1750"/>
      <c r="DG48" s="1751"/>
      <c r="DH48" s="1750"/>
      <c r="DI48" s="1750"/>
      <c r="DJ48" s="1750"/>
      <c r="DK48" s="1750"/>
      <c r="DL48" s="1752"/>
      <c r="DM48" s="1752"/>
      <c r="DN48" s="1752"/>
      <c r="DO48" s="1752"/>
      <c r="DP48" s="1752">
        <f t="shared" si="73"/>
        <v>1906.2339900000002</v>
      </c>
      <c r="DQ48" s="1752">
        <f t="shared" si="74"/>
        <v>1782.8272158292918</v>
      </c>
      <c r="DR48" s="1752">
        <f t="shared" si="75"/>
        <v>1918.6855641549287</v>
      </c>
      <c r="DS48" s="1753"/>
      <c r="DT48" s="1750"/>
      <c r="DU48" s="1750"/>
      <c r="DV48" s="1750"/>
      <c r="DW48" s="1750"/>
      <c r="DX48" s="2249"/>
      <c r="DY48" s="1750"/>
      <c r="DZ48" s="1750"/>
      <c r="EA48"/>
      <c r="EB48"/>
      <c r="EC48"/>
      <c r="ED48"/>
      <c r="EE48"/>
      <c r="EF48"/>
    </row>
    <row r="49" spans="1:136" s="1727" customFormat="1" ht="11.25" hidden="1" customHeight="1" outlineLevel="2">
      <c r="A49" s="1728"/>
      <c r="B49" s="1729"/>
      <c r="D49" s="1727" t="s">
        <v>576</v>
      </c>
      <c r="E49" s="1730"/>
      <c r="F49" s="1762"/>
      <c r="G49" s="1763"/>
      <c r="H49" s="1763"/>
      <c r="I49" s="1764"/>
      <c r="J49" s="1762"/>
      <c r="K49" s="1763"/>
      <c r="L49" s="1763"/>
      <c r="M49" s="1764"/>
      <c r="N49" s="1762"/>
      <c r="O49" s="1763"/>
      <c r="P49" s="1763"/>
      <c r="Q49" s="1764"/>
      <c r="R49" s="1762"/>
      <c r="S49" s="1763"/>
      <c r="T49" s="1763"/>
      <c r="U49" s="1764"/>
      <c r="V49" s="1762"/>
      <c r="W49" s="1763"/>
      <c r="X49" s="1763"/>
      <c r="Y49" s="1764"/>
      <c r="Z49" s="1762"/>
      <c r="AA49" s="1763"/>
      <c r="AB49" s="1763"/>
      <c r="AC49" s="1765"/>
      <c r="AD49" s="1766"/>
      <c r="AE49" s="1767"/>
      <c r="AF49" s="1767"/>
      <c r="AG49" s="1767"/>
      <c r="AH49" s="1762"/>
      <c r="AI49" s="1763"/>
      <c r="AJ49" s="1763"/>
      <c r="AK49" s="1763"/>
      <c r="AL49" s="1762"/>
      <c r="AM49" s="1763"/>
      <c r="AN49" s="1763"/>
      <c r="AO49" s="1764"/>
      <c r="AP49" s="1763">
        <f t="shared" ref="AP49:BR49" si="94">AP36*(1-AP531)</f>
        <v>96.822400000000002</v>
      </c>
      <c r="AQ49" s="1763">
        <f t="shared" si="94"/>
        <v>127.22627999999999</v>
      </c>
      <c r="AR49" s="1763">
        <f t="shared" si="94"/>
        <v>148.36706500000003</v>
      </c>
      <c r="AS49" s="1764">
        <f t="shared" si="94"/>
        <v>163.4248</v>
      </c>
      <c r="AT49" s="1763">
        <f t="shared" si="94"/>
        <v>168.95775</v>
      </c>
      <c r="AU49" s="1767">
        <f t="shared" si="94"/>
        <v>150.09937500000001</v>
      </c>
      <c r="AV49" s="1763">
        <f t="shared" si="94"/>
        <v>146.75604374999998</v>
      </c>
      <c r="AW49" s="1764">
        <f t="shared" si="94"/>
        <v>195.27438183749996</v>
      </c>
      <c r="AX49" s="1763">
        <f t="shared" si="94"/>
        <v>224.92017117674996</v>
      </c>
      <c r="AY49" s="1763">
        <f t="shared" si="94"/>
        <v>91.91161906504199</v>
      </c>
      <c r="AZ49" s="1763">
        <f t="shared" si="94"/>
        <v>130.41886635269279</v>
      </c>
      <c r="BA49" s="1764">
        <f t="shared" si="94"/>
        <v>145.0406189499445</v>
      </c>
      <c r="BB49" s="1763">
        <f t="shared" si="94"/>
        <v>266.78743547089022</v>
      </c>
      <c r="BC49" s="1763">
        <f t="shared" si="94"/>
        <v>215.07213486110061</v>
      </c>
      <c r="BD49" s="1763">
        <f t="shared" si="94"/>
        <v>212.35098234264919</v>
      </c>
      <c r="BE49" s="1764">
        <f t="shared" si="94"/>
        <v>209.89383186110692</v>
      </c>
      <c r="BF49" s="1763">
        <f t="shared" si="94"/>
        <v>253.03434792852761</v>
      </c>
      <c r="BG49" s="1763">
        <f t="shared" si="94"/>
        <v>282.10636737307124</v>
      </c>
      <c r="BH49" s="1763">
        <f t="shared" si="94"/>
        <v>269.51648052530743</v>
      </c>
      <c r="BI49" s="1764">
        <f t="shared" si="94"/>
        <v>335.77970706585461</v>
      </c>
      <c r="BJ49" s="1763">
        <f t="shared" si="94"/>
        <v>325.82905150350746</v>
      </c>
      <c r="BK49" s="1763">
        <f t="shared" si="94"/>
        <v>290.48613066953766</v>
      </c>
      <c r="BL49" s="1763">
        <f t="shared" si="94"/>
        <v>283.37266921388516</v>
      </c>
      <c r="BM49" s="1764">
        <f t="shared" si="94"/>
        <v>294.77871761677852</v>
      </c>
      <c r="BN49" s="1762">
        <f t="shared" si="94"/>
        <v>377.54982122815767</v>
      </c>
      <c r="BO49" s="1763">
        <f t="shared" si="94"/>
        <v>284.67140206435016</v>
      </c>
      <c r="BP49" s="1763">
        <f t="shared" si="94"/>
        <v>251.9923285781108</v>
      </c>
      <c r="BQ49" s="1764">
        <f t="shared" si="94"/>
        <v>366.86161350181374</v>
      </c>
      <c r="BR49" s="1762">
        <f t="shared" si="94"/>
        <v>438.45899695616748</v>
      </c>
      <c r="BS49" s="1763"/>
      <c r="BT49" s="1763"/>
      <c r="BU49" s="1764"/>
      <c r="BV49" s="1762"/>
      <c r="BW49" s="1763"/>
      <c r="BX49" s="1763"/>
      <c r="BY49" s="1764"/>
      <c r="BZ49" s="1762"/>
      <c r="CA49" s="1763"/>
      <c r="CB49" s="1763"/>
      <c r="CC49" s="1764"/>
      <c r="CD49" s="1735"/>
      <c r="CE49" s="1737"/>
      <c r="CF49" s="1728"/>
      <c r="CG49" s="1728"/>
      <c r="CH49" s="1728"/>
      <c r="CI49" s="1728"/>
      <c r="CJ49" s="1728"/>
      <c r="CK49" s="1728"/>
      <c r="CL49" s="1728"/>
      <c r="CM49" s="1728"/>
      <c r="CN49" s="1728">
        <f t="shared" si="80"/>
        <v>535.84054500000002</v>
      </c>
      <c r="CO49" s="1728">
        <f t="shared" si="81"/>
        <v>661.0875505875</v>
      </c>
      <c r="CP49" s="1728">
        <f t="shared" si="82"/>
        <v>592.29127554442925</v>
      </c>
      <c r="CQ49" s="1728">
        <f t="shared" si="83"/>
        <v>904.10438453574693</v>
      </c>
      <c r="CR49" s="1728">
        <f t="shared" si="69"/>
        <v>1140.4369028927608</v>
      </c>
      <c r="CS49" s="1728">
        <f t="shared" si="70"/>
        <v>1194.4665690037086</v>
      </c>
      <c r="CT49" s="1728">
        <f t="shared" si="71"/>
        <v>1281.0751653724324</v>
      </c>
      <c r="CU49" s="1763">
        <f t="shared" si="72"/>
        <v>438.45899695616748</v>
      </c>
      <c r="CV49" s="1763"/>
      <c r="CW49" s="1763"/>
      <c r="CX49" s="1763"/>
      <c r="CY49" s="1763"/>
      <c r="CZ49" s="1763"/>
      <c r="DA49" s="1763"/>
      <c r="DB49" s="1763"/>
      <c r="DC49" s="1763"/>
      <c r="DD49" s="1735"/>
      <c r="DE49" s="1713"/>
      <c r="DF49" s="1737"/>
      <c r="DG49" s="1738"/>
      <c r="DH49" s="1737"/>
      <c r="DI49" s="1737"/>
      <c r="DJ49" s="1737"/>
      <c r="DK49" s="1737"/>
      <c r="DL49" s="1719"/>
      <c r="DM49" s="1719"/>
      <c r="DN49" s="1719"/>
      <c r="DO49" s="1719"/>
      <c r="DP49" s="1719">
        <f t="shared" si="73"/>
        <v>630.84899000000007</v>
      </c>
      <c r="DQ49" s="1719">
        <f t="shared" si="74"/>
        <v>658.86221582929193</v>
      </c>
      <c r="DR49" s="1719">
        <f t="shared" si="75"/>
        <v>757.31905563462817</v>
      </c>
      <c r="DS49" s="1739"/>
      <c r="DT49" s="1737"/>
      <c r="DU49" s="1737"/>
      <c r="DV49" s="1737"/>
      <c r="DW49" s="1737"/>
      <c r="DX49" s="2248"/>
      <c r="DY49" s="1737"/>
      <c r="DZ49" s="1737"/>
      <c r="EA49"/>
      <c r="EB49"/>
      <c r="EC49"/>
      <c r="ED49"/>
      <c r="EE49"/>
      <c r="EF49"/>
    </row>
    <row r="50" spans="1:136" s="1727" customFormat="1" ht="11.25" hidden="1" customHeight="1" outlineLevel="2">
      <c r="A50" s="1728"/>
      <c r="B50" s="1729"/>
      <c r="D50" s="1727" t="s">
        <v>565</v>
      </c>
      <c r="E50" s="1730"/>
      <c r="F50" s="1762"/>
      <c r="G50" s="1763"/>
      <c r="H50" s="1763"/>
      <c r="I50" s="1764"/>
      <c r="J50" s="1762"/>
      <c r="K50" s="1763"/>
      <c r="L50" s="1763"/>
      <c r="M50" s="1764"/>
      <c r="N50" s="1762"/>
      <c r="O50" s="1763"/>
      <c r="P50" s="1763"/>
      <c r="Q50" s="1764"/>
      <c r="R50" s="1762"/>
      <c r="S50" s="1763"/>
      <c r="T50" s="1763"/>
      <c r="U50" s="1764"/>
      <c r="V50" s="1762"/>
      <c r="W50" s="1763"/>
      <c r="X50" s="1763"/>
      <c r="Y50" s="1764"/>
      <c r="Z50" s="1762"/>
      <c r="AA50" s="1763"/>
      <c r="AB50" s="1763"/>
      <c r="AC50" s="1765"/>
      <c r="AD50" s="1766"/>
      <c r="AE50" s="1767"/>
      <c r="AF50" s="1767"/>
      <c r="AG50" s="1767"/>
      <c r="AH50" s="1762"/>
      <c r="AI50" s="1763"/>
      <c r="AJ50" s="1763"/>
      <c r="AK50" s="1763"/>
      <c r="AL50" s="1762"/>
      <c r="AM50" s="1763"/>
      <c r="AN50" s="1763"/>
      <c r="AO50" s="1764"/>
      <c r="AP50" s="1763">
        <f t="shared" ref="AP50:BR50" si="95">AP37*(1-AP532)</f>
        <v>257.85000000000002</v>
      </c>
      <c r="AQ50" s="1763">
        <f t="shared" si="95"/>
        <v>384.07500000000005</v>
      </c>
      <c r="AR50" s="1763">
        <f t="shared" si="95"/>
        <v>317.55999999999995</v>
      </c>
      <c r="AS50" s="1764">
        <f t="shared" si="95"/>
        <v>276</v>
      </c>
      <c r="AT50" s="1763">
        <f t="shared" si="95"/>
        <v>299.62500000000006</v>
      </c>
      <c r="AU50" s="1767">
        <f t="shared" si="95"/>
        <v>382.2</v>
      </c>
      <c r="AV50" s="1763">
        <f t="shared" si="95"/>
        <v>313.10999999999996</v>
      </c>
      <c r="AW50" s="1764">
        <f t="shared" si="95"/>
        <v>269.31</v>
      </c>
      <c r="AX50" s="1763">
        <f t="shared" si="95"/>
        <v>344.74500000000006</v>
      </c>
      <c r="AY50" s="1763">
        <f t="shared" si="95"/>
        <v>196.79999999999998</v>
      </c>
      <c r="AZ50" s="1763">
        <f t="shared" si="95"/>
        <v>176.9</v>
      </c>
      <c r="BA50" s="1764">
        <f t="shared" si="95"/>
        <v>282.66496240601504</v>
      </c>
      <c r="BB50" s="1763">
        <f t="shared" si="95"/>
        <v>317.13296691729323</v>
      </c>
      <c r="BC50" s="1763">
        <f t="shared" si="95"/>
        <v>384.66857919699237</v>
      </c>
      <c r="BD50" s="1763">
        <f t="shared" si="95"/>
        <v>343.25258652299993</v>
      </c>
      <c r="BE50" s="1764">
        <f t="shared" si="95"/>
        <v>273.25278087388125</v>
      </c>
      <c r="BF50" s="1763">
        <f t="shared" si="95"/>
        <v>301.97574152969702</v>
      </c>
      <c r="BG50" s="1763">
        <f t="shared" si="95"/>
        <v>364.5640757123237</v>
      </c>
      <c r="BH50" s="1763">
        <f t="shared" si="95"/>
        <v>321.48733746193983</v>
      </c>
      <c r="BI50" s="1764">
        <f t="shared" si="95"/>
        <v>304.28502495882731</v>
      </c>
      <c r="BJ50" s="1763">
        <f t="shared" si="95"/>
        <v>347.69579452144154</v>
      </c>
      <c r="BK50" s="1763">
        <f t="shared" si="95"/>
        <v>371.56526466303507</v>
      </c>
      <c r="BL50" s="1763">
        <f t="shared" si="95"/>
        <v>320.38874375260139</v>
      </c>
      <c r="BM50" s="1764">
        <f t="shared" si="95"/>
        <v>267.04108735796746</v>
      </c>
      <c r="BN50" s="1762">
        <f t="shared" si="95"/>
        <v>290.25084438376166</v>
      </c>
      <c r="BO50" s="1763">
        <f t="shared" si="95"/>
        <v>339.8022082222987</v>
      </c>
      <c r="BP50" s="1763">
        <f t="shared" si="95"/>
        <v>276.05857327633561</v>
      </c>
      <c r="BQ50" s="1764">
        <f t="shared" si="95"/>
        <v>267.20135948259843</v>
      </c>
      <c r="BR50" s="1762">
        <f t="shared" si="95"/>
        <v>288.31048961798149</v>
      </c>
      <c r="BS50" s="1763"/>
      <c r="BT50" s="1763"/>
      <c r="BU50" s="1764"/>
      <c r="BV50" s="1762"/>
      <c r="BW50" s="1763"/>
      <c r="BX50" s="1763"/>
      <c r="BY50" s="1764"/>
      <c r="BZ50" s="1762"/>
      <c r="CA50" s="1763"/>
      <c r="CB50" s="1763"/>
      <c r="CC50" s="1764"/>
      <c r="CD50" s="1735"/>
      <c r="CE50" s="1737"/>
      <c r="CF50" s="1728"/>
      <c r="CG50" s="1728"/>
      <c r="CH50" s="1728"/>
      <c r="CI50" s="1728"/>
      <c r="CJ50" s="1728"/>
      <c r="CK50" s="1728"/>
      <c r="CL50" s="1728"/>
      <c r="CM50" s="1728"/>
      <c r="CN50" s="1728">
        <f t="shared" si="80"/>
        <v>1235.4850000000001</v>
      </c>
      <c r="CO50" s="1728">
        <f t="shared" si="81"/>
        <v>1264.2449999999999</v>
      </c>
      <c r="CP50" s="1728">
        <f t="shared" si="82"/>
        <v>1001.109962406015</v>
      </c>
      <c r="CQ50" s="1728">
        <f t="shared" si="83"/>
        <v>1318.3069135111668</v>
      </c>
      <c r="CR50" s="1728">
        <f t="shared" si="69"/>
        <v>1292.3121796627879</v>
      </c>
      <c r="CS50" s="1728">
        <f t="shared" si="70"/>
        <v>1306.6908902950454</v>
      </c>
      <c r="CT50" s="1728">
        <f t="shared" si="71"/>
        <v>1173.3129853649946</v>
      </c>
      <c r="CU50" s="1763">
        <f t="shared" si="72"/>
        <v>288.31048961798149</v>
      </c>
      <c r="CV50" s="1763"/>
      <c r="CW50" s="1763"/>
      <c r="CX50" s="1763"/>
      <c r="CY50" s="1763"/>
      <c r="CZ50" s="1763"/>
      <c r="DA50" s="1763"/>
      <c r="DB50" s="1763"/>
      <c r="DC50" s="1763"/>
      <c r="DD50" s="1735"/>
      <c r="DE50" s="1713"/>
      <c r="DF50" s="1737"/>
      <c r="DG50" s="1738"/>
      <c r="DH50" s="1737"/>
      <c r="DI50" s="1737"/>
      <c r="DJ50" s="1737"/>
      <c r="DK50" s="1737"/>
      <c r="DL50" s="1719"/>
      <c r="DM50" s="1719"/>
      <c r="DN50" s="1719"/>
      <c r="DO50" s="1719"/>
      <c r="DP50" s="1719">
        <f t="shared" si="73"/>
        <v>1275.385</v>
      </c>
      <c r="DQ50" s="1719">
        <f t="shared" si="74"/>
        <v>1123.9649999999999</v>
      </c>
      <c r="DR50" s="1719">
        <f t="shared" si="75"/>
        <v>1161.3665085203006</v>
      </c>
      <c r="DS50" s="1739"/>
      <c r="DT50" s="1737"/>
      <c r="DU50" s="1737"/>
      <c r="DV50" s="1737"/>
      <c r="DW50" s="1737"/>
      <c r="DX50" s="2248"/>
      <c r="DY50" s="1737"/>
      <c r="DZ50" s="1737"/>
      <c r="EA50"/>
      <c r="EB50"/>
      <c r="EC50"/>
      <c r="ED50"/>
      <c r="EE50"/>
      <c r="EF50"/>
    </row>
    <row r="51" spans="1:136" s="1727" customFormat="1" ht="11.25" hidden="1" customHeight="1" outlineLevel="2">
      <c r="A51" s="1728"/>
      <c r="B51" s="1729"/>
      <c r="C51" s="1743" t="s">
        <v>923</v>
      </c>
      <c r="E51" s="1730"/>
      <c r="F51" s="1762"/>
      <c r="G51" s="1763"/>
      <c r="H51" s="1763"/>
      <c r="I51" s="1764"/>
      <c r="J51" s="1762"/>
      <c r="K51" s="1763"/>
      <c r="L51" s="1763"/>
      <c r="M51" s="1764"/>
      <c r="N51" s="1762"/>
      <c r="O51" s="1763"/>
      <c r="P51" s="1763"/>
      <c r="Q51" s="1764"/>
      <c r="R51" s="1762"/>
      <c r="S51" s="1763"/>
      <c r="T51" s="1763"/>
      <c r="U51" s="1764"/>
      <c r="V51" s="1762"/>
      <c r="W51" s="1763"/>
      <c r="X51" s="1763"/>
      <c r="Y51" s="1764"/>
      <c r="Z51" s="1762"/>
      <c r="AA51" s="1763"/>
      <c r="AB51" s="1763"/>
      <c r="AC51" s="1765"/>
      <c r="AD51" s="1766"/>
      <c r="AE51" s="1767"/>
      <c r="AF51" s="1767"/>
      <c r="AG51" s="1767"/>
      <c r="AH51" s="1762"/>
      <c r="AI51" s="1763"/>
      <c r="AJ51" s="1763"/>
      <c r="AK51" s="1763"/>
      <c r="AL51" s="1762"/>
      <c r="AM51" s="1763"/>
      <c r="AN51" s="1763"/>
      <c r="AO51" s="1764"/>
      <c r="AP51" s="1763"/>
      <c r="AQ51" s="1763"/>
      <c r="AR51" s="1763"/>
      <c r="AS51" s="1764"/>
      <c r="AT51" s="1763"/>
      <c r="AU51" s="1767"/>
      <c r="AV51" s="1763"/>
      <c r="AW51" s="1764"/>
      <c r="AX51" s="1763"/>
      <c r="AY51" s="1763"/>
      <c r="AZ51" s="1763"/>
      <c r="BA51" s="1764"/>
      <c r="BB51" s="1763"/>
      <c r="BC51" s="1763"/>
      <c r="BD51" s="1763"/>
      <c r="BE51" s="1764"/>
      <c r="BF51" s="1763"/>
      <c r="BG51" s="1763"/>
      <c r="BH51" s="1763"/>
      <c r="BI51" s="1764"/>
      <c r="BJ51" s="1763"/>
      <c r="BK51" s="1763"/>
      <c r="BL51" s="1763"/>
      <c r="BM51" s="1764"/>
      <c r="BN51" s="1762"/>
      <c r="BO51" s="1763"/>
      <c r="BP51" s="1763"/>
      <c r="BQ51" s="1758">
        <f>BQ38*(1-BQ533)</f>
        <v>446.32606276149255</v>
      </c>
      <c r="BR51" s="1756">
        <f>BR38*(1-BR533)</f>
        <v>907.44875030627952</v>
      </c>
      <c r="BS51" s="1757"/>
      <c r="BT51" s="1757"/>
      <c r="BU51" s="1758"/>
      <c r="BV51" s="1756"/>
      <c r="BW51" s="1757"/>
      <c r="BX51" s="1757"/>
      <c r="BY51" s="1758"/>
      <c r="BZ51" s="1756"/>
      <c r="CA51" s="1757"/>
      <c r="CB51" s="1757"/>
      <c r="CC51" s="1758"/>
      <c r="CD51" s="1735"/>
      <c r="CE51" s="1737"/>
      <c r="CF51" s="1728"/>
      <c r="CG51" s="1728"/>
      <c r="CH51" s="1728"/>
      <c r="CI51" s="1728"/>
      <c r="CJ51" s="1728"/>
      <c r="CK51" s="1728"/>
      <c r="CL51" s="1728"/>
      <c r="CM51" s="1728"/>
      <c r="CN51" s="1728"/>
      <c r="CO51" s="1728"/>
      <c r="CP51" s="1728"/>
      <c r="CQ51" s="1728"/>
      <c r="CR51" s="1728"/>
      <c r="CS51" s="1728"/>
      <c r="CT51" s="1757">
        <f t="shared" si="71"/>
        <v>446.32606276149255</v>
      </c>
      <c r="CU51" s="1757">
        <f t="shared" si="72"/>
        <v>907.44875030627952</v>
      </c>
      <c r="CV51" s="1757"/>
      <c r="CW51" s="1757"/>
      <c r="CX51" s="1757"/>
      <c r="CY51" s="1757"/>
      <c r="CZ51" s="1757"/>
      <c r="DA51" s="1757"/>
      <c r="DB51" s="1757"/>
      <c r="DC51" s="1757"/>
      <c r="DD51" s="1735"/>
      <c r="DE51" s="1713"/>
      <c r="DF51" s="1737"/>
      <c r="DG51" s="1738"/>
      <c r="DH51" s="1737"/>
      <c r="DI51" s="1737"/>
      <c r="DJ51" s="1737"/>
      <c r="DK51" s="1737"/>
      <c r="DL51" s="1719"/>
      <c r="DM51" s="1719"/>
      <c r="DN51" s="1719"/>
      <c r="DO51" s="1719"/>
      <c r="DP51" s="1719"/>
      <c r="DQ51" s="1719"/>
      <c r="DR51" s="1719"/>
      <c r="DS51" s="1739"/>
      <c r="DT51" s="1737"/>
      <c r="DU51" s="1737"/>
      <c r="DV51" s="1737"/>
      <c r="DW51" s="1737"/>
      <c r="DX51" s="2248"/>
      <c r="DY51" s="1737"/>
      <c r="DZ51" s="1737"/>
      <c r="EA51"/>
      <c r="EB51"/>
      <c r="EC51"/>
      <c r="ED51"/>
      <c r="EE51"/>
      <c r="EF51"/>
    </row>
    <row r="52" spans="1:136" ht="11.25" hidden="1" customHeight="1" outlineLevel="2">
      <c r="A52" s="11"/>
      <c r="B52" s="209"/>
      <c r="C52" s="494"/>
      <c r="D52" s="494"/>
      <c r="E52" s="198"/>
      <c r="F52" s="822"/>
      <c r="G52" s="823"/>
      <c r="H52" s="823"/>
      <c r="I52" s="835"/>
      <c r="J52" s="822"/>
      <c r="K52" s="823"/>
      <c r="L52" s="823"/>
      <c r="M52" s="835"/>
      <c r="N52" s="822"/>
      <c r="O52" s="823"/>
      <c r="P52" s="823"/>
      <c r="Q52" s="835"/>
      <c r="R52" s="822"/>
      <c r="S52" s="823"/>
      <c r="T52" s="823"/>
      <c r="U52" s="835"/>
      <c r="V52" s="822"/>
      <c r="W52" s="823"/>
      <c r="X52" s="823"/>
      <c r="Y52" s="835"/>
      <c r="Z52" s="822"/>
      <c r="AA52" s="823"/>
      <c r="AB52" s="823"/>
      <c r="AC52" s="838"/>
      <c r="AD52" s="1056"/>
      <c r="AE52" s="620"/>
      <c r="AF52" s="620"/>
      <c r="AG52" s="620"/>
      <c r="AH52" s="822"/>
      <c r="AI52" s="823"/>
      <c r="AJ52" s="823"/>
      <c r="AK52" s="823"/>
      <c r="AL52" s="822"/>
      <c r="AM52" s="823"/>
      <c r="AN52" s="823"/>
      <c r="AO52" s="835"/>
      <c r="AP52" s="823"/>
      <c r="AQ52" s="823"/>
      <c r="AR52" s="823"/>
      <c r="AS52" s="835"/>
      <c r="AT52" s="823"/>
      <c r="AU52" s="823"/>
      <c r="AV52" s="823"/>
      <c r="AW52" s="835"/>
      <c r="AX52" s="823"/>
      <c r="AY52" s="823"/>
      <c r="AZ52" s="823"/>
      <c r="BA52" s="835"/>
      <c r="BB52" s="823"/>
      <c r="BC52" s="823"/>
      <c r="BD52" s="823"/>
      <c r="BE52" s="835"/>
      <c r="BF52" s="823"/>
      <c r="BG52" s="823"/>
      <c r="BH52" s="823"/>
      <c r="BI52" s="835"/>
      <c r="BJ52" s="822"/>
      <c r="BK52" s="823"/>
      <c r="BL52" s="823"/>
      <c r="BM52" s="1488"/>
      <c r="BN52" s="201"/>
      <c r="BO52" s="201"/>
      <c r="BP52" s="201"/>
      <c r="BQ52" s="1488"/>
      <c r="BR52" s="201"/>
      <c r="BS52" s="201"/>
      <c r="BT52" s="201"/>
      <c r="BU52" s="202"/>
      <c r="BV52" s="201"/>
      <c r="BW52" s="201"/>
      <c r="BX52" s="201"/>
      <c r="BY52" s="202"/>
      <c r="BZ52" s="201"/>
      <c r="CA52" s="201"/>
      <c r="CB52" s="201"/>
      <c r="CC52" s="202"/>
      <c r="CD52" s="50"/>
      <c r="CE52" s="30"/>
      <c r="CF52" s="49"/>
      <c r="CG52" s="49"/>
      <c r="CH52" s="49"/>
      <c r="CI52" s="49"/>
      <c r="CJ52" s="49"/>
      <c r="CK52" s="49"/>
      <c r="CL52" s="49"/>
      <c r="CM52" s="49"/>
      <c r="CN52" s="49"/>
      <c r="CO52" s="49"/>
      <c r="CP52" s="49"/>
      <c r="CQ52" s="49"/>
      <c r="CR52" s="49"/>
      <c r="CS52" s="823"/>
      <c r="CT52" s="823"/>
      <c r="CV52" s="1607"/>
      <c r="CW52" s="823"/>
      <c r="CX52" s="823"/>
      <c r="CY52" s="823"/>
      <c r="CZ52" s="823"/>
      <c r="DA52" s="823"/>
      <c r="DB52" s="823"/>
      <c r="DC52" s="823"/>
      <c r="DD52" s="1508"/>
      <c r="DE52" s="1551"/>
      <c r="DF52" s="30"/>
      <c r="DG52" s="57"/>
      <c r="DH52" s="29"/>
      <c r="DI52" s="29"/>
      <c r="DJ52" s="29"/>
      <c r="DK52" s="29"/>
      <c r="DL52" s="641"/>
      <c r="DM52" s="641"/>
      <c r="DN52" s="641"/>
      <c r="DO52" s="641"/>
      <c r="DP52" s="641"/>
      <c r="DQ52" s="641"/>
      <c r="DR52" s="641"/>
      <c r="DS52" s="1102"/>
      <c r="DT52" s="30"/>
      <c r="DU52" s="30"/>
      <c r="DV52" s="30"/>
      <c r="DW52" s="30"/>
      <c r="DX52" s="2244"/>
      <c r="DY52" s="30"/>
      <c r="DZ52" s="1556"/>
    </row>
    <row r="53" spans="1:136" s="1785" customFormat="1" ht="11.25" hidden="1" customHeight="1" outlineLevel="2">
      <c r="A53" s="1769"/>
      <c r="B53" s="1770" t="s">
        <v>55</v>
      </c>
      <c r="C53" s="1771"/>
      <c r="D53" s="1771"/>
      <c r="E53" s="1772"/>
      <c r="F53" s="1773">
        <f t="shared" ref="F53:AK53" si="96">F11-F40</f>
        <v>25.935999999999979</v>
      </c>
      <c r="G53" s="1773">
        <f t="shared" si="96"/>
        <v>67.541000000000054</v>
      </c>
      <c r="H53" s="1773">
        <f t="shared" si="96"/>
        <v>63.294999999999959</v>
      </c>
      <c r="I53" s="1774">
        <f t="shared" si="96"/>
        <v>50.966000000000008</v>
      </c>
      <c r="J53" s="1773">
        <f t="shared" si="96"/>
        <v>56.007000000000005</v>
      </c>
      <c r="K53" s="1773">
        <f t="shared" si="96"/>
        <v>70.557999999999936</v>
      </c>
      <c r="L53" s="1773">
        <f t="shared" si="96"/>
        <v>81.017714340718157</v>
      </c>
      <c r="M53" s="1774">
        <f t="shared" si="96"/>
        <v>74.017999999999972</v>
      </c>
      <c r="N53" s="1773">
        <f t="shared" si="96"/>
        <v>83.643278737041612</v>
      </c>
      <c r="O53" s="1773">
        <f t="shared" si="96"/>
        <v>144.07940189176463</v>
      </c>
      <c r="P53" s="1773">
        <f t="shared" si="96"/>
        <v>122.01953477611562</v>
      </c>
      <c r="Q53" s="1774">
        <f t="shared" si="96"/>
        <v>111.67736561653351</v>
      </c>
      <c r="R53" s="1773">
        <f t="shared" si="96"/>
        <v>96.224883450321045</v>
      </c>
      <c r="S53" s="1773">
        <f t="shared" si="96"/>
        <v>141.80000000000007</v>
      </c>
      <c r="T53" s="1773">
        <f t="shared" si="96"/>
        <v>122.59097677325644</v>
      </c>
      <c r="U53" s="1774">
        <f t="shared" si="96"/>
        <v>100.90018474295755</v>
      </c>
      <c r="V53" s="1773">
        <f t="shared" si="96"/>
        <v>113.10000000000002</v>
      </c>
      <c r="W53" s="1773">
        <f t="shared" si="96"/>
        <v>150.22508108797092</v>
      </c>
      <c r="X53" s="1773">
        <f t="shared" si="96"/>
        <v>166.99553710847385</v>
      </c>
      <c r="Y53" s="1774">
        <f t="shared" si="96"/>
        <v>159.46705711427978</v>
      </c>
      <c r="Z53" s="1773">
        <f t="shared" si="96"/>
        <v>178.3049524614122</v>
      </c>
      <c r="AA53" s="1773">
        <f t="shared" si="96"/>
        <v>228.26742626372697</v>
      </c>
      <c r="AB53" s="1773">
        <f t="shared" si="96"/>
        <v>217.86998165864213</v>
      </c>
      <c r="AC53" s="1775">
        <f t="shared" si="96"/>
        <v>191.42063398226594</v>
      </c>
      <c r="AD53" s="1776">
        <f t="shared" si="96"/>
        <v>217.99883343612146</v>
      </c>
      <c r="AE53" s="1776">
        <f t="shared" si="96"/>
        <v>254.97001149535686</v>
      </c>
      <c r="AF53" s="1776">
        <f t="shared" si="96"/>
        <v>222.02977342464601</v>
      </c>
      <c r="AG53" s="1776">
        <f t="shared" si="96"/>
        <v>204.70777431250463</v>
      </c>
      <c r="AH53" s="1777">
        <f t="shared" si="96"/>
        <v>322.98857251304298</v>
      </c>
      <c r="AI53" s="1773">
        <f t="shared" si="96"/>
        <v>513.30360848767646</v>
      </c>
      <c r="AJ53" s="1773">
        <f t="shared" si="96"/>
        <v>476.60684184863976</v>
      </c>
      <c r="AK53" s="1774">
        <f t="shared" si="96"/>
        <v>425.0649197251787</v>
      </c>
      <c r="AL53" s="1773">
        <f t="shared" ref="AL53:BR53" si="97">AL11-AL40</f>
        <v>423.98976037078137</v>
      </c>
      <c r="AM53" s="1773">
        <f t="shared" si="97"/>
        <v>289.78772525634986</v>
      </c>
      <c r="AN53" s="1773">
        <f t="shared" si="97"/>
        <v>252.89200693509156</v>
      </c>
      <c r="AO53" s="1774">
        <f t="shared" si="97"/>
        <v>370.18657194384241</v>
      </c>
      <c r="AP53" s="1773">
        <f t="shared" si="97"/>
        <v>514.94885115999978</v>
      </c>
      <c r="AQ53" s="1773">
        <f t="shared" si="97"/>
        <v>687.94007525000006</v>
      </c>
      <c r="AR53" s="1773">
        <f t="shared" si="97"/>
        <v>665.83925150000005</v>
      </c>
      <c r="AS53" s="1774">
        <f t="shared" si="97"/>
        <v>536.56533969848874</v>
      </c>
      <c r="AT53" s="1773">
        <f t="shared" si="97"/>
        <v>446.97132884299981</v>
      </c>
      <c r="AU53" s="1773">
        <f t="shared" si="97"/>
        <v>475.58216772499964</v>
      </c>
      <c r="AV53" s="1773">
        <f t="shared" si="97"/>
        <v>410.05312178269969</v>
      </c>
      <c r="AW53" s="1774">
        <f t="shared" si="97"/>
        <v>469.31393374718755</v>
      </c>
      <c r="AX53" s="1773">
        <f t="shared" si="97"/>
        <v>541.43461406480401</v>
      </c>
      <c r="AY53" s="1773">
        <f t="shared" si="97"/>
        <v>648.37867133650047</v>
      </c>
      <c r="AZ53" s="1773">
        <f t="shared" si="97"/>
        <v>1077.1719613436903</v>
      </c>
      <c r="BA53" s="1774">
        <f t="shared" si="97"/>
        <v>1511.1002910200568</v>
      </c>
      <c r="BB53" s="1773">
        <f t="shared" si="97"/>
        <v>1231.3904784549627</v>
      </c>
      <c r="BC53" s="1773">
        <f t="shared" si="97"/>
        <v>1096.9198003689094</v>
      </c>
      <c r="BD53" s="1773">
        <f t="shared" si="97"/>
        <v>1099</v>
      </c>
      <c r="BE53" s="1774">
        <f t="shared" si="97"/>
        <v>1084.9979378067223</v>
      </c>
      <c r="BF53" s="1773">
        <f t="shared" si="97"/>
        <v>1135.0101808377422</v>
      </c>
      <c r="BG53" s="1773">
        <f t="shared" si="97"/>
        <v>1195.9914100141705</v>
      </c>
      <c r="BH53" s="1773">
        <f t="shared" si="97"/>
        <v>1115.0204300991668</v>
      </c>
      <c r="BI53" s="1774">
        <f t="shared" si="97"/>
        <v>1077.9811537065743</v>
      </c>
      <c r="BJ53" s="1777">
        <f t="shared" si="97"/>
        <v>1193.2550153448137</v>
      </c>
      <c r="BK53" s="1773">
        <f t="shared" si="97"/>
        <v>1195.3028952050263</v>
      </c>
      <c r="BL53" s="1773">
        <f t="shared" si="97"/>
        <v>1069.8994796103761</v>
      </c>
      <c r="BM53" s="1774">
        <f t="shared" si="97"/>
        <v>953.23639494142935</v>
      </c>
      <c r="BN53" s="1777">
        <f t="shared" si="97"/>
        <v>976.95026921787758</v>
      </c>
      <c r="BO53" s="1773">
        <f t="shared" si="97"/>
        <v>945.15031483627081</v>
      </c>
      <c r="BP53" s="1773">
        <f t="shared" si="97"/>
        <v>796.02901625033996</v>
      </c>
      <c r="BQ53" s="1774">
        <f t="shared" si="97"/>
        <v>1091.8817754313991</v>
      </c>
      <c r="BR53" s="1777">
        <f t="shared" si="97"/>
        <v>1598.918017379036</v>
      </c>
      <c r="BS53" s="1773"/>
      <c r="BT53" s="1773"/>
      <c r="BU53" s="1774"/>
      <c r="BV53" s="1777"/>
      <c r="BW53" s="1773"/>
      <c r="BX53" s="1773"/>
      <c r="BY53" s="1774"/>
      <c r="BZ53" s="1777"/>
      <c r="CA53" s="1773"/>
      <c r="CB53" s="1773"/>
      <c r="CC53" s="1774"/>
      <c r="CD53" s="1778"/>
      <c r="CE53" s="1773">
        <f t="shared" ref="CE53:CM53" si="98">CE11-CE40</f>
        <v>207.73799999999983</v>
      </c>
      <c r="CF53" s="1773">
        <f t="shared" si="98"/>
        <v>281.60071434071824</v>
      </c>
      <c r="CG53" s="1773">
        <f t="shared" si="98"/>
        <v>461.419581021456</v>
      </c>
      <c r="CH53" s="1773">
        <f t="shared" si="98"/>
        <v>461.51604496653454</v>
      </c>
      <c r="CI53" s="1773">
        <f t="shared" si="98"/>
        <v>589.78767531072435</v>
      </c>
      <c r="CJ53" s="1773">
        <f t="shared" si="98"/>
        <v>815.86299436604759</v>
      </c>
      <c r="CK53" s="1773">
        <f t="shared" si="98"/>
        <v>899.70639266862872</v>
      </c>
      <c r="CL53" s="1773">
        <f t="shared" si="98"/>
        <v>1737.9639425745381</v>
      </c>
      <c r="CM53" s="1773">
        <f t="shared" si="98"/>
        <v>1336.8560645060661</v>
      </c>
      <c r="CN53" s="1773">
        <f>SUM(AP53:AS53)</f>
        <v>2405.2935176084884</v>
      </c>
      <c r="CO53" s="1773">
        <f>SUM(AT53:AW53)</f>
        <v>1801.9205520978867</v>
      </c>
      <c r="CP53" s="1773">
        <f>SUM(AX53:BA53)</f>
        <v>3778.0855377650514</v>
      </c>
      <c r="CQ53" s="1773">
        <f>SUM(BB53:BE53)</f>
        <v>4512.308216630594</v>
      </c>
      <c r="CR53" s="1773">
        <f>SUM(BF53:BI53)</f>
        <v>4524.0031746576533</v>
      </c>
      <c r="CS53" s="1773">
        <f>SUM(BJ53:BM53)</f>
        <v>4411.6937851016455</v>
      </c>
      <c r="CT53" s="1773">
        <f>SUM(BN53:BQ53)</f>
        <v>3810.0113757358872</v>
      </c>
      <c r="CU53" s="1773">
        <f>SUM(BR53:BU53)</f>
        <v>1598.918017379036</v>
      </c>
      <c r="CV53" s="1773"/>
      <c r="CW53" s="1773"/>
      <c r="CX53" s="1773"/>
      <c r="CY53" s="1773"/>
      <c r="CZ53" s="1773"/>
      <c r="DA53" s="1773"/>
      <c r="DB53" s="1773"/>
      <c r="DC53" s="1773"/>
      <c r="DD53" s="1778"/>
      <c r="DE53" s="1779"/>
      <c r="DF53" s="1776"/>
      <c r="DG53" s="1780">
        <f>SUM(H53:K53)</f>
        <v>240.82599999999991</v>
      </c>
      <c r="DH53" s="1781">
        <f>SUM(L53:O53)</f>
        <v>382.75839496952437</v>
      </c>
      <c r="DI53" s="1781">
        <f>SUM(P53:S53)</f>
        <v>471.72178384297024</v>
      </c>
      <c r="DJ53" s="1781">
        <f>SUM(T53:W53)</f>
        <v>486.81624260418494</v>
      </c>
      <c r="DK53" s="1781">
        <f>SUM(X53:AA53)</f>
        <v>733.03497294789281</v>
      </c>
      <c r="DL53" s="1782">
        <f>SUM(AB53:AE53)</f>
        <v>882.25946057238639</v>
      </c>
      <c r="DM53" s="1782">
        <f>SUM(AF53:AI53)</f>
        <v>1263.0297287378701</v>
      </c>
      <c r="DN53" s="1782">
        <f>SUM(AJ53:AM53)</f>
        <v>1615.4492472009497</v>
      </c>
      <c r="DO53" s="1782">
        <f>SUM(AN53:AQ53)</f>
        <v>1825.9675052889338</v>
      </c>
      <c r="DP53" s="1782">
        <f>SUM(AR53:AU53)</f>
        <v>2124.9580877664885</v>
      </c>
      <c r="DQ53" s="1782">
        <f>SUM(AV53:AY53)</f>
        <v>2069.1803409311915</v>
      </c>
      <c r="DR53" s="1782">
        <f>SUM(AZ53:BC53)</f>
        <v>4916.5825311876197</v>
      </c>
      <c r="DS53" s="1783">
        <f>SUM(BD53:BG53)</f>
        <v>4514.9995286586345</v>
      </c>
      <c r="DT53" s="1782">
        <f>SUM(BH53:BK53)</f>
        <v>4581.5594943555807</v>
      </c>
      <c r="DU53" s="1782">
        <f>SUM(BL53:BO53)</f>
        <v>3945.2364586059539</v>
      </c>
      <c r="DV53" s="1782">
        <f>SUM(BP53:BS53)</f>
        <v>3486.8288090607748</v>
      </c>
      <c r="DW53" s="1782">
        <f>SUM(BT53:BW53)</f>
        <v>0</v>
      </c>
      <c r="DX53" s="2250">
        <f>SUM(BX53:CA53)</f>
        <v>0</v>
      </c>
      <c r="DY53" s="1782"/>
      <c r="DZ53" s="1776">
        <f>DZ54*DZ11</f>
        <v>1843.5434579004072</v>
      </c>
      <c r="EA53"/>
      <c r="EB53"/>
      <c r="EC53"/>
      <c r="ED53"/>
      <c r="EE53"/>
      <c r="EF53"/>
    </row>
    <row r="54" spans="1:136" s="1785" customFormat="1" ht="11.25" hidden="1" customHeight="1" outlineLevel="2">
      <c r="A54" s="1786"/>
      <c r="B54" s="1787"/>
      <c r="C54" s="1788" t="s">
        <v>309</v>
      </c>
      <c r="D54" s="1788"/>
      <c r="E54" s="1789"/>
      <c r="F54" s="1790">
        <f t="shared" ref="F54:AK54" si="99">F53/F11</f>
        <v>6.1117054617947669E-2</v>
      </c>
      <c r="G54" s="1790">
        <f t="shared" si="99"/>
        <v>0.12027173816265123</v>
      </c>
      <c r="H54" s="1790">
        <f t="shared" si="99"/>
        <v>0.12368996507876323</v>
      </c>
      <c r="I54" s="1791">
        <f t="shared" si="99"/>
        <v>0.11183302503878369</v>
      </c>
      <c r="J54" s="1792">
        <f t="shared" si="99"/>
        <v>0.12701641708792294</v>
      </c>
      <c r="K54" s="1790">
        <f t="shared" si="99"/>
        <v>0.12278003027824655</v>
      </c>
      <c r="L54" s="1790">
        <f t="shared" si="99"/>
        <v>0.13619473469869442</v>
      </c>
      <c r="M54" s="1791">
        <f t="shared" si="99"/>
        <v>0.13690000591856055</v>
      </c>
      <c r="N54" s="1792">
        <f t="shared" si="99"/>
        <v>0.14349279002431911</v>
      </c>
      <c r="O54" s="1790">
        <f t="shared" si="99"/>
        <v>0.1922369999697093</v>
      </c>
      <c r="P54" s="1790">
        <f t="shared" si="99"/>
        <v>0.17287173873953893</v>
      </c>
      <c r="Q54" s="1791">
        <f t="shared" si="99"/>
        <v>0.16416807876078574</v>
      </c>
      <c r="R54" s="1792">
        <f t="shared" si="99"/>
        <v>0.13472631055007775</v>
      </c>
      <c r="S54" s="1790">
        <f t="shared" si="99"/>
        <v>0.16985762590379297</v>
      </c>
      <c r="T54" s="1790">
        <f t="shared" si="99"/>
        <v>0.16369669361148362</v>
      </c>
      <c r="U54" s="1791">
        <f t="shared" si="99"/>
        <v>0.13475035963469645</v>
      </c>
      <c r="V54" s="1792">
        <f t="shared" si="99"/>
        <v>0.13732786278869502</v>
      </c>
      <c r="W54" s="1790">
        <f t="shared" si="99"/>
        <v>0.15731609113964792</v>
      </c>
      <c r="X54" s="1790">
        <f t="shared" si="99"/>
        <v>0.18153750113126355</v>
      </c>
      <c r="Y54" s="1791">
        <f t="shared" si="99"/>
        <v>0.16957958693665751</v>
      </c>
      <c r="Z54" s="1792">
        <f t="shared" si="99"/>
        <v>0.17655617197126788</v>
      </c>
      <c r="AA54" s="1790">
        <f t="shared" si="99"/>
        <v>0.20434525338118276</v>
      </c>
      <c r="AB54" s="1790">
        <f t="shared" si="99"/>
        <v>0.19301539303738274</v>
      </c>
      <c r="AC54" s="1793">
        <f t="shared" si="99"/>
        <v>0.17633993126416531</v>
      </c>
      <c r="AD54" s="1794">
        <f t="shared" si="99"/>
        <v>0.17246759068875236</v>
      </c>
      <c r="AE54" s="1795">
        <f t="shared" si="99"/>
        <v>0.17855417791887285</v>
      </c>
      <c r="AF54" s="1795">
        <f t="shared" si="99"/>
        <v>0.15746459940727742</v>
      </c>
      <c r="AG54" s="1795">
        <f t="shared" si="99"/>
        <v>0.14978167107850018</v>
      </c>
      <c r="AH54" s="1792">
        <f t="shared" si="99"/>
        <v>0.18289391989293718</v>
      </c>
      <c r="AI54" s="1790">
        <f t="shared" si="99"/>
        <v>0.23288542630710296</v>
      </c>
      <c r="AJ54" s="1790">
        <f t="shared" si="99"/>
        <v>0.22577014768380305</v>
      </c>
      <c r="AK54" s="1791">
        <f t="shared" si="99"/>
        <v>0.21327198904478756</v>
      </c>
      <c r="AL54" s="1792">
        <f t="shared" ref="AL54:BQ54" si="100">AL53/AL11</f>
        <v>0.20103926929272514</v>
      </c>
      <c r="AM54" s="1790">
        <f t="shared" si="100"/>
        <v>0.15898051168607427</v>
      </c>
      <c r="AN54" s="1790">
        <f t="shared" si="100"/>
        <v>0.15886253956509946</v>
      </c>
      <c r="AO54" s="1791">
        <f t="shared" si="100"/>
        <v>0.19198690486193468</v>
      </c>
      <c r="AP54" s="1792">
        <f t="shared" si="100"/>
        <v>0.23321958838768106</v>
      </c>
      <c r="AQ54" s="1790">
        <f t="shared" si="100"/>
        <v>0.26267280460099279</v>
      </c>
      <c r="AR54" s="1790">
        <f t="shared" si="100"/>
        <v>0.25211633907610753</v>
      </c>
      <c r="AS54" s="1791">
        <f t="shared" si="100"/>
        <v>0.22525832900860149</v>
      </c>
      <c r="AT54" s="1792">
        <f t="shared" si="100"/>
        <v>0.18266094354025331</v>
      </c>
      <c r="AU54" s="1790">
        <f t="shared" si="100"/>
        <v>0.19215441120202006</v>
      </c>
      <c r="AV54" s="1790">
        <f t="shared" si="100"/>
        <v>0.1820839794772201</v>
      </c>
      <c r="AW54" s="1791">
        <f t="shared" si="100"/>
        <v>0.19530334321564194</v>
      </c>
      <c r="AX54" s="1790">
        <f t="shared" si="100"/>
        <v>0.20097795622301559</v>
      </c>
      <c r="AY54" s="1790">
        <f t="shared" si="100"/>
        <v>0.32500184026892254</v>
      </c>
      <c r="AZ54" s="1790">
        <f t="shared" si="100"/>
        <v>0.35491662647238559</v>
      </c>
      <c r="BA54" s="1791">
        <f t="shared" si="100"/>
        <v>0.31785870656711335</v>
      </c>
      <c r="BB54" s="1792">
        <f t="shared" si="100"/>
        <v>0.305177318080536</v>
      </c>
      <c r="BC54" s="1790">
        <f t="shared" si="100"/>
        <v>0.28685141223036331</v>
      </c>
      <c r="BD54" s="1790">
        <f t="shared" si="100"/>
        <v>0.29197662061636559</v>
      </c>
      <c r="BE54" s="1791">
        <f t="shared" si="100"/>
        <v>0.29104021936875601</v>
      </c>
      <c r="BF54" s="1790">
        <f t="shared" si="100"/>
        <v>0.29837281304882812</v>
      </c>
      <c r="BG54" s="1790">
        <f t="shared" si="100"/>
        <v>0.30110559164505801</v>
      </c>
      <c r="BH54" s="1790">
        <f t="shared" si="100"/>
        <v>0.30111272754500856</v>
      </c>
      <c r="BI54" s="1791">
        <f t="shared" si="100"/>
        <v>0.29525641021817978</v>
      </c>
      <c r="BJ54" s="1792">
        <f t="shared" si="100"/>
        <v>0.30262617685640725</v>
      </c>
      <c r="BK54" s="1790">
        <f t="shared" si="100"/>
        <v>0.30743387222351498</v>
      </c>
      <c r="BL54" s="1795">
        <f t="shared" si="100"/>
        <v>0.3013801351015144</v>
      </c>
      <c r="BM54" s="1791">
        <f t="shared" si="100"/>
        <v>0.29872654181805997</v>
      </c>
      <c r="BN54" s="1792">
        <f t="shared" si="100"/>
        <v>0.29075900869579691</v>
      </c>
      <c r="BO54" s="1790">
        <f t="shared" si="100"/>
        <v>0.28494130685446811</v>
      </c>
      <c r="BP54" s="1790">
        <f t="shared" si="100"/>
        <v>0.28207973644590362</v>
      </c>
      <c r="BQ54" s="1790">
        <f t="shared" si="100"/>
        <v>0.3124125251591986</v>
      </c>
      <c r="BR54" s="1792">
        <f>BR53/BR11</f>
        <v>0.33918498459461943</v>
      </c>
      <c r="BS54" s="1790"/>
      <c r="BT54" s="1790"/>
      <c r="BU54" s="1791"/>
      <c r="BV54" s="1792"/>
      <c r="BW54" s="1790"/>
      <c r="BX54" s="1790"/>
      <c r="BY54" s="1791"/>
      <c r="BZ54" s="1792"/>
      <c r="CA54" s="1790"/>
      <c r="CB54" s="1790"/>
      <c r="CC54" s="1791"/>
      <c r="CD54" s="1796"/>
      <c r="CE54" s="1790">
        <f t="shared" ref="CE54:CU54" si="101">CE53/CE11</f>
        <v>0.10634731789625422</v>
      </c>
      <c r="CF54" s="1790">
        <f t="shared" si="101"/>
        <v>0.13090695205894523</v>
      </c>
      <c r="CG54" s="1790">
        <f t="shared" si="101"/>
        <v>0.16973324328463729</v>
      </c>
      <c r="CH54" s="1790">
        <f t="shared" si="101"/>
        <v>0.15147933558538448</v>
      </c>
      <c r="CI54" s="1790">
        <f t="shared" si="101"/>
        <v>0.16208461103538119</v>
      </c>
      <c r="CJ54" s="1790">
        <f t="shared" si="101"/>
        <v>0.18793217444436067</v>
      </c>
      <c r="CK54" s="1790">
        <f t="shared" si="101"/>
        <v>0.16451905223414059</v>
      </c>
      <c r="CL54" s="1790">
        <f t="shared" si="101"/>
        <v>0.21524948588431217</v>
      </c>
      <c r="CM54" s="1790">
        <f t="shared" si="101"/>
        <v>0.17939907224907964</v>
      </c>
      <c r="CN54" s="1790">
        <f t="shared" si="101"/>
        <v>0.24419223529020187</v>
      </c>
      <c r="CO54" s="1790">
        <f t="shared" si="101"/>
        <v>0.18815083555371062</v>
      </c>
      <c r="CP54" s="1790">
        <f t="shared" si="101"/>
        <v>0.30277973535542968</v>
      </c>
      <c r="CQ54" s="1790">
        <f t="shared" si="101"/>
        <v>0.29394229800212324</v>
      </c>
      <c r="CR54" s="1790">
        <f t="shared" si="101"/>
        <v>0.29900880202628244</v>
      </c>
      <c r="CS54" s="1790">
        <f t="shared" si="101"/>
        <v>0.3027514263726081</v>
      </c>
      <c r="CT54" s="1790">
        <f t="shared" si="101"/>
        <v>0.29321312726919246</v>
      </c>
      <c r="CU54" s="1790">
        <f t="shared" si="101"/>
        <v>8.3743676602893002E-2</v>
      </c>
      <c r="CV54" s="1790"/>
      <c r="CW54" s="1790"/>
      <c r="CX54" s="1790"/>
      <c r="CY54" s="1790"/>
      <c r="CZ54" s="1790"/>
      <c r="DA54" s="1790"/>
      <c r="DB54" s="1790"/>
      <c r="DC54" s="1790"/>
      <c r="DD54" s="1797"/>
      <c r="DE54" s="1779"/>
      <c r="DF54" s="1798"/>
      <c r="DG54" s="1799"/>
      <c r="DH54" s="1798"/>
      <c r="DI54" s="1798"/>
      <c r="DJ54" s="1798"/>
      <c r="DK54" s="1798"/>
      <c r="DL54" s="1790">
        <f t="shared" ref="DL54:DW54" si="102">DL53/DL11</f>
        <v>0.17982323757281643</v>
      </c>
      <c r="DM54" s="1790">
        <f t="shared" si="102"/>
        <v>0.18720343917351909</v>
      </c>
      <c r="DN54" s="1790">
        <f t="shared" si="102"/>
        <v>0.20102980741798931</v>
      </c>
      <c r="DO54" s="1790">
        <f t="shared" si="102"/>
        <v>0.21875527923138025</v>
      </c>
      <c r="DP54" s="1790">
        <f t="shared" si="102"/>
        <v>0.2136709992726484</v>
      </c>
      <c r="DQ54" s="1790">
        <f t="shared" si="102"/>
        <v>0.22144481388390319</v>
      </c>
      <c r="DR54" s="1790">
        <f t="shared" si="102"/>
        <v>0.3141987813898019</v>
      </c>
      <c r="DS54" s="1792">
        <f t="shared" si="102"/>
        <v>0.29571650043611702</v>
      </c>
      <c r="DT54" s="1790">
        <f t="shared" si="102"/>
        <v>0.30171613397139158</v>
      </c>
      <c r="DU54" s="1790">
        <f t="shared" si="102"/>
        <v>0.29402567138216978</v>
      </c>
      <c r="DV54" s="1790">
        <f t="shared" si="102"/>
        <v>0.21903566863878227</v>
      </c>
      <c r="DW54" s="1790">
        <f t="shared" si="102"/>
        <v>0</v>
      </c>
      <c r="DX54" s="2251">
        <f t="shared" ref="DX54" si="103">DX53/DX11</f>
        <v>0</v>
      </c>
      <c r="DY54" s="1790"/>
      <c r="DZ54" s="1800">
        <f>CU54+1%</f>
        <v>9.3743676602892997E-2</v>
      </c>
      <c r="EA54"/>
      <c r="EB54"/>
      <c r="EC54"/>
      <c r="ED54"/>
      <c r="EE54"/>
      <c r="EF54"/>
    </row>
    <row r="55" spans="1:136" s="1785" customFormat="1" ht="11.25" hidden="1" customHeight="1" outlineLevel="2">
      <c r="A55" s="1786"/>
      <c r="B55" s="1787"/>
      <c r="C55" s="1785" t="s">
        <v>665</v>
      </c>
      <c r="E55" s="1801"/>
      <c r="F55" s="1790"/>
      <c r="G55" s="1790"/>
      <c r="H55" s="1790"/>
      <c r="I55" s="1791"/>
      <c r="J55" s="1792"/>
      <c r="K55" s="1790"/>
      <c r="L55" s="1790"/>
      <c r="M55" s="1791"/>
      <c r="N55" s="1792"/>
      <c r="O55" s="1790"/>
      <c r="P55" s="1790"/>
      <c r="Q55" s="1791"/>
      <c r="R55" s="1792"/>
      <c r="S55" s="1790"/>
      <c r="T55" s="1790"/>
      <c r="U55" s="1791"/>
      <c r="V55" s="1792"/>
      <c r="W55" s="1790"/>
      <c r="X55" s="1790"/>
      <c r="Y55" s="1791"/>
      <c r="Z55" s="1792"/>
      <c r="AA55" s="1790"/>
      <c r="AB55" s="1790"/>
      <c r="AC55" s="1793"/>
      <c r="AD55" s="1794"/>
      <c r="AE55" s="1795"/>
      <c r="AF55" s="1795"/>
      <c r="AG55" s="1795"/>
      <c r="AH55" s="1792"/>
      <c r="AI55" s="1790"/>
      <c r="AJ55" s="1790"/>
      <c r="AK55" s="1791"/>
      <c r="AL55" s="1792"/>
      <c r="AM55" s="1790"/>
      <c r="AN55" s="1790"/>
      <c r="AO55" s="1791"/>
      <c r="AP55" s="1769">
        <f t="shared" ref="AP55:BR55" si="104">AP28-AP41</f>
        <v>11.286100600000012</v>
      </c>
      <c r="AQ55" s="1769">
        <f t="shared" si="104"/>
        <v>11.345123999999917</v>
      </c>
      <c r="AR55" s="1769">
        <f t="shared" si="104"/>
        <v>8.6287319999999958</v>
      </c>
      <c r="AS55" s="1778">
        <f t="shared" si="104"/>
        <v>10.642389798488644</v>
      </c>
      <c r="AT55" s="1769">
        <f t="shared" si="104"/>
        <v>20.980728859999999</v>
      </c>
      <c r="AU55" s="1769">
        <f t="shared" si="104"/>
        <v>3.6777600000000401</v>
      </c>
      <c r="AV55" s="1769">
        <f t="shared" si="104"/>
        <v>1.9528181855000817</v>
      </c>
      <c r="AW55" s="1778">
        <f t="shared" si="104"/>
        <v>6.5949990721875551</v>
      </c>
      <c r="AX55" s="1769">
        <f t="shared" si="104"/>
        <v>6.6049544506537679</v>
      </c>
      <c r="AY55" s="1769">
        <f t="shared" si="104"/>
        <v>9.8912807545379025</v>
      </c>
      <c r="AZ55" s="1769">
        <f t="shared" si="104"/>
        <v>9.5719984028112144</v>
      </c>
      <c r="BA55" s="1778">
        <f t="shared" si="104"/>
        <v>40.856424887621969</v>
      </c>
      <c r="BB55" s="1769">
        <f t="shared" si="104"/>
        <v>48.41377387776329</v>
      </c>
      <c r="BC55" s="1769">
        <f t="shared" si="104"/>
        <v>45.240837405533156</v>
      </c>
      <c r="BD55" s="1769">
        <f t="shared" si="104"/>
        <v>28.046813865001283</v>
      </c>
      <c r="BE55" s="1778">
        <f t="shared" si="104"/>
        <v>40.35639904337404</v>
      </c>
      <c r="BF55" s="1769">
        <f t="shared" si="104"/>
        <v>56.917046094394564</v>
      </c>
      <c r="BG55" s="1769">
        <f t="shared" si="104"/>
        <v>74.758497851305947</v>
      </c>
      <c r="BH55" s="1769">
        <f t="shared" si="104"/>
        <v>84.996817450611275</v>
      </c>
      <c r="BI55" s="1778">
        <f t="shared" si="104"/>
        <v>50.609907477023285</v>
      </c>
      <c r="BJ55" s="1802">
        <f t="shared" si="104"/>
        <v>80.774639999999962</v>
      </c>
      <c r="BK55" s="1769">
        <f t="shared" si="104"/>
        <v>97.000479768810294</v>
      </c>
      <c r="BL55" s="1769">
        <f t="shared" si="104"/>
        <v>91.180853742464834</v>
      </c>
      <c r="BM55" s="1778">
        <f t="shared" si="104"/>
        <v>120.2845091910248</v>
      </c>
      <c r="BN55" s="1802">
        <f t="shared" si="104"/>
        <v>128.72116883354028</v>
      </c>
      <c r="BO55" s="1769">
        <f t="shared" si="104"/>
        <v>134.04754376252103</v>
      </c>
      <c r="BP55" s="1769">
        <f t="shared" si="104"/>
        <v>109.30492821828901</v>
      </c>
      <c r="BQ55" s="1778">
        <f t="shared" si="104"/>
        <v>102.82048284092409</v>
      </c>
      <c r="BR55" s="1802">
        <f t="shared" si="104"/>
        <v>105.17580143522392</v>
      </c>
      <c r="BS55" s="1769"/>
      <c r="BT55" s="1769"/>
      <c r="BU55" s="1778"/>
      <c r="BV55" s="1802"/>
      <c r="BW55" s="1769"/>
      <c r="BX55" s="1769"/>
      <c r="BY55" s="1778"/>
      <c r="BZ55" s="1802"/>
      <c r="CA55" s="1769"/>
      <c r="CB55" s="1769"/>
      <c r="CC55" s="1778"/>
      <c r="CD55" s="1796"/>
      <c r="CE55" s="1790"/>
      <c r="CF55" s="1790"/>
      <c r="CG55" s="1790"/>
      <c r="CH55" s="1790"/>
      <c r="CI55" s="1790"/>
      <c r="CJ55" s="1790"/>
      <c r="CK55" s="1790"/>
      <c r="CL55" s="1790"/>
      <c r="CM55" s="1790"/>
      <c r="CN55" s="1769">
        <f t="shared" ref="CN55:CN64" si="105">SUM(AP55:AS55)</f>
        <v>41.902346398488568</v>
      </c>
      <c r="CO55" s="1769">
        <f t="shared" ref="CO55:CO64" si="106">SUM(AT55:AW55)</f>
        <v>33.206306117687674</v>
      </c>
      <c r="CP55" s="1769">
        <f t="shared" ref="CP55:CP64" si="107">SUM(AX55:BA55)</f>
        <v>66.924658495624854</v>
      </c>
      <c r="CQ55" s="1769">
        <f t="shared" ref="CQ55:CQ64" si="108">SUM(BB55:BE55)</f>
        <v>162.05782419167178</v>
      </c>
      <c r="CR55" s="1769">
        <f t="shared" ref="CR55:CR64" si="109">SUM(BF55:BI55)</f>
        <v>267.28226887333506</v>
      </c>
      <c r="CS55" s="1769">
        <f t="shared" ref="CS55:CS64" si="110">SUM(BJ55:BM55)</f>
        <v>389.24048270229991</v>
      </c>
      <c r="CT55" s="1769">
        <f t="shared" ref="CT55:CT65" si="111">SUM(BN55:BQ55)</f>
        <v>474.89412365527437</v>
      </c>
      <c r="CU55" s="1769">
        <f t="shared" ref="CU55:CU65" si="112">SUM(BR55:BU55)</f>
        <v>105.17580143522392</v>
      </c>
      <c r="CV55" s="1769"/>
      <c r="CW55" s="1769"/>
      <c r="CX55" s="1769"/>
      <c r="CY55" s="1769"/>
      <c r="CZ55" s="1769"/>
      <c r="DA55" s="1769"/>
      <c r="DB55" s="1769"/>
      <c r="DC55" s="1769"/>
      <c r="DD55" s="1797"/>
      <c r="DE55" s="1779"/>
      <c r="DF55" s="1798"/>
      <c r="DG55" s="1799"/>
      <c r="DH55" s="1798"/>
      <c r="DI55" s="1798"/>
      <c r="DJ55" s="1798"/>
      <c r="DK55" s="1798"/>
      <c r="DL55" s="1790"/>
      <c r="DM55" s="1790"/>
      <c r="DN55" s="1790"/>
      <c r="DO55" s="1790"/>
      <c r="DP55" s="1803">
        <f t="shared" ref="DP55:DP64" si="113">SUM(AR55:AU55)</f>
        <v>43.929610658488677</v>
      </c>
      <c r="DQ55" s="1803">
        <f t="shared" ref="DQ55:DQ64" si="114">SUM(AV55:AY55)</f>
        <v>25.044052462879307</v>
      </c>
      <c r="DR55" s="1803">
        <f t="shared" ref="DR55:DR64" si="115">SUM(AZ55:BC55)</f>
        <v>144.08303457372963</v>
      </c>
      <c r="DS55" s="1804">
        <f t="shared" ref="DS55:DS64" si="116">SUM(BD55:BG55)</f>
        <v>200.07875685407583</v>
      </c>
      <c r="DT55" s="1803">
        <f t="shared" ref="DT55:DT64" si="117">SUM(BH55:BK55)</f>
        <v>313.38184469644483</v>
      </c>
      <c r="DU55" s="1803">
        <f t="shared" ref="DU55:DU64" si="118">SUM(BL55:BO55)</f>
        <v>474.23407552955098</v>
      </c>
      <c r="DV55" s="1803">
        <f t="shared" ref="DV55:DV64" si="119">SUM(BP55:BS55)</f>
        <v>317.30121249443698</v>
      </c>
      <c r="DW55" s="1803">
        <f t="shared" ref="DW55:DW64" si="120">SUM(BT55:BW55)</f>
        <v>0</v>
      </c>
      <c r="DX55" s="2252">
        <f t="shared" ref="DX55:DX64" si="121">SUM(BX55:CA55)</f>
        <v>0</v>
      </c>
      <c r="DY55" s="1803"/>
      <c r="DZ55" s="1798"/>
      <c r="EA55"/>
      <c r="EB55"/>
      <c r="EC55"/>
      <c r="ED55"/>
      <c r="EE55"/>
      <c r="EF55"/>
    </row>
    <row r="56" spans="1:136" s="1785" customFormat="1" ht="11.25" hidden="1" customHeight="1" outlineLevel="2">
      <c r="A56" s="1806"/>
      <c r="B56" s="1807"/>
      <c r="C56" s="1808" t="s">
        <v>575</v>
      </c>
      <c r="D56" s="1808"/>
      <c r="E56" s="1809"/>
      <c r="F56" s="1810"/>
      <c r="G56" s="1810"/>
      <c r="H56" s="1810"/>
      <c r="I56" s="1811"/>
      <c r="J56" s="1812"/>
      <c r="K56" s="1810"/>
      <c r="L56" s="1810"/>
      <c r="M56" s="1811"/>
      <c r="N56" s="1812"/>
      <c r="O56" s="1810"/>
      <c r="P56" s="1810"/>
      <c r="Q56" s="1811"/>
      <c r="R56" s="1812"/>
      <c r="S56" s="1810"/>
      <c r="T56" s="1810"/>
      <c r="U56" s="1811"/>
      <c r="V56" s="1812"/>
      <c r="W56" s="1810"/>
      <c r="X56" s="1810"/>
      <c r="Y56" s="1811"/>
      <c r="Z56" s="1812"/>
      <c r="AA56" s="1810"/>
      <c r="AB56" s="1810"/>
      <c r="AC56" s="1813"/>
      <c r="AD56" s="1814"/>
      <c r="AE56" s="1815"/>
      <c r="AF56" s="1815"/>
      <c r="AG56" s="1815"/>
      <c r="AH56" s="1812"/>
      <c r="AI56" s="1810"/>
      <c r="AJ56" s="1810"/>
      <c r="AK56" s="1811"/>
      <c r="AL56" s="1812"/>
      <c r="AM56" s="1810"/>
      <c r="AN56" s="1810"/>
      <c r="AO56" s="1811"/>
      <c r="AP56" s="1773">
        <f t="shared" ref="AP56:BR56" si="122">AP29-AP42</f>
        <v>62.086800000000011</v>
      </c>
      <c r="AQ56" s="1773">
        <f t="shared" si="122"/>
        <v>84.521499999999989</v>
      </c>
      <c r="AR56" s="1773">
        <f t="shared" si="122"/>
        <v>89.527999999999992</v>
      </c>
      <c r="AS56" s="1774">
        <f t="shared" si="122"/>
        <v>84.174479999999988</v>
      </c>
      <c r="AT56" s="1773">
        <f t="shared" si="122"/>
        <v>79.135874999999999</v>
      </c>
      <c r="AU56" s="1773">
        <f t="shared" si="122"/>
        <v>76.228499999999997</v>
      </c>
      <c r="AV56" s="1773">
        <f t="shared" si="122"/>
        <v>70.926627599999989</v>
      </c>
      <c r="AW56" s="1774">
        <f t="shared" si="122"/>
        <v>77.456793449999992</v>
      </c>
      <c r="AX56" s="1773">
        <f t="shared" si="122"/>
        <v>79.957337850499982</v>
      </c>
      <c r="AY56" s="1773">
        <f t="shared" si="122"/>
        <v>109.54583396833996</v>
      </c>
      <c r="AZ56" s="1773">
        <f t="shared" si="122"/>
        <v>256.02983800434879</v>
      </c>
      <c r="BA56" s="1774">
        <f t="shared" si="122"/>
        <v>514.06155703257809</v>
      </c>
      <c r="BB56" s="1773">
        <f t="shared" si="122"/>
        <v>372.9957188331777</v>
      </c>
      <c r="BC56" s="1773">
        <f t="shared" si="122"/>
        <v>379.51018675946193</v>
      </c>
      <c r="BD56" s="1773">
        <f t="shared" si="122"/>
        <v>407.02896349929597</v>
      </c>
      <c r="BE56" s="1774">
        <f t="shared" si="122"/>
        <v>438.47379078621384</v>
      </c>
      <c r="BF56" s="1773">
        <f t="shared" si="122"/>
        <v>421.53250336261181</v>
      </c>
      <c r="BG56" s="1773">
        <f t="shared" si="122"/>
        <v>429.46129841860284</v>
      </c>
      <c r="BH56" s="1773">
        <f t="shared" si="122"/>
        <v>375.77771815149958</v>
      </c>
      <c r="BI56" s="1774">
        <f t="shared" si="122"/>
        <v>365.50734228529711</v>
      </c>
      <c r="BJ56" s="1777">
        <f t="shared" si="122"/>
        <v>408.42091699624689</v>
      </c>
      <c r="BK56" s="1773">
        <f t="shared" si="122"/>
        <v>424.21827164660738</v>
      </c>
      <c r="BL56" s="1773">
        <f t="shared" si="122"/>
        <v>403.83121951970679</v>
      </c>
      <c r="BM56" s="1774">
        <f t="shared" si="122"/>
        <v>369.21674360082966</v>
      </c>
      <c r="BN56" s="1777">
        <f t="shared" si="122"/>
        <v>358.78707931838159</v>
      </c>
      <c r="BO56" s="1773">
        <f t="shared" si="122"/>
        <v>341.57984110992936</v>
      </c>
      <c r="BP56" s="1773">
        <f t="shared" si="122"/>
        <v>295.37233605249469</v>
      </c>
      <c r="BQ56" s="1774">
        <f t="shared" si="122"/>
        <v>295.16986516855138</v>
      </c>
      <c r="BR56" s="1777">
        <f t="shared" si="122"/>
        <v>331.23606140566693</v>
      </c>
      <c r="BS56" s="1773"/>
      <c r="BT56" s="1773"/>
      <c r="BU56" s="1774"/>
      <c r="BV56" s="1777"/>
      <c r="BW56" s="1773"/>
      <c r="BX56" s="1773"/>
      <c r="BY56" s="1774"/>
      <c r="BZ56" s="1777"/>
      <c r="CA56" s="1773"/>
      <c r="CB56" s="1773"/>
      <c r="CC56" s="1774"/>
      <c r="CD56" s="1816"/>
      <c r="CE56" s="1810"/>
      <c r="CF56" s="1810"/>
      <c r="CG56" s="1810"/>
      <c r="CH56" s="1810"/>
      <c r="CI56" s="1810"/>
      <c r="CJ56" s="1810"/>
      <c r="CK56" s="1810"/>
      <c r="CL56" s="1810"/>
      <c r="CM56" s="1810"/>
      <c r="CN56" s="1773">
        <f t="shared" si="105"/>
        <v>320.31077999999997</v>
      </c>
      <c r="CO56" s="1773">
        <f t="shared" si="106"/>
        <v>303.74779604999998</v>
      </c>
      <c r="CP56" s="1773">
        <f t="shared" si="107"/>
        <v>959.59456685576686</v>
      </c>
      <c r="CQ56" s="1773">
        <f t="shared" si="108"/>
        <v>1598.0086598781495</v>
      </c>
      <c r="CR56" s="1773">
        <f t="shared" si="109"/>
        <v>1592.2788622180115</v>
      </c>
      <c r="CS56" s="1773">
        <f t="shared" si="110"/>
        <v>1605.6871517633906</v>
      </c>
      <c r="CT56" s="1773">
        <f t="shared" si="111"/>
        <v>1290.9091216493571</v>
      </c>
      <c r="CU56" s="1773">
        <f t="shared" si="112"/>
        <v>331.23606140566693</v>
      </c>
      <c r="CV56" s="1773"/>
      <c r="CW56" s="1773"/>
      <c r="CX56" s="1773"/>
      <c r="CY56" s="1773"/>
      <c r="CZ56" s="1773"/>
      <c r="DA56" s="1773"/>
      <c r="DB56" s="1773"/>
      <c r="DC56" s="1773"/>
      <c r="DD56" s="1817"/>
      <c r="DE56" s="1818"/>
      <c r="DF56" s="1819"/>
      <c r="DG56" s="1820"/>
      <c r="DH56" s="1819"/>
      <c r="DI56" s="1819"/>
      <c r="DJ56" s="1819"/>
      <c r="DK56" s="1819"/>
      <c r="DL56" s="1810"/>
      <c r="DM56" s="1810"/>
      <c r="DN56" s="1810"/>
      <c r="DO56" s="1810"/>
      <c r="DP56" s="1782">
        <f t="shared" si="113"/>
        <v>329.06685499999998</v>
      </c>
      <c r="DQ56" s="1782">
        <f t="shared" si="114"/>
        <v>337.8865928688399</v>
      </c>
      <c r="DR56" s="1782">
        <f t="shared" si="115"/>
        <v>1522.5973006295665</v>
      </c>
      <c r="DS56" s="1783">
        <f t="shared" si="116"/>
        <v>1696.4965560667245</v>
      </c>
      <c r="DT56" s="1782">
        <f t="shared" si="117"/>
        <v>1573.924249079651</v>
      </c>
      <c r="DU56" s="1782">
        <f t="shared" si="118"/>
        <v>1473.4148835488472</v>
      </c>
      <c r="DV56" s="1782">
        <f t="shared" si="119"/>
        <v>921.77826262671306</v>
      </c>
      <c r="DW56" s="1782">
        <f t="shared" si="120"/>
        <v>0</v>
      </c>
      <c r="DX56" s="2250">
        <f t="shared" si="121"/>
        <v>0</v>
      </c>
      <c r="DY56" s="1782"/>
      <c r="DZ56" s="1819"/>
      <c r="EA56"/>
      <c r="EB56"/>
      <c r="EC56"/>
      <c r="ED56"/>
      <c r="EE56"/>
      <c r="EF56"/>
    </row>
    <row r="57" spans="1:136" s="1785" customFormat="1" ht="11.25" hidden="1" customHeight="1" outlineLevel="2">
      <c r="A57" s="1786"/>
      <c r="B57" s="1787"/>
      <c r="D57" s="1785" t="s">
        <v>663</v>
      </c>
      <c r="E57" s="1801"/>
      <c r="F57" s="1790"/>
      <c r="G57" s="1790"/>
      <c r="H57" s="1790"/>
      <c r="I57" s="1791"/>
      <c r="J57" s="1792"/>
      <c r="K57" s="1790"/>
      <c r="L57" s="1790"/>
      <c r="M57" s="1791"/>
      <c r="N57" s="1792"/>
      <c r="O57" s="1790"/>
      <c r="P57" s="1790"/>
      <c r="Q57" s="1791"/>
      <c r="R57" s="1792"/>
      <c r="S57" s="1790"/>
      <c r="T57" s="1790"/>
      <c r="U57" s="1791"/>
      <c r="V57" s="1792"/>
      <c r="W57" s="1790"/>
      <c r="X57" s="1790"/>
      <c r="Y57" s="1791"/>
      <c r="Z57" s="1792"/>
      <c r="AA57" s="1790"/>
      <c r="AB57" s="1790"/>
      <c r="AC57" s="1793"/>
      <c r="AD57" s="1794"/>
      <c r="AE57" s="1795"/>
      <c r="AF57" s="1795"/>
      <c r="AG57" s="1795"/>
      <c r="AH57" s="1792"/>
      <c r="AI57" s="1790"/>
      <c r="AJ57" s="1790"/>
      <c r="AK57" s="1791"/>
      <c r="AL57" s="1792"/>
      <c r="AM57" s="1790"/>
      <c r="AN57" s="1790"/>
      <c r="AO57" s="1791"/>
      <c r="AP57" s="1769">
        <f t="shared" ref="AP57:BR57" si="123">AP30-AP43</f>
        <v>0</v>
      </c>
      <c r="AQ57" s="1769">
        <f t="shared" si="123"/>
        <v>0</v>
      </c>
      <c r="AR57" s="1769">
        <f t="shared" si="123"/>
        <v>0</v>
      </c>
      <c r="AS57" s="1778">
        <f t="shared" si="123"/>
        <v>0</v>
      </c>
      <c r="AT57" s="1769">
        <f t="shared" si="123"/>
        <v>0</v>
      </c>
      <c r="AU57" s="1769">
        <f t="shared" si="123"/>
        <v>0</v>
      </c>
      <c r="AV57" s="1769">
        <f t="shared" si="123"/>
        <v>0</v>
      </c>
      <c r="AW57" s="1778">
        <f t="shared" si="123"/>
        <v>0</v>
      </c>
      <c r="AX57" s="1769">
        <f t="shared" si="123"/>
        <v>0</v>
      </c>
      <c r="AY57" s="1769">
        <f t="shared" si="123"/>
        <v>0</v>
      </c>
      <c r="AZ57" s="1769">
        <f t="shared" si="123"/>
        <v>37</v>
      </c>
      <c r="BA57" s="1778">
        <f t="shared" si="123"/>
        <v>291.04199999999997</v>
      </c>
      <c r="BB57" s="1769">
        <f t="shared" si="123"/>
        <v>216.25875809999994</v>
      </c>
      <c r="BC57" s="1769">
        <f t="shared" si="123"/>
        <v>215.58553518347998</v>
      </c>
      <c r="BD57" s="1769">
        <f t="shared" si="123"/>
        <v>219.28253313160144</v>
      </c>
      <c r="BE57" s="1778">
        <f t="shared" si="123"/>
        <v>222.5498428752623</v>
      </c>
      <c r="BF57" s="1769">
        <f t="shared" si="123"/>
        <v>224.0453778193841</v>
      </c>
      <c r="BG57" s="1769">
        <f t="shared" si="123"/>
        <v>221.5280140236606</v>
      </c>
      <c r="BH57" s="1769">
        <f t="shared" si="123"/>
        <v>196.40875112441407</v>
      </c>
      <c r="BI57" s="1778">
        <f t="shared" si="123"/>
        <v>190.55577034090652</v>
      </c>
      <c r="BJ57" s="1802">
        <f t="shared" si="123"/>
        <v>206.61443933462209</v>
      </c>
      <c r="BK57" s="1769">
        <f t="shared" si="123"/>
        <v>210.2431054254364</v>
      </c>
      <c r="BL57" s="1769">
        <f t="shared" si="123"/>
        <v>213.75661652952039</v>
      </c>
      <c r="BM57" s="1778">
        <f t="shared" si="123"/>
        <v>192.38586882177589</v>
      </c>
      <c r="BN57" s="1802">
        <f t="shared" si="123"/>
        <v>181.3122513805526</v>
      </c>
      <c r="BO57" s="1769">
        <f t="shared" si="123"/>
        <v>163.02217049646842</v>
      </c>
      <c r="BP57" s="1769">
        <f t="shared" si="123"/>
        <v>131.77625448464531</v>
      </c>
      <c r="BQ57" s="1778">
        <f t="shared" si="123"/>
        <v>120.96725779444679</v>
      </c>
      <c r="BR57" s="1802">
        <f t="shared" si="123"/>
        <v>129.45271999795511</v>
      </c>
      <c r="BS57" s="1769"/>
      <c r="BT57" s="1769"/>
      <c r="BU57" s="1778"/>
      <c r="BV57" s="1802"/>
      <c r="BW57" s="1769"/>
      <c r="BX57" s="1769"/>
      <c r="BY57" s="1778"/>
      <c r="BZ57" s="1802"/>
      <c r="CA57" s="1769"/>
      <c r="CB57" s="1769"/>
      <c r="CC57" s="1778"/>
      <c r="CD57" s="1796"/>
      <c r="CE57" s="1790"/>
      <c r="CF57" s="1790"/>
      <c r="CG57" s="1790"/>
      <c r="CH57" s="1790"/>
      <c r="CI57" s="1790"/>
      <c r="CJ57" s="1790"/>
      <c r="CK57" s="1790"/>
      <c r="CL57" s="1790"/>
      <c r="CM57" s="1790"/>
      <c r="CN57" s="1769">
        <f t="shared" si="105"/>
        <v>0</v>
      </c>
      <c r="CO57" s="1769">
        <f t="shared" si="106"/>
        <v>0</v>
      </c>
      <c r="CP57" s="1769">
        <f t="shared" si="107"/>
        <v>328.04199999999997</v>
      </c>
      <c r="CQ57" s="1769">
        <f t="shared" si="108"/>
        <v>873.67666929034363</v>
      </c>
      <c r="CR57" s="1769">
        <f t="shared" si="109"/>
        <v>832.53791330836532</v>
      </c>
      <c r="CS57" s="1769">
        <f t="shared" si="110"/>
        <v>823.00003011135482</v>
      </c>
      <c r="CT57" s="1769">
        <f t="shared" si="111"/>
        <v>597.07793415611309</v>
      </c>
      <c r="CU57" s="1769">
        <f t="shared" si="112"/>
        <v>129.45271999795511</v>
      </c>
      <c r="CV57" s="1769"/>
      <c r="CW57" s="1769"/>
      <c r="CX57" s="1769"/>
      <c r="CY57" s="1769"/>
      <c r="CZ57" s="1769"/>
      <c r="DA57" s="1769"/>
      <c r="DB57" s="1769"/>
      <c r="DC57" s="1769"/>
      <c r="DD57" s="1797"/>
      <c r="DE57" s="1821"/>
      <c r="DF57" s="1798"/>
      <c r="DG57" s="1799"/>
      <c r="DH57" s="1798"/>
      <c r="DI57" s="1798"/>
      <c r="DJ57" s="1798"/>
      <c r="DK57" s="1798"/>
      <c r="DL57" s="1790"/>
      <c r="DM57" s="1790"/>
      <c r="DN57" s="1790"/>
      <c r="DO57" s="1790"/>
      <c r="DP57" s="1803">
        <f t="shared" si="113"/>
        <v>0</v>
      </c>
      <c r="DQ57" s="1803">
        <f t="shared" si="114"/>
        <v>0</v>
      </c>
      <c r="DR57" s="1803">
        <f t="shared" si="115"/>
        <v>759.88629328347997</v>
      </c>
      <c r="DS57" s="1804">
        <f t="shared" si="116"/>
        <v>887.40576784990844</v>
      </c>
      <c r="DT57" s="1803">
        <f t="shared" si="117"/>
        <v>803.8220662253791</v>
      </c>
      <c r="DU57" s="1803">
        <f t="shared" si="118"/>
        <v>750.47690722831737</v>
      </c>
      <c r="DV57" s="1803">
        <f t="shared" si="119"/>
        <v>382.19623227704722</v>
      </c>
      <c r="DW57" s="1803">
        <f t="shared" si="120"/>
        <v>0</v>
      </c>
      <c r="DX57" s="2252">
        <f t="shared" si="121"/>
        <v>0</v>
      </c>
      <c r="DY57" s="1803"/>
      <c r="DZ57" s="1798"/>
      <c r="EA57"/>
      <c r="EB57"/>
      <c r="EC57"/>
      <c r="ED57"/>
      <c r="EE57"/>
      <c r="EF57"/>
    </row>
    <row r="58" spans="1:136" s="1785" customFormat="1" ht="11.25" hidden="1" customHeight="1" outlineLevel="2">
      <c r="A58" s="1786"/>
      <c r="B58" s="1787"/>
      <c r="D58" s="1785" t="s">
        <v>664</v>
      </c>
      <c r="E58" s="1801"/>
      <c r="F58" s="1790"/>
      <c r="G58" s="1790"/>
      <c r="H58" s="1790"/>
      <c r="I58" s="1791"/>
      <c r="J58" s="1792"/>
      <c r="K58" s="1790"/>
      <c r="L58" s="1790"/>
      <c r="M58" s="1791"/>
      <c r="N58" s="1792"/>
      <c r="O58" s="1790"/>
      <c r="P58" s="1790"/>
      <c r="Q58" s="1791"/>
      <c r="R58" s="1792"/>
      <c r="S58" s="1790"/>
      <c r="T58" s="1790"/>
      <c r="U58" s="1791"/>
      <c r="V58" s="1792"/>
      <c r="W58" s="1790"/>
      <c r="X58" s="1790"/>
      <c r="Y58" s="1791"/>
      <c r="Z58" s="1792"/>
      <c r="AA58" s="1790"/>
      <c r="AB58" s="1790"/>
      <c r="AC58" s="1793"/>
      <c r="AD58" s="1794"/>
      <c r="AE58" s="1795"/>
      <c r="AF58" s="1795"/>
      <c r="AG58" s="1795"/>
      <c r="AH58" s="1792"/>
      <c r="AI58" s="1790"/>
      <c r="AJ58" s="1790"/>
      <c r="AK58" s="1791"/>
      <c r="AL58" s="1792"/>
      <c r="AM58" s="1790"/>
      <c r="AN58" s="1790"/>
      <c r="AO58" s="1791"/>
      <c r="AP58" s="1769">
        <f t="shared" ref="AP58:BR58" si="124">AP31-AP44</f>
        <v>62.086800000000011</v>
      </c>
      <c r="AQ58" s="1769">
        <f t="shared" si="124"/>
        <v>84.521499999999989</v>
      </c>
      <c r="AR58" s="1769">
        <f t="shared" si="124"/>
        <v>89.527999999999992</v>
      </c>
      <c r="AS58" s="1778">
        <f t="shared" si="124"/>
        <v>84.174479999999988</v>
      </c>
      <c r="AT58" s="1769">
        <f t="shared" si="124"/>
        <v>79.135874999999999</v>
      </c>
      <c r="AU58" s="1769">
        <f t="shared" si="124"/>
        <v>76.228499999999997</v>
      </c>
      <c r="AV58" s="1769">
        <f t="shared" si="124"/>
        <v>70.926627599999989</v>
      </c>
      <c r="AW58" s="1778">
        <f t="shared" si="124"/>
        <v>77.456793449999992</v>
      </c>
      <c r="AX58" s="1769">
        <f t="shared" si="124"/>
        <v>79.957337850499982</v>
      </c>
      <c r="AY58" s="1769">
        <f t="shared" si="124"/>
        <v>109.54583396833996</v>
      </c>
      <c r="AZ58" s="1769">
        <f t="shared" si="124"/>
        <v>219.02983800434879</v>
      </c>
      <c r="BA58" s="1778">
        <f t="shared" si="124"/>
        <v>223.01955703257812</v>
      </c>
      <c r="BB58" s="1769">
        <f t="shared" si="124"/>
        <v>156.73696073317777</v>
      </c>
      <c r="BC58" s="1769">
        <f t="shared" si="124"/>
        <v>163.92465157598204</v>
      </c>
      <c r="BD58" s="1769">
        <f t="shared" si="124"/>
        <v>187.74643036769453</v>
      </c>
      <c r="BE58" s="1778">
        <f t="shared" si="124"/>
        <v>215.9239479109516</v>
      </c>
      <c r="BF58" s="1769">
        <f t="shared" si="124"/>
        <v>197.48712554322782</v>
      </c>
      <c r="BG58" s="1769">
        <f t="shared" si="124"/>
        <v>207.93328439494223</v>
      </c>
      <c r="BH58" s="1769">
        <f t="shared" si="124"/>
        <v>179.36896702708555</v>
      </c>
      <c r="BI58" s="1778">
        <f t="shared" si="124"/>
        <v>174.95157194439057</v>
      </c>
      <c r="BJ58" s="1802">
        <f t="shared" si="124"/>
        <v>201.80647766162491</v>
      </c>
      <c r="BK58" s="1769">
        <f t="shared" si="124"/>
        <v>213.97516622117092</v>
      </c>
      <c r="BL58" s="1769">
        <f t="shared" si="124"/>
        <v>190.07460299018646</v>
      </c>
      <c r="BM58" s="1778">
        <f t="shared" si="124"/>
        <v>176.83087477905377</v>
      </c>
      <c r="BN58" s="1802">
        <f t="shared" si="124"/>
        <v>177.47482793782899</v>
      </c>
      <c r="BO58" s="1769">
        <f t="shared" si="124"/>
        <v>178.55767061346097</v>
      </c>
      <c r="BP58" s="1769">
        <f t="shared" si="124"/>
        <v>163.59608156784941</v>
      </c>
      <c r="BQ58" s="1778">
        <f t="shared" si="124"/>
        <v>174.20260737410459</v>
      </c>
      <c r="BR58" s="1802">
        <f t="shared" si="124"/>
        <v>201.78334140771182</v>
      </c>
      <c r="BS58" s="1769"/>
      <c r="BT58" s="1769"/>
      <c r="BU58" s="1778"/>
      <c r="BV58" s="1802"/>
      <c r="BW58" s="1769"/>
      <c r="BX58" s="1769"/>
      <c r="BY58" s="1778"/>
      <c r="BZ58" s="1802"/>
      <c r="CA58" s="1769"/>
      <c r="CB58" s="1769"/>
      <c r="CC58" s="1778"/>
      <c r="CD58" s="1796"/>
      <c r="CE58" s="1790"/>
      <c r="CF58" s="1790"/>
      <c r="CG58" s="1790"/>
      <c r="CH58" s="1790"/>
      <c r="CI58" s="1790"/>
      <c r="CJ58" s="1790"/>
      <c r="CK58" s="1790"/>
      <c r="CL58" s="1790"/>
      <c r="CM58" s="1790"/>
      <c r="CN58" s="1769">
        <f t="shared" si="105"/>
        <v>320.31077999999997</v>
      </c>
      <c r="CO58" s="1769">
        <f t="shared" si="106"/>
        <v>303.74779604999998</v>
      </c>
      <c r="CP58" s="1769">
        <f t="shared" si="107"/>
        <v>631.55256685576683</v>
      </c>
      <c r="CQ58" s="1769">
        <f t="shared" si="108"/>
        <v>724.33199058780588</v>
      </c>
      <c r="CR58" s="1769">
        <f t="shared" si="109"/>
        <v>759.74094890964614</v>
      </c>
      <c r="CS58" s="1769">
        <f t="shared" si="110"/>
        <v>782.68712165203601</v>
      </c>
      <c r="CT58" s="1769">
        <f t="shared" si="111"/>
        <v>693.83118749324387</v>
      </c>
      <c r="CU58" s="1769">
        <f t="shared" si="112"/>
        <v>201.78334140771182</v>
      </c>
      <c r="CV58" s="1769"/>
      <c r="CW58" s="1769"/>
      <c r="CX58" s="1769"/>
      <c r="CY58" s="1769"/>
      <c r="CZ58" s="1769"/>
      <c r="DA58" s="1769"/>
      <c r="DB58" s="1769"/>
      <c r="DC58" s="1769"/>
      <c r="DD58" s="1797"/>
      <c r="DE58" s="1821"/>
      <c r="DF58" s="1798"/>
      <c r="DG58" s="1799"/>
      <c r="DH58" s="1798"/>
      <c r="DI58" s="1798"/>
      <c r="DJ58" s="1798"/>
      <c r="DK58" s="1798"/>
      <c r="DL58" s="1790"/>
      <c r="DM58" s="1790"/>
      <c r="DN58" s="1790"/>
      <c r="DO58" s="1790"/>
      <c r="DP58" s="1803">
        <f t="shared" si="113"/>
        <v>329.06685499999998</v>
      </c>
      <c r="DQ58" s="1803">
        <f t="shared" si="114"/>
        <v>337.8865928688399</v>
      </c>
      <c r="DR58" s="1803">
        <f t="shared" si="115"/>
        <v>762.71100734608672</v>
      </c>
      <c r="DS58" s="1804">
        <f t="shared" si="116"/>
        <v>809.09078821681612</v>
      </c>
      <c r="DT58" s="1803">
        <f t="shared" si="117"/>
        <v>770.10218285427186</v>
      </c>
      <c r="DU58" s="1803">
        <f t="shared" si="118"/>
        <v>722.9379763205302</v>
      </c>
      <c r="DV58" s="1803">
        <f t="shared" si="119"/>
        <v>539.58203034966573</v>
      </c>
      <c r="DW58" s="1803">
        <f t="shared" si="120"/>
        <v>0</v>
      </c>
      <c r="DX58" s="2252">
        <f t="shared" si="121"/>
        <v>0</v>
      </c>
      <c r="DY58" s="1803"/>
      <c r="DZ58" s="1798"/>
      <c r="EA58"/>
      <c r="EB58"/>
      <c r="EC58"/>
      <c r="ED58"/>
      <c r="EE58"/>
      <c r="EF58"/>
    </row>
    <row r="59" spans="1:136" s="1785" customFormat="1" ht="11.25" hidden="1" customHeight="1" outlineLevel="2">
      <c r="A59" s="1806"/>
      <c r="B59" s="1807"/>
      <c r="C59" s="1808" t="s">
        <v>186</v>
      </c>
      <c r="D59" s="1808"/>
      <c r="E59" s="1809"/>
      <c r="F59" s="1810"/>
      <c r="G59" s="1810"/>
      <c r="H59" s="1810"/>
      <c r="I59" s="1811"/>
      <c r="J59" s="1812"/>
      <c r="K59" s="1810"/>
      <c r="L59" s="1810"/>
      <c r="M59" s="1811"/>
      <c r="N59" s="1812"/>
      <c r="O59" s="1810"/>
      <c r="P59" s="1810"/>
      <c r="Q59" s="1811"/>
      <c r="R59" s="1812"/>
      <c r="S59" s="1810"/>
      <c r="T59" s="1810"/>
      <c r="U59" s="1811"/>
      <c r="V59" s="1812"/>
      <c r="W59" s="1810"/>
      <c r="X59" s="1810"/>
      <c r="Y59" s="1811"/>
      <c r="Z59" s="1812"/>
      <c r="AA59" s="1810"/>
      <c r="AB59" s="1810"/>
      <c r="AC59" s="1813"/>
      <c r="AD59" s="1814"/>
      <c r="AE59" s="1815"/>
      <c r="AF59" s="1815"/>
      <c r="AG59" s="1815"/>
      <c r="AH59" s="1812"/>
      <c r="AI59" s="1810"/>
      <c r="AJ59" s="1810"/>
      <c r="AK59" s="1811"/>
      <c r="AL59" s="1812"/>
      <c r="AM59" s="1810"/>
      <c r="AN59" s="1810"/>
      <c r="AO59" s="1811"/>
      <c r="AP59" s="1773">
        <f t="shared" ref="AP59:BR59" si="125">AP32-AP45</f>
        <v>291.68835055999989</v>
      </c>
      <c r="AQ59" s="1773">
        <f t="shared" si="125"/>
        <v>366.97173124999995</v>
      </c>
      <c r="AR59" s="1773">
        <f t="shared" si="125"/>
        <v>373.92508449999991</v>
      </c>
      <c r="AS59" s="1774">
        <f t="shared" si="125"/>
        <v>276.89226989999997</v>
      </c>
      <c r="AT59" s="1773">
        <f t="shared" si="125"/>
        <v>193.97497498299981</v>
      </c>
      <c r="AU59" s="1773">
        <f t="shared" si="125"/>
        <v>205.38778272499985</v>
      </c>
      <c r="AV59" s="1773">
        <f t="shared" si="125"/>
        <v>185.39315724719972</v>
      </c>
      <c r="AW59" s="1774">
        <f t="shared" si="125"/>
        <v>235.37702087499997</v>
      </c>
      <c r="AX59" s="1773">
        <f t="shared" si="125"/>
        <v>267.77538439665022</v>
      </c>
      <c r="AY59" s="1773">
        <f t="shared" si="125"/>
        <v>361.99814919943981</v>
      </c>
      <c r="AZ59" s="1773">
        <f t="shared" si="125"/>
        <v>637.09654077055711</v>
      </c>
      <c r="BA59" s="1774">
        <f t="shared" si="125"/>
        <v>754.33332295980108</v>
      </c>
      <c r="BB59" s="1773">
        <f t="shared" si="125"/>
        <v>541.54080629206805</v>
      </c>
      <c r="BC59" s="1773">
        <f t="shared" si="125"/>
        <v>409.76384880193177</v>
      </c>
      <c r="BD59" s="1773">
        <f t="shared" si="125"/>
        <v>423.66761840245704</v>
      </c>
      <c r="BE59" s="1774">
        <f t="shared" si="125"/>
        <v>407.57717251926488</v>
      </c>
      <c r="BF59" s="1773">
        <f t="shared" si="125"/>
        <v>405.76798651453782</v>
      </c>
      <c r="BG59" s="1773">
        <f t="shared" si="125"/>
        <v>406.13840954302327</v>
      </c>
      <c r="BH59" s="1773">
        <f t="shared" si="125"/>
        <v>398.79237865974255</v>
      </c>
      <c r="BI59" s="1774">
        <f t="shared" si="125"/>
        <v>396.35222381359563</v>
      </c>
      <c r="BJ59" s="1777">
        <f t="shared" si="125"/>
        <v>411.05717532451717</v>
      </c>
      <c r="BK59" s="1773">
        <f t="shared" si="125"/>
        <v>378.47562263278564</v>
      </c>
      <c r="BL59" s="1773">
        <f t="shared" si="125"/>
        <v>322.78953895837458</v>
      </c>
      <c r="BM59" s="1774">
        <f t="shared" si="125"/>
        <v>249.36194477004119</v>
      </c>
      <c r="BN59" s="1777">
        <f t="shared" si="125"/>
        <v>239.99423883593113</v>
      </c>
      <c r="BO59" s="1773">
        <f t="shared" si="125"/>
        <v>225.57094084466917</v>
      </c>
      <c r="BP59" s="1773">
        <f t="shared" si="125"/>
        <v>185.54564953994623</v>
      </c>
      <c r="BQ59" s="1774">
        <f t="shared" si="125"/>
        <v>166.12932371262946</v>
      </c>
      <c r="BR59" s="1777">
        <f t="shared" si="125"/>
        <v>239.86899104596921</v>
      </c>
      <c r="BS59" s="1773"/>
      <c r="BT59" s="1773"/>
      <c r="BU59" s="1774"/>
      <c r="BV59" s="1777"/>
      <c r="BW59" s="1773"/>
      <c r="BX59" s="1773"/>
      <c r="BY59" s="1774"/>
      <c r="BZ59" s="1777"/>
      <c r="CA59" s="1773"/>
      <c r="CB59" s="1773"/>
      <c r="CC59" s="1774"/>
      <c r="CD59" s="1816"/>
      <c r="CE59" s="1810"/>
      <c r="CF59" s="1810"/>
      <c r="CG59" s="1810"/>
      <c r="CH59" s="1810"/>
      <c r="CI59" s="1810"/>
      <c r="CJ59" s="1810"/>
      <c r="CK59" s="1810"/>
      <c r="CL59" s="1810"/>
      <c r="CM59" s="1810"/>
      <c r="CN59" s="1773">
        <f t="shared" si="105"/>
        <v>1309.4774362099997</v>
      </c>
      <c r="CO59" s="1773">
        <f t="shared" si="106"/>
        <v>820.13293583019936</v>
      </c>
      <c r="CP59" s="1773">
        <f t="shared" si="107"/>
        <v>2021.2033973264483</v>
      </c>
      <c r="CQ59" s="1773">
        <f t="shared" si="108"/>
        <v>1782.5494460157217</v>
      </c>
      <c r="CR59" s="1773">
        <f t="shared" si="109"/>
        <v>1607.0509985308993</v>
      </c>
      <c r="CS59" s="1773">
        <f t="shared" si="110"/>
        <v>1361.6842816857186</v>
      </c>
      <c r="CT59" s="1773">
        <f t="shared" si="111"/>
        <v>817.24015293317598</v>
      </c>
      <c r="CU59" s="1773">
        <f t="shared" si="112"/>
        <v>239.86899104596921</v>
      </c>
      <c r="CV59" s="1773"/>
      <c r="CW59" s="1773"/>
      <c r="CX59" s="1773"/>
      <c r="CY59" s="1773"/>
      <c r="CZ59" s="1773"/>
      <c r="DA59" s="1773"/>
      <c r="DB59" s="1773"/>
      <c r="DC59" s="1773"/>
      <c r="DD59" s="1817"/>
      <c r="DE59" s="1818"/>
      <c r="DF59" s="1819"/>
      <c r="DG59" s="1820"/>
      <c r="DH59" s="1819"/>
      <c r="DI59" s="1819"/>
      <c r="DJ59" s="1819"/>
      <c r="DK59" s="1819"/>
      <c r="DL59" s="1810"/>
      <c r="DM59" s="1810"/>
      <c r="DN59" s="1810"/>
      <c r="DO59" s="1810"/>
      <c r="DP59" s="1782">
        <f t="shared" si="113"/>
        <v>1050.1801121079995</v>
      </c>
      <c r="DQ59" s="1782">
        <f t="shared" si="114"/>
        <v>1050.5437117182896</v>
      </c>
      <c r="DR59" s="1782">
        <f t="shared" si="115"/>
        <v>2342.734518824358</v>
      </c>
      <c r="DS59" s="1783">
        <f t="shared" si="116"/>
        <v>1643.151186979283</v>
      </c>
      <c r="DT59" s="1782">
        <f t="shared" si="117"/>
        <v>1584.677400430641</v>
      </c>
      <c r="DU59" s="1782">
        <f t="shared" si="118"/>
        <v>1037.7166634090161</v>
      </c>
      <c r="DV59" s="1782">
        <f t="shared" si="119"/>
        <v>591.54396429854489</v>
      </c>
      <c r="DW59" s="1782">
        <f t="shared" si="120"/>
        <v>0</v>
      </c>
      <c r="DX59" s="2250">
        <f t="shared" si="121"/>
        <v>0</v>
      </c>
      <c r="DY59" s="1782"/>
      <c r="DZ59" s="1819"/>
      <c r="EA59"/>
      <c r="EB59"/>
      <c r="EC59"/>
      <c r="ED59"/>
      <c r="EE59"/>
      <c r="EF59"/>
    </row>
    <row r="60" spans="1:136" s="1785" customFormat="1" ht="11.25" hidden="1" customHeight="1" outlineLevel="2">
      <c r="A60" s="1786"/>
      <c r="B60" s="1787"/>
      <c r="D60" s="1785" t="s">
        <v>680</v>
      </c>
      <c r="E60" s="1801"/>
      <c r="F60" s="1790"/>
      <c r="G60" s="1790"/>
      <c r="H60" s="1790"/>
      <c r="I60" s="1791"/>
      <c r="J60" s="1792"/>
      <c r="K60" s="1790"/>
      <c r="L60" s="1790"/>
      <c r="M60" s="1791"/>
      <c r="N60" s="1792"/>
      <c r="O60" s="1790"/>
      <c r="P60" s="1790"/>
      <c r="Q60" s="1791"/>
      <c r="R60" s="1792"/>
      <c r="S60" s="1790"/>
      <c r="T60" s="1790"/>
      <c r="U60" s="1791"/>
      <c r="V60" s="1792"/>
      <c r="W60" s="1790"/>
      <c r="X60" s="1790"/>
      <c r="Y60" s="1791"/>
      <c r="Z60" s="1792"/>
      <c r="AA60" s="1790"/>
      <c r="AB60" s="1790"/>
      <c r="AC60" s="1793"/>
      <c r="AD60" s="1794"/>
      <c r="AE60" s="1795"/>
      <c r="AF60" s="1795"/>
      <c r="AG60" s="1795"/>
      <c r="AH60" s="1792"/>
      <c r="AI60" s="1790"/>
      <c r="AJ60" s="1790"/>
      <c r="AK60" s="1791"/>
      <c r="AL60" s="1792"/>
      <c r="AM60" s="1790"/>
      <c r="AN60" s="1790"/>
      <c r="AO60" s="1791"/>
      <c r="AP60" s="1769">
        <f t="shared" ref="AP60:BR60" si="126">AP33-AP46</f>
        <v>136.28988800000002</v>
      </c>
      <c r="AQ60" s="1769">
        <f t="shared" si="126"/>
        <v>173.62564999999995</v>
      </c>
      <c r="AR60" s="1769">
        <f t="shared" si="126"/>
        <v>162.86687999999992</v>
      </c>
      <c r="AS60" s="1778">
        <f t="shared" si="126"/>
        <v>123.36868499999991</v>
      </c>
      <c r="AT60" s="1769">
        <f t="shared" si="126"/>
        <v>83.428187500000035</v>
      </c>
      <c r="AU60" s="1769">
        <f t="shared" si="126"/>
        <v>92.097037500000056</v>
      </c>
      <c r="AV60" s="1769">
        <f t="shared" si="126"/>
        <v>81.234593212499931</v>
      </c>
      <c r="AW60" s="1778">
        <f t="shared" si="126"/>
        <v>99.71787267000002</v>
      </c>
      <c r="AX60" s="1769">
        <f t="shared" si="126"/>
        <v>127.09146589424995</v>
      </c>
      <c r="AY60" s="1769">
        <f t="shared" si="126"/>
        <v>168.28469676768754</v>
      </c>
      <c r="AZ60" s="1769">
        <f t="shared" si="126"/>
        <v>335.20673529620888</v>
      </c>
      <c r="BA60" s="1778">
        <f t="shared" si="126"/>
        <v>447.75499813712167</v>
      </c>
      <c r="BB60" s="1769">
        <f t="shared" si="126"/>
        <v>322.88566456742251</v>
      </c>
      <c r="BC60" s="1769">
        <f t="shared" si="126"/>
        <v>213.64498887315017</v>
      </c>
      <c r="BD60" s="1769">
        <f t="shared" si="126"/>
        <v>217.64883325410653</v>
      </c>
      <c r="BE60" s="1778">
        <f t="shared" si="126"/>
        <v>236.25787415461275</v>
      </c>
      <c r="BF60" s="1769">
        <f t="shared" si="126"/>
        <v>218.88141232446424</v>
      </c>
      <c r="BG60" s="1769">
        <f t="shared" si="126"/>
        <v>220.82299133288018</v>
      </c>
      <c r="BH60" s="1769">
        <f t="shared" si="126"/>
        <v>214.47813591629642</v>
      </c>
      <c r="BI60" s="1778">
        <f t="shared" si="126"/>
        <v>220.64307956634843</v>
      </c>
      <c r="BJ60" s="1802">
        <f t="shared" si="126"/>
        <v>230.14484523470844</v>
      </c>
      <c r="BK60" s="1769">
        <f t="shared" si="126"/>
        <v>205.90845574737239</v>
      </c>
      <c r="BL60" s="1769">
        <f t="shared" si="126"/>
        <v>180.53929935199301</v>
      </c>
      <c r="BM60" s="1778">
        <f t="shared" si="126"/>
        <v>137.38891232397873</v>
      </c>
      <c r="BN60" s="1802">
        <f t="shared" si="126"/>
        <v>132.59947910115068</v>
      </c>
      <c r="BO60" s="1769">
        <f t="shared" si="126"/>
        <v>121.98862613750509</v>
      </c>
      <c r="BP60" s="1769">
        <f t="shared" si="126"/>
        <v>101.79532895166722</v>
      </c>
      <c r="BQ60" s="1778">
        <f t="shared" si="126"/>
        <v>96.505387130462111</v>
      </c>
      <c r="BR60" s="1802">
        <f t="shared" si="126"/>
        <v>149.22708341823454</v>
      </c>
      <c r="BS60" s="1769"/>
      <c r="BT60" s="1769"/>
      <c r="BU60" s="1778"/>
      <c r="BV60" s="1802"/>
      <c r="BW60" s="1769"/>
      <c r="BX60" s="1769"/>
      <c r="BY60" s="1778"/>
      <c r="BZ60" s="1802"/>
      <c r="CA60" s="1769"/>
      <c r="CB60" s="1769"/>
      <c r="CC60" s="1778"/>
      <c r="CD60" s="1796"/>
      <c r="CE60" s="1790"/>
      <c r="CF60" s="1790"/>
      <c r="CG60" s="1790"/>
      <c r="CH60" s="1790"/>
      <c r="CI60" s="1790"/>
      <c r="CJ60" s="1790"/>
      <c r="CK60" s="1790"/>
      <c r="CL60" s="1790"/>
      <c r="CM60" s="1790"/>
      <c r="CN60" s="1769">
        <f t="shared" si="105"/>
        <v>596.15110299999981</v>
      </c>
      <c r="CO60" s="1769">
        <f t="shared" si="106"/>
        <v>356.47769088250004</v>
      </c>
      <c r="CP60" s="1769">
        <f t="shared" si="107"/>
        <v>1078.337896095268</v>
      </c>
      <c r="CQ60" s="1769">
        <f t="shared" si="108"/>
        <v>990.43736084929196</v>
      </c>
      <c r="CR60" s="1769">
        <f t="shared" si="109"/>
        <v>874.82561913998927</v>
      </c>
      <c r="CS60" s="1769">
        <f t="shared" si="110"/>
        <v>753.98151265805257</v>
      </c>
      <c r="CT60" s="1769">
        <f t="shared" si="111"/>
        <v>452.8888213207851</v>
      </c>
      <c r="CU60" s="1769">
        <f t="shared" si="112"/>
        <v>149.22708341823454</v>
      </c>
      <c r="CV60" s="1769"/>
      <c r="CW60" s="1769"/>
      <c r="CX60" s="1769"/>
      <c r="CY60" s="1769"/>
      <c r="CZ60" s="1769"/>
      <c r="DA60" s="1769"/>
      <c r="DB60" s="1769"/>
      <c r="DC60" s="1769"/>
      <c r="DD60" s="1797"/>
      <c r="DE60" s="1821"/>
      <c r="DF60" s="1798"/>
      <c r="DG60" s="1799"/>
      <c r="DH60" s="1798"/>
      <c r="DI60" s="1798"/>
      <c r="DJ60" s="1798"/>
      <c r="DK60" s="1798"/>
      <c r="DL60" s="1790"/>
      <c r="DM60" s="1790"/>
      <c r="DN60" s="1790"/>
      <c r="DO60" s="1790"/>
      <c r="DP60" s="1803">
        <f t="shared" si="113"/>
        <v>461.76078999999993</v>
      </c>
      <c r="DQ60" s="1803">
        <f t="shared" si="114"/>
        <v>476.32862854443744</v>
      </c>
      <c r="DR60" s="1803">
        <f t="shared" si="115"/>
        <v>1319.4923868739031</v>
      </c>
      <c r="DS60" s="1804">
        <f t="shared" si="116"/>
        <v>893.6111110660637</v>
      </c>
      <c r="DT60" s="1803">
        <f t="shared" si="117"/>
        <v>871.17451646472568</v>
      </c>
      <c r="DU60" s="1803">
        <f t="shared" si="118"/>
        <v>572.51631691462751</v>
      </c>
      <c r="DV60" s="1803">
        <f t="shared" si="119"/>
        <v>347.52779950036387</v>
      </c>
      <c r="DW60" s="1803">
        <f t="shared" si="120"/>
        <v>0</v>
      </c>
      <c r="DX60" s="2252">
        <f t="shared" si="121"/>
        <v>0</v>
      </c>
      <c r="DY60" s="1803"/>
      <c r="DZ60" s="1798"/>
      <c r="EA60"/>
      <c r="EB60"/>
      <c r="EC60"/>
      <c r="ED60"/>
      <c r="EE60"/>
      <c r="EF60"/>
    </row>
    <row r="61" spans="1:136" s="1785" customFormat="1" ht="11.25" hidden="1" customHeight="1" outlineLevel="2">
      <c r="A61" s="1786"/>
      <c r="B61" s="1787"/>
      <c r="D61" s="1785" t="s">
        <v>679</v>
      </c>
      <c r="E61" s="1801"/>
      <c r="F61" s="1790"/>
      <c r="G61" s="1790"/>
      <c r="H61" s="1790"/>
      <c r="I61" s="1791"/>
      <c r="J61" s="1792"/>
      <c r="K61" s="1790"/>
      <c r="L61" s="1790"/>
      <c r="M61" s="1791"/>
      <c r="N61" s="1792"/>
      <c r="O61" s="1790"/>
      <c r="P61" s="1790"/>
      <c r="Q61" s="1791"/>
      <c r="R61" s="1792"/>
      <c r="S61" s="1790"/>
      <c r="T61" s="1790"/>
      <c r="U61" s="1791"/>
      <c r="V61" s="1792"/>
      <c r="W61" s="1790"/>
      <c r="X61" s="1790"/>
      <c r="Y61" s="1791"/>
      <c r="Z61" s="1792"/>
      <c r="AA61" s="1790"/>
      <c r="AB61" s="1790"/>
      <c r="AC61" s="1793"/>
      <c r="AD61" s="1794"/>
      <c r="AE61" s="1795"/>
      <c r="AF61" s="1795"/>
      <c r="AG61" s="1795"/>
      <c r="AH61" s="1792"/>
      <c r="AI61" s="1790"/>
      <c r="AJ61" s="1790"/>
      <c r="AK61" s="1791"/>
      <c r="AL61" s="1792"/>
      <c r="AM61" s="1790"/>
      <c r="AN61" s="1790"/>
      <c r="AO61" s="1791"/>
      <c r="AP61" s="1769">
        <f t="shared" ref="AP61:BR61" si="127">AP34-AP47</f>
        <v>155.39846255999998</v>
      </c>
      <c r="AQ61" s="1769">
        <f t="shared" si="127"/>
        <v>193.34608125</v>
      </c>
      <c r="AR61" s="1769">
        <f t="shared" si="127"/>
        <v>211.05820449999999</v>
      </c>
      <c r="AS61" s="1778">
        <f t="shared" si="127"/>
        <v>153.52358490000006</v>
      </c>
      <c r="AT61" s="1769">
        <f t="shared" si="127"/>
        <v>110.546787483</v>
      </c>
      <c r="AU61" s="1769">
        <f t="shared" si="127"/>
        <v>113.29074522500002</v>
      </c>
      <c r="AV61" s="1769">
        <f t="shared" si="127"/>
        <v>104.15856403470002</v>
      </c>
      <c r="AW61" s="1778">
        <f t="shared" si="127"/>
        <v>135.65914820500006</v>
      </c>
      <c r="AX61" s="1769">
        <f t="shared" si="127"/>
        <v>140.68391850240005</v>
      </c>
      <c r="AY61" s="1769">
        <f t="shared" si="127"/>
        <v>193.71345243175239</v>
      </c>
      <c r="AZ61" s="1769">
        <f t="shared" si="127"/>
        <v>301.88980547434801</v>
      </c>
      <c r="BA61" s="1778">
        <f t="shared" si="127"/>
        <v>306.57832482267952</v>
      </c>
      <c r="BB61" s="1769">
        <f t="shared" si="127"/>
        <v>218.65514172464566</v>
      </c>
      <c r="BC61" s="1769">
        <f t="shared" si="127"/>
        <v>196.1188599287816</v>
      </c>
      <c r="BD61" s="1769">
        <f t="shared" si="127"/>
        <v>206.01878514835062</v>
      </c>
      <c r="BE61" s="1778">
        <f t="shared" si="127"/>
        <v>171.31929836465213</v>
      </c>
      <c r="BF61" s="1769">
        <f t="shared" si="127"/>
        <v>186.8865741900737</v>
      </c>
      <c r="BG61" s="1769">
        <f t="shared" si="127"/>
        <v>185.31541821014321</v>
      </c>
      <c r="BH61" s="1769">
        <f t="shared" si="127"/>
        <v>184.31424274344624</v>
      </c>
      <c r="BI61" s="1778">
        <f t="shared" si="127"/>
        <v>175.7091442472472</v>
      </c>
      <c r="BJ61" s="1802">
        <f t="shared" si="127"/>
        <v>180.91233008980862</v>
      </c>
      <c r="BK61" s="1769">
        <f t="shared" si="127"/>
        <v>172.56716688541314</v>
      </c>
      <c r="BL61" s="1769">
        <f t="shared" si="127"/>
        <v>142.25023960638157</v>
      </c>
      <c r="BM61" s="1778">
        <f t="shared" si="127"/>
        <v>111.97303244606252</v>
      </c>
      <c r="BN61" s="1802">
        <f t="shared" si="127"/>
        <v>107.39475973478051</v>
      </c>
      <c r="BO61" s="1769">
        <f t="shared" si="127"/>
        <v>103.58231470716407</v>
      </c>
      <c r="BP61" s="1769">
        <f t="shared" si="127"/>
        <v>83.750320588279124</v>
      </c>
      <c r="BQ61" s="1778">
        <f t="shared" si="127"/>
        <v>69.623936582167403</v>
      </c>
      <c r="BR61" s="1802">
        <f t="shared" si="127"/>
        <v>90.641907627734554</v>
      </c>
      <c r="BS61" s="1769"/>
      <c r="BT61" s="1769"/>
      <c r="BU61" s="1778"/>
      <c r="BV61" s="1802"/>
      <c r="BW61" s="1769"/>
      <c r="BX61" s="1769"/>
      <c r="BY61" s="1778"/>
      <c r="BZ61" s="1802"/>
      <c r="CA61" s="1769"/>
      <c r="CB61" s="1769"/>
      <c r="CC61" s="1778"/>
      <c r="CD61" s="1796"/>
      <c r="CE61" s="1790"/>
      <c r="CF61" s="1790"/>
      <c r="CG61" s="1790"/>
      <c r="CH61" s="1790"/>
      <c r="CI61" s="1790"/>
      <c r="CJ61" s="1790"/>
      <c r="CK61" s="1790"/>
      <c r="CL61" s="1790"/>
      <c r="CM61" s="1790"/>
      <c r="CN61" s="1769">
        <f t="shared" si="105"/>
        <v>713.32633321000003</v>
      </c>
      <c r="CO61" s="1769">
        <f t="shared" si="106"/>
        <v>463.65524494770011</v>
      </c>
      <c r="CP61" s="1769">
        <f t="shared" si="107"/>
        <v>942.86550123118002</v>
      </c>
      <c r="CQ61" s="1769">
        <f t="shared" si="108"/>
        <v>792.11208516643001</v>
      </c>
      <c r="CR61" s="1769">
        <f t="shared" si="109"/>
        <v>732.22537939091035</v>
      </c>
      <c r="CS61" s="1769">
        <f t="shared" si="110"/>
        <v>607.70276902766591</v>
      </c>
      <c r="CT61" s="1769">
        <f t="shared" si="111"/>
        <v>364.35133161239111</v>
      </c>
      <c r="CU61" s="1769">
        <f t="shared" si="112"/>
        <v>90.641907627734554</v>
      </c>
      <c r="CV61" s="1769"/>
      <c r="CW61" s="1769"/>
      <c r="CX61" s="1769"/>
      <c r="CY61" s="1769"/>
      <c r="CZ61" s="1769"/>
      <c r="DA61" s="1769"/>
      <c r="DB61" s="1769"/>
      <c r="DC61" s="1769"/>
      <c r="DD61" s="1797"/>
      <c r="DE61" s="1821"/>
      <c r="DF61" s="1798"/>
      <c r="DG61" s="1799"/>
      <c r="DH61" s="1798"/>
      <c r="DI61" s="1798"/>
      <c r="DJ61" s="1798"/>
      <c r="DK61" s="1798"/>
      <c r="DL61" s="1790"/>
      <c r="DM61" s="1790"/>
      <c r="DN61" s="1790"/>
      <c r="DO61" s="1790"/>
      <c r="DP61" s="1803">
        <f t="shared" si="113"/>
        <v>588.41932210800007</v>
      </c>
      <c r="DQ61" s="1803">
        <f t="shared" si="114"/>
        <v>574.21508317385246</v>
      </c>
      <c r="DR61" s="1803">
        <f t="shared" si="115"/>
        <v>1023.2421319504548</v>
      </c>
      <c r="DS61" s="1804">
        <f t="shared" si="116"/>
        <v>749.54007591321965</v>
      </c>
      <c r="DT61" s="1803">
        <f t="shared" si="117"/>
        <v>713.5028839659152</v>
      </c>
      <c r="DU61" s="1803">
        <f t="shared" si="118"/>
        <v>465.20034649438867</v>
      </c>
      <c r="DV61" s="1803">
        <f t="shared" si="119"/>
        <v>244.01616479818108</v>
      </c>
      <c r="DW61" s="1803">
        <f t="shared" si="120"/>
        <v>0</v>
      </c>
      <c r="DX61" s="2252">
        <f t="shared" si="121"/>
        <v>0</v>
      </c>
      <c r="DY61" s="1803"/>
      <c r="DZ61" s="1798"/>
      <c r="EA61"/>
      <c r="EB61"/>
      <c r="EC61"/>
      <c r="ED61"/>
      <c r="EE61"/>
      <c r="EF61"/>
    </row>
    <row r="62" spans="1:136" s="1785" customFormat="1" ht="11.25" hidden="1" customHeight="1" outlineLevel="2">
      <c r="A62" s="1806"/>
      <c r="B62" s="1807"/>
      <c r="C62" s="1808" t="s">
        <v>189</v>
      </c>
      <c r="D62" s="1808"/>
      <c r="E62" s="1809"/>
      <c r="F62" s="1810"/>
      <c r="G62" s="1810"/>
      <c r="H62" s="1810"/>
      <c r="I62" s="1811"/>
      <c r="J62" s="1812"/>
      <c r="K62" s="1810"/>
      <c r="L62" s="1810"/>
      <c r="M62" s="1811"/>
      <c r="N62" s="1812"/>
      <c r="O62" s="1810"/>
      <c r="P62" s="1810"/>
      <c r="Q62" s="1811"/>
      <c r="R62" s="1812"/>
      <c r="S62" s="1810"/>
      <c r="T62" s="1810"/>
      <c r="U62" s="1811"/>
      <c r="V62" s="1812"/>
      <c r="W62" s="1810"/>
      <c r="X62" s="1810"/>
      <c r="Y62" s="1811"/>
      <c r="Z62" s="1812"/>
      <c r="AA62" s="1810"/>
      <c r="AB62" s="1810"/>
      <c r="AC62" s="1813"/>
      <c r="AD62" s="1814"/>
      <c r="AE62" s="1815"/>
      <c r="AF62" s="1815"/>
      <c r="AG62" s="1815"/>
      <c r="AH62" s="1812"/>
      <c r="AI62" s="1810"/>
      <c r="AJ62" s="1810"/>
      <c r="AK62" s="1811"/>
      <c r="AL62" s="1812"/>
      <c r="AM62" s="1810"/>
      <c r="AN62" s="1810"/>
      <c r="AO62" s="1811"/>
      <c r="AP62" s="1773">
        <f t="shared" ref="AP62:BR62" si="128">AP35-AP48</f>
        <v>149.88759999999996</v>
      </c>
      <c r="AQ62" s="1773">
        <f t="shared" si="128"/>
        <v>225.10172</v>
      </c>
      <c r="AR62" s="1773">
        <f t="shared" si="128"/>
        <v>193.7574350000001</v>
      </c>
      <c r="AS62" s="1774">
        <f t="shared" si="128"/>
        <v>164.85619999999994</v>
      </c>
      <c r="AT62" s="1773">
        <f t="shared" si="128"/>
        <v>152.87974999999994</v>
      </c>
      <c r="AU62" s="1773">
        <f t="shared" si="128"/>
        <v>190.28812499999992</v>
      </c>
      <c r="AV62" s="1773">
        <f t="shared" si="128"/>
        <v>151.78051875000006</v>
      </c>
      <c r="AW62" s="1774">
        <f t="shared" si="128"/>
        <v>149.88512035000002</v>
      </c>
      <c r="AX62" s="1773">
        <f t="shared" si="128"/>
        <v>187.0969373669999</v>
      </c>
      <c r="AY62" s="1773">
        <f t="shared" si="128"/>
        <v>166.94340741418301</v>
      </c>
      <c r="AZ62" s="1773">
        <f t="shared" si="128"/>
        <v>174.47358416597308</v>
      </c>
      <c r="BA62" s="1774">
        <f t="shared" si="128"/>
        <v>201.8489861400551</v>
      </c>
      <c r="BB62" s="1773">
        <f t="shared" si="128"/>
        <v>268.44017945195378</v>
      </c>
      <c r="BC62" s="1773">
        <f t="shared" si="128"/>
        <v>262.40492740198295</v>
      </c>
      <c r="BD62" s="1773">
        <f t="shared" si="128"/>
        <v>240.25660423324587</v>
      </c>
      <c r="BE62" s="1774">
        <f t="shared" si="128"/>
        <v>198.59057545786959</v>
      </c>
      <c r="BF62" s="1773">
        <f t="shared" si="128"/>
        <v>250.79264486619775</v>
      </c>
      <c r="BG62" s="1773">
        <f t="shared" si="128"/>
        <v>285.63320420123819</v>
      </c>
      <c r="BH62" s="1773">
        <f t="shared" si="128"/>
        <v>255.45351583731394</v>
      </c>
      <c r="BI62" s="1774">
        <f t="shared" si="128"/>
        <v>265.51168013065842</v>
      </c>
      <c r="BJ62" s="1777">
        <f t="shared" si="128"/>
        <v>293.00228302404935</v>
      </c>
      <c r="BK62" s="1773">
        <f t="shared" si="128"/>
        <v>295.60852115682269</v>
      </c>
      <c r="BL62" s="1773">
        <f t="shared" si="128"/>
        <v>252.09786738983018</v>
      </c>
      <c r="BM62" s="1774">
        <f t="shared" si="128"/>
        <v>214.37319737953351</v>
      </c>
      <c r="BN62" s="1777">
        <f t="shared" si="128"/>
        <v>249.44778223002413</v>
      </c>
      <c r="BO62" s="1773">
        <f t="shared" si="128"/>
        <v>243.95198911915088</v>
      </c>
      <c r="BP62" s="1773">
        <f t="shared" si="128"/>
        <v>205.80610243961019</v>
      </c>
      <c r="BQ62" s="1774">
        <f t="shared" si="128"/>
        <v>232.68075775076204</v>
      </c>
      <c r="BR62" s="1777">
        <f t="shared" si="128"/>
        <v>283.21360423358806</v>
      </c>
      <c r="BS62" s="1773"/>
      <c r="BT62" s="1773"/>
      <c r="BU62" s="1774"/>
      <c r="BV62" s="1777"/>
      <c r="BW62" s="1773"/>
      <c r="BX62" s="1773"/>
      <c r="BY62" s="1774"/>
      <c r="BZ62" s="1777"/>
      <c r="CA62" s="1773"/>
      <c r="CB62" s="1773"/>
      <c r="CC62" s="1774"/>
      <c r="CD62" s="1816"/>
      <c r="CE62" s="1810"/>
      <c r="CF62" s="1810"/>
      <c r="CG62" s="1810"/>
      <c r="CH62" s="1810"/>
      <c r="CI62" s="1810"/>
      <c r="CJ62" s="1810"/>
      <c r="CK62" s="1810"/>
      <c r="CL62" s="1810"/>
      <c r="CM62" s="1810"/>
      <c r="CN62" s="1773">
        <f t="shared" si="105"/>
        <v>733.60295500000007</v>
      </c>
      <c r="CO62" s="1773">
        <f t="shared" si="106"/>
        <v>644.8335141</v>
      </c>
      <c r="CP62" s="1773">
        <f t="shared" si="107"/>
        <v>730.36291508721115</v>
      </c>
      <c r="CQ62" s="1773">
        <f t="shared" si="108"/>
        <v>969.69228654505218</v>
      </c>
      <c r="CR62" s="1773">
        <f t="shared" si="109"/>
        <v>1057.3910450354083</v>
      </c>
      <c r="CS62" s="1773">
        <f t="shared" si="110"/>
        <v>1055.0818689502357</v>
      </c>
      <c r="CT62" s="1773">
        <f t="shared" si="111"/>
        <v>931.88663153954724</v>
      </c>
      <c r="CU62" s="1773">
        <f t="shared" si="112"/>
        <v>283.21360423358806</v>
      </c>
      <c r="CV62" s="1773"/>
      <c r="CW62" s="1773"/>
      <c r="CX62" s="1773"/>
      <c r="CY62" s="1773"/>
      <c r="CZ62" s="1773"/>
      <c r="DA62" s="1773"/>
      <c r="DB62" s="1773"/>
      <c r="DC62" s="1773"/>
      <c r="DD62" s="1817"/>
      <c r="DE62" s="1818"/>
      <c r="DF62" s="1819"/>
      <c r="DG62" s="1820"/>
      <c r="DH62" s="1819"/>
      <c r="DI62" s="1819"/>
      <c r="DJ62" s="1819"/>
      <c r="DK62" s="1819"/>
      <c r="DL62" s="1810"/>
      <c r="DM62" s="1810"/>
      <c r="DN62" s="1810"/>
      <c r="DO62" s="1810"/>
      <c r="DP62" s="1782">
        <f t="shared" si="113"/>
        <v>701.78150999999991</v>
      </c>
      <c r="DQ62" s="1782">
        <f t="shared" si="114"/>
        <v>655.70598388118299</v>
      </c>
      <c r="DR62" s="1782">
        <f t="shared" si="115"/>
        <v>907.16767715996491</v>
      </c>
      <c r="DS62" s="1783">
        <f t="shared" si="116"/>
        <v>975.27302875855139</v>
      </c>
      <c r="DT62" s="1782">
        <f t="shared" si="117"/>
        <v>1109.5760001488443</v>
      </c>
      <c r="DU62" s="1782">
        <f t="shared" si="118"/>
        <v>959.8708361185387</v>
      </c>
      <c r="DV62" s="1782">
        <f t="shared" si="119"/>
        <v>721.70046442396028</v>
      </c>
      <c r="DW62" s="1782">
        <f t="shared" si="120"/>
        <v>0</v>
      </c>
      <c r="DX62" s="2250">
        <f t="shared" si="121"/>
        <v>0</v>
      </c>
      <c r="DY62" s="1782"/>
      <c r="DZ62" s="1819"/>
      <c r="EA62"/>
      <c r="EB62"/>
      <c r="EC62"/>
      <c r="ED62"/>
      <c r="EE62"/>
      <c r="EF62"/>
    </row>
    <row r="63" spans="1:136" s="1785" customFormat="1" ht="11.25" hidden="1" customHeight="1" outlineLevel="2">
      <c r="A63" s="1786"/>
      <c r="B63" s="1787"/>
      <c r="D63" s="1785" t="s">
        <v>576</v>
      </c>
      <c r="E63" s="1801"/>
      <c r="F63" s="1790"/>
      <c r="G63" s="1790"/>
      <c r="H63" s="1790"/>
      <c r="I63" s="1791"/>
      <c r="J63" s="1792"/>
      <c r="K63" s="1790"/>
      <c r="L63" s="1790"/>
      <c r="M63" s="1791"/>
      <c r="N63" s="1792"/>
      <c r="O63" s="1790"/>
      <c r="P63" s="1790"/>
      <c r="Q63" s="1791"/>
      <c r="R63" s="1792"/>
      <c r="S63" s="1790"/>
      <c r="T63" s="1790"/>
      <c r="U63" s="1791"/>
      <c r="V63" s="1792"/>
      <c r="W63" s="1790"/>
      <c r="X63" s="1790"/>
      <c r="Y63" s="1791"/>
      <c r="Z63" s="1792"/>
      <c r="AA63" s="1790"/>
      <c r="AB63" s="1790"/>
      <c r="AC63" s="1793"/>
      <c r="AD63" s="1794"/>
      <c r="AE63" s="1795"/>
      <c r="AF63" s="1795"/>
      <c r="AG63" s="1795"/>
      <c r="AH63" s="1792"/>
      <c r="AI63" s="1790"/>
      <c r="AJ63" s="1790"/>
      <c r="AK63" s="1791"/>
      <c r="AL63" s="1792"/>
      <c r="AM63" s="1790"/>
      <c r="AN63" s="1790"/>
      <c r="AO63" s="1791"/>
      <c r="AP63" s="1769">
        <f t="shared" ref="AP63:BR63" si="129">AP36-AP49</f>
        <v>25.7376</v>
      </c>
      <c r="AQ63" s="1769">
        <f t="shared" si="129"/>
        <v>40.176720000000003</v>
      </c>
      <c r="AR63" s="1769">
        <f t="shared" si="129"/>
        <v>44.317434999999989</v>
      </c>
      <c r="AS63" s="1778">
        <f t="shared" si="129"/>
        <v>40.856200000000001</v>
      </c>
      <c r="AT63" s="1769">
        <f t="shared" si="129"/>
        <v>27.504750000000001</v>
      </c>
      <c r="AU63" s="1769">
        <f t="shared" si="129"/>
        <v>26.488124999999997</v>
      </c>
      <c r="AV63" s="1769">
        <f t="shared" si="129"/>
        <v>23.890518750000012</v>
      </c>
      <c r="AW63" s="1778">
        <f t="shared" si="129"/>
        <v>37.195120349999996</v>
      </c>
      <c r="AX63" s="1769">
        <f t="shared" si="129"/>
        <v>42.841937366999986</v>
      </c>
      <c r="AY63" s="1769">
        <f t="shared" si="129"/>
        <v>35.743407414182997</v>
      </c>
      <c r="AZ63" s="1769">
        <f t="shared" si="129"/>
        <v>61.373584165973085</v>
      </c>
      <c r="BA63" s="1778">
        <f t="shared" si="129"/>
        <v>49.644775613739398</v>
      </c>
      <c r="BB63" s="1769">
        <f t="shared" si="129"/>
        <v>97.676274188795844</v>
      </c>
      <c r="BC63" s="1769">
        <f t="shared" si="129"/>
        <v>64.242325997471596</v>
      </c>
      <c r="BD63" s="1769">
        <f t="shared" si="129"/>
        <v>63.429514206245841</v>
      </c>
      <c r="BE63" s="1778">
        <f t="shared" si="129"/>
        <v>60.936918927418134</v>
      </c>
      <c r="BF63" s="1769">
        <f t="shared" si="129"/>
        <v>88.903960082996207</v>
      </c>
      <c r="BG63" s="1769">
        <f t="shared" si="129"/>
        <v>94.035455791023765</v>
      </c>
      <c r="BH63" s="1769">
        <f t="shared" si="129"/>
        <v>89.838826841769105</v>
      </c>
      <c r="BI63" s="1778">
        <f t="shared" si="129"/>
        <v>112.22523898598604</v>
      </c>
      <c r="BJ63" s="1802">
        <f t="shared" si="129"/>
        <v>113.88626766451881</v>
      </c>
      <c r="BK63" s="1769">
        <f t="shared" si="129"/>
        <v>104.19611208798636</v>
      </c>
      <c r="BL63" s="1769">
        <f t="shared" si="129"/>
        <v>87.049120608186911</v>
      </c>
      <c r="BM63" s="1778">
        <f t="shared" si="129"/>
        <v>83.142715225245183</v>
      </c>
      <c r="BN63" s="1802">
        <f t="shared" si="129"/>
        <v>106.48841111563416</v>
      </c>
      <c r="BO63" s="1769">
        <f t="shared" si="129"/>
        <v>76.586722382794733</v>
      </c>
      <c r="BP63" s="1769">
        <f t="shared" si="129"/>
        <v>69.836954407982148</v>
      </c>
      <c r="BQ63" s="1778">
        <f t="shared" si="129"/>
        <v>101.07411800560169</v>
      </c>
      <c r="BR63" s="1802">
        <f t="shared" si="129"/>
        <v>134.69001867280957</v>
      </c>
      <c r="BS63" s="1769"/>
      <c r="BT63" s="1769"/>
      <c r="BU63" s="1778"/>
      <c r="BV63" s="1802"/>
      <c r="BW63" s="1769"/>
      <c r="BX63" s="1769"/>
      <c r="BY63" s="1778"/>
      <c r="BZ63" s="1802"/>
      <c r="CA63" s="1769"/>
      <c r="CB63" s="1769"/>
      <c r="CC63" s="1778"/>
      <c r="CD63" s="1796"/>
      <c r="CE63" s="1790"/>
      <c r="CF63" s="1790"/>
      <c r="CG63" s="1790"/>
      <c r="CH63" s="1790"/>
      <c r="CI63" s="1790"/>
      <c r="CJ63" s="1790"/>
      <c r="CK63" s="1790"/>
      <c r="CL63" s="1790"/>
      <c r="CM63" s="1790"/>
      <c r="CN63" s="1769">
        <f t="shared" si="105"/>
        <v>151.08795499999999</v>
      </c>
      <c r="CO63" s="1769">
        <f t="shared" si="106"/>
        <v>115.07851410000001</v>
      </c>
      <c r="CP63" s="1769">
        <f t="shared" si="107"/>
        <v>189.60370456089547</v>
      </c>
      <c r="CQ63" s="1769">
        <f t="shared" si="108"/>
        <v>286.28503331993142</v>
      </c>
      <c r="CR63" s="1769">
        <f t="shared" si="109"/>
        <v>385.00348170177512</v>
      </c>
      <c r="CS63" s="1769">
        <f t="shared" si="110"/>
        <v>388.27421558593727</v>
      </c>
      <c r="CT63" s="1769">
        <f t="shared" si="111"/>
        <v>353.98620591201274</v>
      </c>
      <c r="CU63" s="1769">
        <f t="shared" si="112"/>
        <v>134.69001867280957</v>
      </c>
      <c r="CV63" s="1769"/>
      <c r="CW63" s="1769"/>
      <c r="CX63" s="1769"/>
      <c r="CY63" s="1769"/>
      <c r="CZ63" s="1769"/>
      <c r="DA63" s="1769"/>
      <c r="DB63" s="1769"/>
      <c r="DC63" s="1769"/>
      <c r="DD63" s="1797"/>
      <c r="DE63" s="1821"/>
      <c r="DF63" s="1798"/>
      <c r="DG63" s="1799"/>
      <c r="DH63" s="1798"/>
      <c r="DI63" s="1798"/>
      <c r="DJ63" s="1798"/>
      <c r="DK63" s="1798"/>
      <c r="DL63" s="1790"/>
      <c r="DM63" s="1790"/>
      <c r="DN63" s="1790"/>
      <c r="DO63" s="1790"/>
      <c r="DP63" s="1803">
        <f t="shared" si="113"/>
        <v>139.16650999999999</v>
      </c>
      <c r="DQ63" s="1803">
        <f t="shared" si="114"/>
        <v>139.67098388118299</v>
      </c>
      <c r="DR63" s="1803">
        <f t="shared" si="115"/>
        <v>272.9369599659799</v>
      </c>
      <c r="DS63" s="1804">
        <f t="shared" si="116"/>
        <v>307.30584900768395</v>
      </c>
      <c r="DT63" s="1803">
        <f t="shared" si="117"/>
        <v>420.14644558026032</v>
      </c>
      <c r="DU63" s="1803">
        <f t="shared" si="118"/>
        <v>353.26696933186099</v>
      </c>
      <c r="DV63" s="1803">
        <f t="shared" si="119"/>
        <v>305.60109108639341</v>
      </c>
      <c r="DW63" s="1803">
        <f t="shared" si="120"/>
        <v>0</v>
      </c>
      <c r="DX63" s="2252">
        <f t="shared" si="121"/>
        <v>0</v>
      </c>
      <c r="DY63" s="1803"/>
      <c r="DZ63" s="1798"/>
      <c r="EA63"/>
      <c r="EB63"/>
      <c r="EC63"/>
      <c r="ED63"/>
      <c r="EE63"/>
      <c r="EF63"/>
    </row>
    <row r="64" spans="1:136" s="1785" customFormat="1" ht="11.25" hidden="1" customHeight="1" outlineLevel="2">
      <c r="A64" s="1786"/>
      <c r="B64" s="1787"/>
      <c r="D64" s="1785" t="s">
        <v>565</v>
      </c>
      <c r="E64" s="1801"/>
      <c r="F64" s="1790"/>
      <c r="G64" s="1790"/>
      <c r="H64" s="1790"/>
      <c r="I64" s="1791"/>
      <c r="J64" s="1792"/>
      <c r="K64" s="1790"/>
      <c r="L64" s="1790"/>
      <c r="M64" s="1791"/>
      <c r="N64" s="1792"/>
      <c r="O64" s="1790"/>
      <c r="P64" s="1790"/>
      <c r="Q64" s="1791"/>
      <c r="R64" s="1792"/>
      <c r="S64" s="1790"/>
      <c r="T64" s="1790"/>
      <c r="U64" s="1791"/>
      <c r="V64" s="1792"/>
      <c r="W64" s="1790"/>
      <c r="X64" s="1790"/>
      <c r="Y64" s="1791"/>
      <c r="Z64" s="1792"/>
      <c r="AA64" s="1790"/>
      <c r="AB64" s="1790"/>
      <c r="AC64" s="1793"/>
      <c r="AD64" s="1794"/>
      <c r="AE64" s="1795"/>
      <c r="AF64" s="1795"/>
      <c r="AG64" s="1795"/>
      <c r="AH64" s="1792"/>
      <c r="AI64" s="1790"/>
      <c r="AJ64" s="1790"/>
      <c r="AK64" s="1791"/>
      <c r="AL64" s="1792"/>
      <c r="AM64" s="1790"/>
      <c r="AN64" s="1790"/>
      <c r="AO64" s="1791"/>
      <c r="AP64" s="1769">
        <f t="shared" ref="AP64:BR64" si="130">AP37-AP50</f>
        <v>124.14999999999998</v>
      </c>
      <c r="AQ64" s="1769">
        <f t="shared" si="130"/>
        <v>184.92499999999995</v>
      </c>
      <c r="AR64" s="1769">
        <f t="shared" si="130"/>
        <v>149.44000000000005</v>
      </c>
      <c r="AS64" s="1778">
        <f t="shared" si="130"/>
        <v>124</v>
      </c>
      <c r="AT64" s="1769">
        <f t="shared" si="130"/>
        <v>125.37499999999994</v>
      </c>
      <c r="AU64" s="1769">
        <f t="shared" si="130"/>
        <v>163.80000000000001</v>
      </c>
      <c r="AV64" s="1769">
        <f t="shared" si="130"/>
        <v>127.89000000000004</v>
      </c>
      <c r="AW64" s="1778">
        <f t="shared" si="130"/>
        <v>112.69</v>
      </c>
      <c r="AX64" s="1769">
        <f t="shared" si="130"/>
        <v>144.25499999999994</v>
      </c>
      <c r="AY64" s="1769">
        <f t="shared" si="130"/>
        <v>131.20000000000002</v>
      </c>
      <c r="AZ64" s="1769">
        <f t="shared" si="130"/>
        <v>113.1</v>
      </c>
      <c r="BA64" s="1778">
        <f t="shared" si="130"/>
        <v>152.20421052631576</v>
      </c>
      <c r="BB64" s="1769">
        <f t="shared" si="130"/>
        <v>170.76390526315788</v>
      </c>
      <c r="BC64" s="1769">
        <f t="shared" si="130"/>
        <v>198.16260140451129</v>
      </c>
      <c r="BD64" s="1769">
        <f t="shared" si="130"/>
        <v>176.827090027</v>
      </c>
      <c r="BE64" s="1778">
        <f t="shared" si="130"/>
        <v>137.65365653045143</v>
      </c>
      <c r="BF64" s="1769">
        <f t="shared" si="130"/>
        <v>161.8886847832016</v>
      </c>
      <c r="BG64" s="1769">
        <f t="shared" si="130"/>
        <v>191.59774841021436</v>
      </c>
      <c r="BH64" s="1769">
        <f t="shared" si="130"/>
        <v>165.61468899554484</v>
      </c>
      <c r="BI64" s="1778">
        <f t="shared" si="130"/>
        <v>153.28644114467238</v>
      </c>
      <c r="BJ64" s="1802">
        <f t="shared" si="130"/>
        <v>179.11601535953054</v>
      </c>
      <c r="BK64" s="1769">
        <f t="shared" si="130"/>
        <v>191.41240906883633</v>
      </c>
      <c r="BL64" s="1769">
        <f t="shared" si="130"/>
        <v>165.04874678164322</v>
      </c>
      <c r="BM64" s="1778">
        <f t="shared" si="130"/>
        <v>131.23048215428827</v>
      </c>
      <c r="BN64" s="1802">
        <f t="shared" si="130"/>
        <v>142.95937111439008</v>
      </c>
      <c r="BO64" s="1769">
        <f t="shared" si="130"/>
        <v>167.36526673635615</v>
      </c>
      <c r="BP64" s="1769">
        <f t="shared" si="130"/>
        <v>135.96914803162804</v>
      </c>
      <c r="BQ64" s="1778">
        <f t="shared" si="130"/>
        <v>131.60663974516046</v>
      </c>
      <c r="BR64" s="1802">
        <f t="shared" si="130"/>
        <v>148.52358556077843</v>
      </c>
      <c r="BS64" s="1769"/>
      <c r="BT64" s="1769"/>
      <c r="BU64" s="1778"/>
      <c r="BV64" s="1802"/>
      <c r="BW64" s="1769"/>
      <c r="BX64" s="1769"/>
      <c r="BY64" s="1778"/>
      <c r="BZ64" s="1802"/>
      <c r="CA64" s="1769"/>
      <c r="CB64" s="1769"/>
      <c r="CC64" s="1778"/>
      <c r="CD64" s="1796"/>
      <c r="CE64" s="1790"/>
      <c r="CF64" s="1790"/>
      <c r="CG64" s="1790"/>
      <c r="CH64" s="1790"/>
      <c r="CI64" s="1790"/>
      <c r="CJ64" s="1790"/>
      <c r="CK64" s="1790"/>
      <c r="CL64" s="1790"/>
      <c r="CM64" s="1790"/>
      <c r="CN64" s="1769">
        <f t="shared" si="105"/>
        <v>582.51499999999999</v>
      </c>
      <c r="CO64" s="1769">
        <f t="shared" si="106"/>
        <v>529.755</v>
      </c>
      <c r="CP64" s="1769">
        <f t="shared" si="107"/>
        <v>540.75921052631566</v>
      </c>
      <c r="CQ64" s="1769">
        <f t="shared" si="108"/>
        <v>683.40725322512048</v>
      </c>
      <c r="CR64" s="1769">
        <f t="shared" si="109"/>
        <v>672.38756333363312</v>
      </c>
      <c r="CS64" s="1769">
        <f t="shared" si="110"/>
        <v>666.8076533642984</v>
      </c>
      <c r="CT64" s="1769">
        <f t="shared" si="111"/>
        <v>577.90042562753479</v>
      </c>
      <c r="CU64" s="1769">
        <f t="shared" si="112"/>
        <v>148.52358556077843</v>
      </c>
      <c r="CV64" s="1769"/>
      <c r="CW64" s="1769"/>
      <c r="CX64" s="1769"/>
      <c r="CY64" s="1769"/>
      <c r="CZ64" s="1769"/>
      <c r="DA64" s="1769"/>
      <c r="DB64" s="1769"/>
      <c r="DC64" s="1769"/>
      <c r="DD64" s="1797"/>
      <c r="DE64" s="1821"/>
      <c r="DF64" s="1798"/>
      <c r="DG64" s="1799"/>
      <c r="DH64" s="1798"/>
      <c r="DI64" s="1798"/>
      <c r="DJ64" s="1798"/>
      <c r="DK64" s="1798"/>
      <c r="DL64" s="1790"/>
      <c r="DM64" s="1790"/>
      <c r="DN64" s="1790"/>
      <c r="DO64" s="1790"/>
      <c r="DP64" s="1803">
        <f t="shared" si="113"/>
        <v>562.61500000000001</v>
      </c>
      <c r="DQ64" s="1803">
        <f t="shared" si="114"/>
        <v>516.03499999999997</v>
      </c>
      <c r="DR64" s="1803">
        <f t="shared" si="115"/>
        <v>634.2307171939849</v>
      </c>
      <c r="DS64" s="1804">
        <f t="shared" si="116"/>
        <v>667.96717975086744</v>
      </c>
      <c r="DT64" s="1803">
        <f t="shared" si="117"/>
        <v>689.42955456858408</v>
      </c>
      <c r="DU64" s="1803">
        <f t="shared" si="118"/>
        <v>606.60386678667771</v>
      </c>
      <c r="DV64" s="1803">
        <f t="shared" si="119"/>
        <v>416.09937333756693</v>
      </c>
      <c r="DW64" s="1803">
        <f t="shared" si="120"/>
        <v>0</v>
      </c>
      <c r="DX64" s="2252">
        <f t="shared" si="121"/>
        <v>0</v>
      </c>
      <c r="DY64" s="1803"/>
      <c r="DZ64" s="1798"/>
      <c r="EA64"/>
      <c r="EB64"/>
      <c r="EC64"/>
      <c r="ED64"/>
      <c r="EE64"/>
      <c r="EF64"/>
    </row>
    <row r="65" spans="1:136" s="1785" customFormat="1" ht="11.25" hidden="1" customHeight="1" outlineLevel="2">
      <c r="A65" s="1786"/>
      <c r="B65" s="1787"/>
      <c r="C65" s="1808" t="s">
        <v>923</v>
      </c>
      <c r="E65" s="1801"/>
      <c r="F65" s="1790"/>
      <c r="G65" s="1790"/>
      <c r="H65" s="1790"/>
      <c r="I65" s="1791"/>
      <c r="J65" s="1790"/>
      <c r="K65" s="1790"/>
      <c r="L65" s="1790"/>
      <c r="M65" s="1791"/>
      <c r="N65" s="1790"/>
      <c r="O65" s="1790"/>
      <c r="P65" s="1790"/>
      <c r="Q65" s="1791"/>
      <c r="R65" s="1790"/>
      <c r="S65" s="1790"/>
      <c r="T65" s="1790"/>
      <c r="U65" s="1791"/>
      <c r="V65" s="1790"/>
      <c r="W65" s="1790"/>
      <c r="X65" s="1790"/>
      <c r="Y65" s="1791"/>
      <c r="Z65" s="1790"/>
      <c r="AA65" s="1790"/>
      <c r="AB65" s="1790"/>
      <c r="AC65" s="1793"/>
      <c r="AD65" s="1795"/>
      <c r="AE65" s="1795"/>
      <c r="AF65" s="1795"/>
      <c r="AG65" s="1795"/>
      <c r="AH65" s="1792"/>
      <c r="AI65" s="1790"/>
      <c r="AJ65" s="1790"/>
      <c r="AK65" s="1791"/>
      <c r="AL65" s="1790"/>
      <c r="AM65" s="1790"/>
      <c r="AN65" s="1790"/>
      <c r="AO65" s="1791"/>
      <c r="AP65" s="1802"/>
      <c r="AQ65" s="1769"/>
      <c r="AR65" s="1769"/>
      <c r="AS65" s="1778"/>
      <c r="AT65" s="1802"/>
      <c r="AU65" s="1769"/>
      <c r="AV65" s="1769"/>
      <c r="AW65" s="1778"/>
      <c r="AX65" s="1802"/>
      <c r="AY65" s="1769"/>
      <c r="AZ65" s="1769"/>
      <c r="BA65" s="1778"/>
      <c r="BB65" s="1802"/>
      <c r="BC65" s="1769"/>
      <c r="BD65" s="1769"/>
      <c r="BE65" s="1778"/>
      <c r="BF65" s="1802"/>
      <c r="BG65" s="1769"/>
      <c r="BH65" s="1769"/>
      <c r="BI65" s="1778"/>
      <c r="BJ65" s="1802"/>
      <c r="BK65" s="1769"/>
      <c r="BL65" s="1769"/>
      <c r="BM65" s="1778"/>
      <c r="BN65" s="1802"/>
      <c r="BO65" s="1769"/>
      <c r="BP65" s="1769"/>
      <c r="BQ65" s="1774">
        <f>BQ38-BQ51</f>
        <v>295.08134595853215</v>
      </c>
      <c r="BR65" s="1777">
        <f>BR38-BR51</f>
        <v>639.42355925858794</v>
      </c>
      <c r="BS65" s="1773"/>
      <c r="BT65" s="1773"/>
      <c r="BU65" s="1774"/>
      <c r="BV65" s="1777"/>
      <c r="BW65" s="1773"/>
      <c r="BX65" s="1773"/>
      <c r="BY65" s="1774"/>
      <c r="BZ65" s="1777"/>
      <c r="CA65" s="1773"/>
      <c r="CB65" s="1773"/>
      <c r="CC65" s="1774"/>
      <c r="CD65" s="1796"/>
      <c r="CE65" s="1790"/>
      <c r="CF65" s="1790"/>
      <c r="CG65" s="1790"/>
      <c r="CH65" s="1790"/>
      <c r="CI65" s="1790"/>
      <c r="CJ65" s="1790"/>
      <c r="CK65" s="1790"/>
      <c r="CL65" s="1790"/>
      <c r="CM65" s="1790"/>
      <c r="CN65" s="1769"/>
      <c r="CO65" s="1769"/>
      <c r="CP65" s="1769"/>
      <c r="CQ65" s="1769"/>
      <c r="CR65" s="1769"/>
      <c r="CS65" s="1769"/>
      <c r="CT65" s="1822">
        <f t="shared" si="111"/>
        <v>295.08134595853215</v>
      </c>
      <c r="CU65" s="1822">
        <f t="shared" si="112"/>
        <v>639.42355925858794</v>
      </c>
      <c r="CV65" s="1822"/>
      <c r="CW65" s="1822"/>
      <c r="CX65" s="1822"/>
      <c r="CY65" s="1822"/>
      <c r="CZ65" s="1822"/>
      <c r="DA65" s="1822"/>
      <c r="DB65" s="1822"/>
      <c r="DC65" s="1822"/>
      <c r="DD65" s="1797"/>
      <c r="DE65" s="1821"/>
      <c r="DF65" s="1798"/>
      <c r="DG65" s="1799"/>
      <c r="DH65" s="1798"/>
      <c r="DI65" s="1798"/>
      <c r="DJ65" s="1798"/>
      <c r="DK65" s="1798"/>
      <c r="DL65" s="1790"/>
      <c r="DM65" s="1790"/>
      <c r="DN65" s="1790"/>
      <c r="DO65" s="1790"/>
      <c r="DP65" s="1803"/>
      <c r="DQ65" s="1803"/>
      <c r="DR65" s="1803"/>
      <c r="DS65" s="1804"/>
      <c r="DT65" s="1803"/>
      <c r="DU65" s="1803"/>
      <c r="DV65" s="1803"/>
      <c r="DW65" s="1803"/>
      <c r="DX65" s="2252"/>
      <c r="DY65" s="1803"/>
      <c r="DZ65" s="1798"/>
      <c r="EA65"/>
      <c r="EB65"/>
      <c r="EC65"/>
      <c r="ED65"/>
      <c r="EE65"/>
      <c r="EF65"/>
    </row>
    <row r="66" spans="1:136" ht="11.25" hidden="1" customHeight="1" outlineLevel="2">
      <c r="A66" s="145"/>
      <c r="B66" s="227"/>
      <c r="C66" s="145"/>
      <c r="D66" s="145"/>
      <c r="E66" s="228"/>
      <c r="F66" s="145"/>
      <c r="G66" s="145"/>
      <c r="H66" s="145"/>
      <c r="I66" s="228"/>
      <c r="J66" s="145"/>
      <c r="K66" s="145"/>
      <c r="L66" s="145"/>
      <c r="M66" s="228"/>
      <c r="N66" s="145"/>
      <c r="O66" s="145"/>
      <c r="P66" s="145"/>
      <c r="Q66" s="228"/>
      <c r="R66" s="145"/>
      <c r="S66" s="145"/>
      <c r="T66" s="145"/>
      <c r="U66" s="228"/>
      <c r="V66" s="145"/>
      <c r="W66" s="145"/>
      <c r="X66" s="145"/>
      <c r="Y66" s="228"/>
      <c r="Z66" s="550"/>
      <c r="AA66" s="550"/>
      <c r="AB66" s="550"/>
      <c r="AC66" s="643"/>
      <c r="AD66" s="641"/>
      <c r="AE66" s="641"/>
      <c r="AF66" s="641"/>
      <c r="AG66" s="641"/>
      <c r="AH66" s="1121"/>
      <c r="AI66" s="145"/>
      <c r="AJ66" s="145"/>
      <c r="AK66" s="228"/>
      <c r="AL66" s="145"/>
      <c r="AM66" s="145"/>
      <c r="AN66" s="141"/>
      <c r="AO66" s="228"/>
      <c r="AP66" s="145"/>
      <c r="AQ66" s="145"/>
      <c r="AR66" s="145"/>
      <c r="AS66" s="228"/>
      <c r="AT66" s="227"/>
      <c r="AU66" s="145"/>
      <c r="AV66" s="145"/>
      <c r="AW66" s="228"/>
      <c r="AX66" s="145"/>
      <c r="AY66" s="145"/>
      <c r="AZ66" s="550"/>
      <c r="BA66" s="550"/>
      <c r="BB66" s="227"/>
      <c r="BC66" s="145"/>
      <c r="BD66" s="145"/>
      <c r="BE66" s="228"/>
      <c r="BF66" s="201"/>
      <c r="BG66" s="201"/>
      <c r="BH66" s="201"/>
      <c r="BI66" s="202"/>
      <c r="BJ66" s="207"/>
      <c r="BK66" s="201"/>
      <c r="BL66" s="201"/>
      <c r="BM66" s="202"/>
      <c r="BN66" s="201"/>
      <c r="BO66" s="201"/>
      <c r="BP66" s="201"/>
      <c r="BQ66" s="202"/>
      <c r="BR66" s="201"/>
      <c r="BS66" s="201"/>
      <c r="BT66" s="201"/>
      <c r="BU66" s="202"/>
      <c r="BV66" s="201"/>
      <c r="BW66" s="201"/>
      <c r="BX66" s="201"/>
      <c r="BY66" s="202"/>
      <c r="BZ66" s="201"/>
      <c r="CA66" s="201"/>
      <c r="CB66" s="201"/>
      <c r="CC66" s="202"/>
      <c r="CD66" s="228"/>
      <c r="CE66" s="145"/>
      <c r="CF66" s="145"/>
      <c r="CG66" s="145"/>
      <c r="CH66" s="145"/>
      <c r="CI66" s="145"/>
      <c r="CJ66" s="145"/>
      <c r="CK66" s="145"/>
      <c r="CL66" s="145"/>
      <c r="CM66" s="145"/>
      <c r="CN66" s="145"/>
      <c r="CO66" s="145"/>
      <c r="CP66" s="145"/>
      <c r="CQ66" s="145"/>
      <c r="CR66" s="145"/>
      <c r="CS66" s="201"/>
      <c r="CT66" s="1590"/>
      <c r="CU66" s="1378"/>
      <c r="CV66" s="1607"/>
      <c r="CW66" s="83"/>
      <c r="CX66" s="83"/>
      <c r="CY66" s="83"/>
      <c r="CZ66" s="83"/>
      <c r="DA66" s="83"/>
      <c r="DB66" s="83"/>
      <c r="DC66" s="83"/>
      <c r="DD66" s="1505"/>
      <c r="DE66" s="1551"/>
      <c r="DF66" s="141"/>
      <c r="DG66" s="215"/>
      <c r="DH66" s="141"/>
      <c r="DI66" s="141"/>
      <c r="DJ66" s="141"/>
      <c r="DK66" s="141"/>
      <c r="DL66" s="641"/>
      <c r="DM66" s="641"/>
      <c r="DN66" s="641"/>
      <c r="DO66" s="641"/>
      <c r="DP66" s="141"/>
      <c r="DQ66" s="141"/>
      <c r="DR66" s="141"/>
      <c r="DS66" s="215"/>
      <c r="DT66" s="29"/>
      <c r="DU66" s="29"/>
      <c r="DV66" s="29"/>
      <c r="DW66" s="29"/>
      <c r="DX66" s="2243"/>
      <c r="DY66" s="29"/>
      <c r="DZ66" s="1676"/>
    </row>
    <row r="67" spans="1:136" ht="11.25" hidden="1" customHeight="1" outlineLevel="1" collapsed="1">
      <c r="A67" s="49"/>
      <c r="B67" s="209" t="s">
        <v>79</v>
      </c>
      <c r="C67" s="188"/>
      <c r="D67" s="188"/>
      <c r="E67" s="198"/>
      <c r="F67" s="49">
        <f>SUM(F68:F69)</f>
        <v>61.524000000000001</v>
      </c>
      <c r="G67" s="49">
        <f t="shared" ref="G67:BR67" si="131">SUM(G68:G69)</f>
        <v>65.542000000000002</v>
      </c>
      <c r="H67" s="49">
        <f t="shared" si="131"/>
        <v>62.31</v>
      </c>
      <c r="I67" s="50">
        <f t="shared" si="131"/>
        <v>39.837999999999994</v>
      </c>
      <c r="J67" s="49">
        <f t="shared" si="131"/>
        <v>56.212999999999994</v>
      </c>
      <c r="K67" s="49">
        <f t="shared" si="131"/>
        <v>57.706000000000003</v>
      </c>
      <c r="L67" s="49">
        <f t="shared" si="131"/>
        <v>62.966000000000008</v>
      </c>
      <c r="M67" s="50">
        <f t="shared" si="131"/>
        <v>56.789000000000001</v>
      </c>
      <c r="N67" s="49">
        <f t="shared" si="131"/>
        <v>58.358000000000004</v>
      </c>
      <c r="O67" s="49">
        <f t="shared" si="131"/>
        <v>68.037999999999997</v>
      </c>
      <c r="P67" s="49">
        <f t="shared" si="131"/>
        <v>64.930999999999997</v>
      </c>
      <c r="Q67" s="50">
        <f t="shared" si="131"/>
        <v>64.772999999999996</v>
      </c>
      <c r="R67" s="49">
        <f t="shared" si="131"/>
        <v>91.300000000000011</v>
      </c>
      <c r="S67" s="49">
        <f t="shared" si="131"/>
        <v>70.5</v>
      </c>
      <c r="T67" s="49">
        <f t="shared" si="131"/>
        <v>73.7</v>
      </c>
      <c r="U67" s="50">
        <f t="shared" si="131"/>
        <v>71.099999999999994</v>
      </c>
      <c r="V67" s="49">
        <f t="shared" si="131"/>
        <v>81.900000000000006</v>
      </c>
      <c r="W67" s="49">
        <f t="shared" si="131"/>
        <v>93.6</v>
      </c>
      <c r="X67" s="49">
        <f t="shared" si="131"/>
        <v>96.300000000000011</v>
      </c>
      <c r="Y67" s="50">
        <f t="shared" si="131"/>
        <v>102.1</v>
      </c>
      <c r="Z67" s="49">
        <f t="shared" si="131"/>
        <v>110.4</v>
      </c>
      <c r="AA67" s="49">
        <f t="shared" si="131"/>
        <v>124</v>
      </c>
      <c r="AB67" s="49">
        <f t="shared" si="131"/>
        <v>117.2</v>
      </c>
      <c r="AC67" s="37">
        <f t="shared" si="131"/>
        <v>110.39999999999999</v>
      </c>
      <c r="AD67" s="30">
        <f t="shared" si="131"/>
        <v>119</v>
      </c>
      <c r="AE67" s="30">
        <f t="shared" si="131"/>
        <v>133</v>
      </c>
      <c r="AF67" s="30">
        <f t="shared" si="131"/>
        <v>107</v>
      </c>
      <c r="AG67" s="30">
        <f t="shared" si="131"/>
        <v>126</v>
      </c>
      <c r="AH67" s="48">
        <f t="shared" si="131"/>
        <v>139</v>
      </c>
      <c r="AI67" s="49">
        <f t="shared" si="131"/>
        <v>181</v>
      </c>
      <c r="AJ67" s="49">
        <f t="shared" si="131"/>
        <v>179</v>
      </c>
      <c r="AK67" s="50">
        <f t="shared" si="131"/>
        <v>184</v>
      </c>
      <c r="AL67" s="49">
        <f t="shared" si="131"/>
        <v>190</v>
      </c>
      <c r="AM67" s="49">
        <f t="shared" si="131"/>
        <v>183</v>
      </c>
      <c r="AN67" s="49">
        <f t="shared" si="131"/>
        <v>174</v>
      </c>
      <c r="AO67" s="50">
        <f t="shared" si="131"/>
        <v>184</v>
      </c>
      <c r="AP67" s="49">
        <f t="shared" si="131"/>
        <v>195</v>
      </c>
      <c r="AQ67" s="49">
        <f t="shared" si="131"/>
        <v>214</v>
      </c>
      <c r="AR67" s="49">
        <f t="shared" si="131"/>
        <v>224</v>
      </c>
      <c r="AS67" s="50">
        <f t="shared" si="131"/>
        <v>215</v>
      </c>
      <c r="AT67" s="48">
        <f t="shared" si="131"/>
        <v>226</v>
      </c>
      <c r="AU67" s="49">
        <f t="shared" si="131"/>
        <v>235</v>
      </c>
      <c r="AV67" s="49">
        <f t="shared" si="131"/>
        <v>242</v>
      </c>
      <c r="AW67" s="50">
        <f t="shared" si="131"/>
        <v>262</v>
      </c>
      <c r="AX67" s="49">
        <f t="shared" si="131"/>
        <v>261</v>
      </c>
      <c r="AY67" s="49">
        <f t="shared" si="131"/>
        <v>273</v>
      </c>
      <c r="AZ67" s="49">
        <f t="shared" si="131"/>
        <v>383</v>
      </c>
      <c r="BA67" s="49">
        <f t="shared" si="131"/>
        <v>572</v>
      </c>
      <c r="BB67" s="48">
        <f t="shared" si="131"/>
        <v>564</v>
      </c>
      <c r="BC67" s="49">
        <f t="shared" si="131"/>
        <v>529</v>
      </c>
      <c r="BD67" s="49">
        <f t="shared" si="131"/>
        <v>559</v>
      </c>
      <c r="BE67" s="50">
        <f t="shared" si="131"/>
        <v>564</v>
      </c>
      <c r="BF67" s="49">
        <f t="shared" si="131"/>
        <v>574</v>
      </c>
      <c r="BG67" s="49">
        <f t="shared" si="131"/>
        <v>616</v>
      </c>
      <c r="BH67" s="49">
        <f t="shared" si="131"/>
        <v>601</v>
      </c>
      <c r="BI67" s="50">
        <f t="shared" si="131"/>
        <v>598</v>
      </c>
      <c r="BJ67" s="48">
        <f t="shared" si="131"/>
        <v>600</v>
      </c>
      <c r="BK67" s="49">
        <f t="shared" si="131"/>
        <v>579</v>
      </c>
      <c r="BL67" s="49">
        <f t="shared" si="131"/>
        <v>564</v>
      </c>
      <c r="BM67" s="50">
        <f t="shared" si="131"/>
        <v>527</v>
      </c>
      <c r="BN67" s="48">
        <f t="shared" si="131"/>
        <v>531</v>
      </c>
      <c r="BO67" s="49">
        <f t="shared" si="131"/>
        <v>518</v>
      </c>
      <c r="BP67" s="49">
        <f t="shared" si="131"/>
        <v>449</v>
      </c>
      <c r="BQ67" s="50">
        <f t="shared" si="131"/>
        <v>641</v>
      </c>
      <c r="BR67" s="48">
        <f t="shared" si="131"/>
        <v>863</v>
      </c>
      <c r="BS67" s="49">
        <f t="shared" ref="BS67:DA67" si="132">SUM(BS68:BS69)</f>
        <v>797</v>
      </c>
      <c r="BT67" s="49">
        <f t="shared" si="132"/>
        <v>811</v>
      </c>
      <c r="BU67" s="50">
        <f t="shared" si="132"/>
        <v>812</v>
      </c>
      <c r="BV67" s="48">
        <f t="shared" si="132"/>
        <v>819</v>
      </c>
      <c r="BW67" s="49">
        <f t="shared" si="132"/>
        <v>865</v>
      </c>
      <c r="BX67" s="49">
        <f t="shared" si="132"/>
        <v>844.36496779999982</v>
      </c>
      <c r="BY67" s="50">
        <f t="shared" si="132"/>
        <v>820.64155363641999</v>
      </c>
      <c r="BZ67" s="48">
        <f>SUM(BZ68:BZ69)</f>
        <v>811.28181453740535</v>
      </c>
      <c r="CA67" s="49">
        <f>SUM(CA68:CA69)</f>
        <v>793.42709071129173</v>
      </c>
      <c r="CB67" s="49">
        <f>SUM(CB68:CB69)</f>
        <v>792.39596607976546</v>
      </c>
      <c r="CC67" s="50">
        <f>SUM(CC68:CC69)</f>
        <v>719.3261483962209</v>
      </c>
      <c r="CD67" s="50"/>
      <c r="CE67" s="49">
        <f t="shared" si="132"/>
        <v>229.214</v>
      </c>
      <c r="CF67" s="49">
        <f t="shared" si="132"/>
        <v>233.67400000000001</v>
      </c>
      <c r="CG67" s="49">
        <f t="shared" si="132"/>
        <v>256.10000000000002</v>
      </c>
      <c r="CH67" s="49">
        <f t="shared" si="132"/>
        <v>306.60000000000002</v>
      </c>
      <c r="CI67" s="49">
        <f t="shared" si="132"/>
        <v>373.9</v>
      </c>
      <c r="CJ67" s="49">
        <f t="shared" si="132"/>
        <v>462</v>
      </c>
      <c r="CK67" s="49">
        <f t="shared" si="132"/>
        <v>485</v>
      </c>
      <c r="CL67" s="49">
        <f t="shared" si="132"/>
        <v>683</v>
      </c>
      <c r="CM67" s="49">
        <f t="shared" si="132"/>
        <v>731</v>
      </c>
      <c r="CN67" s="49">
        <f t="shared" si="132"/>
        <v>848</v>
      </c>
      <c r="CO67" s="49">
        <f t="shared" si="132"/>
        <v>965</v>
      </c>
      <c r="CP67" s="49">
        <f t="shared" si="132"/>
        <v>1489</v>
      </c>
      <c r="CQ67" s="49">
        <f t="shared" si="132"/>
        <v>2216</v>
      </c>
      <c r="CR67" s="49">
        <f t="shared" si="132"/>
        <v>2389</v>
      </c>
      <c r="CS67" s="49">
        <f t="shared" si="132"/>
        <v>2270</v>
      </c>
      <c r="CT67" s="49">
        <f t="shared" si="132"/>
        <v>2139</v>
      </c>
      <c r="CU67" s="49">
        <f t="shared" si="132"/>
        <v>3283</v>
      </c>
      <c r="CV67" s="49">
        <f t="shared" si="132"/>
        <v>3349.0065214364195</v>
      </c>
      <c r="CW67" s="49">
        <f>SUM(CW68:CW69)</f>
        <v>3116.4310197246837</v>
      </c>
      <c r="CX67" s="49">
        <f t="shared" si="132"/>
        <v>3275.5338161596187</v>
      </c>
      <c r="CY67" s="49">
        <f t="shared" si="132"/>
        <v>3373.0650933664833</v>
      </c>
      <c r="CZ67" s="49">
        <f t="shared" si="132"/>
        <v>3435.3910884145494</v>
      </c>
      <c r="DA67" s="49">
        <f t="shared" si="132"/>
        <v>3525.4856318009488</v>
      </c>
      <c r="DB67" s="49">
        <f>SUM(DB68:DB69)</f>
        <v>3654.0703024418181</v>
      </c>
      <c r="DC67" s="49">
        <f>SUM(DC68:DC69)</f>
        <v>3800.8730248420839</v>
      </c>
      <c r="DD67" s="1508"/>
      <c r="DE67" s="1553"/>
      <c r="DF67" s="30"/>
      <c r="DG67" s="57">
        <f>SUM(H67:K67)</f>
        <v>216.06700000000001</v>
      </c>
      <c r="DH67" s="29">
        <f>SUM(L67:O67)</f>
        <v>246.15100000000001</v>
      </c>
      <c r="DI67" s="29">
        <f>SUM(P67:S67)</f>
        <v>291.50400000000002</v>
      </c>
      <c r="DJ67" s="29">
        <f>SUM(T67:W67)</f>
        <v>320.3</v>
      </c>
      <c r="DK67" s="29">
        <f>SUM(X67:AA67)</f>
        <v>432.8</v>
      </c>
      <c r="DL67" s="1116">
        <f>SUM(AB67:AE67)</f>
        <v>479.6</v>
      </c>
      <c r="DM67" s="1116">
        <f>SUM(AF67:AI67)</f>
        <v>553</v>
      </c>
      <c r="DN67" s="1116">
        <f>SUM(AJ67:AM67)</f>
        <v>736</v>
      </c>
      <c r="DO67" s="1116">
        <f>SUM(AN67:AQ67)</f>
        <v>767</v>
      </c>
      <c r="DP67" s="1116">
        <f>SUM(AR67:AU67)</f>
        <v>900</v>
      </c>
      <c r="DQ67" s="1116">
        <f>SUM(AV67:AY67)</f>
        <v>1038</v>
      </c>
      <c r="DR67" s="1116">
        <f>SUM(AZ67:BC67)</f>
        <v>2048</v>
      </c>
      <c r="DS67" s="1243">
        <f>SUM(BD67:BG67)</f>
        <v>2313</v>
      </c>
      <c r="DT67" s="1116">
        <f>SUM(BH67:BK67)</f>
        <v>2378</v>
      </c>
      <c r="DU67" s="1116">
        <f>SUM(BL67:BO67)</f>
        <v>2140</v>
      </c>
      <c r="DV67" s="1116">
        <f>SUM(BP67:BS67)</f>
        <v>2750</v>
      </c>
      <c r="DW67" s="1116">
        <f>SUM(BT67:BW67)</f>
        <v>3307</v>
      </c>
      <c r="DX67" s="2242">
        <f>SUM(BX67:CA67)</f>
        <v>3269.7154266851171</v>
      </c>
      <c r="DY67" s="1116"/>
      <c r="DZ67" s="1678">
        <f>(CU67/CU11)*DZ11</f>
        <v>3381.49</v>
      </c>
    </row>
    <row r="68" spans="1:136" ht="11.25" hidden="1" customHeight="1" outlineLevel="1">
      <c r="A68" s="11"/>
      <c r="B68" s="207"/>
      <c r="C68" s="824" t="s">
        <v>681</v>
      </c>
      <c r="D68" s="201"/>
      <c r="E68" s="202"/>
      <c r="F68" s="994">
        <v>32.000999999999998</v>
      </c>
      <c r="G68" s="995">
        <v>33.616999999999997</v>
      </c>
      <c r="H68" s="995">
        <v>32.085000000000001</v>
      </c>
      <c r="I68" s="995">
        <f>113.382-SUM(F68:H68)</f>
        <v>15.679000000000002</v>
      </c>
      <c r="J68" s="994">
        <v>28.844999999999999</v>
      </c>
      <c r="K68" s="995">
        <v>29.212</v>
      </c>
      <c r="L68" s="995">
        <v>33.206000000000003</v>
      </c>
      <c r="M68" s="996">
        <v>30.628</v>
      </c>
      <c r="N68" s="997">
        <v>31.914000000000001</v>
      </c>
      <c r="O68" s="997">
        <v>34.409999999999997</v>
      </c>
      <c r="P68" s="997">
        <v>34.725999999999999</v>
      </c>
      <c r="Q68" s="998">
        <f>134.7-SUM(N68:P68)</f>
        <v>33.649999999999991</v>
      </c>
      <c r="R68" s="995">
        <f>63.7</f>
        <v>63.7</v>
      </c>
      <c r="S68" s="995">
        <v>44</v>
      </c>
      <c r="T68" s="995">
        <v>46.5</v>
      </c>
      <c r="U68" s="996">
        <v>46.8</v>
      </c>
      <c r="V68" s="995">
        <v>54</v>
      </c>
      <c r="W68" s="995">
        <v>59.7</v>
      </c>
      <c r="X68" s="995">
        <v>60.7</v>
      </c>
      <c r="Y68" s="995">
        <v>64.099999999999994</v>
      </c>
      <c r="Z68" s="999">
        <v>70</v>
      </c>
      <c r="AA68" s="997">
        <v>76.2</v>
      </c>
      <c r="AB68" s="997">
        <v>78.7</v>
      </c>
      <c r="AC68" s="998">
        <v>71.599999999999994</v>
      </c>
      <c r="AD68" s="1014">
        <v>75</v>
      </c>
      <c r="AE68" s="1014">
        <v>77</v>
      </c>
      <c r="AF68" s="1014">
        <v>75</v>
      </c>
      <c r="AG68" s="1014">
        <v>79</v>
      </c>
      <c r="AH68" s="1122">
        <v>91</v>
      </c>
      <c r="AI68" s="39">
        <v>122</v>
      </c>
      <c r="AJ68" s="46">
        <v>123</v>
      </c>
      <c r="AK68" s="47">
        <v>128</v>
      </c>
      <c r="AL68" s="46">
        <v>133</v>
      </c>
      <c r="AM68" s="46">
        <f>119+16</f>
        <v>135</v>
      </c>
      <c r="AN68" s="46">
        <f>125</f>
        <v>125</v>
      </c>
      <c r="AO68" s="47">
        <v>132</v>
      </c>
      <c r="AP68" s="46">
        <v>142</v>
      </c>
      <c r="AQ68" s="46">
        <v>154</v>
      </c>
      <c r="AR68" s="46">
        <v>160</v>
      </c>
      <c r="AS68" s="47">
        <v>154</v>
      </c>
      <c r="AT68" s="969">
        <v>167</v>
      </c>
      <c r="AU68" s="46">
        <v>169</v>
      </c>
      <c r="AV68" s="39">
        <f>179</f>
        <v>179</v>
      </c>
      <c r="AW68" s="47">
        <v>188</v>
      </c>
      <c r="AX68" s="46">
        <v>193</v>
      </c>
      <c r="AY68" s="46">
        <f>191</f>
        <v>191</v>
      </c>
      <c r="AZ68" s="46">
        <v>265</v>
      </c>
      <c r="BA68" s="39">
        <v>406</v>
      </c>
      <c r="BB68" s="969">
        <f>396</f>
        <v>396</v>
      </c>
      <c r="BC68" s="39">
        <f>378</f>
        <v>378</v>
      </c>
      <c r="BD68" s="46">
        <f>396</f>
        <v>396</v>
      </c>
      <c r="BE68" s="47">
        <f>402</f>
        <v>402</v>
      </c>
      <c r="BF68" s="46">
        <f>401</f>
        <v>401</v>
      </c>
      <c r="BG68" s="1370">
        <f>421</f>
        <v>421</v>
      </c>
      <c r="BH68" s="1382">
        <f>426-8</f>
        <v>418</v>
      </c>
      <c r="BI68" s="1448">
        <f>429</f>
        <v>429</v>
      </c>
      <c r="BJ68" s="1456">
        <f>437</f>
        <v>437</v>
      </c>
      <c r="BK68" s="1370">
        <v>426</v>
      </c>
      <c r="BL68" s="1382">
        <v>402</v>
      </c>
      <c r="BM68" s="1448">
        <v>381</v>
      </c>
      <c r="BN68" s="1456">
        <v>385</v>
      </c>
      <c r="BO68" s="1370">
        <v>389</v>
      </c>
      <c r="BP68" s="1382">
        <v>359</v>
      </c>
      <c r="BQ68" s="1448">
        <v>494</v>
      </c>
      <c r="BR68" s="1456">
        <v>639</v>
      </c>
      <c r="BS68" s="1370">
        <v>585</v>
      </c>
      <c r="BT68" s="1370">
        <v>613</v>
      </c>
      <c r="BU68" s="1448">
        <v>604</v>
      </c>
      <c r="BV68" s="1456">
        <v>592</v>
      </c>
      <c r="BW68" s="1382">
        <v>629</v>
      </c>
      <c r="BX68" s="11">
        <f t="shared" ref="BX68:BY69" si="133">BX540</f>
        <v>598.91003529999989</v>
      </c>
      <c r="BY68" s="12">
        <f t="shared" si="133"/>
        <v>594.59657479045995</v>
      </c>
      <c r="BZ68" s="10">
        <f t="shared" ref="BZ68:CC69" si="134">BZ540</f>
        <v>583.10880419876014</v>
      </c>
      <c r="CA68" s="11">
        <f t="shared" si="134"/>
        <v>573.86236120628018</v>
      </c>
      <c r="CB68" s="11">
        <f t="shared" si="134"/>
        <v>579.23681730977012</v>
      </c>
      <c r="CC68" s="12">
        <f t="shared" si="134"/>
        <v>526.33620614357631</v>
      </c>
      <c r="CD68" s="12"/>
      <c r="CE68" s="29">
        <f>SUM(F68:I68)</f>
        <v>113.38200000000001</v>
      </c>
      <c r="CF68" s="29">
        <f>SUM(J68:M68)</f>
        <v>121.89100000000001</v>
      </c>
      <c r="CG68" s="29">
        <f>SUM(N68:Q68)</f>
        <v>134.69999999999999</v>
      </c>
      <c r="CH68" s="29">
        <f>SUM(R68:U68)</f>
        <v>201</v>
      </c>
      <c r="CI68" s="29">
        <f>SUM(V68:Y68)</f>
        <v>238.5</v>
      </c>
      <c r="CJ68" s="29">
        <f>SUM(Z68:AC68)</f>
        <v>296.5</v>
      </c>
      <c r="CK68" s="29">
        <f>SUM(AD68:AG68)</f>
        <v>306</v>
      </c>
      <c r="CL68" s="29">
        <f>SUM(AH68:AK68)</f>
        <v>464</v>
      </c>
      <c r="CM68" s="29">
        <f>SUM(AL68:AO68)</f>
        <v>525</v>
      </c>
      <c r="CN68" s="29">
        <f>SUM(AP68:AS68)</f>
        <v>610</v>
      </c>
      <c r="CO68" s="487">
        <f>SUM(AT68:AW68)</f>
        <v>703</v>
      </c>
      <c r="CP68" s="487">
        <f>SUM(AX68:BA68)</f>
        <v>1055</v>
      </c>
      <c r="CQ68" s="11">
        <f>SUM(BB68:BE68)</f>
        <v>1572</v>
      </c>
      <c r="CR68" s="11">
        <f>SUM(BF68:BI68)</f>
        <v>1669</v>
      </c>
      <c r="CS68" s="11">
        <f>SUM(BJ68:BM68)</f>
        <v>1646</v>
      </c>
      <c r="CT68" s="11">
        <f>SUM(BN68:BQ68)</f>
        <v>1627</v>
      </c>
      <c r="CU68" s="11">
        <f>SUM(BR68:BU68)</f>
        <v>2441</v>
      </c>
      <c r="CV68" s="11">
        <f>SUM(BV68:BY68)</f>
        <v>2414.5066100904596</v>
      </c>
      <c r="CW68" s="11">
        <f>SUM(BZ68:CC68)</f>
        <v>2262.5441888583869</v>
      </c>
      <c r="CX68" s="11">
        <f t="shared" ref="CX68:DA69" si="135">CX540</f>
        <v>2354.2899303647259</v>
      </c>
      <c r="CY68" s="11">
        <f t="shared" si="135"/>
        <v>2482.0667668168462</v>
      </c>
      <c r="CZ68" s="11">
        <f t="shared" si="135"/>
        <v>2532.4998408184179</v>
      </c>
      <c r="DA68" s="11">
        <f t="shared" si="135"/>
        <v>2603.790041787629</v>
      </c>
      <c r="DB68" s="11">
        <f>DB540</f>
        <v>2686.104659410873</v>
      </c>
      <c r="DC68" s="11">
        <f>DC540</f>
        <v>2780.5044275690411</v>
      </c>
      <c r="DD68" s="1511"/>
      <c r="DE68" s="1554"/>
      <c r="DF68" s="29"/>
      <c r="DG68" s="57"/>
      <c r="DH68" s="29"/>
      <c r="DI68" s="29"/>
      <c r="DJ68" s="29"/>
      <c r="DK68" s="29"/>
      <c r="DL68" s="641">
        <f>SUM(AB68:AE68)</f>
        <v>302.3</v>
      </c>
      <c r="DM68" s="641">
        <f>SUM(AF68:AI68)</f>
        <v>367</v>
      </c>
      <c r="DN68" s="641">
        <f>SUM(AJ68:AM68)</f>
        <v>519</v>
      </c>
      <c r="DO68" s="641">
        <f>SUM(AN68:AQ68)</f>
        <v>553</v>
      </c>
      <c r="DP68" s="641">
        <f>SUM(AR68:AU68)</f>
        <v>650</v>
      </c>
      <c r="DQ68" s="641">
        <f>SUM(AV68:AY68)</f>
        <v>751</v>
      </c>
      <c r="DR68" s="641">
        <f>SUM(AZ68:BC68)</f>
        <v>1445</v>
      </c>
      <c r="DS68" s="1102">
        <f>SUM(BD68:BG68)</f>
        <v>1620</v>
      </c>
      <c r="DT68" s="641">
        <f>SUM(BH68:BK68)</f>
        <v>1710</v>
      </c>
      <c r="DU68" s="641">
        <f>SUM(BL68:BO68)</f>
        <v>1557</v>
      </c>
      <c r="DV68" s="641">
        <f>SUM(BP68:BS68)</f>
        <v>2077</v>
      </c>
      <c r="DW68" s="641">
        <f>SUM(BT68:BW68)</f>
        <v>2438</v>
      </c>
      <c r="DX68" s="2238">
        <f>SUM(BX68:CA68)</f>
        <v>2350.4777754955003</v>
      </c>
      <c r="DY68" s="641"/>
      <c r="DZ68" s="1559"/>
    </row>
    <row r="69" spans="1:136" ht="11.25" hidden="1" customHeight="1" outlineLevel="1">
      <c r="A69" s="11"/>
      <c r="B69" s="207"/>
      <c r="C69" s="824" t="s">
        <v>0</v>
      </c>
      <c r="D69" s="201"/>
      <c r="E69" s="202"/>
      <c r="F69" s="994">
        <v>29.523</v>
      </c>
      <c r="G69" s="995">
        <v>31.925000000000001</v>
      </c>
      <c r="H69" s="995">
        <v>30.225000000000001</v>
      </c>
      <c r="I69" s="1000">
        <f>115.832-SUM(F69:H69)</f>
        <v>24.158999999999992</v>
      </c>
      <c r="J69" s="994">
        <v>27.367999999999999</v>
      </c>
      <c r="K69" s="995">
        <v>28.494</v>
      </c>
      <c r="L69" s="995">
        <v>29.76</v>
      </c>
      <c r="M69" s="996">
        <v>26.161000000000001</v>
      </c>
      <c r="N69" s="997">
        <v>26.443999999999999</v>
      </c>
      <c r="O69" s="997">
        <v>33.628</v>
      </c>
      <c r="P69" s="997">
        <v>30.204999999999998</v>
      </c>
      <c r="Q69" s="998">
        <f>121.4-SUM(N69:P69)</f>
        <v>31.123000000000005</v>
      </c>
      <c r="R69" s="995">
        <v>27.6</v>
      </c>
      <c r="S69" s="995">
        <v>26.5</v>
      </c>
      <c r="T69" s="995">
        <v>27.2</v>
      </c>
      <c r="U69" s="996">
        <v>24.3</v>
      </c>
      <c r="V69" s="995">
        <v>27.9</v>
      </c>
      <c r="W69" s="995">
        <v>33.9</v>
      </c>
      <c r="X69" s="995">
        <v>35.6</v>
      </c>
      <c r="Y69" s="998">
        <f>57-19</f>
        <v>38</v>
      </c>
      <c r="Z69" s="999">
        <v>40.4</v>
      </c>
      <c r="AA69" s="997">
        <v>47.8</v>
      </c>
      <c r="AB69" s="997">
        <v>38.5</v>
      </c>
      <c r="AC69" s="998">
        <v>38.799999999999997</v>
      </c>
      <c r="AD69" s="1014">
        <v>44</v>
      </c>
      <c r="AE69" s="1014">
        <v>56</v>
      </c>
      <c r="AF69" s="1014">
        <v>32</v>
      </c>
      <c r="AG69" s="1014">
        <v>47</v>
      </c>
      <c r="AH69" s="1122">
        <v>48</v>
      </c>
      <c r="AI69" s="39">
        <v>59</v>
      </c>
      <c r="AJ69" s="46">
        <v>56</v>
      </c>
      <c r="AK69" s="47">
        <v>56</v>
      </c>
      <c r="AL69" s="46">
        <v>57</v>
      </c>
      <c r="AM69" s="46">
        <f>42+6</f>
        <v>48</v>
      </c>
      <c r="AN69" s="46">
        <f>49</f>
        <v>49</v>
      </c>
      <c r="AO69" s="47">
        <v>52</v>
      </c>
      <c r="AP69" s="46">
        <v>53</v>
      </c>
      <c r="AQ69" s="46">
        <v>60</v>
      </c>
      <c r="AR69" s="46">
        <v>64</v>
      </c>
      <c r="AS69" s="47">
        <f>88-27</f>
        <v>61</v>
      </c>
      <c r="AT69" s="969">
        <v>59</v>
      </c>
      <c r="AU69" s="46">
        <v>66</v>
      </c>
      <c r="AV69" s="39">
        <f>73-10</f>
        <v>63</v>
      </c>
      <c r="AW69" s="47">
        <f>109-35</f>
        <v>74</v>
      </c>
      <c r="AX69" s="46">
        <f>89-21</f>
        <v>68</v>
      </c>
      <c r="AY69" s="46">
        <f>96-14</f>
        <v>82</v>
      </c>
      <c r="AZ69" s="46">
        <f>155-34-3</f>
        <v>118</v>
      </c>
      <c r="BA69" s="39">
        <f>178-12</f>
        <v>166</v>
      </c>
      <c r="BB69" s="969">
        <f>179-11</f>
        <v>168</v>
      </c>
      <c r="BC69" s="39">
        <f>162-11</f>
        <v>151</v>
      </c>
      <c r="BD69" s="46">
        <f>185-11-11</f>
        <v>163</v>
      </c>
      <c r="BE69" s="47">
        <f>180-11-7</f>
        <v>162</v>
      </c>
      <c r="BF69" s="46">
        <f>132+65-11-13</f>
        <v>173</v>
      </c>
      <c r="BG69" s="1370">
        <f>229-11-11-12</f>
        <v>195</v>
      </c>
      <c r="BH69" s="1382">
        <f>202-40+13+8</f>
        <v>183</v>
      </c>
      <c r="BI69" s="1448">
        <f>202-8-25</f>
        <v>169</v>
      </c>
      <c r="BJ69" s="1457">
        <f>220-7-35-15</f>
        <v>163</v>
      </c>
      <c r="BK69" s="1370">
        <f>164+37-7-35-6</f>
        <v>153</v>
      </c>
      <c r="BL69" s="1370">
        <f>199-7-3-33+6</f>
        <v>162</v>
      </c>
      <c r="BM69" s="1448">
        <f>190-8-38+2</f>
        <v>146</v>
      </c>
      <c r="BN69" s="1457">
        <f>192-8-2-36</f>
        <v>146</v>
      </c>
      <c r="BO69" s="1370">
        <f>207-8-15-27-31+3</f>
        <v>129</v>
      </c>
      <c r="BP69" s="1382">
        <f>166-6-24-16-32+2</f>
        <v>90</v>
      </c>
      <c r="BQ69" s="1448">
        <f>400-73-30-116+26-60</f>
        <v>147</v>
      </c>
      <c r="BR69" s="1457">
        <f>396-40-86-10-33-3</f>
        <v>224</v>
      </c>
      <c r="BS69" s="1370">
        <f>358-39-85-5-15-2</f>
        <v>212</v>
      </c>
      <c r="BT69" s="1370">
        <f>346-40-85-2-22+1</f>
        <v>198</v>
      </c>
      <c r="BU69" s="1448">
        <f>345-40-77-16-4</f>
        <v>208</v>
      </c>
      <c r="BV69" s="1456">
        <f>364-40-84-4-9-0</f>
        <v>227</v>
      </c>
      <c r="BW69" s="1382">
        <f>381-41-6-12-86</f>
        <v>236</v>
      </c>
      <c r="BX69" s="11">
        <f t="shared" si="133"/>
        <v>245.45493249999996</v>
      </c>
      <c r="BY69" s="12">
        <f t="shared" si="133"/>
        <v>226.04497884595997</v>
      </c>
      <c r="BZ69" s="10">
        <f t="shared" si="134"/>
        <v>228.17301033864527</v>
      </c>
      <c r="CA69" s="11">
        <f t="shared" si="134"/>
        <v>219.56472950501151</v>
      </c>
      <c r="CB69" s="11">
        <f t="shared" si="134"/>
        <v>213.1591487699954</v>
      </c>
      <c r="CC69" s="12">
        <f t="shared" si="134"/>
        <v>192.98994225264462</v>
      </c>
      <c r="CD69" s="12"/>
      <c r="CE69" s="29">
        <f>SUM(F69:I69)</f>
        <v>115.83199999999999</v>
      </c>
      <c r="CF69" s="29">
        <f>SUM(J69:M69)</f>
        <v>111.783</v>
      </c>
      <c r="CG69" s="29">
        <f>SUM(N69:Q69)</f>
        <v>121.4</v>
      </c>
      <c r="CH69" s="29">
        <f>SUM(R69:U69)</f>
        <v>105.6</v>
      </c>
      <c r="CI69" s="29">
        <f>SUM(V69:Y69)</f>
        <v>135.4</v>
      </c>
      <c r="CJ69" s="29">
        <f>SUM(Z69:AC69)</f>
        <v>165.5</v>
      </c>
      <c r="CK69" s="29">
        <f>SUM(AD69:AG69)</f>
        <v>179</v>
      </c>
      <c r="CL69" s="29">
        <f>SUM(AH69:AK69)</f>
        <v>219</v>
      </c>
      <c r="CM69" s="29">
        <f>SUM(AL69:AO69)</f>
        <v>206</v>
      </c>
      <c r="CN69" s="29">
        <f>SUM(AP69:AS69)</f>
        <v>238</v>
      </c>
      <c r="CO69" s="487">
        <f>SUM(AT69:AW69)</f>
        <v>262</v>
      </c>
      <c r="CP69" s="487">
        <f>SUM(AX69:BA69)</f>
        <v>434</v>
      </c>
      <c r="CQ69" s="11">
        <f>SUM(BB69:BE69)</f>
        <v>644</v>
      </c>
      <c r="CR69" s="11">
        <f>SUM(BF69:BI69)</f>
        <v>720</v>
      </c>
      <c r="CS69" s="11">
        <f>SUM(BJ69:BM69)</f>
        <v>624</v>
      </c>
      <c r="CT69" s="11">
        <f>SUM(BN69:BQ69)</f>
        <v>512</v>
      </c>
      <c r="CU69" s="11">
        <f>SUM(BR69:BU69)</f>
        <v>842</v>
      </c>
      <c r="CV69" s="11">
        <f>SUM(BV69:BY69)</f>
        <v>934.49991134595984</v>
      </c>
      <c r="CW69" s="11">
        <f>SUM(BZ69:CC69)</f>
        <v>853.8868308662968</v>
      </c>
      <c r="CX69" s="11">
        <f t="shared" si="135"/>
        <v>921.24388579489266</v>
      </c>
      <c r="CY69" s="11">
        <f t="shared" si="135"/>
        <v>890.99832654963711</v>
      </c>
      <c r="CZ69" s="11">
        <f t="shared" si="135"/>
        <v>902.89124759613162</v>
      </c>
      <c r="DA69" s="11">
        <f t="shared" si="135"/>
        <v>921.69559001332004</v>
      </c>
      <c r="DB69" s="11">
        <f>DB541</f>
        <v>967.96564303094522</v>
      </c>
      <c r="DC69" s="11">
        <f>DC541</f>
        <v>1020.3685972730426</v>
      </c>
      <c r="DD69" s="1509"/>
      <c r="DE69" s="1521"/>
      <c r="DF69" s="29"/>
      <c r="DG69" s="57"/>
      <c r="DH69" s="29"/>
      <c r="DI69" s="29"/>
      <c r="DJ69" s="29"/>
      <c r="DK69" s="29"/>
      <c r="DL69" s="641">
        <f>SUM(AB69:AE69)</f>
        <v>177.3</v>
      </c>
      <c r="DM69" s="641">
        <f>SUM(AF69:AI69)</f>
        <v>186</v>
      </c>
      <c r="DN69" s="641">
        <f>SUM(AJ69:AM69)</f>
        <v>217</v>
      </c>
      <c r="DO69" s="641">
        <f>SUM(AN69:AQ69)</f>
        <v>214</v>
      </c>
      <c r="DP69" s="641">
        <f>SUM(AR69:AU69)</f>
        <v>250</v>
      </c>
      <c r="DQ69" s="641">
        <f>SUM(AV69:AY69)</f>
        <v>287</v>
      </c>
      <c r="DR69" s="641">
        <f>SUM(AZ69:BC69)</f>
        <v>603</v>
      </c>
      <c r="DS69" s="1102">
        <f>SUM(BD69:BG69)</f>
        <v>693</v>
      </c>
      <c r="DT69" s="641">
        <f>SUM(BH69:BK69)</f>
        <v>668</v>
      </c>
      <c r="DU69" s="641">
        <f>SUM(BL69:BO69)</f>
        <v>583</v>
      </c>
      <c r="DV69" s="641">
        <f>SUM(BP69:BS69)</f>
        <v>673</v>
      </c>
      <c r="DW69" s="641">
        <f>SUM(BT69:BW69)</f>
        <v>869</v>
      </c>
      <c r="DX69" s="2238">
        <f>SUM(BX69:CA69)</f>
        <v>919.23765118961671</v>
      </c>
      <c r="DY69" s="641"/>
      <c r="DZ69" s="1559"/>
    </row>
    <row r="70" spans="1:136" ht="11.25" hidden="1" customHeight="1" outlineLevel="1">
      <c r="A70" s="145"/>
      <c r="B70" s="227"/>
      <c r="C70" s="188"/>
      <c r="D70" s="145"/>
      <c r="E70" s="228"/>
      <c r="F70" s="145"/>
      <c r="G70" s="145"/>
      <c r="H70" s="145"/>
      <c r="I70" s="228"/>
      <c r="J70" s="145"/>
      <c r="K70" s="145"/>
      <c r="L70" s="145"/>
      <c r="M70" s="228"/>
      <c r="N70" s="145"/>
      <c r="O70" s="145"/>
      <c r="P70" s="145"/>
      <c r="Q70" s="228"/>
      <c r="R70" s="145"/>
      <c r="S70" s="145"/>
      <c r="T70" s="145"/>
      <c r="U70" s="228"/>
      <c r="V70" s="145"/>
      <c r="W70" s="145"/>
      <c r="X70" s="145"/>
      <c r="Y70" s="228"/>
      <c r="Z70" s="550"/>
      <c r="AA70" s="550"/>
      <c r="AB70" s="550"/>
      <c r="AC70" s="643"/>
      <c r="AD70" s="641"/>
      <c r="AE70" s="641"/>
      <c r="AF70" s="641"/>
      <c r="AG70" s="641"/>
      <c r="AH70" s="1121"/>
      <c r="AI70" s="145"/>
      <c r="AJ70" s="145"/>
      <c r="AK70" s="228"/>
      <c r="AL70" s="145"/>
      <c r="AM70" s="145"/>
      <c r="AN70" s="145"/>
      <c r="AO70" s="228"/>
      <c r="AP70" s="145"/>
      <c r="AQ70" s="145"/>
      <c r="AR70" s="145"/>
      <c r="AS70" s="145"/>
      <c r="AT70" s="227"/>
      <c r="AU70" s="145"/>
      <c r="AV70" s="145"/>
      <c r="AW70" s="228"/>
      <c r="AX70" s="145"/>
      <c r="AY70" s="368"/>
      <c r="AZ70" s="368"/>
      <c r="BA70" s="378"/>
      <c r="BB70" s="943"/>
      <c r="BC70" s="368"/>
      <c r="BD70" s="368"/>
      <c r="BE70" s="378"/>
      <c r="BF70" s="368"/>
      <c r="BG70" s="368"/>
      <c r="BH70" s="368"/>
      <c r="BI70" s="378"/>
      <c r="BJ70" s="943"/>
      <c r="BK70" s="368"/>
      <c r="BL70" s="368"/>
      <c r="BM70" s="378"/>
      <c r="BN70" s="943"/>
      <c r="BO70" s="1585"/>
      <c r="BP70" s="1585"/>
      <c r="BQ70" s="378"/>
      <c r="BR70" s="1670"/>
      <c r="BS70" s="368"/>
      <c r="BT70" s="368"/>
      <c r="BU70" s="378"/>
      <c r="BV70" s="943"/>
      <c r="BW70" s="368"/>
      <c r="BX70" s="368"/>
      <c r="BY70" s="378"/>
      <c r="BZ70" s="943"/>
      <c r="CA70" s="368"/>
      <c r="CB70" s="368"/>
      <c r="CC70" s="378"/>
      <c r="CD70" s="228"/>
      <c r="CE70" s="145"/>
      <c r="CF70" s="145"/>
      <c r="CG70" s="145"/>
      <c r="CH70" s="145"/>
      <c r="CI70" s="145"/>
      <c r="CJ70" s="145"/>
      <c r="CK70" s="145"/>
      <c r="CL70" s="145"/>
      <c r="CM70" s="145"/>
      <c r="CN70" s="145"/>
      <c r="CO70" s="145"/>
      <c r="CP70" s="145"/>
      <c r="CQ70" s="145"/>
      <c r="CR70" s="145"/>
      <c r="CS70" s="1607"/>
      <c r="CT70" s="1607"/>
      <c r="CU70" s="1607"/>
      <c r="CV70" s="1607"/>
      <c r="CW70" s="368"/>
      <c r="CX70" s="368"/>
      <c r="CY70" s="368"/>
      <c r="CZ70" s="368"/>
      <c r="DA70" s="368"/>
      <c r="DB70" s="368"/>
      <c r="DC70" s="368"/>
      <c r="DD70" s="1505"/>
      <c r="DE70" s="1551"/>
      <c r="DF70" s="141"/>
      <c r="DG70" s="215"/>
      <c r="DH70" s="141"/>
      <c r="DI70" s="141"/>
      <c r="DJ70" s="141"/>
      <c r="DK70" s="141"/>
      <c r="DL70" s="641"/>
      <c r="DM70" s="641"/>
      <c r="DN70" s="641"/>
      <c r="DO70" s="641"/>
      <c r="DP70" s="141"/>
      <c r="DQ70" s="141"/>
      <c r="DR70" s="141"/>
      <c r="DS70" s="215"/>
      <c r="DT70" s="141"/>
      <c r="DU70" s="141"/>
      <c r="DV70" s="141"/>
      <c r="DW70" s="141"/>
      <c r="DX70" s="2241"/>
      <c r="DY70" s="141"/>
      <c r="DZ70" s="1676"/>
    </row>
    <row r="71" spans="1:136" ht="11.25" hidden="1" customHeight="1" outlineLevel="1">
      <c r="A71" s="49"/>
      <c r="B71" s="209" t="s">
        <v>46</v>
      </c>
      <c r="C71" s="188"/>
      <c r="D71" s="188"/>
      <c r="E71" s="198"/>
      <c r="F71" s="49">
        <f t="shared" ref="F71:BA71" si="136">F53-F67</f>
        <v>-35.588000000000022</v>
      </c>
      <c r="G71" s="1089">
        <f t="shared" si="136"/>
        <v>1.9990000000000521</v>
      </c>
      <c r="H71" s="1089">
        <f t="shared" si="136"/>
        <v>0.9849999999999568</v>
      </c>
      <c r="I71" s="50">
        <f t="shared" si="136"/>
        <v>11.128000000000014</v>
      </c>
      <c r="J71" s="49">
        <f t="shared" si="136"/>
        <v>-0.20599999999998886</v>
      </c>
      <c r="K71" s="49">
        <f t="shared" si="136"/>
        <v>12.851999999999933</v>
      </c>
      <c r="L71" s="49">
        <f t="shared" si="136"/>
        <v>18.051714340718149</v>
      </c>
      <c r="M71" s="50">
        <f t="shared" si="136"/>
        <v>17.228999999999971</v>
      </c>
      <c r="N71" s="49">
        <f t="shared" si="136"/>
        <v>25.285278737041608</v>
      </c>
      <c r="O71" s="49">
        <f t="shared" si="136"/>
        <v>76.041401891764636</v>
      </c>
      <c r="P71" s="49">
        <f t="shared" si="136"/>
        <v>57.088534776115623</v>
      </c>
      <c r="Q71" s="50">
        <f t="shared" si="136"/>
        <v>46.904365616533511</v>
      </c>
      <c r="R71" s="49">
        <f t="shared" si="136"/>
        <v>4.9248834503210333</v>
      </c>
      <c r="S71" s="49">
        <f t="shared" si="136"/>
        <v>71.300000000000068</v>
      </c>
      <c r="T71" s="49">
        <f t="shared" si="136"/>
        <v>48.89097677325644</v>
      </c>
      <c r="U71" s="50">
        <f t="shared" si="136"/>
        <v>29.800184742957555</v>
      </c>
      <c r="V71" s="49">
        <f t="shared" si="136"/>
        <v>31.200000000000017</v>
      </c>
      <c r="W71" s="49">
        <f t="shared" si="136"/>
        <v>56.625081087970926</v>
      </c>
      <c r="X71" s="49">
        <f t="shared" si="136"/>
        <v>70.695537108473843</v>
      </c>
      <c r="Y71" s="50">
        <f t="shared" si="136"/>
        <v>57.367057114279788</v>
      </c>
      <c r="Z71" s="49">
        <f t="shared" si="136"/>
        <v>67.904952461412194</v>
      </c>
      <c r="AA71" s="49">
        <f t="shared" si="136"/>
        <v>104.26742626372697</v>
      </c>
      <c r="AB71" s="49">
        <f t="shared" si="136"/>
        <v>100.66998165864213</v>
      </c>
      <c r="AC71" s="37">
        <f t="shared" si="136"/>
        <v>81.020633982265949</v>
      </c>
      <c r="AD71" s="30">
        <f t="shared" si="136"/>
        <v>98.998833436121458</v>
      </c>
      <c r="AE71" s="30">
        <f t="shared" si="136"/>
        <v>121.97001149535686</v>
      </c>
      <c r="AF71" s="30">
        <f t="shared" si="136"/>
        <v>115.02977342464601</v>
      </c>
      <c r="AG71" s="30">
        <f t="shared" si="136"/>
        <v>78.707774312504625</v>
      </c>
      <c r="AH71" s="48">
        <f t="shared" si="136"/>
        <v>183.98857251304298</v>
      </c>
      <c r="AI71" s="49">
        <f t="shared" si="136"/>
        <v>332.30360848767646</v>
      </c>
      <c r="AJ71" s="49">
        <f t="shared" si="136"/>
        <v>297.60684184863976</v>
      </c>
      <c r="AK71" s="50">
        <f t="shared" si="136"/>
        <v>241.0649197251787</v>
      </c>
      <c r="AL71" s="49">
        <f t="shared" si="136"/>
        <v>233.98976037078137</v>
      </c>
      <c r="AM71" s="49">
        <f t="shared" si="136"/>
        <v>106.78772525634986</v>
      </c>
      <c r="AN71" s="49">
        <f t="shared" si="136"/>
        <v>78.892006935091558</v>
      </c>
      <c r="AO71" s="50">
        <f t="shared" si="136"/>
        <v>186.18657194384241</v>
      </c>
      <c r="AP71" s="49">
        <f t="shared" si="136"/>
        <v>319.94885115999978</v>
      </c>
      <c r="AQ71" s="49">
        <f t="shared" si="136"/>
        <v>473.94007525000006</v>
      </c>
      <c r="AR71" s="49">
        <f t="shared" si="136"/>
        <v>441.83925150000005</v>
      </c>
      <c r="AS71" s="49">
        <f t="shared" si="136"/>
        <v>321.56533969848874</v>
      </c>
      <c r="AT71" s="48">
        <f t="shared" si="136"/>
        <v>220.97132884299981</v>
      </c>
      <c r="AU71" s="49">
        <f t="shared" si="136"/>
        <v>240.58216772499964</v>
      </c>
      <c r="AV71" s="49">
        <f t="shared" si="136"/>
        <v>168.05312178269969</v>
      </c>
      <c r="AW71" s="50">
        <f t="shared" si="136"/>
        <v>207.31393374718755</v>
      </c>
      <c r="AX71" s="49">
        <f t="shared" si="136"/>
        <v>280.43461406480401</v>
      </c>
      <c r="AY71" s="49">
        <f t="shared" si="136"/>
        <v>375.37867133650047</v>
      </c>
      <c r="AZ71" s="49">
        <f t="shared" si="136"/>
        <v>694.17196134369033</v>
      </c>
      <c r="BA71" s="50">
        <f t="shared" si="136"/>
        <v>939.10029102005683</v>
      </c>
      <c r="BB71" s="48">
        <f t="shared" ref="BB71:BY71" si="137">BB21-BB67</f>
        <v>666.90000000000009</v>
      </c>
      <c r="BC71" s="49">
        <f t="shared" si="137"/>
        <v>568.05549999999994</v>
      </c>
      <c r="BD71" s="49">
        <f t="shared" si="137"/>
        <v>539.72000000000025</v>
      </c>
      <c r="BE71" s="50">
        <f t="shared" si="137"/>
        <v>521.23799999999983</v>
      </c>
      <c r="BF71" s="49">
        <f t="shared" si="137"/>
        <v>561.07020000000011</v>
      </c>
      <c r="BG71" s="49">
        <f t="shared" si="137"/>
        <v>579.82400000000007</v>
      </c>
      <c r="BH71" s="49">
        <f t="shared" si="137"/>
        <v>514.00799999999981</v>
      </c>
      <c r="BI71" s="50">
        <f t="shared" si="137"/>
        <v>480.30999999999995</v>
      </c>
      <c r="BJ71" s="48">
        <f t="shared" si="137"/>
        <v>593.19399999999996</v>
      </c>
      <c r="BK71" s="49">
        <f t="shared" si="137"/>
        <v>615.904</v>
      </c>
      <c r="BL71" s="49">
        <f t="shared" si="137"/>
        <v>505.89599999999996</v>
      </c>
      <c r="BM71" s="50">
        <f t="shared" si="137"/>
        <v>425.98249999999985</v>
      </c>
      <c r="BN71" s="48">
        <f t="shared" si="137"/>
        <v>446.22499999999991</v>
      </c>
      <c r="BO71" s="49">
        <f t="shared" si="137"/>
        <v>427.21249999999998</v>
      </c>
      <c r="BP71" s="49">
        <f t="shared" si="137"/>
        <v>347.25999999999988</v>
      </c>
      <c r="BQ71" s="50">
        <f t="shared" si="137"/>
        <v>450.73</v>
      </c>
      <c r="BR71" s="48">
        <f t="shared" si="137"/>
        <v>735.55600000000004</v>
      </c>
      <c r="BS71" s="49">
        <f>BS21-BS67</f>
        <v>994.85299999999984</v>
      </c>
      <c r="BT71" s="49">
        <f t="shared" si="137"/>
        <v>1015.076</v>
      </c>
      <c r="BU71" s="50">
        <f t="shared" si="137"/>
        <v>1186.0769999999998</v>
      </c>
      <c r="BV71" s="48">
        <f t="shared" si="137"/>
        <v>1372.8649999999998</v>
      </c>
      <c r="BW71" s="49">
        <f t="shared" si="137"/>
        <v>1441.3600000000001</v>
      </c>
      <c r="BX71" s="49">
        <f t="shared" si="137"/>
        <v>1241.8385741999996</v>
      </c>
      <c r="BY71" s="50">
        <f t="shared" si="137"/>
        <v>1127.6717944291802</v>
      </c>
      <c r="BZ71" s="48">
        <f>BZ21-BZ67</f>
        <v>1154.2926429942599</v>
      </c>
      <c r="CA71" s="49">
        <f>CA21-CA67</f>
        <v>1065.9026384629315</v>
      </c>
      <c r="CB71" s="49">
        <f>CB21-CB67</f>
        <v>888.27209659314985</v>
      </c>
      <c r="CC71" s="50">
        <f>CC21-CC67</f>
        <v>834.03242263642107</v>
      </c>
      <c r="CD71" s="12"/>
      <c r="CE71" s="49">
        <f t="shared" ref="CE71:CP71" si="138">CE53-CE67</f>
        <v>-21.47600000000017</v>
      </c>
      <c r="CF71" s="49">
        <f t="shared" si="138"/>
        <v>47.926714340718235</v>
      </c>
      <c r="CG71" s="49">
        <f t="shared" si="138"/>
        <v>205.31958102145597</v>
      </c>
      <c r="CH71" s="49">
        <f t="shared" si="138"/>
        <v>154.91604496653451</v>
      </c>
      <c r="CI71" s="49">
        <f t="shared" si="138"/>
        <v>215.88767531072438</v>
      </c>
      <c r="CJ71" s="49">
        <f t="shared" si="138"/>
        <v>353.86299436604759</v>
      </c>
      <c r="CK71" s="49">
        <f t="shared" si="138"/>
        <v>414.70639266862872</v>
      </c>
      <c r="CL71" s="49">
        <f t="shared" si="138"/>
        <v>1054.9639425745381</v>
      </c>
      <c r="CM71" s="49">
        <f t="shared" si="138"/>
        <v>605.8560645060661</v>
      </c>
      <c r="CN71" s="49">
        <f t="shared" si="138"/>
        <v>1557.2935176084884</v>
      </c>
      <c r="CO71" s="49">
        <f t="shared" si="138"/>
        <v>836.92055209788668</v>
      </c>
      <c r="CP71" s="49">
        <f t="shared" si="138"/>
        <v>2289.0855377650514</v>
      </c>
      <c r="CQ71" s="49">
        <f t="shared" ref="CQ71:DA71" si="139">CQ21-CQ67</f>
        <v>2295.9135000000006</v>
      </c>
      <c r="CR71" s="49">
        <f t="shared" si="139"/>
        <v>2135.2121999999999</v>
      </c>
      <c r="CS71" s="49">
        <f t="shared" si="139"/>
        <v>2140.9764999999998</v>
      </c>
      <c r="CT71" s="49">
        <f t="shared" si="139"/>
        <v>1671.4274999999998</v>
      </c>
      <c r="CU71" s="49">
        <f t="shared" si="139"/>
        <v>3931.5619999999999</v>
      </c>
      <c r="CV71" s="49">
        <f t="shared" si="139"/>
        <v>5183.7353686291799</v>
      </c>
      <c r="CW71" s="49">
        <f t="shared" si="139"/>
        <v>3942.4998006867604</v>
      </c>
      <c r="CX71" s="49">
        <f t="shared" si="139"/>
        <v>4225.3042234016048</v>
      </c>
      <c r="CY71" s="49">
        <f t="shared" si="139"/>
        <v>4307.3882741246325</v>
      </c>
      <c r="CZ71" s="49">
        <f t="shared" si="139"/>
        <v>4494.8184559702095</v>
      </c>
      <c r="DA71" s="49">
        <f t="shared" si="139"/>
        <v>4672.4136184105491</v>
      </c>
      <c r="DB71" s="49">
        <f>DB21-DB67</f>
        <v>4853.6351466556334</v>
      </c>
      <c r="DC71" s="49">
        <f>DC21-DC67</f>
        <v>5062.4233545065854</v>
      </c>
      <c r="DD71" s="1508"/>
      <c r="DE71" s="1553"/>
      <c r="DF71" s="30"/>
      <c r="DG71" s="57">
        <f>SUM(H71:K71)</f>
        <v>24.758999999999915</v>
      </c>
      <c r="DH71" s="29">
        <f>SUM(L71:O71)</f>
        <v>136.60739496952436</v>
      </c>
      <c r="DI71" s="29">
        <f>SUM(P71:S71)</f>
        <v>180.21778384297022</v>
      </c>
      <c r="DJ71" s="29">
        <f>SUM(T71:W71)</f>
        <v>166.51624260418492</v>
      </c>
      <c r="DK71" s="29">
        <f>SUM(X71:AA71)</f>
        <v>300.2349729478928</v>
      </c>
      <c r="DL71" s="1116">
        <f>SUM(AB71:AE71)</f>
        <v>402.65946057238637</v>
      </c>
      <c r="DM71" s="1116">
        <f>SUM(AF71:AI71)</f>
        <v>710.02972873787007</v>
      </c>
      <c r="DN71" s="1116">
        <f>SUM(AJ71:AM71)</f>
        <v>879.44924720094969</v>
      </c>
      <c r="DO71" s="1116">
        <f>SUM(AN71:AQ71)</f>
        <v>1058.9675052889338</v>
      </c>
      <c r="DP71" s="1116">
        <f>SUM(AR71:AU71)</f>
        <v>1224.9580877664882</v>
      </c>
      <c r="DQ71" s="1116">
        <f>SUM(AV71:AY71)</f>
        <v>1031.1803409311917</v>
      </c>
      <c r="DR71" s="1116">
        <f>SUM(AZ71:BC71)</f>
        <v>2868.2277523637472</v>
      </c>
      <c r="DS71" s="1243">
        <f>SUM(BD71:BG71)</f>
        <v>2201.8522000000003</v>
      </c>
      <c r="DT71" s="1116">
        <f>SUM(BH71:BK71)</f>
        <v>2203.4159999999997</v>
      </c>
      <c r="DU71" s="1116">
        <f>SUM(BL71:BO71)</f>
        <v>1805.3159999999998</v>
      </c>
      <c r="DV71" s="1116">
        <f>SUM(BP71:BS71)</f>
        <v>2528.3989999999994</v>
      </c>
      <c r="DW71" s="1116">
        <f>SUM(BT71:BW71)</f>
        <v>5015.3779999999997</v>
      </c>
      <c r="DX71" s="2242">
        <f>SUM(BX71:CA71)</f>
        <v>4589.705650086371</v>
      </c>
      <c r="DY71" s="1116"/>
      <c r="DZ71" s="1556">
        <f>DZ53-DZ67</f>
        <v>-1537.9465420995925</v>
      </c>
    </row>
    <row r="72" spans="1:136" ht="11.25" hidden="1" customHeight="1" outlineLevel="1">
      <c r="A72" s="402"/>
      <c r="B72" s="397"/>
      <c r="C72" s="398" t="s">
        <v>47</v>
      </c>
      <c r="D72" s="398"/>
      <c r="E72" s="399"/>
      <c r="F72" s="400">
        <f t="shared" ref="F72:AK72" si="140">F71/F11</f>
        <v>-8.3861572322005112E-2</v>
      </c>
      <c r="G72" s="400">
        <f t="shared" si="140"/>
        <v>3.5596630874157307E-3</v>
      </c>
      <c r="H72" s="400">
        <f t="shared" si="140"/>
        <v>1.9248695094806307E-3</v>
      </c>
      <c r="I72" s="401">
        <f t="shared" si="140"/>
        <v>2.4417806039940083E-2</v>
      </c>
      <c r="J72" s="400">
        <f t="shared" si="140"/>
        <v>-4.6718056528845877E-4</v>
      </c>
      <c r="K72" s="400">
        <f t="shared" si="140"/>
        <v>2.2364139419144786E-2</v>
      </c>
      <c r="L72" s="400">
        <f t="shared" si="140"/>
        <v>3.0345813449529767E-2</v>
      </c>
      <c r="M72" s="401">
        <f t="shared" si="140"/>
        <v>3.1865900213068128E-2</v>
      </c>
      <c r="N72" s="400">
        <f t="shared" si="140"/>
        <v>4.3377725590208256E-2</v>
      </c>
      <c r="O72" s="400">
        <f t="shared" si="140"/>
        <v>0.1014577433084094</v>
      </c>
      <c r="P72" s="400">
        <f t="shared" si="140"/>
        <v>8.0880444979138877E-2</v>
      </c>
      <c r="Q72" s="401">
        <f t="shared" si="140"/>
        <v>6.8950405001492729E-2</v>
      </c>
      <c r="R72" s="400">
        <f t="shared" si="140"/>
        <v>6.8954240666183548E-3</v>
      </c>
      <c r="S72" s="400">
        <f t="shared" si="140"/>
        <v>8.5407959992527815E-2</v>
      </c>
      <c r="T72" s="400">
        <f t="shared" si="140"/>
        <v>6.5284505074307081E-2</v>
      </c>
      <c r="U72" s="401">
        <f t="shared" si="140"/>
        <v>3.9797604152297626E-2</v>
      </c>
      <c r="V72" s="400">
        <f t="shared" si="140"/>
        <v>3.7883548355502089E-2</v>
      </c>
      <c r="W72" s="400">
        <f t="shared" si="140"/>
        <v>5.9297930496763684E-2</v>
      </c>
      <c r="X72" s="400">
        <f t="shared" si="140"/>
        <v>7.6851701368932115E-2</v>
      </c>
      <c r="Y72" s="401">
        <f t="shared" si="140"/>
        <v>6.1004962562515794E-2</v>
      </c>
      <c r="Z72" s="400">
        <f t="shared" si="140"/>
        <v>6.7238953820267358E-2</v>
      </c>
      <c r="AA72" s="400">
        <f t="shared" si="140"/>
        <v>9.3340315734093043E-2</v>
      </c>
      <c r="AB72" s="400">
        <f t="shared" si="140"/>
        <v>8.9185558877739823E-2</v>
      </c>
      <c r="AC72" s="401">
        <f t="shared" si="140"/>
        <v>7.4637580757022787E-2</v>
      </c>
      <c r="AD72" s="543">
        <f t="shared" si="140"/>
        <v>7.8321934180111366E-2</v>
      </c>
      <c r="AE72" s="543">
        <f t="shared" si="140"/>
        <v>8.5414967060569433E-2</v>
      </c>
      <c r="AF72" s="1053">
        <f t="shared" si="140"/>
        <v>8.1579676963320066E-2</v>
      </c>
      <c r="AG72" s="543">
        <f t="shared" si="140"/>
        <v>5.7589322159301404E-2</v>
      </c>
      <c r="AH72" s="1123">
        <f t="shared" si="140"/>
        <v>0.10418446380500807</v>
      </c>
      <c r="AI72" s="400">
        <f t="shared" si="140"/>
        <v>0.15076587471116354</v>
      </c>
      <c r="AJ72" s="400">
        <f t="shared" si="140"/>
        <v>0.14097728932144868</v>
      </c>
      <c r="AK72" s="401">
        <f t="shared" si="140"/>
        <v>0.12095186531024732</v>
      </c>
      <c r="AL72" s="400">
        <f t="shared" ref="AL72:BQ72" si="141">AL71/AL11</f>
        <v>0.11094874179457545</v>
      </c>
      <c r="AM72" s="400">
        <f t="shared" si="141"/>
        <v>5.858483891278763E-2</v>
      </c>
      <c r="AN72" s="400">
        <f t="shared" si="141"/>
        <v>4.9558642540698639E-2</v>
      </c>
      <c r="AO72" s="401">
        <f t="shared" si="141"/>
        <v>9.6560454601726686E-2</v>
      </c>
      <c r="AP72" s="400">
        <f t="shared" si="141"/>
        <v>0.14490437099637671</v>
      </c>
      <c r="AQ72" s="400">
        <f t="shared" si="141"/>
        <v>0.18096222804505538</v>
      </c>
      <c r="AR72" s="400">
        <f t="shared" si="141"/>
        <v>0.16729998163574406</v>
      </c>
      <c r="AS72" s="400">
        <f t="shared" si="141"/>
        <v>0.13499804353421022</v>
      </c>
      <c r="AT72" s="941">
        <f t="shared" si="141"/>
        <v>9.0302954165508709E-2</v>
      </c>
      <c r="AU72" s="400">
        <f t="shared" si="141"/>
        <v>9.72049162525251E-2</v>
      </c>
      <c r="AV72" s="400">
        <f t="shared" si="141"/>
        <v>7.4623943953241428E-2</v>
      </c>
      <c r="AW72" s="401">
        <f t="shared" si="141"/>
        <v>8.6272964522341886E-2</v>
      </c>
      <c r="AX72" s="400">
        <f t="shared" si="141"/>
        <v>0.10409599631210245</v>
      </c>
      <c r="AY72" s="400">
        <f t="shared" si="141"/>
        <v>0.18815973500576466</v>
      </c>
      <c r="AZ72" s="400">
        <f t="shared" si="141"/>
        <v>0.22872222779034276</v>
      </c>
      <c r="BA72" s="400">
        <f t="shared" si="141"/>
        <v>0.19753897581406327</v>
      </c>
      <c r="BB72" s="941">
        <f t="shared" si="141"/>
        <v>0.16527881040892195</v>
      </c>
      <c r="BC72" s="400">
        <f t="shared" si="141"/>
        <v>0.14855007845188284</v>
      </c>
      <c r="BD72" s="400">
        <f t="shared" si="141"/>
        <v>0.14339001062699264</v>
      </c>
      <c r="BE72" s="401">
        <f t="shared" si="141"/>
        <v>0.13981706008583686</v>
      </c>
      <c r="BF72" s="400">
        <f t="shared" si="141"/>
        <v>0.14749479495268142</v>
      </c>
      <c r="BG72" s="400">
        <f t="shared" si="141"/>
        <v>0.14597784491440083</v>
      </c>
      <c r="BH72" s="400">
        <f t="shared" si="141"/>
        <v>0.13880853362138801</v>
      </c>
      <c r="BI72" s="401">
        <f t="shared" si="141"/>
        <v>0.1315557381539304</v>
      </c>
      <c r="BJ72" s="941">
        <f t="shared" si="141"/>
        <v>0.15044230281511539</v>
      </c>
      <c r="BK72" s="400">
        <f t="shared" si="141"/>
        <v>0.15841152263374486</v>
      </c>
      <c r="BL72" s="400">
        <f t="shared" si="141"/>
        <v>0.14250591549295774</v>
      </c>
      <c r="BM72" s="401">
        <f t="shared" si="141"/>
        <v>0.13349498589783762</v>
      </c>
      <c r="BN72" s="1418">
        <f t="shared" si="141"/>
        <v>0.1328050595238095</v>
      </c>
      <c r="BO72" s="400">
        <f t="shared" si="141"/>
        <v>0.12879484473922218</v>
      </c>
      <c r="BP72" s="400">
        <f t="shared" si="141"/>
        <v>0.12305457122608075</v>
      </c>
      <c r="BQ72" s="401">
        <f t="shared" si="141"/>
        <v>0.12896423462088699</v>
      </c>
      <c r="BR72" s="1418">
        <f t="shared" ref="BR72:BY72" si="142">BR71/BR11</f>
        <v>0.15603648705982182</v>
      </c>
      <c r="BS72" s="400">
        <f t="shared" si="142"/>
        <v>0.20352966448445167</v>
      </c>
      <c r="BT72" s="400">
        <f t="shared" si="142"/>
        <v>0.21834286943428693</v>
      </c>
      <c r="BU72" s="401">
        <f t="shared" si="142"/>
        <v>0.24495600991325894</v>
      </c>
      <c r="BV72" s="1418">
        <f t="shared" si="142"/>
        <v>0.26498069870681329</v>
      </c>
      <c r="BW72" s="400">
        <f t="shared" si="142"/>
        <v>0.27011994002998502</v>
      </c>
      <c r="BX72" s="400">
        <f t="shared" si="142"/>
        <v>0.25296671807562876</v>
      </c>
      <c r="BY72" s="401">
        <f t="shared" si="142"/>
        <v>0.22948044592086012</v>
      </c>
      <c r="BZ72" s="1418">
        <f>BZ71/BZ11</f>
        <v>0.22764817301419532</v>
      </c>
      <c r="CA72" s="400">
        <f>CA71/CA11</f>
        <v>0.21360314198960861</v>
      </c>
      <c r="CB72" s="400">
        <f>CB71/CB11</f>
        <v>0.19169018397317075</v>
      </c>
      <c r="CC72" s="401">
        <f>CC71/CC11</f>
        <v>0.19015201604631624</v>
      </c>
      <c r="CD72" s="766"/>
      <c r="CE72" s="400">
        <f t="shared" ref="CE72:DA72" si="143">CE71/CE11</f>
        <v>-1.0994209047646437E-2</v>
      </c>
      <c r="CF72" s="400">
        <f t="shared" si="143"/>
        <v>2.2279560303075482E-2</v>
      </c>
      <c r="CG72" s="400">
        <f t="shared" si="143"/>
        <v>7.5526830308040346E-2</v>
      </c>
      <c r="CH72" s="400">
        <f t="shared" si="143"/>
        <v>5.0846725306696115E-2</v>
      </c>
      <c r="CI72" s="400">
        <f t="shared" si="143"/>
        <v>5.9329944223802528E-2</v>
      </c>
      <c r="CJ72" s="400">
        <f t="shared" si="143"/>
        <v>8.1511531281398902E-2</v>
      </c>
      <c r="CK72" s="400">
        <f t="shared" si="143"/>
        <v>7.5832630770703999E-2</v>
      </c>
      <c r="CL72" s="400">
        <f t="shared" si="143"/>
        <v>0.1306588938371587</v>
      </c>
      <c r="CM72" s="400">
        <f t="shared" si="143"/>
        <v>8.1302706233393182E-2</v>
      </c>
      <c r="CN72" s="400">
        <f t="shared" si="143"/>
        <v>0.15810086473182625</v>
      </c>
      <c r="CO72" s="400">
        <f t="shared" si="143"/>
        <v>8.7388592680159416E-2</v>
      </c>
      <c r="CP72" s="400">
        <f t="shared" si="143"/>
        <v>0.18344971451875713</v>
      </c>
      <c r="CQ72" s="400">
        <f t="shared" si="143"/>
        <v>0.14956116865350796</v>
      </c>
      <c r="CR72" s="400">
        <f t="shared" si="143"/>
        <v>0.14112440185062788</v>
      </c>
      <c r="CS72" s="400">
        <f t="shared" si="143"/>
        <v>0.1469239980785067</v>
      </c>
      <c r="CT72" s="400">
        <f t="shared" si="143"/>
        <v>0.12863071417577343</v>
      </c>
      <c r="CU72" s="400">
        <f t="shared" si="143"/>
        <v>0.20591640915518775</v>
      </c>
      <c r="CV72" s="400">
        <f t="shared" si="143"/>
        <v>0.25485274357562604</v>
      </c>
      <c r="CW72" s="400">
        <f t="shared" si="143"/>
        <v>0.20662294666581196</v>
      </c>
      <c r="CX72" s="400">
        <f t="shared" si="143"/>
        <v>0.20639343499035717</v>
      </c>
      <c r="CY72" s="400">
        <f t="shared" si="143"/>
        <v>0.20304225285562996</v>
      </c>
      <c r="CZ72" s="400">
        <f t="shared" si="143"/>
        <v>0.20410825466015756</v>
      </c>
      <c r="DA72" s="400">
        <f t="shared" si="143"/>
        <v>0.20277469780854762</v>
      </c>
      <c r="DB72" s="400">
        <f>DB71/DB11</f>
        <v>0.20057055461008613</v>
      </c>
      <c r="DC72" s="400">
        <f>DC71/DC11</f>
        <v>0.19845469051227263</v>
      </c>
      <c r="DD72" s="1512"/>
      <c r="DE72" s="1555"/>
      <c r="DF72" s="29"/>
      <c r="DG72" s="941">
        <f t="shared" ref="DG72:DW72" si="144">DG71/DG11</f>
        <v>1.2485193404768022E-2</v>
      </c>
      <c r="DH72" s="400">
        <f t="shared" si="144"/>
        <v>5.5352883181258521E-2</v>
      </c>
      <c r="DI72" s="400">
        <f t="shared" si="144"/>
        <v>6.1400009911315175E-2</v>
      </c>
      <c r="DJ72" s="400">
        <f t="shared" si="144"/>
        <v>5.0826248312132005E-2</v>
      </c>
      <c r="DK72" s="400">
        <f t="shared" si="144"/>
        <v>7.5299041813409684E-2</v>
      </c>
      <c r="DL72" s="400">
        <f t="shared" si="144"/>
        <v>8.2070559824288278E-2</v>
      </c>
      <c r="DM72" s="400">
        <f t="shared" si="144"/>
        <v>0.10523901703247747</v>
      </c>
      <c r="DN72" s="400">
        <f t="shared" si="144"/>
        <v>0.10944046252460853</v>
      </c>
      <c r="DO72" s="400">
        <f t="shared" si="144"/>
        <v>0.12686684272608822</v>
      </c>
      <c r="DP72" s="400">
        <f t="shared" si="144"/>
        <v>0.12317326171608731</v>
      </c>
      <c r="DQ72" s="400">
        <f t="shared" si="144"/>
        <v>0.11035748511677994</v>
      </c>
      <c r="DR72" s="400">
        <f t="shared" si="144"/>
        <v>0.18329676331567915</v>
      </c>
      <c r="DS72" s="941">
        <f t="shared" si="144"/>
        <v>0.14421353156929528</v>
      </c>
      <c r="DT72" s="400">
        <f t="shared" si="144"/>
        <v>0.14510477444846887</v>
      </c>
      <c r="DU72" s="400">
        <f t="shared" si="144"/>
        <v>0.1345443434192875</v>
      </c>
      <c r="DV72" s="400">
        <f t="shared" si="144"/>
        <v>0.15882900935988437</v>
      </c>
      <c r="DW72" s="400">
        <f t="shared" si="144"/>
        <v>0.25066863254698118</v>
      </c>
      <c r="DX72" s="2253">
        <f t="shared" ref="DX72" si="145">DX71/DX11</f>
        <v>0.23082709473031848</v>
      </c>
      <c r="DY72" s="400"/>
      <c r="DZ72" s="1555">
        <f>DZ71/DZ11</f>
        <v>-7.8204157681923403E-2</v>
      </c>
    </row>
    <row r="73" spans="1:136" ht="11.25" hidden="1" customHeight="1" outlineLevel="1" collapsed="1">
      <c r="A73" s="145"/>
      <c r="B73" s="227"/>
      <c r="C73" s="145"/>
      <c r="D73" s="145"/>
      <c r="E73" s="228"/>
      <c r="F73" s="674"/>
      <c r="G73" s="145"/>
      <c r="H73" s="145"/>
      <c r="I73" s="228"/>
      <c r="J73" s="145"/>
      <c r="K73" s="145"/>
      <c r="L73" s="145"/>
      <c r="M73" s="228"/>
      <c r="N73" s="145"/>
      <c r="O73" s="145"/>
      <c r="P73" s="145"/>
      <c r="Q73" s="228"/>
      <c r="R73" s="145"/>
      <c r="S73" s="145"/>
      <c r="T73" s="145"/>
      <c r="U73" s="228"/>
      <c r="V73" s="145"/>
      <c r="W73" s="145"/>
      <c r="X73" s="145"/>
      <c r="Y73" s="228"/>
      <c r="Z73" s="145"/>
      <c r="AA73" s="145"/>
      <c r="AB73" s="145"/>
      <c r="AC73" s="228"/>
      <c r="AD73" s="542"/>
      <c r="AE73" s="542"/>
      <c r="AF73" s="1054"/>
      <c r="AG73" s="542"/>
      <c r="AH73" s="1124"/>
      <c r="AI73" s="145"/>
      <c r="AJ73" s="145"/>
      <c r="AK73" s="228"/>
      <c r="AL73" s="145"/>
      <c r="AM73" s="145"/>
      <c r="AN73" s="145"/>
      <c r="AO73" s="228"/>
      <c r="AP73" s="145"/>
      <c r="AQ73" s="145"/>
      <c r="AR73" s="145"/>
      <c r="AS73" s="145"/>
      <c r="AT73" s="227"/>
      <c r="AU73" s="145"/>
      <c r="AV73" s="145"/>
      <c r="AW73" s="228"/>
      <c r="AX73" s="145"/>
      <c r="AY73" s="145"/>
      <c r="AZ73" s="145"/>
      <c r="BA73" s="145"/>
      <c r="BB73" s="227"/>
      <c r="BC73" s="145"/>
      <c r="BD73" s="145"/>
      <c r="BE73" s="228"/>
      <c r="BF73" s="201"/>
      <c r="BG73" s="201"/>
      <c r="BH73" s="201"/>
      <c r="BI73" s="228"/>
      <c r="BJ73" s="207"/>
      <c r="BK73" s="550"/>
      <c r="BL73" s="550"/>
      <c r="BM73" s="202"/>
      <c r="BN73" s="943"/>
      <c r="BO73" s="1585"/>
      <c r="BP73" s="1585"/>
      <c r="BQ73" s="1656"/>
      <c r="BR73" s="1710"/>
      <c r="BS73" s="368"/>
      <c r="BT73" s="368"/>
      <c r="BU73" s="378"/>
      <c r="BV73" s="943"/>
      <c r="BW73" s="368"/>
      <c r="BX73" s="368"/>
      <c r="BY73" s="378"/>
      <c r="BZ73" s="943"/>
      <c r="CA73" s="368"/>
      <c r="CB73" s="368"/>
      <c r="CC73" s="378"/>
      <c r="CD73" s="228"/>
      <c r="CE73" s="145"/>
      <c r="CF73" s="145"/>
      <c r="CG73" s="145"/>
      <c r="CH73" s="145"/>
      <c r="CI73" s="145"/>
      <c r="CJ73" s="145"/>
      <c r="CK73" s="145"/>
      <c r="CL73" s="145"/>
      <c r="CM73" s="145"/>
      <c r="CN73" s="145"/>
      <c r="CO73" s="145"/>
      <c r="CP73" s="145"/>
      <c r="CQ73" s="145"/>
      <c r="CR73" s="145"/>
      <c r="CS73" s="1588"/>
      <c r="CT73" s="1589"/>
      <c r="CU73" s="1588"/>
      <c r="CV73" s="1588"/>
      <c r="CW73" s="1588"/>
      <c r="CX73" s="1588"/>
      <c r="CY73" s="1588"/>
      <c r="CZ73" s="201"/>
      <c r="DA73" s="201"/>
      <c r="DB73" s="201"/>
      <c r="DC73" s="201"/>
      <c r="DD73" s="1505"/>
      <c r="DE73" s="1551"/>
      <c r="DF73" s="141"/>
      <c r="DG73" s="215"/>
      <c r="DH73" s="141"/>
      <c r="DI73" s="141"/>
      <c r="DJ73" s="141"/>
      <c r="DK73" s="141"/>
      <c r="DL73" s="400"/>
      <c r="DM73" s="641">
        <f>SUM(AF73:AI73)</f>
        <v>0</v>
      </c>
      <c r="DN73" s="641">
        <f>SUM(AJ73:AM73)</f>
        <v>0</v>
      </c>
      <c r="DO73" s="641">
        <f>SUM(AN73:AQ73)</f>
        <v>0</v>
      </c>
      <c r="DP73" s="141">
        <f>SUM(AR73:AU73)</f>
        <v>0</v>
      </c>
      <c r="DQ73" s="141"/>
      <c r="DR73" s="141"/>
      <c r="DS73" s="215"/>
      <c r="DT73" s="141"/>
      <c r="DU73" s="141"/>
      <c r="DV73" s="141"/>
      <c r="DW73" s="141"/>
      <c r="DX73" s="2241"/>
      <c r="DY73" s="141"/>
      <c r="DZ73" s="1676"/>
    </row>
    <row r="74" spans="1:136" ht="11.25" hidden="1" customHeight="1" outlineLevel="1">
      <c r="A74" s="49"/>
      <c r="B74" s="224" t="s">
        <v>283</v>
      </c>
      <c r="C74" s="187"/>
      <c r="D74" s="187"/>
      <c r="E74" s="195"/>
      <c r="F74" s="505">
        <f>F75+F76</f>
        <v>-1.6319999999999999</v>
      </c>
      <c r="G74" s="505">
        <f t="shared" ref="G74:BR74" si="146">G75+G76</f>
        <v>0.83899999999999997</v>
      </c>
      <c r="H74" s="505">
        <f t="shared" si="146"/>
        <v>5.1999999999999998E-2</v>
      </c>
      <c r="I74" s="506">
        <f t="shared" si="146"/>
        <v>-52.454000000000001</v>
      </c>
      <c r="J74" s="507">
        <f t="shared" si="146"/>
        <v>-0.35099999999999998</v>
      </c>
      <c r="K74" s="505">
        <f t="shared" si="146"/>
        <v>2.593</v>
      </c>
      <c r="L74" s="505">
        <f t="shared" si="146"/>
        <v>-0.49199999999999999</v>
      </c>
      <c r="M74" s="506">
        <f t="shared" si="146"/>
        <v>-0.53700000000000003</v>
      </c>
      <c r="N74" s="507">
        <f t="shared" si="146"/>
        <v>-1.2689999999999999</v>
      </c>
      <c r="O74" s="505">
        <f t="shared" si="146"/>
        <v>-0.78</v>
      </c>
      <c r="P74" s="505">
        <f t="shared" si="146"/>
        <v>-0.316</v>
      </c>
      <c r="Q74" s="506">
        <f t="shared" si="146"/>
        <v>0.2</v>
      </c>
      <c r="R74" s="507">
        <f t="shared" si="146"/>
        <v>0.3</v>
      </c>
      <c r="S74" s="505">
        <f t="shared" si="146"/>
        <v>0</v>
      </c>
      <c r="T74" s="505">
        <f t="shared" si="146"/>
        <v>0.1</v>
      </c>
      <c r="U74" s="506">
        <f t="shared" si="146"/>
        <v>-0.1</v>
      </c>
      <c r="V74" s="507">
        <f t="shared" si="146"/>
        <v>0</v>
      </c>
      <c r="W74" s="505">
        <f t="shared" si="146"/>
        <v>0.8</v>
      </c>
      <c r="X74" s="505">
        <f t="shared" si="146"/>
        <v>1.9</v>
      </c>
      <c r="Y74" s="506">
        <f t="shared" si="146"/>
        <v>2.7</v>
      </c>
      <c r="Z74" s="507">
        <f t="shared" si="146"/>
        <v>2.5</v>
      </c>
      <c r="AA74" s="505">
        <f t="shared" si="146"/>
        <v>2.8</v>
      </c>
      <c r="AB74" s="505">
        <f t="shared" si="146"/>
        <v>4.8</v>
      </c>
      <c r="AC74" s="506">
        <f t="shared" si="146"/>
        <v>5.7</v>
      </c>
      <c r="AD74" s="507">
        <f t="shared" si="146"/>
        <v>7</v>
      </c>
      <c r="AE74" s="505">
        <f t="shared" si="146"/>
        <v>10</v>
      </c>
      <c r="AF74" s="505">
        <f t="shared" si="146"/>
        <v>9</v>
      </c>
      <c r="AG74" s="505">
        <f t="shared" si="146"/>
        <v>10</v>
      </c>
      <c r="AH74" s="507">
        <f t="shared" si="146"/>
        <v>3</v>
      </c>
      <c r="AI74" s="505">
        <f t="shared" si="146"/>
        <v>-16</v>
      </c>
      <c r="AJ74" s="505">
        <f t="shared" si="146"/>
        <v>-8</v>
      </c>
      <c r="AK74" s="506">
        <f t="shared" si="146"/>
        <v>-4</v>
      </c>
      <c r="AL74" s="507">
        <f t="shared" si="146"/>
        <v>-4</v>
      </c>
      <c r="AM74" s="505">
        <f t="shared" si="146"/>
        <v>-9</v>
      </c>
      <c r="AN74" s="505">
        <f t="shared" si="146"/>
        <v>-3</v>
      </c>
      <c r="AO74" s="506">
        <f t="shared" si="146"/>
        <v>-2</v>
      </c>
      <c r="AP74" s="507">
        <f t="shared" si="146"/>
        <v>-2</v>
      </c>
      <c r="AQ74" s="505">
        <f t="shared" si="146"/>
        <v>-2</v>
      </c>
      <c r="AR74" s="505">
        <f t="shared" si="146"/>
        <v>-1</v>
      </c>
      <c r="AS74" s="505">
        <f t="shared" si="146"/>
        <v>-0.79999999999999993</v>
      </c>
      <c r="AT74" s="507">
        <f t="shared" si="146"/>
        <v>0</v>
      </c>
      <c r="AU74" s="505">
        <f t="shared" si="146"/>
        <v>-1</v>
      </c>
      <c r="AV74" s="505">
        <f t="shared" si="146"/>
        <v>1</v>
      </c>
      <c r="AW74" s="505">
        <f t="shared" si="146"/>
        <v>-1</v>
      </c>
      <c r="AX74" s="507">
        <f t="shared" si="146"/>
        <v>-1</v>
      </c>
      <c r="AY74" s="505">
        <f t="shared" si="146"/>
        <v>-2</v>
      </c>
      <c r="AZ74" s="505">
        <f t="shared" si="146"/>
        <v>-4</v>
      </c>
      <c r="BA74" s="505">
        <f t="shared" si="146"/>
        <v>-7</v>
      </c>
      <c r="BB74" s="507">
        <f t="shared" si="146"/>
        <v>-14</v>
      </c>
      <c r="BC74" s="505">
        <f t="shared" si="146"/>
        <v>-10</v>
      </c>
      <c r="BD74" s="505">
        <f t="shared" si="146"/>
        <v>-11</v>
      </c>
      <c r="BE74" s="506">
        <f t="shared" si="146"/>
        <v>-9</v>
      </c>
      <c r="BF74" s="505">
        <f t="shared" si="146"/>
        <v>-10</v>
      </c>
      <c r="BG74" s="505">
        <f t="shared" si="146"/>
        <v>-11</v>
      </c>
      <c r="BH74" s="505">
        <f t="shared" si="146"/>
        <v>-13</v>
      </c>
      <c r="BI74" s="506">
        <f t="shared" si="146"/>
        <v>-5</v>
      </c>
      <c r="BJ74" s="507">
        <f t="shared" si="146"/>
        <v>-9</v>
      </c>
      <c r="BK74" s="505">
        <f t="shared" si="146"/>
        <v>-8</v>
      </c>
      <c r="BL74" s="505">
        <f t="shared" si="146"/>
        <v>-9</v>
      </c>
      <c r="BM74" s="506">
        <f t="shared" si="146"/>
        <v>-8</v>
      </c>
      <c r="BN74" s="507">
        <f t="shared" si="146"/>
        <v>-8</v>
      </c>
      <c r="BO74" s="505">
        <f t="shared" si="146"/>
        <v>-7</v>
      </c>
      <c r="BP74" s="505">
        <f>BP75+BP76</f>
        <v>-8</v>
      </c>
      <c r="BQ74" s="506">
        <f>BQ75+BQ76</f>
        <v>-209</v>
      </c>
      <c r="BR74" s="507">
        <f t="shared" si="146"/>
        <v>-227</v>
      </c>
      <c r="BS74" s="505">
        <f t="shared" ref="BS74:BY74" si="147">BS75+BS76</f>
        <v>-221</v>
      </c>
      <c r="BT74" s="505">
        <f t="shared" si="147"/>
        <v>-206</v>
      </c>
      <c r="BU74" s="506">
        <f>BU75+BU76</f>
        <v>-197</v>
      </c>
      <c r="BV74" s="929">
        <f>-195-5</f>
        <v>-200</v>
      </c>
      <c r="BW74" s="895">
        <f>-181-1+2</f>
        <v>-180</v>
      </c>
      <c r="BX74" s="505">
        <f t="shared" si="147"/>
        <v>-180.63024999999999</v>
      </c>
      <c r="BY74" s="506">
        <f t="shared" si="147"/>
        <v>-174.19728577960893</v>
      </c>
      <c r="BZ74" s="1420">
        <f>BZ75+BZ76</f>
        <v>-141.3915809159605</v>
      </c>
      <c r="CA74" s="505">
        <f>CA75+CA76</f>
        <v>-138.04809227207983</v>
      </c>
      <c r="CB74" s="505">
        <f>CB75+CB76</f>
        <v>-134.62760813758132</v>
      </c>
      <c r="CC74" s="506">
        <f>CC75+CC76</f>
        <v>-131.50530081667617</v>
      </c>
      <c r="CD74" s="50"/>
      <c r="CE74" s="507">
        <f>CE75+CE76</f>
        <v>-53.195</v>
      </c>
      <c r="CF74" s="505">
        <f t="shared" ref="CF74:DA74" si="148">CF75+CF76</f>
        <v>1.2130000000000001</v>
      </c>
      <c r="CG74" s="505">
        <f t="shared" si="148"/>
        <v>-2.1649999999999996</v>
      </c>
      <c r="CH74" s="505">
        <f t="shared" si="148"/>
        <v>0.30000000000000004</v>
      </c>
      <c r="CI74" s="505">
        <f t="shared" si="148"/>
        <v>5.4</v>
      </c>
      <c r="CJ74" s="505">
        <f t="shared" si="148"/>
        <v>15.8</v>
      </c>
      <c r="CK74" s="505">
        <f t="shared" si="148"/>
        <v>36</v>
      </c>
      <c r="CL74" s="505">
        <f t="shared" si="148"/>
        <v>-25</v>
      </c>
      <c r="CM74" s="505">
        <f t="shared" si="148"/>
        <v>-18</v>
      </c>
      <c r="CN74" s="505">
        <f t="shared" si="148"/>
        <v>-5.8000000000000007</v>
      </c>
      <c r="CO74" s="49">
        <f t="shared" si="148"/>
        <v>-1</v>
      </c>
      <c r="CP74" s="49">
        <f t="shared" si="148"/>
        <v>-14</v>
      </c>
      <c r="CQ74" s="49">
        <f t="shared" si="148"/>
        <v>-44</v>
      </c>
      <c r="CR74" s="49">
        <f t="shared" si="148"/>
        <v>-39</v>
      </c>
      <c r="CS74" s="505">
        <f t="shared" si="148"/>
        <v>-34</v>
      </c>
      <c r="CT74" s="505">
        <f t="shared" si="148"/>
        <v>-232</v>
      </c>
      <c r="CU74" s="505">
        <f t="shared" si="148"/>
        <v>-851</v>
      </c>
      <c r="CV74" s="505">
        <f t="shared" si="148"/>
        <v>-734.82753577960887</v>
      </c>
      <c r="CW74" s="505">
        <f>CW75+CW76</f>
        <v>-545.57258214229785</v>
      </c>
      <c r="CX74" s="505">
        <f t="shared" si="148"/>
        <v>-479.32317148134121</v>
      </c>
      <c r="CY74" s="505">
        <f t="shared" si="148"/>
        <v>-406.81011186470897</v>
      </c>
      <c r="CZ74" s="505">
        <f t="shared" si="148"/>
        <v>-353.69631599639661</v>
      </c>
      <c r="DA74" s="505">
        <f t="shared" si="148"/>
        <v>-300.09802057829108</v>
      </c>
      <c r="DB74" s="505">
        <f>DB75+DB76</f>
        <v>-246.89827402372273</v>
      </c>
      <c r="DC74" s="505">
        <f>DC75+DC76</f>
        <v>-192.9938533336975</v>
      </c>
      <c r="DD74" s="1508"/>
      <c r="DE74" s="1553"/>
      <c r="DF74" s="30"/>
      <c r="DG74" s="36"/>
      <c r="DH74" s="30"/>
      <c r="DI74" s="30"/>
      <c r="DJ74" s="30"/>
      <c r="DK74" s="30"/>
      <c r="DL74" s="641">
        <f>SUM(AB74:AE74)</f>
        <v>27.5</v>
      </c>
      <c r="DM74" s="641">
        <f>SUM(AF74:AI74)</f>
        <v>6</v>
      </c>
      <c r="DN74" s="641">
        <f>SUM(AJ74:AM74)</f>
        <v>-25</v>
      </c>
      <c r="DO74" s="641">
        <f>SUM(AN74:AQ74)</f>
        <v>-9</v>
      </c>
      <c r="DP74" s="641">
        <f>SUM(AR74:AU74)</f>
        <v>-2.8</v>
      </c>
      <c r="DQ74" s="641">
        <f>SUM(AV74:AY74)</f>
        <v>-3</v>
      </c>
      <c r="DR74" s="641">
        <f>SUM(AZ74:BC74)</f>
        <v>-35</v>
      </c>
      <c r="DS74" s="1102">
        <f>SUM(BD74:BG74)</f>
        <v>-41</v>
      </c>
      <c r="DT74" s="641">
        <f>SUM(BH74:BK74)</f>
        <v>-35</v>
      </c>
      <c r="DU74" s="641">
        <f>SUM(BL74:BO74)</f>
        <v>-32</v>
      </c>
      <c r="DV74" s="641">
        <f>SUM(BP74:BS74)</f>
        <v>-665</v>
      </c>
      <c r="DW74" s="641">
        <f>SUM(BT74:BW74)</f>
        <v>-783</v>
      </c>
      <c r="DX74" s="2238">
        <f>SUM(BX74:CA74)</f>
        <v>-634.26720896764925</v>
      </c>
      <c r="DY74" s="641"/>
      <c r="DZ74" s="1556">
        <f>CU74</f>
        <v>-851</v>
      </c>
    </row>
    <row r="75" spans="1:136" ht="11.25" hidden="1" customHeight="1" outlineLevel="2">
      <c r="A75" s="11"/>
      <c r="B75" s="208"/>
      <c r="C75" s="196" t="s">
        <v>926</v>
      </c>
      <c r="D75" s="196"/>
      <c r="E75" s="197"/>
      <c r="F75" s="827"/>
      <c r="G75" s="827"/>
      <c r="H75" s="827"/>
      <c r="I75" s="828"/>
      <c r="J75" s="827"/>
      <c r="K75" s="827"/>
      <c r="L75" s="827"/>
      <c r="M75" s="828"/>
      <c r="N75" s="827"/>
      <c r="O75" s="827"/>
      <c r="P75" s="827"/>
      <c r="Q75" s="828"/>
      <c r="R75" s="827"/>
      <c r="S75" s="827"/>
      <c r="T75" s="827"/>
      <c r="U75" s="828"/>
      <c r="V75" s="827"/>
      <c r="W75" s="827"/>
      <c r="X75" s="827"/>
      <c r="Y75" s="828"/>
      <c r="Z75" s="827"/>
      <c r="AA75" s="827"/>
      <c r="AB75" s="827"/>
      <c r="AC75" s="828"/>
      <c r="AD75" s="827">
        <v>7</v>
      </c>
      <c r="AE75" s="827">
        <v>8</v>
      </c>
      <c r="AF75" s="827">
        <v>8</v>
      </c>
      <c r="AG75" s="827">
        <v>9</v>
      </c>
      <c r="AH75" s="1125">
        <v>9</v>
      </c>
      <c r="AI75" s="46">
        <v>8</v>
      </c>
      <c r="AJ75" s="39">
        <v>6</v>
      </c>
      <c r="AK75" s="47">
        <v>4</v>
      </c>
      <c r="AL75" s="46">
        <v>4</v>
      </c>
      <c r="AM75" s="46">
        <v>2</v>
      </c>
      <c r="AN75" s="46">
        <v>1</v>
      </c>
      <c r="AO75" s="47">
        <f>9-SUM(AL75:AN75)</f>
        <v>2</v>
      </c>
      <c r="AP75" s="46">
        <v>1</v>
      </c>
      <c r="AQ75" s="46">
        <v>1</v>
      </c>
      <c r="AR75" s="46">
        <v>1</v>
      </c>
      <c r="AS75" s="46">
        <v>0.6</v>
      </c>
      <c r="AT75" s="969">
        <v>2</v>
      </c>
      <c r="AU75" s="46">
        <v>2</v>
      </c>
      <c r="AV75" s="46">
        <v>2</v>
      </c>
      <c r="AW75" s="46">
        <f>9-SUM(AT75:AV75)</f>
        <v>3</v>
      </c>
      <c r="AX75" s="969">
        <v>3</v>
      </c>
      <c r="AY75" s="46">
        <v>3</v>
      </c>
      <c r="AZ75" s="46">
        <v>3</v>
      </c>
      <c r="BA75" s="46">
        <f>12-SUM(AX75:AZ75)</f>
        <v>3</v>
      </c>
      <c r="BB75" s="969">
        <v>2</v>
      </c>
      <c r="BC75" s="39">
        <v>3</v>
      </c>
      <c r="BD75" s="46">
        <v>3</v>
      </c>
      <c r="BE75" s="47">
        <f>11-SUM(BB75:BD75)</f>
        <v>3</v>
      </c>
      <c r="BF75" s="1356">
        <v>3</v>
      </c>
      <c r="BG75" s="1382">
        <v>3</v>
      </c>
      <c r="BH75" s="1382">
        <v>4</v>
      </c>
      <c r="BI75" s="47">
        <f>17-SUM(BF75:BH75)</f>
        <v>7</v>
      </c>
      <c r="BJ75" s="1356">
        <v>3</v>
      </c>
      <c r="BK75" s="1382">
        <v>4</v>
      </c>
      <c r="BL75" s="1382">
        <v>3</v>
      </c>
      <c r="BM75" s="47">
        <f>15-SUM(BJ75:BL75)</f>
        <v>5</v>
      </c>
      <c r="BN75" s="1356">
        <v>5</v>
      </c>
      <c r="BO75" s="1382">
        <f>5+1</f>
        <v>6</v>
      </c>
      <c r="BP75" s="1382">
        <v>6</v>
      </c>
      <c r="BQ75" s="47">
        <f>26-SUM(BN75:BP75)</f>
        <v>9</v>
      </c>
      <c r="BR75" s="1356">
        <v>5</v>
      </c>
      <c r="BS75" s="1382">
        <v>5</v>
      </c>
      <c r="BT75" s="1382">
        <v>7</v>
      </c>
      <c r="BU75" s="47">
        <f>26-SUM(BR75:BT75)</f>
        <v>9</v>
      </c>
      <c r="BV75" s="2213">
        <v>5</v>
      </c>
      <c r="BW75" s="2273">
        <v>3</v>
      </c>
      <c r="BX75" s="11">
        <f t="shared" ref="BX75:CC75" si="149">BX545</f>
        <v>3.1475</v>
      </c>
      <c r="BY75" s="12">
        <f t="shared" si="149"/>
        <v>2.8177142203910654</v>
      </c>
      <c r="BZ75" s="1421">
        <f t="shared" si="149"/>
        <v>2.9959190840395178</v>
      </c>
      <c r="CA75" s="11">
        <f t="shared" si="149"/>
        <v>3.2144077279201952</v>
      </c>
      <c r="CB75" s="11">
        <f t="shared" si="149"/>
        <v>3.5098918624187116</v>
      </c>
      <c r="CC75" s="12">
        <f t="shared" si="149"/>
        <v>3.5071991833238405</v>
      </c>
      <c r="CD75" s="12"/>
      <c r="CE75" s="29">
        <f>SUM(F75:I75)</f>
        <v>0</v>
      </c>
      <c r="CF75" s="29">
        <f>SUM(J75:M75)</f>
        <v>0</v>
      </c>
      <c r="CG75" s="29">
        <f>SUM(N75:Q75)</f>
        <v>0</v>
      </c>
      <c r="CH75" s="29">
        <f>SUM(R75:U75)</f>
        <v>0</v>
      </c>
      <c r="CI75" s="29">
        <f>SUM(V75:Y75)</f>
        <v>0</v>
      </c>
      <c r="CJ75" s="29">
        <f>SUM(Z75:AC75)</f>
        <v>0</v>
      </c>
      <c r="CK75" s="29">
        <f>SUM(AD75:AG75)</f>
        <v>32</v>
      </c>
      <c r="CL75" s="29">
        <f>SUM(AH75:AK75)</f>
        <v>27</v>
      </c>
      <c r="CM75" s="29">
        <f>SUM(AL75:AO75)</f>
        <v>9</v>
      </c>
      <c r="CN75" s="29">
        <f>SUM(AP75:AS75)</f>
        <v>3.6</v>
      </c>
      <c r="CO75" s="487">
        <f>SUM(AT75:AW75)</f>
        <v>9</v>
      </c>
      <c r="CP75" s="487">
        <f>SUM(AX75:BA75)</f>
        <v>12</v>
      </c>
      <c r="CQ75" s="11">
        <f>SUM(BB75:BE75)</f>
        <v>11</v>
      </c>
      <c r="CR75" s="11">
        <f>SUM(BF75:BI75)</f>
        <v>17</v>
      </c>
      <c r="CS75" s="11">
        <f>SUM(BJ75:BM75)</f>
        <v>15</v>
      </c>
      <c r="CT75" s="11">
        <f>SUM(BN75:BQ75)</f>
        <v>26</v>
      </c>
      <c r="CU75" s="11">
        <f>SUM(BR75:BU75)</f>
        <v>26</v>
      </c>
      <c r="CV75" s="11">
        <f>SUM(BV75:BY75)</f>
        <v>13.965214220391067</v>
      </c>
      <c r="CW75" s="11">
        <f>SUM(BZ75:CC75)</f>
        <v>13.227417857702264</v>
      </c>
      <c r="CX75" s="11">
        <f t="shared" ref="CX75:DC75" si="150">CX545</f>
        <v>17.32882851865881</v>
      </c>
      <c r="CY75" s="11">
        <f t="shared" si="150"/>
        <v>20.739888135291036</v>
      </c>
      <c r="CZ75" s="11">
        <f t="shared" si="150"/>
        <v>23.853684003603412</v>
      </c>
      <c r="DA75" s="11">
        <f t="shared" si="150"/>
        <v>27.451979421708945</v>
      </c>
      <c r="DB75" s="11">
        <f t="shared" si="150"/>
        <v>30.65172597627728</v>
      </c>
      <c r="DC75" s="11">
        <f t="shared" si="150"/>
        <v>34.556146666302517</v>
      </c>
      <c r="DD75" s="1509"/>
      <c r="DE75" s="1521"/>
      <c r="DF75" s="29"/>
      <c r="DG75" s="57"/>
      <c r="DH75" s="29"/>
      <c r="DI75" s="29"/>
      <c r="DJ75" s="29"/>
      <c r="DK75" s="29"/>
      <c r="DL75" s="641">
        <f>SUM(AB75:AE75)</f>
        <v>15</v>
      </c>
      <c r="DM75" s="641">
        <f>SUM(AF75:AI75)</f>
        <v>34</v>
      </c>
      <c r="DN75" s="641">
        <f>SUM(AJ75:AM75)</f>
        <v>16</v>
      </c>
      <c r="DO75" s="641">
        <f>SUM(AN75:AQ75)</f>
        <v>5</v>
      </c>
      <c r="DP75" s="641">
        <f>SUM(AR75:AU75)</f>
        <v>5.6</v>
      </c>
      <c r="DQ75" s="641">
        <f>SUM(AV75:AY75)</f>
        <v>11</v>
      </c>
      <c r="DR75" s="641">
        <f>SUM(AZ75:BC75)</f>
        <v>11</v>
      </c>
      <c r="DS75" s="1102">
        <f>SUM(BD75:BG75)</f>
        <v>12</v>
      </c>
      <c r="DT75" s="641">
        <f>SUM(BH75:BK75)</f>
        <v>18</v>
      </c>
      <c r="DU75" s="641">
        <f>SUM(BL75:BO75)</f>
        <v>19</v>
      </c>
      <c r="DV75" s="641">
        <f>SUM(BP75:BS75)</f>
        <v>25</v>
      </c>
      <c r="DW75" s="641">
        <f>SUM(BT75:BW75)</f>
        <v>24</v>
      </c>
      <c r="DX75" s="2238">
        <f>SUM(BX75:CA75)</f>
        <v>12.175541032350777</v>
      </c>
      <c r="DY75" s="641"/>
      <c r="DZ75" s="1559"/>
    </row>
    <row r="76" spans="1:136" ht="11.25" hidden="1" customHeight="1" outlineLevel="2">
      <c r="A76" s="11"/>
      <c r="B76" s="208"/>
      <c r="C76" s="196" t="s">
        <v>927</v>
      </c>
      <c r="D76" s="196"/>
      <c r="E76" s="197"/>
      <c r="F76" s="827">
        <v>-1.6319999999999999</v>
      </c>
      <c r="G76" s="827">
        <v>0.83899999999999997</v>
      </c>
      <c r="H76" s="827">
        <v>5.1999999999999998E-2</v>
      </c>
      <c r="I76" s="828">
        <v>-52.454000000000001</v>
      </c>
      <c r="J76" s="827">
        <v>-0.35099999999999998</v>
      </c>
      <c r="K76" s="827">
        <v>2.593</v>
      </c>
      <c r="L76" s="827">
        <v>-0.49199999999999999</v>
      </c>
      <c r="M76" s="828">
        <v>-0.53700000000000003</v>
      </c>
      <c r="N76" s="827">
        <v>-1.2689999999999999</v>
      </c>
      <c r="O76" s="827">
        <v>-0.78</v>
      </c>
      <c r="P76" s="827">
        <v>-0.316</v>
      </c>
      <c r="Q76" s="828">
        <v>0.2</v>
      </c>
      <c r="R76" s="827">
        <f>0.3</f>
        <v>0.3</v>
      </c>
      <c r="S76" s="827">
        <v>0</v>
      </c>
      <c r="T76" s="827">
        <v>0.1</v>
      </c>
      <c r="U76" s="828">
        <v>-0.1</v>
      </c>
      <c r="V76" s="827">
        <v>0</v>
      </c>
      <c r="W76" s="827">
        <v>0.8</v>
      </c>
      <c r="X76" s="827">
        <v>1.9</v>
      </c>
      <c r="Y76" s="828">
        <v>2.7</v>
      </c>
      <c r="Z76" s="833">
        <v>2.5</v>
      </c>
      <c r="AA76" s="827">
        <v>2.8</v>
      </c>
      <c r="AB76" s="827">
        <v>4.8</v>
      </c>
      <c r="AC76" s="828">
        <v>5.7</v>
      </c>
      <c r="AD76" s="674">
        <v>0</v>
      </c>
      <c r="AE76" s="674">
        <v>2</v>
      </c>
      <c r="AF76" s="674">
        <v>1</v>
      </c>
      <c r="AG76" s="674">
        <v>1</v>
      </c>
      <c r="AH76" s="1125">
        <v>-6</v>
      </c>
      <c r="AI76" s="46">
        <v>-24</v>
      </c>
      <c r="AJ76" s="39">
        <v>-14</v>
      </c>
      <c r="AK76" s="47">
        <v>-8</v>
      </c>
      <c r="AL76" s="46">
        <v>-8</v>
      </c>
      <c r="AM76" s="46">
        <v>-11</v>
      </c>
      <c r="AN76" s="46">
        <v>-4</v>
      </c>
      <c r="AO76" s="47">
        <f>-27-SUM(AL76:AN76)</f>
        <v>-4</v>
      </c>
      <c r="AP76" s="46">
        <v>-3</v>
      </c>
      <c r="AQ76" s="46">
        <v>-3</v>
      </c>
      <c r="AR76" s="46">
        <v>-2</v>
      </c>
      <c r="AS76" s="46">
        <v>-1.4</v>
      </c>
      <c r="AT76" s="969">
        <v>-2</v>
      </c>
      <c r="AU76" s="46">
        <v>-3</v>
      </c>
      <c r="AV76" s="46">
        <v>-1</v>
      </c>
      <c r="AW76" s="46">
        <f>-10-SUM(AT76:AV76)</f>
        <v>-4</v>
      </c>
      <c r="AX76" s="969">
        <v>-4</v>
      </c>
      <c r="AY76" s="46">
        <v>-5</v>
      </c>
      <c r="AZ76" s="46">
        <v>-7</v>
      </c>
      <c r="BA76" s="46">
        <f>-26-SUM(AX76:AZ76)</f>
        <v>-10</v>
      </c>
      <c r="BB76" s="969">
        <v>-16</v>
      </c>
      <c r="BC76" s="39">
        <v>-13</v>
      </c>
      <c r="BD76" s="46">
        <v>-14</v>
      </c>
      <c r="BE76" s="47">
        <f>-55-SUM(BB76:BD76)</f>
        <v>-12</v>
      </c>
      <c r="BF76" s="1356">
        <v>-13</v>
      </c>
      <c r="BG76" s="1382">
        <v>-14</v>
      </c>
      <c r="BH76" s="1382">
        <v>-17</v>
      </c>
      <c r="BI76" s="47">
        <f>-56-SUM(BF76:BH76)</f>
        <v>-12</v>
      </c>
      <c r="BJ76" s="1356">
        <v>-12</v>
      </c>
      <c r="BK76" s="1382">
        <v>-12</v>
      </c>
      <c r="BL76" s="1382">
        <v>-12</v>
      </c>
      <c r="BM76" s="47">
        <f>-49-SUM(BJ76:BL76)</f>
        <v>-13</v>
      </c>
      <c r="BN76" s="1356">
        <v>-13</v>
      </c>
      <c r="BO76" s="1382">
        <v>-13</v>
      </c>
      <c r="BP76" s="1382">
        <v>-14</v>
      </c>
      <c r="BQ76" s="47">
        <f>(-266+-73)-SUM(BN76:BP76)+58+18+5</f>
        <v>-218</v>
      </c>
      <c r="BR76" s="1356">
        <f>-236-272+5+267+4</f>
        <v>-232</v>
      </c>
      <c r="BS76" s="1382">
        <f>-205-24+1+2</f>
        <v>-226</v>
      </c>
      <c r="BT76" s="1380">
        <f>-205-23+(221-206)</f>
        <v>-213</v>
      </c>
      <c r="BU76" s="47">
        <f>(-847+-364)-SUM(BR76:BT76)+6+274+54</f>
        <v>-206</v>
      </c>
      <c r="BV76" s="2213">
        <f>BV74-BV75</f>
        <v>-205</v>
      </c>
      <c r="BW76" s="2273">
        <f>BW74-BW75</f>
        <v>-183</v>
      </c>
      <c r="BX76" s="138">
        <f t="shared" ref="BX76:CC76" si="151">BX550</f>
        <v>-183.77775</v>
      </c>
      <c r="BY76" s="164">
        <f t="shared" si="151"/>
        <v>-177.01499999999999</v>
      </c>
      <c r="BZ76" s="1422">
        <f t="shared" si="151"/>
        <v>-144.38750000000002</v>
      </c>
      <c r="CA76" s="138">
        <f t="shared" si="151"/>
        <v>-141.26250000000002</v>
      </c>
      <c r="CB76" s="138">
        <f t="shared" si="151"/>
        <v>-138.13750000000002</v>
      </c>
      <c r="CC76" s="164">
        <f t="shared" si="151"/>
        <v>-135.01250000000002</v>
      </c>
      <c r="CD76" s="12"/>
      <c r="CE76" s="29">
        <f>SUM(F76:I76)</f>
        <v>-53.195</v>
      </c>
      <c r="CF76" s="29">
        <f>SUM(J76:M76)</f>
        <v>1.2130000000000001</v>
      </c>
      <c r="CG76" s="29">
        <f>SUM(N76:Q76)</f>
        <v>-2.1649999999999996</v>
      </c>
      <c r="CH76" s="29">
        <f>SUM(R76:U76)</f>
        <v>0.30000000000000004</v>
      </c>
      <c r="CI76" s="29">
        <f>SUM(V76:Y76)</f>
        <v>5.4</v>
      </c>
      <c r="CJ76" s="29">
        <f>SUM(Z76:AC76)</f>
        <v>15.8</v>
      </c>
      <c r="CK76" s="29">
        <f>SUM(AD76:AG76)</f>
        <v>4</v>
      </c>
      <c r="CL76" s="29">
        <f>SUM(AH76:AK76)</f>
        <v>-52</v>
      </c>
      <c r="CM76" s="29">
        <f>SUM(AL76:AO76)</f>
        <v>-27</v>
      </c>
      <c r="CN76" s="29">
        <f>SUM(AP76:AS76)</f>
        <v>-9.4</v>
      </c>
      <c r="CO76" s="487">
        <f>SUM(AT76:AW76)</f>
        <v>-10</v>
      </c>
      <c r="CP76" s="487">
        <f>SUM(AX76:BA76)</f>
        <v>-26</v>
      </c>
      <c r="CQ76" s="138">
        <f>SUM(BB76:BE76)</f>
        <v>-55</v>
      </c>
      <c r="CR76" s="11">
        <f>SUM(BF76:BI76)</f>
        <v>-56</v>
      </c>
      <c r="CS76" s="138">
        <f>SUM(BJ76:BM76)</f>
        <v>-49</v>
      </c>
      <c r="CT76" s="11">
        <f>SUM(BN76:BQ76)</f>
        <v>-258</v>
      </c>
      <c r="CU76" s="138">
        <f>SUM(BR76:BU76)</f>
        <v>-877</v>
      </c>
      <c r="CV76" s="138">
        <f>SUM(BV76:BY76)</f>
        <v>-748.79274999999996</v>
      </c>
      <c r="CW76" s="138">
        <f>SUM(BZ76:CC76)</f>
        <v>-558.80000000000007</v>
      </c>
      <c r="CX76" s="138">
        <f t="shared" ref="CX76:DC76" si="152">CX550</f>
        <v>-496.65199999999999</v>
      </c>
      <c r="CY76" s="138">
        <f t="shared" si="152"/>
        <v>-427.55</v>
      </c>
      <c r="CZ76" s="138">
        <f t="shared" si="152"/>
        <v>-377.55</v>
      </c>
      <c r="DA76" s="138">
        <f t="shared" si="152"/>
        <v>-327.55</v>
      </c>
      <c r="DB76" s="138">
        <f t="shared" si="152"/>
        <v>-277.55</v>
      </c>
      <c r="DC76" s="138">
        <f t="shared" si="152"/>
        <v>-227.55</v>
      </c>
      <c r="DD76" s="1509"/>
      <c r="DE76" s="1521"/>
      <c r="DF76" s="29"/>
      <c r="DG76" s="57"/>
      <c r="DH76" s="29"/>
      <c r="DI76" s="29"/>
      <c r="DJ76" s="29"/>
      <c r="DK76" s="29"/>
      <c r="DL76" s="641">
        <f>SUM(AB76:AE76)</f>
        <v>12.5</v>
      </c>
      <c r="DM76" s="641">
        <f>SUM(AF76:AI76)</f>
        <v>-28</v>
      </c>
      <c r="DN76" s="641">
        <f>SUM(AJ76:AM76)</f>
        <v>-41</v>
      </c>
      <c r="DO76" s="641">
        <f>SUM(AN76:AQ76)</f>
        <v>-14</v>
      </c>
      <c r="DP76" s="641">
        <f>SUM(AR76:AU76)</f>
        <v>-8.4</v>
      </c>
      <c r="DQ76" s="641">
        <f>SUM(AV76:AY76)</f>
        <v>-14</v>
      </c>
      <c r="DR76" s="641">
        <f>SUM(AZ76:BC76)</f>
        <v>-46</v>
      </c>
      <c r="DS76" s="1102">
        <f>SUM(BD76:BG76)</f>
        <v>-53</v>
      </c>
      <c r="DT76" s="641">
        <f>SUM(BH76:BK76)</f>
        <v>-53</v>
      </c>
      <c r="DU76" s="641">
        <f>SUM(BL76:BO76)</f>
        <v>-51</v>
      </c>
      <c r="DV76" s="641">
        <f>SUM(BP76:BS76)</f>
        <v>-690</v>
      </c>
      <c r="DW76" s="641">
        <f>SUM(BT76:BW76)</f>
        <v>-807</v>
      </c>
      <c r="DX76" s="2238">
        <f>SUM(BX76:CA76)</f>
        <v>-646.44275000000005</v>
      </c>
      <c r="DY76" s="641"/>
      <c r="DZ76" s="1559"/>
    </row>
    <row r="77" spans="1:136" ht="11.25" hidden="1" customHeight="1" outlineLevel="1" collapsed="1">
      <c r="A77" s="145"/>
      <c r="B77" s="227"/>
      <c r="C77" s="145"/>
      <c r="D77" s="145"/>
      <c r="E77" s="228"/>
      <c r="F77" s="547"/>
      <c r="G77" s="547"/>
      <c r="H77" s="547"/>
      <c r="I77" s="626"/>
      <c r="J77" s="547"/>
      <c r="K77" s="547"/>
      <c r="L77" s="547"/>
      <c r="M77" s="626"/>
      <c r="N77" s="547"/>
      <c r="O77" s="547"/>
      <c r="P77" s="547"/>
      <c r="Q77" s="626"/>
      <c r="R77" s="547"/>
      <c r="S77" s="547"/>
      <c r="T77" s="547"/>
      <c r="U77" s="626"/>
      <c r="V77" s="547"/>
      <c r="W77" s="547"/>
      <c r="X77" s="547"/>
      <c r="Y77" s="626"/>
      <c r="Z77" s="670"/>
      <c r="AA77" s="670"/>
      <c r="AB77" s="670"/>
      <c r="AC77" s="671"/>
      <c r="AD77" s="670"/>
      <c r="AE77" s="670"/>
      <c r="AF77" s="670"/>
      <c r="AG77" s="670"/>
      <c r="AH77" s="1126"/>
      <c r="AI77" s="145"/>
      <c r="AJ77" s="145"/>
      <c r="AK77" s="228"/>
      <c r="AL77" s="145"/>
      <c r="AM77" s="145"/>
      <c r="AN77" s="145"/>
      <c r="AO77" s="228"/>
      <c r="AP77" s="145"/>
      <c r="AQ77" s="145"/>
      <c r="AR77" s="145"/>
      <c r="AS77" s="145"/>
      <c r="AT77" s="227"/>
      <c r="AU77" s="145"/>
      <c r="AV77" s="145"/>
      <c r="AW77" s="145"/>
      <c r="AX77" s="227"/>
      <c r="AY77" s="145"/>
      <c r="AZ77" s="145"/>
      <c r="BA77" s="145"/>
      <c r="BB77" s="227"/>
      <c r="BC77" s="145"/>
      <c r="BD77" s="145"/>
      <c r="BE77" s="228"/>
      <c r="BF77" s="201"/>
      <c r="BG77" s="201"/>
      <c r="BH77" s="201"/>
      <c r="BI77" s="202"/>
      <c r="BJ77" s="208"/>
      <c r="BK77" s="196"/>
      <c r="BL77" s="201"/>
      <c r="BM77" s="202"/>
      <c r="BN77" s="1419"/>
      <c r="BO77" s="201"/>
      <c r="BP77" s="201"/>
      <c r="BQ77" s="202"/>
      <c r="BR77" s="1419"/>
      <c r="BS77" s="201"/>
      <c r="BT77" s="201"/>
      <c r="BU77" s="202"/>
      <c r="BV77" s="1419"/>
      <c r="BW77" s="201"/>
      <c r="BX77" s="201"/>
      <c r="BY77" s="202"/>
      <c r="BZ77" s="1419"/>
      <c r="CA77" s="201"/>
      <c r="CB77" s="201"/>
      <c r="CC77" s="202"/>
      <c r="CD77" s="228"/>
      <c r="CE77" s="145"/>
      <c r="CF77" s="145"/>
      <c r="CG77" s="145"/>
      <c r="CH77" s="145"/>
      <c r="CI77" s="145"/>
      <c r="CJ77" s="145"/>
      <c r="CK77" s="11"/>
      <c r="CL77" s="145"/>
      <c r="CM77" s="145"/>
      <c r="CN77" s="145"/>
      <c r="CO77" s="145"/>
      <c r="CP77" s="145"/>
      <c r="CQ77" s="145"/>
      <c r="CR77" s="145"/>
      <c r="CS77" s="1479"/>
      <c r="CT77" s="1589"/>
      <c r="CU77" s="1588"/>
      <c r="CV77" s="201"/>
      <c r="CW77" s="201"/>
      <c r="CX77" s="201"/>
      <c r="CY77" s="201"/>
      <c r="CZ77" s="201"/>
      <c r="DA77" s="201"/>
      <c r="DB77" s="201"/>
      <c r="DC77" s="201"/>
      <c r="DD77" s="1505"/>
      <c r="DE77" s="1551"/>
      <c r="DF77" s="141"/>
      <c r="DG77" s="215"/>
      <c r="DH77" s="141"/>
      <c r="DI77" s="141"/>
      <c r="DJ77" s="141"/>
      <c r="DK77" s="141"/>
      <c r="DL77" s="641"/>
      <c r="DM77" s="641"/>
      <c r="DN77" s="641"/>
      <c r="DO77" s="641"/>
      <c r="DP77" s="141"/>
      <c r="DQ77" s="141"/>
      <c r="DR77" s="141"/>
      <c r="DS77" s="215"/>
      <c r="DT77" s="141"/>
      <c r="DU77" s="141"/>
      <c r="DV77" s="141"/>
      <c r="DW77" s="141"/>
      <c r="DX77" s="2241"/>
      <c r="DY77" s="141"/>
      <c r="DZ77" s="1676"/>
    </row>
    <row r="78" spans="1:136" ht="11.25" hidden="1" customHeight="1" outlineLevel="1">
      <c r="A78" s="30"/>
      <c r="B78" s="224" t="s">
        <v>299</v>
      </c>
      <c r="C78" s="187"/>
      <c r="D78" s="187"/>
      <c r="E78" s="195"/>
      <c r="F78" s="602">
        <f t="shared" ref="F78:AK78" si="153">F71+F74</f>
        <v>-37.22000000000002</v>
      </c>
      <c r="G78" s="1090">
        <f t="shared" si="153"/>
        <v>2.838000000000052</v>
      </c>
      <c r="H78" s="602">
        <f t="shared" si="153"/>
        <v>1.0369999999999568</v>
      </c>
      <c r="I78" s="603">
        <f t="shared" si="153"/>
        <v>-41.325999999999986</v>
      </c>
      <c r="J78" s="602">
        <f t="shared" si="153"/>
        <v>-0.55699999999998884</v>
      </c>
      <c r="K78" s="602">
        <f t="shared" si="153"/>
        <v>15.444999999999933</v>
      </c>
      <c r="L78" s="602">
        <f t="shared" si="153"/>
        <v>17.559714340718148</v>
      </c>
      <c r="M78" s="603">
        <f t="shared" si="153"/>
        <v>16.691999999999972</v>
      </c>
      <c r="N78" s="602">
        <f t="shared" si="153"/>
        <v>24.01627873704161</v>
      </c>
      <c r="O78" s="602">
        <f t="shared" si="153"/>
        <v>75.261401891764635</v>
      </c>
      <c r="P78" s="602">
        <f t="shared" si="153"/>
        <v>56.77253477611562</v>
      </c>
      <c r="Q78" s="603">
        <f t="shared" si="153"/>
        <v>47.104365616533514</v>
      </c>
      <c r="R78" s="602">
        <f t="shared" si="153"/>
        <v>5.2248834503210331</v>
      </c>
      <c r="S78" s="602">
        <f t="shared" si="153"/>
        <v>71.300000000000068</v>
      </c>
      <c r="T78" s="602">
        <f t="shared" si="153"/>
        <v>48.990976773256442</v>
      </c>
      <c r="U78" s="603">
        <f t="shared" si="153"/>
        <v>29.700184742957553</v>
      </c>
      <c r="V78" s="602">
        <f t="shared" si="153"/>
        <v>31.200000000000017</v>
      </c>
      <c r="W78" s="602">
        <f t="shared" si="153"/>
        <v>57.425081087970923</v>
      </c>
      <c r="X78" s="602">
        <f t="shared" si="153"/>
        <v>72.595537108473849</v>
      </c>
      <c r="Y78" s="603">
        <f t="shared" si="153"/>
        <v>60.067057114279791</v>
      </c>
      <c r="Z78" s="602">
        <f t="shared" si="153"/>
        <v>70.404952461412194</v>
      </c>
      <c r="AA78" s="602">
        <f t="shared" si="153"/>
        <v>107.06742626372697</v>
      </c>
      <c r="AB78" s="602">
        <f t="shared" si="153"/>
        <v>105.46998165864213</v>
      </c>
      <c r="AC78" s="603">
        <f t="shared" si="153"/>
        <v>86.720633982265952</v>
      </c>
      <c r="AD78" s="602">
        <f t="shared" si="153"/>
        <v>105.99883343612146</v>
      </c>
      <c r="AE78" s="602">
        <f t="shared" si="153"/>
        <v>131.97001149535686</v>
      </c>
      <c r="AF78" s="602">
        <f t="shared" si="153"/>
        <v>124.02977342464601</v>
      </c>
      <c r="AG78" s="602">
        <f t="shared" si="153"/>
        <v>88.707774312504625</v>
      </c>
      <c r="AH78" s="788">
        <f t="shared" si="153"/>
        <v>186.98857251304298</v>
      </c>
      <c r="AI78" s="30">
        <f t="shared" si="153"/>
        <v>316.30360848767646</v>
      </c>
      <c r="AJ78" s="30">
        <f t="shared" si="153"/>
        <v>289.60684184863976</v>
      </c>
      <c r="AK78" s="37">
        <f t="shared" si="153"/>
        <v>237.0649197251787</v>
      </c>
      <c r="AL78" s="30">
        <f t="shared" ref="AL78:BU78" si="154">AL71+AL74</f>
        <v>229.98976037078137</v>
      </c>
      <c r="AM78" s="30">
        <f t="shared" si="154"/>
        <v>97.787725256349859</v>
      </c>
      <c r="AN78" s="30">
        <f t="shared" si="154"/>
        <v>75.892006935091558</v>
      </c>
      <c r="AO78" s="37">
        <f t="shared" si="154"/>
        <v>184.18657194384241</v>
      </c>
      <c r="AP78" s="30">
        <f t="shared" si="154"/>
        <v>317.94885115999978</v>
      </c>
      <c r="AQ78" s="30">
        <f t="shared" si="154"/>
        <v>471.94007525000006</v>
      </c>
      <c r="AR78" s="30">
        <f t="shared" si="154"/>
        <v>440.83925150000005</v>
      </c>
      <c r="AS78" s="30">
        <f t="shared" si="154"/>
        <v>320.76533969848873</v>
      </c>
      <c r="AT78" s="36">
        <f t="shared" si="154"/>
        <v>220.97132884299981</v>
      </c>
      <c r="AU78" s="30">
        <f t="shared" si="154"/>
        <v>239.58216772499964</v>
      </c>
      <c r="AV78" s="30">
        <f t="shared" si="154"/>
        <v>169.05312178269969</v>
      </c>
      <c r="AW78" s="30">
        <f t="shared" si="154"/>
        <v>206.31393374718755</v>
      </c>
      <c r="AX78" s="36">
        <f t="shared" si="154"/>
        <v>279.43461406480401</v>
      </c>
      <c r="AY78" s="30">
        <f t="shared" si="154"/>
        <v>373.37867133650047</v>
      </c>
      <c r="AZ78" s="30">
        <f t="shared" si="154"/>
        <v>690.17196134369033</v>
      </c>
      <c r="BA78" s="30">
        <f t="shared" si="154"/>
        <v>932.10029102005683</v>
      </c>
      <c r="BB78" s="36">
        <f t="shared" si="154"/>
        <v>652.90000000000009</v>
      </c>
      <c r="BC78" s="30">
        <f t="shared" si="154"/>
        <v>558.05549999999994</v>
      </c>
      <c r="BD78" s="30">
        <f t="shared" si="154"/>
        <v>528.72000000000025</v>
      </c>
      <c r="BE78" s="37">
        <f t="shared" si="154"/>
        <v>512.23799999999983</v>
      </c>
      <c r="BF78" s="30">
        <f t="shared" si="154"/>
        <v>551.07020000000011</v>
      </c>
      <c r="BG78" s="30">
        <f t="shared" si="154"/>
        <v>568.82400000000007</v>
      </c>
      <c r="BH78" s="30">
        <f t="shared" si="154"/>
        <v>501.00799999999981</v>
      </c>
      <c r="BI78" s="37">
        <f t="shared" si="154"/>
        <v>475.30999999999995</v>
      </c>
      <c r="BJ78" s="36">
        <f t="shared" si="154"/>
        <v>584.19399999999996</v>
      </c>
      <c r="BK78" s="30">
        <f t="shared" si="154"/>
        <v>607.904</v>
      </c>
      <c r="BL78" s="30">
        <f t="shared" si="154"/>
        <v>496.89599999999996</v>
      </c>
      <c r="BM78" s="37">
        <f t="shared" si="154"/>
        <v>417.98249999999985</v>
      </c>
      <c r="BN78" s="1423">
        <f t="shared" si="154"/>
        <v>438.22499999999991</v>
      </c>
      <c r="BO78" s="30">
        <f t="shared" si="154"/>
        <v>420.21249999999998</v>
      </c>
      <c r="BP78" s="30">
        <f t="shared" si="154"/>
        <v>339.25999999999988</v>
      </c>
      <c r="BQ78" s="37">
        <f t="shared" si="154"/>
        <v>241.73000000000002</v>
      </c>
      <c r="BR78" s="1423">
        <f>BR71+BR74</f>
        <v>508.55600000000004</v>
      </c>
      <c r="BS78" s="30">
        <f t="shared" si="154"/>
        <v>773.85299999999984</v>
      </c>
      <c r="BT78" s="30">
        <f t="shared" si="154"/>
        <v>809.07600000000002</v>
      </c>
      <c r="BU78" s="37">
        <f t="shared" si="154"/>
        <v>989.07699999999977</v>
      </c>
      <c r="BV78" s="1423">
        <f t="shared" ref="BV78:CC78" si="155">BV71+BV74</f>
        <v>1172.8649999999998</v>
      </c>
      <c r="BW78" s="30">
        <f t="shared" si="155"/>
        <v>1261.3600000000001</v>
      </c>
      <c r="BX78" s="30">
        <f t="shared" si="155"/>
        <v>1061.2083241999997</v>
      </c>
      <c r="BY78" s="37">
        <f t="shared" si="155"/>
        <v>953.47450864957125</v>
      </c>
      <c r="BZ78" s="1423">
        <f t="shared" si="155"/>
        <v>1012.9010620782994</v>
      </c>
      <c r="CA78" s="30">
        <f t="shared" si="155"/>
        <v>927.85454619085158</v>
      </c>
      <c r="CB78" s="30">
        <f t="shared" si="155"/>
        <v>753.64448845556853</v>
      </c>
      <c r="CC78" s="37">
        <f t="shared" si="155"/>
        <v>702.52712181974493</v>
      </c>
      <c r="CD78" s="58"/>
      <c r="CE78" s="30">
        <f t="shared" ref="CE78:DA78" si="156">CE71+CE74</f>
        <v>-74.671000000000163</v>
      </c>
      <c r="CF78" s="30">
        <f t="shared" si="156"/>
        <v>49.139714340718236</v>
      </c>
      <c r="CG78" s="30">
        <f t="shared" si="156"/>
        <v>203.15458102145598</v>
      </c>
      <c r="CH78" s="30">
        <f t="shared" si="156"/>
        <v>155.21604496653453</v>
      </c>
      <c r="CI78" s="30">
        <f t="shared" si="156"/>
        <v>221.28767531072438</v>
      </c>
      <c r="CJ78" s="30">
        <f t="shared" si="156"/>
        <v>369.6629943660476</v>
      </c>
      <c r="CK78" s="30">
        <f t="shared" si="156"/>
        <v>450.70639266862872</v>
      </c>
      <c r="CL78" s="30">
        <f t="shared" si="156"/>
        <v>1029.9639425745381</v>
      </c>
      <c r="CM78" s="30">
        <f t="shared" si="156"/>
        <v>587.8560645060661</v>
      </c>
      <c r="CN78" s="30">
        <f t="shared" si="156"/>
        <v>1551.4935176084884</v>
      </c>
      <c r="CO78" s="30">
        <f t="shared" si="156"/>
        <v>835.92055209788668</v>
      </c>
      <c r="CP78" s="30">
        <f t="shared" si="156"/>
        <v>2275.0855377650514</v>
      </c>
      <c r="CQ78" s="30">
        <f t="shared" si="156"/>
        <v>2251.9135000000006</v>
      </c>
      <c r="CR78" s="30">
        <f t="shared" si="156"/>
        <v>2096.2121999999999</v>
      </c>
      <c r="CS78" s="30">
        <f t="shared" si="156"/>
        <v>2106.9764999999998</v>
      </c>
      <c r="CT78" s="30">
        <f t="shared" si="156"/>
        <v>1439.4274999999998</v>
      </c>
      <c r="CU78" s="30">
        <f t="shared" si="156"/>
        <v>3080.5619999999999</v>
      </c>
      <c r="CV78" s="30">
        <f t="shared" si="156"/>
        <v>4448.9078328495707</v>
      </c>
      <c r="CW78" s="30">
        <f t="shared" si="156"/>
        <v>3396.9272185444624</v>
      </c>
      <c r="CX78" s="30">
        <f t="shared" si="156"/>
        <v>3745.9810519202638</v>
      </c>
      <c r="CY78" s="30">
        <f t="shared" si="156"/>
        <v>3900.5781622599234</v>
      </c>
      <c r="CZ78" s="30">
        <f t="shared" si="156"/>
        <v>4141.1221399738133</v>
      </c>
      <c r="DA78" s="30">
        <f t="shared" si="156"/>
        <v>4372.3155978322584</v>
      </c>
      <c r="DB78" s="30">
        <f>DB71+DB74</f>
        <v>4606.736872631911</v>
      </c>
      <c r="DC78" s="30">
        <f>DC71+DC74</f>
        <v>4869.4295011728882</v>
      </c>
      <c r="DD78" s="1513"/>
      <c r="DE78" s="1556"/>
      <c r="DF78" s="30"/>
      <c r="DG78" s="36"/>
      <c r="DH78" s="30"/>
      <c r="DI78" s="30"/>
      <c r="DJ78" s="30"/>
      <c r="DK78" s="30"/>
      <c r="DL78" s="641">
        <f>SUM(AB78:AE78)</f>
        <v>430.15946057238637</v>
      </c>
      <c r="DM78" s="641">
        <f>SUM(AF78:AI78)</f>
        <v>716.02972873787007</v>
      </c>
      <c r="DN78" s="641">
        <f>SUM(AJ78:AM78)</f>
        <v>854.44924720094969</v>
      </c>
      <c r="DO78" s="641">
        <f>SUM(AN78:AQ78)</f>
        <v>1049.9675052889338</v>
      </c>
      <c r="DP78" s="641">
        <f>SUM(AR78:AU78)</f>
        <v>1222.1580877664883</v>
      </c>
      <c r="DQ78" s="641">
        <f>SUM(AV78:AY78)</f>
        <v>1028.1803409311917</v>
      </c>
      <c r="DR78" s="641">
        <f>SUM(AZ78:BC78)</f>
        <v>2833.2277523637472</v>
      </c>
      <c r="DS78" s="1102">
        <f>SUM(BD78:BG78)</f>
        <v>2160.8522000000003</v>
      </c>
      <c r="DT78" s="641">
        <f>SUM(BH78:BK78)</f>
        <v>2168.4159999999997</v>
      </c>
      <c r="DU78" s="641">
        <f>SUM(BL78:BO78)</f>
        <v>1773.3159999999998</v>
      </c>
      <c r="DV78" s="641">
        <f>SUM(BP78:BS78)</f>
        <v>1863.3989999999997</v>
      </c>
      <c r="DW78" s="641">
        <f>SUM(BT78:BW78)</f>
        <v>4232.3779999999997</v>
      </c>
      <c r="DX78" s="2238">
        <f>SUM(BX78:CA78)</f>
        <v>3955.438441118722</v>
      </c>
      <c r="DY78" s="641"/>
      <c r="DZ78" s="1556">
        <f>DZ71+DZ74</f>
        <v>-2388.9465420995925</v>
      </c>
    </row>
    <row r="79" spans="1:136" ht="11.25" hidden="1" customHeight="1" outlineLevel="1" collapsed="1">
      <c r="A79" s="145"/>
      <c r="B79" s="227"/>
      <c r="C79" s="145"/>
      <c r="D79" s="145"/>
      <c r="E79" s="228"/>
      <c r="F79" s="547"/>
      <c r="G79" s="547"/>
      <c r="H79" s="547"/>
      <c r="I79" s="626"/>
      <c r="J79" s="547"/>
      <c r="K79" s="547"/>
      <c r="L79" s="547"/>
      <c r="M79" s="626"/>
      <c r="N79" s="547"/>
      <c r="O79" s="547"/>
      <c r="P79" s="547"/>
      <c r="Q79" s="626"/>
      <c r="R79" s="547"/>
      <c r="S79" s="547"/>
      <c r="T79" s="547"/>
      <c r="U79" s="626"/>
      <c r="V79" s="547"/>
      <c r="W79" s="547"/>
      <c r="X79" s="547"/>
      <c r="Y79" s="626"/>
      <c r="Z79" s="670"/>
      <c r="AA79" s="670"/>
      <c r="AB79" s="670"/>
      <c r="AC79" s="671"/>
      <c r="AD79" s="670"/>
      <c r="AE79" s="670"/>
      <c r="AF79" s="670"/>
      <c r="AG79" s="670"/>
      <c r="AH79" s="1126"/>
      <c r="AI79" s="145"/>
      <c r="AJ79" s="145"/>
      <c r="AK79" s="228"/>
      <c r="AL79" s="145"/>
      <c r="AM79" s="145"/>
      <c r="AN79" s="145"/>
      <c r="AO79" s="228"/>
      <c r="AP79" s="145"/>
      <c r="AQ79" s="145"/>
      <c r="AR79" s="145"/>
      <c r="AS79" s="145"/>
      <c r="AT79" s="227"/>
      <c r="AU79" s="145"/>
      <c r="AV79" s="145"/>
      <c r="AW79" s="145"/>
      <c r="AX79" s="227"/>
      <c r="AY79" s="145"/>
      <c r="AZ79" s="145"/>
      <c r="BA79" s="145"/>
      <c r="BB79" s="227"/>
      <c r="BC79" s="145"/>
      <c r="BD79" s="145"/>
      <c r="BE79" s="228"/>
      <c r="BF79" s="201"/>
      <c r="BG79" s="201"/>
      <c r="BH79" s="201"/>
      <c r="BI79" s="202"/>
      <c r="BJ79" s="207"/>
      <c r="BK79" s="550"/>
      <c r="BL79" s="201"/>
      <c r="BM79" s="202"/>
      <c r="BN79" s="1419"/>
      <c r="BO79" s="550"/>
      <c r="BP79" s="550"/>
      <c r="BQ79" s="202"/>
      <c r="BR79" s="1419"/>
      <c r="BS79" s="201"/>
      <c r="BT79" s="201"/>
      <c r="BU79" s="202"/>
      <c r="BV79" s="1419"/>
      <c r="BW79" s="201"/>
      <c r="BX79" s="201"/>
      <c r="BY79" s="202"/>
      <c r="BZ79" s="1419"/>
      <c r="CA79" s="201"/>
      <c r="CB79" s="201"/>
      <c r="CC79" s="202"/>
      <c r="CD79" s="228"/>
      <c r="CE79" s="145"/>
      <c r="CF79" s="145"/>
      <c r="CG79" s="145"/>
      <c r="CH79" s="145"/>
      <c r="CI79" s="598"/>
      <c r="CJ79" s="145"/>
      <c r="CK79" s="145"/>
      <c r="CL79" s="145"/>
      <c r="CM79" s="145"/>
      <c r="CN79" s="145"/>
      <c r="CO79" s="145"/>
      <c r="CP79" s="145"/>
      <c r="CQ79" s="145"/>
      <c r="CR79" s="145"/>
      <c r="CS79" s="201"/>
      <c r="CT79" s="201"/>
      <c r="CU79" s="201"/>
      <c r="CV79" s="201"/>
      <c r="CW79" s="201"/>
      <c r="CX79" s="201"/>
      <c r="CY79" s="201"/>
      <c r="CZ79" s="201"/>
      <c r="DA79" s="201"/>
      <c r="DB79" s="201"/>
      <c r="DC79" s="201"/>
      <c r="DD79" s="1513"/>
      <c r="DE79" s="1556"/>
      <c r="DF79" s="141"/>
      <c r="DG79" s="215"/>
      <c r="DH79" s="141"/>
      <c r="DI79" s="141"/>
      <c r="DJ79" s="141"/>
      <c r="DK79" s="141"/>
      <c r="DL79" s="641"/>
      <c r="DM79" s="641"/>
      <c r="DN79" s="641"/>
      <c r="DO79" s="641"/>
      <c r="DP79" s="141"/>
      <c r="DQ79" s="141"/>
      <c r="DR79" s="141"/>
      <c r="DS79" s="215"/>
      <c r="DT79" s="141"/>
      <c r="DU79" s="141"/>
      <c r="DV79" s="141"/>
      <c r="DW79" s="141"/>
      <c r="DX79" s="2241"/>
      <c r="DY79" s="141"/>
      <c r="DZ79" s="1676"/>
    </row>
    <row r="80" spans="1:136" ht="11.25" hidden="1" customHeight="1" outlineLevel="1">
      <c r="A80" s="11"/>
      <c r="B80" s="207" t="s">
        <v>279</v>
      </c>
      <c r="C80" s="201"/>
      <c r="D80" s="201"/>
      <c r="E80" s="202"/>
      <c r="F80" s="827">
        <v>0</v>
      </c>
      <c r="G80" s="827">
        <v>0</v>
      </c>
      <c r="H80" s="830">
        <v>0</v>
      </c>
      <c r="I80" s="831">
        <v>0</v>
      </c>
      <c r="J80" s="829">
        <v>0</v>
      </c>
      <c r="K80" s="830">
        <v>0</v>
      </c>
      <c r="L80" s="830">
        <v>-1.6240000000000001</v>
      </c>
      <c r="M80" s="831">
        <v>0.48399999999999999</v>
      </c>
      <c r="N80" s="829">
        <v>1.8009999999999999</v>
      </c>
      <c r="O80" s="830">
        <v>2.2229999999999999</v>
      </c>
      <c r="P80" s="830">
        <v>2.2709999999999999</v>
      </c>
      <c r="Q80" s="831">
        <v>2.0329999999999999</v>
      </c>
      <c r="R80" s="830">
        <v>0.2</v>
      </c>
      <c r="S80" s="830">
        <v>2.5</v>
      </c>
      <c r="T80" s="827">
        <v>1.1000000000000001</v>
      </c>
      <c r="U80" s="831">
        <v>0.1</v>
      </c>
      <c r="V80" s="830">
        <v>0.8</v>
      </c>
      <c r="W80" s="827">
        <v>1.4</v>
      </c>
      <c r="X80" s="830">
        <v>1.8</v>
      </c>
      <c r="Y80" s="831">
        <v>0</v>
      </c>
      <c r="Z80" s="524">
        <v>1.6</v>
      </c>
      <c r="AA80" s="457">
        <v>2.8</v>
      </c>
      <c r="AB80" s="830">
        <v>2.6</v>
      </c>
      <c r="AC80" s="831">
        <v>-20.2</v>
      </c>
      <c r="AD80" s="830">
        <v>3</v>
      </c>
      <c r="AE80" s="830">
        <v>0</v>
      </c>
      <c r="AF80" s="830">
        <v>1</v>
      </c>
      <c r="AG80" s="830">
        <v>-146</v>
      </c>
      <c r="AH80" s="829">
        <v>69</v>
      </c>
      <c r="AI80" s="39">
        <v>11</v>
      </c>
      <c r="AJ80" s="39">
        <v>10</v>
      </c>
      <c r="AK80" s="59">
        <v>24</v>
      </c>
      <c r="AL80" s="39">
        <v>19</v>
      </c>
      <c r="AM80" s="39">
        <v>-7</v>
      </c>
      <c r="AN80" s="39">
        <v>8</v>
      </c>
      <c r="AO80" s="59">
        <v>11</v>
      </c>
      <c r="AP80" s="39">
        <v>29</v>
      </c>
      <c r="AQ80" s="39">
        <v>42</v>
      </c>
      <c r="AR80" s="39">
        <v>40</v>
      </c>
      <c r="AS80" s="39">
        <v>27</v>
      </c>
      <c r="AT80" s="38">
        <v>14</v>
      </c>
      <c r="AU80" s="39">
        <v>14</v>
      </c>
      <c r="AV80" s="39">
        <v>13</v>
      </c>
      <c r="AW80" s="39">
        <v>12</v>
      </c>
      <c r="AX80" s="38">
        <v>19</v>
      </c>
      <c r="AY80" s="39">
        <v>15</v>
      </c>
      <c r="AZ80" s="39">
        <v>55</v>
      </c>
      <c r="BA80" s="39">
        <v>56</v>
      </c>
      <c r="BB80" s="38">
        <v>59</v>
      </c>
      <c r="BC80" s="39">
        <f>133</f>
        <v>133</v>
      </c>
      <c r="BD80" s="39">
        <v>15</v>
      </c>
      <c r="BE80" s="59">
        <v>35</v>
      </c>
      <c r="BF80" s="39">
        <v>37</v>
      </c>
      <c r="BG80" s="1371">
        <v>37</v>
      </c>
      <c r="BH80" s="1380">
        <v>31</v>
      </c>
      <c r="BI80" s="1446">
        <v>30</v>
      </c>
      <c r="BJ80" s="1457">
        <v>37</v>
      </c>
      <c r="BK80" s="1371">
        <v>20</v>
      </c>
      <c r="BL80" s="1380">
        <v>28</v>
      </c>
      <c r="BM80" s="1446">
        <v>27</v>
      </c>
      <c r="BN80" s="1457">
        <v>31</v>
      </c>
      <c r="BO80" s="1371">
        <f>-7</f>
        <v>-7</v>
      </c>
      <c r="BP80" s="1371">
        <f>6</f>
        <v>6</v>
      </c>
      <c r="BQ80" s="1446">
        <f>-119</f>
        <v>-119</v>
      </c>
      <c r="BR80" s="1457">
        <v>95</v>
      </c>
      <c r="BS80" s="1371">
        <v>86</v>
      </c>
      <c r="BT80" s="1371">
        <v>56</v>
      </c>
      <c r="BU80" s="1446">
        <v>135</v>
      </c>
      <c r="BV80" s="1457">
        <v>29</v>
      </c>
      <c r="BW80" s="1380">
        <v>1597</v>
      </c>
      <c r="BX80" s="29">
        <f t="shared" ref="BX80:CC80" si="157">BX78*BX82</f>
        <v>58.366457830999984</v>
      </c>
      <c r="BY80" s="58">
        <f t="shared" si="157"/>
        <v>52.441097975726422</v>
      </c>
      <c r="BZ80" s="1424">
        <f t="shared" si="157"/>
        <v>55.709558414306471</v>
      </c>
      <c r="CA80" s="29">
        <f t="shared" si="157"/>
        <v>51.03200004049684</v>
      </c>
      <c r="CB80" s="29">
        <f t="shared" si="157"/>
        <v>41.450446865056271</v>
      </c>
      <c r="CC80" s="58">
        <f t="shared" si="157"/>
        <v>38.638991700085974</v>
      </c>
      <c r="CD80" s="12"/>
      <c r="CE80" s="29">
        <f>SUM(F80:I80)</f>
        <v>0</v>
      </c>
      <c r="CF80" s="29">
        <f>SUM(J80:M80)</f>
        <v>-1.1400000000000001</v>
      </c>
      <c r="CG80" s="29">
        <f>SUM(N80:Q80)</f>
        <v>8.3279999999999994</v>
      </c>
      <c r="CH80" s="29">
        <f>SUM(R80:U80)</f>
        <v>3.9000000000000004</v>
      </c>
      <c r="CI80" s="29">
        <f>SUM(V80:Y80)</f>
        <v>4</v>
      </c>
      <c r="CJ80" s="29">
        <f>SUM(Z80:AC80)</f>
        <v>-13.2</v>
      </c>
      <c r="CK80" s="29">
        <f>SUM(AD80:AG80)</f>
        <v>-142</v>
      </c>
      <c r="CL80" s="29">
        <f>SUM(AH80:AK80)</f>
        <v>114</v>
      </c>
      <c r="CM80" s="29">
        <f>SUM(AL80:AO80)</f>
        <v>31</v>
      </c>
      <c r="CN80" s="29">
        <f>SUM(AP80:AS80)</f>
        <v>138</v>
      </c>
      <c r="CO80" s="487">
        <f>SUM(AT80:AW80)</f>
        <v>53</v>
      </c>
      <c r="CP80" s="487">
        <f>SUM(AX80:BA80)</f>
        <v>145</v>
      </c>
      <c r="CQ80" s="29">
        <f>SUM(BB80:BE80)</f>
        <v>242</v>
      </c>
      <c r="CR80" s="11">
        <f>SUM(BF80:BI80)</f>
        <v>135</v>
      </c>
      <c r="CS80" s="11">
        <f>SUM(BJ80:BM80)</f>
        <v>112</v>
      </c>
      <c r="CT80" s="11">
        <f>SUM(BN80:BQ80)</f>
        <v>-89</v>
      </c>
      <c r="CU80" s="29">
        <f>SUM(BR80:BU80)</f>
        <v>372</v>
      </c>
      <c r="CV80" s="138">
        <f>SUM(BV80:BY80)</f>
        <v>1736.8075558067264</v>
      </c>
      <c r="CW80" s="138">
        <f>SUM(BZ80:CC80)</f>
        <v>186.83099701994556</v>
      </c>
      <c r="CX80" s="29">
        <f t="shared" ref="CX80:DC80" si="158">CX78*CX82</f>
        <v>206.02895785561464</v>
      </c>
      <c r="CY80" s="29">
        <f t="shared" si="158"/>
        <v>214.53179892429591</v>
      </c>
      <c r="CZ80" s="29">
        <f t="shared" si="158"/>
        <v>227.76171769855986</v>
      </c>
      <c r="DA80" s="29">
        <f t="shared" si="158"/>
        <v>437.23155978322586</v>
      </c>
      <c r="DB80" s="29">
        <f t="shared" si="158"/>
        <v>460.67368726319114</v>
      </c>
      <c r="DC80" s="29">
        <f t="shared" si="158"/>
        <v>486.94295011728883</v>
      </c>
      <c r="DD80" s="1509"/>
      <c r="DE80" s="1521"/>
      <c r="DF80" s="29"/>
      <c r="DG80" s="57"/>
      <c r="DH80" s="29"/>
      <c r="DI80" s="29"/>
      <c r="DJ80" s="29"/>
      <c r="DK80" s="29"/>
      <c r="DL80" s="641">
        <f>SUM(AB80:AE80)</f>
        <v>-14.599999999999998</v>
      </c>
      <c r="DM80" s="641">
        <f>SUM(AF80:AI80)</f>
        <v>-65</v>
      </c>
      <c r="DN80" s="641">
        <f>SUM(AJ80:AM80)</f>
        <v>46</v>
      </c>
      <c r="DO80" s="641">
        <f>SUM(AN80:AQ80)</f>
        <v>90</v>
      </c>
      <c r="DP80" s="641">
        <f>SUM(AR80:AU80)</f>
        <v>95</v>
      </c>
      <c r="DQ80" s="641">
        <f>SUM(AV80:AY80)</f>
        <v>59</v>
      </c>
      <c r="DR80" s="641">
        <f>SUM(AZ80:BC80)</f>
        <v>303</v>
      </c>
      <c r="DS80" s="1102">
        <f>SUM(BD80:BG80)</f>
        <v>124</v>
      </c>
      <c r="DT80" s="641">
        <f>SUM(BH80:BK80)</f>
        <v>118</v>
      </c>
      <c r="DU80" s="641">
        <f>SUM(BL80:BO80)</f>
        <v>79</v>
      </c>
      <c r="DV80" s="641">
        <f>SUM(BP80:BS80)</f>
        <v>68</v>
      </c>
      <c r="DW80" s="641">
        <f>SUM(BT80:BW80)</f>
        <v>1817</v>
      </c>
      <c r="DX80" s="2238">
        <f>SUM(BX80:CA80)</f>
        <v>217.54911426152972</v>
      </c>
      <c r="DY80" s="641"/>
      <c r="DZ80" s="1559"/>
    </row>
    <row r="81" spans="1:136" ht="11.25" hidden="1" customHeight="1" outlineLevel="1">
      <c r="A81" s="11"/>
      <c r="B81" s="207" t="s">
        <v>296</v>
      </c>
      <c r="C81" s="201"/>
      <c r="D81" s="201"/>
      <c r="E81" s="202"/>
      <c r="F81" s="779">
        <f t="shared" ref="F81:S81" si="159">F80-F96</f>
        <v>0</v>
      </c>
      <c r="G81" s="460">
        <f t="shared" si="159"/>
        <v>0</v>
      </c>
      <c r="H81" s="460">
        <f t="shared" si="159"/>
        <v>0</v>
      </c>
      <c r="I81" s="468">
        <f t="shared" si="159"/>
        <v>0</v>
      </c>
      <c r="J81" s="779">
        <f t="shared" si="159"/>
        <v>0</v>
      </c>
      <c r="K81" s="460">
        <f t="shared" si="159"/>
        <v>0</v>
      </c>
      <c r="L81" s="460">
        <f t="shared" si="159"/>
        <v>0</v>
      </c>
      <c r="M81" s="460">
        <f t="shared" si="159"/>
        <v>0.48399999999999999</v>
      </c>
      <c r="N81" s="779">
        <f t="shared" si="159"/>
        <v>1.8009999999999999</v>
      </c>
      <c r="O81" s="460">
        <f t="shared" si="159"/>
        <v>2.2229999999999999</v>
      </c>
      <c r="P81" s="460">
        <f>P80-P96</f>
        <v>2.2709999999999999</v>
      </c>
      <c r="Q81" s="468">
        <f>Q80-Q96</f>
        <v>2.0329999999999999</v>
      </c>
      <c r="R81" s="779">
        <f t="shared" si="159"/>
        <v>0.2</v>
      </c>
      <c r="S81" s="460">
        <f t="shared" si="159"/>
        <v>2.5</v>
      </c>
      <c r="T81" s="460">
        <f t="shared" ref="T81:AC81" si="160">T80-T96</f>
        <v>1.1000000000000001</v>
      </c>
      <c r="U81" s="468">
        <f>U80-U96</f>
        <v>0.1</v>
      </c>
      <c r="V81" s="460">
        <f t="shared" si="160"/>
        <v>0.8</v>
      </c>
      <c r="W81" s="460">
        <f t="shared" si="160"/>
        <v>1.4</v>
      </c>
      <c r="X81" s="460">
        <f t="shared" si="160"/>
        <v>1.8</v>
      </c>
      <c r="Y81" s="468">
        <f t="shared" si="160"/>
        <v>0</v>
      </c>
      <c r="Z81" s="460">
        <f t="shared" si="160"/>
        <v>1.6</v>
      </c>
      <c r="AA81" s="460">
        <f t="shared" si="160"/>
        <v>2.8</v>
      </c>
      <c r="AB81" s="460">
        <f t="shared" si="160"/>
        <v>2.6</v>
      </c>
      <c r="AC81" s="460">
        <f t="shared" si="160"/>
        <v>1.8000000000000007</v>
      </c>
      <c r="AD81" s="779">
        <f t="shared" ref="AD81:AI81" si="161">AD80-AD96</f>
        <v>3</v>
      </c>
      <c r="AE81" s="460">
        <f t="shared" si="161"/>
        <v>0</v>
      </c>
      <c r="AF81" s="460">
        <f t="shared" si="161"/>
        <v>1</v>
      </c>
      <c r="AG81" s="460">
        <f t="shared" si="161"/>
        <v>0.86976434619333531</v>
      </c>
      <c r="AH81" s="779">
        <f t="shared" si="161"/>
        <v>9.3403116721284505</v>
      </c>
      <c r="AI81" s="460">
        <f t="shared" si="161"/>
        <v>11</v>
      </c>
      <c r="AJ81" s="460">
        <f t="shared" ref="AJ81:AS81" si="162">AJ80-AJ96</f>
        <v>10</v>
      </c>
      <c r="AK81" s="460">
        <f t="shared" si="162"/>
        <v>9</v>
      </c>
      <c r="AL81" s="779">
        <f t="shared" si="162"/>
        <v>19</v>
      </c>
      <c r="AM81" s="460">
        <f t="shared" si="162"/>
        <v>6</v>
      </c>
      <c r="AN81" s="460">
        <f t="shared" si="162"/>
        <v>8</v>
      </c>
      <c r="AO81" s="468">
        <f t="shared" si="162"/>
        <v>11</v>
      </c>
      <c r="AP81" s="779">
        <f t="shared" si="162"/>
        <v>29</v>
      </c>
      <c r="AQ81" s="460">
        <f t="shared" si="162"/>
        <v>42</v>
      </c>
      <c r="AR81" s="460">
        <f t="shared" si="162"/>
        <v>40</v>
      </c>
      <c r="AS81" s="460">
        <f t="shared" si="162"/>
        <v>27</v>
      </c>
      <c r="AT81" s="779">
        <f t="shared" ref="AT81:BD81" si="163">AT80-AT96</f>
        <v>14</v>
      </c>
      <c r="AU81" s="460">
        <f t="shared" si="163"/>
        <v>14</v>
      </c>
      <c r="AV81" s="460">
        <f t="shared" si="163"/>
        <v>13</v>
      </c>
      <c r="AW81" s="460">
        <f t="shared" si="163"/>
        <v>12</v>
      </c>
      <c r="AX81" s="779">
        <f t="shared" si="163"/>
        <v>19</v>
      </c>
      <c r="AY81" s="460">
        <f t="shared" si="163"/>
        <v>15</v>
      </c>
      <c r="AZ81" s="460">
        <f t="shared" si="163"/>
        <v>71</v>
      </c>
      <c r="BA81" s="460">
        <f t="shared" si="163"/>
        <v>60</v>
      </c>
      <c r="BB81" s="779">
        <f t="shared" ref="BB81:BH81" si="164">BB80-BB96</f>
        <v>59</v>
      </c>
      <c r="BC81" s="460">
        <f t="shared" si="163"/>
        <v>45</v>
      </c>
      <c r="BD81" s="460">
        <f t="shared" si="163"/>
        <v>15</v>
      </c>
      <c r="BE81" s="468">
        <f t="shared" si="164"/>
        <v>35</v>
      </c>
      <c r="BF81" s="460">
        <f t="shared" si="164"/>
        <v>37</v>
      </c>
      <c r="BG81" s="460">
        <f t="shared" si="164"/>
        <v>37</v>
      </c>
      <c r="BH81" s="460">
        <f t="shared" si="164"/>
        <v>31</v>
      </c>
      <c r="BI81" s="468">
        <f t="shared" ref="BI81:BQ81" si="165">BI80-BI96</f>
        <v>30</v>
      </c>
      <c r="BJ81" s="460">
        <f t="shared" si="165"/>
        <v>35</v>
      </c>
      <c r="BK81" s="460">
        <f t="shared" si="165"/>
        <v>17</v>
      </c>
      <c r="BL81" s="460">
        <f t="shared" si="165"/>
        <v>26</v>
      </c>
      <c r="BM81" s="468">
        <f t="shared" si="165"/>
        <v>26</v>
      </c>
      <c r="BN81" s="460">
        <f t="shared" si="165"/>
        <v>26</v>
      </c>
      <c r="BO81" s="460">
        <f t="shared" si="165"/>
        <v>17</v>
      </c>
      <c r="BP81" s="460">
        <f t="shared" si="165"/>
        <v>22</v>
      </c>
      <c r="BQ81" s="468">
        <f t="shared" si="165"/>
        <v>-27</v>
      </c>
      <c r="BR81" s="460">
        <f>BR80-BR96</f>
        <v>61</v>
      </c>
      <c r="BS81" s="460">
        <f>BS80-BS96</f>
        <v>99</v>
      </c>
      <c r="BT81" s="460">
        <f t="shared" ref="BT81:BY81" si="166">BT80-BT96</f>
        <v>93</v>
      </c>
      <c r="BU81" s="468">
        <f t="shared" si="166"/>
        <v>108</v>
      </c>
      <c r="BV81" s="460">
        <f>BV80-BV96</f>
        <v>84</v>
      </c>
      <c r="BW81" s="460">
        <f>BW80-BW96</f>
        <v>53</v>
      </c>
      <c r="BX81" s="460">
        <f t="shared" si="166"/>
        <v>58.366457830999984</v>
      </c>
      <c r="BY81" s="468">
        <f t="shared" si="166"/>
        <v>52.441097975726422</v>
      </c>
      <c r="BZ81" s="1425">
        <f>BZ80-BZ96</f>
        <v>55.709558414306471</v>
      </c>
      <c r="CA81" s="460">
        <f>CA80-CA96</f>
        <v>51.03200004049684</v>
      </c>
      <c r="CB81" s="460">
        <f>CB80-CB96</f>
        <v>41.450446865056271</v>
      </c>
      <c r="CC81" s="468">
        <f>CC80-CC96</f>
        <v>38.638991700085974</v>
      </c>
      <c r="CD81" s="12"/>
      <c r="CE81" s="29">
        <f>SUM(F81:I81)</f>
        <v>0</v>
      </c>
      <c r="CF81" s="29">
        <f>SUM(J81:M81)</f>
        <v>0.48399999999999999</v>
      </c>
      <c r="CG81" s="29">
        <f>SUM(N81:Q81)</f>
        <v>8.3279999999999994</v>
      </c>
      <c r="CH81" s="29">
        <f>SUM(R81:U81)</f>
        <v>3.9000000000000004</v>
      </c>
      <c r="CI81" s="29">
        <f>SUM(V81:Y81)</f>
        <v>4</v>
      </c>
      <c r="CJ81" s="29">
        <f>SUM(Z81:AC81)</f>
        <v>8.8000000000000007</v>
      </c>
      <c r="CK81" s="29">
        <f>SUM(AD81:AG81)</f>
        <v>4.8697643461933353</v>
      </c>
      <c r="CL81" s="29">
        <f>SUM(AH81:AK81)</f>
        <v>39.34031167212845</v>
      </c>
      <c r="CM81" s="29">
        <f>SUM(AL81:AO81)</f>
        <v>44</v>
      </c>
      <c r="CN81" s="29">
        <f>SUM(AP81:AS81)</f>
        <v>138</v>
      </c>
      <c r="CO81" s="487">
        <f>SUM(AT81:AW81)</f>
        <v>53</v>
      </c>
      <c r="CP81" s="487">
        <f>SUM(AX81:BA81)</f>
        <v>165</v>
      </c>
      <c r="CQ81" s="460">
        <f>SUM(BB81:BE81)</f>
        <v>154</v>
      </c>
      <c r="CR81" s="11">
        <f>SUM(BF81:BI81)</f>
        <v>135</v>
      </c>
      <c r="CS81" s="11">
        <f>SUM(BJ81:BM81)</f>
        <v>104</v>
      </c>
      <c r="CT81" s="11">
        <f>SUM(BN81:BQ81)</f>
        <v>38</v>
      </c>
      <c r="CU81" s="460">
        <f>SUM(BR81:BU81)</f>
        <v>361</v>
      </c>
      <c r="CV81" s="138">
        <f>SUM(BV81:BY81)</f>
        <v>247.80755580672641</v>
      </c>
      <c r="CW81" s="138">
        <f>SUM(BZ81:CC81)</f>
        <v>186.83099701994556</v>
      </c>
      <c r="CX81" s="460">
        <f t="shared" ref="CX81:DC81" si="167">CX80-CX96</f>
        <v>206.02895785561464</v>
      </c>
      <c r="CY81" s="460">
        <f t="shared" si="167"/>
        <v>214.53179892429591</v>
      </c>
      <c r="CZ81" s="460">
        <f t="shared" si="167"/>
        <v>227.76171769855986</v>
      </c>
      <c r="DA81" s="460">
        <f t="shared" si="167"/>
        <v>437.23155978322586</v>
      </c>
      <c r="DB81" s="460">
        <f t="shared" si="167"/>
        <v>460.67368726319114</v>
      </c>
      <c r="DC81" s="460">
        <f t="shared" si="167"/>
        <v>486.94295011728883</v>
      </c>
      <c r="DD81" s="1509"/>
      <c r="DE81" s="1521"/>
      <c r="DF81" s="29"/>
      <c r="DG81" s="57"/>
      <c r="DH81" s="29"/>
      <c r="DI81" s="29"/>
      <c r="DJ81" s="29"/>
      <c r="DK81" s="29"/>
      <c r="DL81" s="641">
        <f>SUM(AB81:AE81)</f>
        <v>7.4</v>
      </c>
      <c r="DM81" s="641">
        <f>SUM(AF81:AI81)</f>
        <v>22.210076018321786</v>
      </c>
      <c r="DN81" s="641">
        <f>SUM(AJ81:AM81)</f>
        <v>44</v>
      </c>
      <c r="DO81" s="641">
        <f>SUM(AN81:AQ81)</f>
        <v>90</v>
      </c>
      <c r="DP81" s="641">
        <f>SUM(AR81:AU81)</f>
        <v>95</v>
      </c>
      <c r="DQ81" s="641">
        <f>SUM(AV81:AY81)</f>
        <v>59</v>
      </c>
      <c r="DR81" s="641">
        <f>SUM(AZ81:BC81)</f>
        <v>235</v>
      </c>
      <c r="DS81" s="1102">
        <f>SUM(BD81:BG81)</f>
        <v>124</v>
      </c>
      <c r="DT81" s="641">
        <f>SUM(BH81:BK81)</f>
        <v>113</v>
      </c>
      <c r="DU81" s="641">
        <f>SUM(BL81:BO81)</f>
        <v>95</v>
      </c>
      <c r="DV81" s="641">
        <f>SUM(BP81:BS81)</f>
        <v>155</v>
      </c>
      <c r="DW81" s="641">
        <f>SUM(BT81:BW81)</f>
        <v>338</v>
      </c>
      <c r="DX81" s="2238">
        <f>SUM(BX81:CA81)</f>
        <v>217.54911426152972</v>
      </c>
      <c r="DY81" s="641"/>
      <c r="DZ81" s="1559">
        <f>DZ82*DZ78</f>
        <v>-279.95206773892323</v>
      </c>
    </row>
    <row r="82" spans="1:136" ht="11.25" hidden="1" customHeight="1" outlineLevel="1">
      <c r="A82" s="11"/>
      <c r="B82" s="207"/>
      <c r="C82" s="199" t="s">
        <v>35</v>
      </c>
      <c r="D82" s="199"/>
      <c r="E82" s="200"/>
      <c r="F82" s="676">
        <f t="shared" ref="F82:U82" si="168">F81/F78</f>
        <v>0</v>
      </c>
      <c r="G82" s="676">
        <f t="shared" si="168"/>
        <v>0</v>
      </c>
      <c r="H82" s="676">
        <f t="shared" si="168"/>
        <v>0</v>
      </c>
      <c r="I82" s="677">
        <f t="shared" si="168"/>
        <v>0</v>
      </c>
      <c r="J82" s="676">
        <f t="shared" si="168"/>
        <v>0</v>
      </c>
      <c r="K82" s="676">
        <f t="shared" si="168"/>
        <v>0</v>
      </c>
      <c r="L82" s="676">
        <f t="shared" si="168"/>
        <v>0</v>
      </c>
      <c r="M82" s="677">
        <f t="shared" si="168"/>
        <v>2.8995926192187924E-2</v>
      </c>
      <c r="N82" s="676">
        <f t="shared" si="168"/>
        <v>7.4990801852337766E-2</v>
      </c>
      <c r="O82" s="676">
        <f t="shared" si="168"/>
        <v>2.9537052780347534E-2</v>
      </c>
      <c r="P82" s="676">
        <f t="shared" si="168"/>
        <v>4.0001736913029586E-2</v>
      </c>
      <c r="Q82" s="677">
        <f t="shared" si="168"/>
        <v>4.3159481576510651E-2</v>
      </c>
      <c r="R82" s="676">
        <f t="shared" si="168"/>
        <v>3.8278365805023154E-2</v>
      </c>
      <c r="S82" s="676">
        <f t="shared" si="168"/>
        <v>3.5063113604488043E-2</v>
      </c>
      <c r="T82" s="676">
        <f t="shared" si="168"/>
        <v>2.245311427635132E-2</v>
      </c>
      <c r="U82" s="677">
        <f t="shared" si="168"/>
        <v>3.3669824233572084E-3</v>
      </c>
      <c r="V82" s="676">
        <f t="shared" ref="V82:AI82" si="169">V81/V78</f>
        <v>2.564102564102563E-2</v>
      </c>
      <c r="W82" s="676">
        <f t="shared" si="169"/>
        <v>2.4379591172980754E-2</v>
      </c>
      <c r="X82" s="738">
        <f t="shared" si="169"/>
        <v>2.479491263092937E-2</v>
      </c>
      <c r="Y82" s="797">
        <f t="shared" si="169"/>
        <v>0</v>
      </c>
      <c r="Z82" s="676">
        <f t="shared" si="169"/>
        <v>2.2725674033754004E-2</v>
      </c>
      <c r="AA82" s="676">
        <f t="shared" si="169"/>
        <v>2.615174472489027E-2</v>
      </c>
      <c r="AB82" s="676">
        <f t="shared" si="169"/>
        <v>2.4651563972154709E-2</v>
      </c>
      <c r="AC82" s="676">
        <f t="shared" si="169"/>
        <v>2.0756305821842746E-2</v>
      </c>
      <c r="AD82" s="1057">
        <f t="shared" si="169"/>
        <v>2.8302198267190395E-2</v>
      </c>
      <c r="AE82" s="676">
        <f t="shared" si="169"/>
        <v>0</v>
      </c>
      <c r="AF82" s="676">
        <f t="shared" si="169"/>
        <v>8.0625802368940683E-3</v>
      </c>
      <c r="AG82" s="676">
        <f t="shared" si="169"/>
        <v>9.8048266111297258E-3</v>
      </c>
      <c r="AH82" s="1057">
        <f t="shared" si="169"/>
        <v>4.995124325833835E-2</v>
      </c>
      <c r="AI82" s="676">
        <f t="shared" si="169"/>
        <v>3.4776713590444458E-2</v>
      </c>
      <c r="AJ82" s="676">
        <f t="shared" ref="AJ82:AO82" si="170">AJ81/AJ78</f>
        <v>3.4529570973417835E-2</v>
      </c>
      <c r="AK82" s="676">
        <f t="shared" si="170"/>
        <v>3.796428425780328E-2</v>
      </c>
      <c r="AL82" s="1057">
        <f t="shared" si="170"/>
        <v>8.2612373565539923E-2</v>
      </c>
      <c r="AM82" s="676">
        <f t="shared" si="170"/>
        <v>6.135739413378357E-2</v>
      </c>
      <c r="AN82" s="676">
        <f t="shared" si="170"/>
        <v>0.10541294561945358</v>
      </c>
      <c r="AO82" s="677">
        <f t="shared" si="170"/>
        <v>5.9722051851607547E-2</v>
      </c>
      <c r="AP82" s="1057">
        <f t="shared" ref="AP82:BF82" si="171">AP81/AP78</f>
        <v>9.1209639205164103E-2</v>
      </c>
      <c r="AQ82" s="676">
        <f t="shared" si="171"/>
        <v>8.8994349500307657E-2</v>
      </c>
      <c r="AR82" s="676">
        <f t="shared" si="171"/>
        <v>9.0736021948807782E-2</v>
      </c>
      <c r="AS82" s="676">
        <f t="shared" si="171"/>
        <v>8.4173682934008121E-2</v>
      </c>
      <c r="AT82" s="1057">
        <f t="shared" si="171"/>
        <v>6.3356635783038642E-2</v>
      </c>
      <c r="AU82" s="676">
        <f t="shared" si="171"/>
        <v>5.8435066903934456E-2</v>
      </c>
      <c r="AV82" s="676">
        <f t="shared" si="171"/>
        <v>7.6898905284400229E-2</v>
      </c>
      <c r="AW82" s="676">
        <f t="shared" si="171"/>
        <v>5.8163788465710367E-2</v>
      </c>
      <c r="AX82" s="1057">
        <f t="shared" si="171"/>
        <v>6.7994439642304616E-2</v>
      </c>
      <c r="AY82" s="676">
        <f t="shared" si="171"/>
        <v>4.0173692691946865E-2</v>
      </c>
      <c r="AZ82" s="676">
        <f>AZ81/AZ78</f>
        <v>0.10287291280534008</v>
      </c>
      <c r="BA82" s="676">
        <f t="shared" si="171"/>
        <v>6.4370755570023669E-2</v>
      </c>
      <c r="BB82" s="1057">
        <f t="shared" si="171"/>
        <v>9.0366059120845443E-2</v>
      </c>
      <c r="BC82" s="676">
        <f t="shared" si="171"/>
        <v>8.0637140929531212E-2</v>
      </c>
      <c r="BD82" s="676">
        <f>BD81/BD78</f>
        <v>2.837040399455287E-2</v>
      </c>
      <c r="BE82" s="677">
        <f t="shared" si="171"/>
        <v>6.8327613335988371E-2</v>
      </c>
      <c r="BF82" s="1057">
        <f t="shared" si="171"/>
        <v>6.7142080990770306E-2</v>
      </c>
      <c r="BG82" s="676">
        <f t="shared" ref="BG82:BL82" si="172">BG81/BG78</f>
        <v>6.5046481864337646E-2</v>
      </c>
      <c r="BH82" s="676">
        <f t="shared" si="172"/>
        <v>6.1875259476894602E-2</v>
      </c>
      <c r="BI82" s="677">
        <f t="shared" si="172"/>
        <v>6.3116702783446596E-2</v>
      </c>
      <c r="BJ82" s="1057">
        <f t="shared" si="172"/>
        <v>5.9911604706655672E-2</v>
      </c>
      <c r="BK82" s="676">
        <f t="shared" si="172"/>
        <v>2.7964941832920989E-2</v>
      </c>
      <c r="BL82" s="676">
        <f t="shared" si="172"/>
        <v>5.2324832560535814E-2</v>
      </c>
      <c r="BM82" s="677">
        <f t="shared" ref="BM82:BR82" si="173">BM81/BM78</f>
        <v>6.2203561153876083E-2</v>
      </c>
      <c r="BN82" s="1057">
        <f t="shared" si="173"/>
        <v>5.9330252724057286E-2</v>
      </c>
      <c r="BO82" s="676">
        <f t="shared" si="173"/>
        <v>4.0455721807418868E-2</v>
      </c>
      <c r="BP82" s="676">
        <f t="shared" si="173"/>
        <v>6.4847019984672544E-2</v>
      </c>
      <c r="BQ82" s="677">
        <f t="shared" si="173"/>
        <v>-0.11169486617300294</v>
      </c>
      <c r="BR82" s="1057">
        <f t="shared" si="173"/>
        <v>0.11994745908021928</v>
      </c>
      <c r="BS82" s="676">
        <f>BS81/BS78</f>
        <v>0.1279312737690492</v>
      </c>
      <c r="BT82" s="676">
        <f>BT81/BT78</f>
        <v>0.11494593832965011</v>
      </c>
      <c r="BU82" s="677">
        <f>BU81/BU78</f>
        <v>0.10919271199310067</v>
      </c>
      <c r="BV82" s="1057">
        <f>BV81/BV78</f>
        <v>7.1619495849906012E-2</v>
      </c>
      <c r="BW82" s="676">
        <f>BW81/BW78</f>
        <v>4.2018139151392145E-2</v>
      </c>
      <c r="BX82" s="937">
        <v>5.5E-2</v>
      </c>
      <c r="BY82" s="1159">
        <f t="shared" ref="BY82:CC82" si="174">BX82</f>
        <v>5.5E-2</v>
      </c>
      <c r="BZ82" s="1426">
        <f t="shared" si="174"/>
        <v>5.5E-2</v>
      </c>
      <c r="CA82" s="937">
        <f t="shared" si="174"/>
        <v>5.5E-2</v>
      </c>
      <c r="CB82" s="937">
        <f t="shared" si="174"/>
        <v>5.5E-2</v>
      </c>
      <c r="CC82" s="1159">
        <f t="shared" si="174"/>
        <v>5.5E-2</v>
      </c>
      <c r="CD82" s="1401"/>
      <c r="CE82" s="676">
        <f t="shared" ref="CE82:CN82" si="175">CE81/CE78</f>
        <v>0</v>
      </c>
      <c r="CF82" s="676">
        <f t="shared" si="175"/>
        <v>9.8494671060581854E-3</v>
      </c>
      <c r="CG82" s="676">
        <f t="shared" si="175"/>
        <v>4.0993414758983188E-2</v>
      </c>
      <c r="CH82" s="676">
        <f t="shared" si="175"/>
        <v>2.5126268362532126E-2</v>
      </c>
      <c r="CI82" s="676">
        <f t="shared" si="175"/>
        <v>1.8076017990533547E-2</v>
      </c>
      <c r="CJ82" s="676">
        <f t="shared" si="175"/>
        <v>2.3805466422441156E-2</v>
      </c>
      <c r="CK82" s="676">
        <f t="shared" si="175"/>
        <v>1.0804737686012178E-2</v>
      </c>
      <c r="CL82" s="676">
        <f t="shared" si="175"/>
        <v>3.8195814480448578E-2</v>
      </c>
      <c r="CM82" s="676">
        <f t="shared" si="175"/>
        <v>7.4848253946261642E-2</v>
      </c>
      <c r="CN82" s="676">
        <f t="shared" si="175"/>
        <v>8.8946552746618432E-2</v>
      </c>
      <c r="CO82" s="676">
        <f t="shared" ref="CO82:CT82" si="176">CO81/CO78</f>
        <v>6.3403154602416897E-2</v>
      </c>
      <c r="CP82" s="676">
        <f t="shared" si="176"/>
        <v>7.2524745668283347E-2</v>
      </c>
      <c r="CQ82" s="676">
        <f t="shared" si="176"/>
        <v>6.8386285707688135E-2</v>
      </c>
      <c r="CR82" s="676">
        <f t="shared" si="176"/>
        <v>6.4401876871053421E-2</v>
      </c>
      <c r="CS82" s="676">
        <f t="shared" si="176"/>
        <v>4.9359829120068505E-2</v>
      </c>
      <c r="CT82" s="676">
        <f t="shared" si="176"/>
        <v>2.639938447750929E-2</v>
      </c>
      <c r="CU82" s="676">
        <f>CU81/CU78</f>
        <v>0.11718640949281332</v>
      </c>
      <c r="CV82" s="676">
        <f>CV81/CV78</f>
        <v>5.5700761876202584E-2</v>
      </c>
      <c r="CW82" s="676">
        <f>CW81/CW78</f>
        <v>5.5000000000000035E-2</v>
      </c>
      <c r="CX82" s="937">
        <f>CW82</f>
        <v>5.5000000000000035E-2</v>
      </c>
      <c r="CY82" s="937">
        <f>CX82</f>
        <v>5.5000000000000035E-2</v>
      </c>
      <c r="CZ82" s="937">
        <f>CY82</f>
        <v>5.5000000000000035E-2</v>
      </c>
      <c r="DA82" s="937">
        <v>0.1</v>
      </c>
      <c r="DB82" s="937">
        <v>0.1</v>
      </c>
      <c r="DC82" s="937">
        <v>0.1</v>
      </c>
      <c r="DD82" s="1514"/>
      <c r="DE82" s="1557"/>
      <c r="DF82" s="29"/>
      <c r="DG82" s="57"/>
      <c r="DH82" s="29"/>
      <c r="DI82" s="29"/>
      <c r="DJ82" s="29"/>
      <c r="DK82" s="29"/>
      <c r="DL82" s="641">
        <f>SUM(AB82:AE82)</f>
        <v>7.371006806118785E-2</v>
      </c>
      <c r="DM82" s="676">
        <f t="shared" ref="DM82:DS82" si="177">DM81/DM78</f>
        <v>3.1018371342585175E-2</v>
      </c>
      <c r="DN82" s="676">
        <f t="shared" si="177"/>
        <v>5.1495159184863866E-2</v>
      </c>
      <c r="DO82" s="676">
        <f t="shared" si="177"/>
        <v>8.5716938425854886E-2</v>
      </c>
      <c r="DP82" s="676">
        <f t="shared" si="177"/>
        <v>7.7731351574667304E-2</v>
      </c>
      <c r="DQ82" s="676">
        <f t="shared" si="177"/>
        <v>5.7382929483523769E-2</v>
      </c>
      <c r="DR82" s="676">
        <f t="shared" si="177"/>
        <v>8.2944267295116225E-2</v>
      </c>
      <c r="DS82" s="1057">
        <f t="shared" si="177"/>
        <v>5.7384766991467523E-2</v>
      </c>
      <c r="DT82" s="676">
        <f>DT81/DT78</f>
        <v>5.2111771910924851E-2</v>
      </c>
      <c r="DU82" s="676">
        <f>DU81/DU78</f>
        <v>5.3571952207051653E-2</v>
      </c>
      <c r="DV82" s="676">
        <f>DV81/DV78</f>
        <v>8.3181326167932917E-2</v>
      </c>
      <c r="DW82" s="676">
        <f>DW81/DW78</f>
        <v>7.9860541756903575E-2</v>
      </c>
      <c r="DX82" s="2254">
        <f>DX81/DX78</f>
        <v>5.5E-2</v>
      </c>
      <c r="DY82" s="676"/>
      <c r="DZ82" s="1679">
        <f>CU82</f>
        <v>0.11718640949281332</v>
      </c>
    </row>
    <row r="83" spans="1:136" ht="11.25" hidden="1" customHeight="1" outlineLevel="1">
      <c r="A83" s="3"/>
      <c r="B83" s="207"/>
      <c r="C83" s="199" t="s">
        <v>889</v>
      </c>
      <c r="D83" s="199"/>
      <c r="E83" s="200"/>
      <c r="F83" s="672">
        <f>F557</f>
        <v>0.32</v>
      </c>
      <c r="G83" s="672">
        <f t="shared" ref="G83:AO83" si="178">G557</f>
        <v>0.32</v>
      </c>
      <c r="H83" s="672">
        <f t="shared" si="178"/>
        <v>0.32</v>
      </c>
      <c r="I83" s="673">
        <f t="shared" si="178"/>
        <v>0.32</v>
      </c>
      <c r="J83" s="733">
        <f>J557</f>
        <v>0.32</v>
      </c>
      <c r="K83" s="672">
        <f t="shared" si="178"/>
        <v>0.32</v>
      </c>
      <c r="L83" s="672">
        <f t="shared" si="178"/>
        <v>0.32</v>
      </c>
      <c r="M83" s="673">
        <f t="shared" si="178"/>
        <v>0.32</v>
      </c>
      <c r="N83" s="733">
        <f>N557</f>
        <v>0.32</v>
      </c>
      <c r="O83" s="672">
        <f t="shared" si="178"/>
        <v>0.32</v>
      </c>
      <c r="P83" s="672">
        <f t="shared" si="178"/>
        <v>0.32</v>
      </c>
      <c r="Q83" s="673">
        <f t="shared" si="178"/>
        <v>0.32</v>
      </c>
      <c r="R83" s="733">
        <f>R557</f>
        <v>0.32</v>
      </c>
      <c r="S83" s="672">
        <f t="shared" si="178"/>
        <v>0.32</v>
      </c>
      <c r="T83" s="915">
        <f t="shared" si="178"/>
        <v>0.32</v>
      </c>
      <c r="U83" s="673">
        <f t="shared" si="178"/>
        <v>0.32</v>
      </c>
      <c r="V83" s="733">
        <f>V557</f>
        <v>0.32</v>
      </c>
      <c r="W83" s="672">
        <f t="shared" si="178"/>
        <v>0.32</v>
      </c>
      <c r="X83" s="672">
        <f t="shared" si="178"/>
        <v>0.32</v>
      </c>
      <c r="Y83" s="673">
        <f t="shared" si="178"/>
        <v>0.32</v>
      </c>
      <c r="Z83" s="672">
        <f>Z557</f>
        <v>0.32</v>
      </c>
      <c r="AA83" s="672">
        <f t="shared" si="178"/>
        <v>0.32</v>
      </c>
      <c r="AB83" s="672">
        <f t="shared" si="178"/>
        <v>0.32</v>
      </c>
      <c r="AC83" s="673">
        <f t="shared" si="178"/>
        <v>0.32</v>
      </c>
      <c r="AD83" s="733">
        <f>AD557</f>
        <v>0.32</v>
      </c>
      <c r="AE83" s="672">
        <f t="shared" si="178"/>
        <v>0.32</v>
      </c>
      <c r="AF83" s="672">
        <f t="shared" si="178"/>
        <v>0.32</v>
      </c>
      <c r="AG83" s="672">
        <f t="shared" si="178"/>
        <v>0.32</v>
      </c>
      <c r="AH83" s="733">
        <f>AH557</f>
        <v>0.32</v>
      </c>
      <c r="AI83" s="672">
        <f t="shared" si="178"/>
        <v>0.32</v>
      </c>
      <c r="AJ83" s="672">
        <f t="shared" si="178"/>
        <v>0.32</v>
      </c>
      <c r="AK83" s="673">
        <f>AK557</f>
        <v>0.32</v>
      </c>
      <c r="AL83" s="672">
        <f>AL557</f>
        <v>0.32</v>
      </c>
      <c r="AM83" s="672">
        <f t="shared" si="178"/>
        <v>0.32</v>
      </c>
      <c r="AN83" s="672">
        <f t="shared" si="178"/>
        <v>0.32</v>
      </c>
      <c r="AO83" s="673">
        <f t="shared" si="178"/>
        <v>0.32</v>
      </c>
      <c r="AP83" s="672">
        <f>AP557</f>
        <v>0.32</v>
      </c>
      <c r="AQ83" s="672">
        <f t="shared" ref="AQ83:BA83" si="179">AQ557</f>
        <v>0.32</v>
      </c>
      <c r="AR83" s="672">
        <f t="shared" si="179"/>
        <v>0.32</v>
      </c>
      <c r="AS83" s="672">
        <f t="shared" si="179"/>
        <v>0.32</v>
      </c>
      <c r="AT83" s="733">
        <f t="shared" si="179"/>
        <v>0.32</v>
      </c>
      <c r="AU83" s="672">
        <f t="shared" si="179"/>
        <v>0.32</v>
      </c>
      <c r="AV83" s="672">
        <f t="shared" si="179"/>
        <v>0.32</v>
      </c>
      <c r="AW83" s="672">
        <f t="shared" si="179"/>
        <v>0.32</v>
      </c>
      <c r="AX83" s="733">
        <f t="shared" si="179"/>
        <v>0.32</v>
      </c>
      <c r="AY83" s="672">
        <f t="shared" si="179"/>
        <v>0.32</v>
      </c>
      <c r="AZ83" s="672">
        <f t="shared" si="179"/>
        <v>0.32</v>
      </c>
      <c r="BA83" s="672">
        <f t="shared" si="179"/>
        <v>0.32</v>
      </c>
      <c r="BB83" s="733">
        <f t="shared" ref="BB83:BH83" si="180">BB557</f>
        <v>0.32</v>
      </c>
      <c r="BC83" s="672">
        <f t="shared" si="180"/>
        <v>0.32</v>
      </c>
      <c r="BD83" s="672">
        <f t="shared" si="180"/>
        <v>0.32</v>
      </c>
      <c r="BE83" s="673">
        <f>BE557</f>
        <v>0.32</v>
      </c>
      <c r="BF83" s="672">
        <f t="shared" si="180"/>
        <v>0.32</v>
      </c>
      <c r="BG83" s="672">
        <f t="shared" si="180"/>
        <v>0.32</v>
      </c>
      <c r="BH83" s="672">
        <f t="shared" si="180"/>
        <v>0.32</v>
      </c>
      <c r="BI83" s="673">
        <f t="shared" ref="BI83:BQ83" si="181">BI557</f>
        <v>0.32</v>
      </c>
      <c r="BJ83" s="672">
        <f t="shared" si="181"/>
        <v>0.32</v>
      </c>
      <c r="BK83" s="672">
        <f t="shared" si="181"/>
        <v>0.32</v>
      </c>
      <c r="BL83" s="672">
        <f t="shared" si="181"/>
        <v>0.32</v>
      </c>
      <c r="BM83" s="673">
        <f t="shared" si="181"/>
        <v>0.32</v>
      </c>
      <c r="BN83" s="672">
        <f t="shared" si="181"/>
        <v>0.32</v>
      </c>
      <c r="BO83" s="672">
        <f t="shared" si="181"/>
        <v>0.32</v>
      </c>
      <c r="BP83" s="672">
        <f t="shared" si="181"/>
        <v>0.32</v>
      </c>
      <c r="BQ83" s="673">
        <f t="shared" si="181"/>
        <v>0.32</v>
      </c>
      <c r="BR83" s="672">
        <f t="shared" ref="BR83:BU83" si="182">BR557</f>
        <v>0.32</v>
      </c>
      <c r="BS83" s="672">
        <f t="shared" si="182"/>
        <v>0.32</v>
      </c>
      <c r="BT83" s="672">
        <f t="shared" si="182"/>
        <v>0.32</v>
      </c>
      <c r="BU83" s="673">
        <f t="shared" si="182"/>
        <v>0.32</v>
      </c>
      <c r="BV83" s="672">
        <f>BV557</f>
        <v>0.32</v>
      </c>
      <c r="BW83" s="672">
        <f>BW557</f>
        <v>0.32</v>
      </c>
      <c r="BX83" s="672">
        <v>0.2</v>
      </c>
      <c r="BY83" s="672">
        <v>0.2</v>
      </c>
      <c r="BZ83" s="733">
        <v>0.2</v>
      </c>
      <c r="CA83" s="672">
        <v>0.2</v>
      </c>
      <c r="CB83" s="672">
        <v>0.2</v>
      </c>
      <c r="CC83" s="673">
        <v>0.2</v>
      </c>
      <c r="CD83" s="1401"/>
      <c r="CE83" s="183">
        <f t="shared" ref="CE83:CJ83" si="183">CE557</f>
        <v>0.32</v>
      </c>
      <c r="CF83" s="183">
        <f t="shared" si="183"/>
        <v>0.32</v>
      </c>
      <c r="CG83" s="183">
        <f t="shared" si="183"/>
        <v>0.32</v>
      </c>
      <c r="CH83" s="183">
        <f t="shared" si="183"/>
        <v>0.32</v>
      </c>
      <c r="CI83" s="183">
        <f t="shared" si="183"/>
        <v>0.32</v>
      </c>
      <c r="CJ83" s="183">
        <f t="shared" si="183"/>
        <v>0.32</v>
      </c>
      <c r="CK83" s="183">
        <f t="shared" ref="CK83:CR83" si="184">CK557</f>
        <v>0.32</v>
      </c>
      <c r="CL83" s="183">
        <f t="shared" si="184"/>
        <v>0.32</v>
      </c>
      <c r="CM83" s="183">
        <f t="shared" si="184"/>
        <v>0.32</v>
      </c>
      <c r="CN83" s="183">
        <f t="shared" si="184"/>
        <v>0.32</v>
      </c>
      <c r="CO83" s="672">
        <f t="shared" si="184"/>
        <v>0.32</v>
      </c>
      <c r="CP83" s="672">
        <f t="shared" si="184"/>
        <v>0.32</v>
      </c>
      <c r="CQ83" s="672">
        <f t="shared" si="184"/>
        <v>0.32</v>
      </c>
      <c r="CR83" s="672">
        <f t="shared" si="184"/>
        <v>0.32</v>
      </c>
      <c r="CS83" s="672">
        <f t="shared" ref="CS83:DA83" si="185">CS557</f>
        <v>0.32</v>
      </c>
      <c r="CT83" s="672">
        <f t="shared" si="185"/>
        <v>0.32</v>
      </c>
      <c r="CU83" s="672">
        <f>CU557</f>
        <v>0.32</v>
      </c>
      <c r="CV83" s="672">
        <f>CV557</f>
        <v>0.32</v>
      </c>
      <c r="CW83" s="672">
        <v>0.2</v>
      </c>
      <c r="CX83" s="672">
        <v>0.2</v>
      </c>
      <c r="CY83" s="672">
        <f t="shared" si="185"/>
        <v>0.32</v>
      </c>
      <c r="CZ83" s="672">
        <f t="shared" si="185"/>
        <v>0.32</v>
      </c>
      <c r="DA83" s="672">
        <f t="shared" si="185"/>
        <v>0.32</v>
      </c>
      <c r="DB83" s="672">
        <f>DB557</f>
        <v>0.32</v>
      </c>
      <c r="DC83" s="672">
        <f>DC557</f>
        <v>0.32</v>
      </c>
      <c r="DD83" s="1515"/>
      <c r="DE83" s="1558"/>
      <c r="DF83" s="24"/>
      <c r="DG83" s="23"/>
      <c r="DH83" s="24"/>
      <c r="DI83" s="24"/>
      <c r="DJ83" s="24"/>
      <c r="DK83" s="24"/>
      <c r="DL83" s="641">
        <f>SUM(AB83:AE83)</f>
        <v>1.28</v>
      </c>
      <c r="DM83" s="672">
        <v>0.32</v>
      </c>
      <c r="DN83" s="672">
        <f t="shared" ref="DN83:DS83" si="186">DM83</f>
        <v>0.32</v>
      </c>
      <c r="DO83" s="672">
        <f t="shared" si="186"/>
        <v>0.32</v>
      </c>
      <c r="DP83" s="672">
        <f t="shared" si="186"/>
        <v>0.32</v>
      </c>
      <c r="DQ83" s="672">
        <f t="shared" si="186"/>
        <v>0.32</v>
      </c>
      <c r="DR83" s="672">
        <f t="shared" si="186"/>
        <v>0.32</v>
      </c>
      <c r="DS83" s="733">
        <f t="shared" si="186"/>
        <v>0.32</v>
      </c>
      <c r="DT83" s="672">
        <f>DS83</f>
        <v>0.32</v>
      </c>
      <c r="DU83" s="672">
        <f>DT83</f>
        <v>0.32</v>
      </c>
      <c r="DV83" s="672">
        <v>0.2</v>
      </c>
      <c r="DW83" s="672">
        <v>0.2</v>
      </c>
      <c r="DX83" s="2255">
        <v>0.2</v>
      </c>
      <c r="DY83" s="672"/>
      <c r="DZ83" s="1561"/>
    </row>
    <row r="84" spans="1:136" s="2093" customFormat="1" ht="11.25" hidden="1" customHeight="1" outlineLevel="1">
      <c r="A84" s="1588"/>
      <c r="B84" s="2084"/>
      <c r="C84" s="2085"/>
      <c r="D84" s="2085"/>
      <c r="E84" s="2086"/>
      <c r="F84" s="1588"/>
      <c r="G84" s="1588"/>
      <c r="H84" s="2087"/>
      <c r="I84" s="2088"/>
      <c r="J84" s="1588"/>
      <c r="K84" s="1588"/>
      <c r="L84" s="1588"/>
      <c r="M84" s="2088"/>
      <c r="N84" s="1588"/>
      <c r="O84" s="1588"/>
      <c r="P84" s="1588"/>
      <c r="Q84" s="2088"/>
      <c r="R84" s="1588"/>
      <c r="S84" s="1588"/>
      <c r="T84" s="2089"/>
      <c r="U84" s="2088"/>
      <c r="V84" s="1588"/>
      <c r="W84" s="1588"/>
      <c r="X84" s="1588"/>
      <c r="Y84" s="2088"/>
      <c r="Z84" s="1588"/>
      <c r="AA84" s="1588"/>
      <c r="AB84" s="1588"/>
      <c r="AC84" s="2088"/>
      <c r="AD84" s="1588"/>
      <c r="AE84" s="1588"/>
      <c r="AF84" s="1588"/>
      <c r="AG84" s="1588"/>
      <c r="AH84" s="1670"/>
      <c r="AI84" s="1588"/>
      <c r="AJ84" s="1588"/>
      <c r="AK84" s="2088"/>
      <c r="AL84" s="1588"/>
      <c r="AM84" s="1588"/>
      <c r="AN84" s="1588"/>
      <c r="AO84" s="2088"/>
      <c r="AP84" s="1588"/>
      <c r="AQ84" s="1588"/>
      <c r="AR84" s="1588"/>
      <c r="AS84" s="1588"/>
      <c r="AT84" s="1670"/>
      <c r="AU84" s="1588"/>
      <c r="AV84" s="1588"/>
      <c r="AW84" s="1588"/>
      <c r="AX84" s="1670"/>
      <c r="AY84" s="1588"/>
      <c r="AZ84" s="1588"/>
      <c r="BA84" s="1588"/>
      <c r="BB84" s="1670"/>
      <c r="BC84" s="2094"/>
      <c r="BD84" s="1588"/>
      <c r="BE84" s="2088"/>
      <c r="BF84" s="1588"/>
      <c r="BG84" s="1588"/>
      <c r="BH84" s="1588"/>
      <c r="BI84" s="2088"/>
      <c r="BJ84" s="2090"/>
      <c r="BK84" s="1588"/>
      <c r="BL84" s="1588"/>
      <c r="BM84" s="2088"/>
      <c r="BN84" s="2090"/>
      <c r="BO84" s="1588"/>
      <c r="BP84" s="1588"/>
      <c r="BQ84" s="2088"/>
      <c r="BR84" s="2091"/>
      <c r="BS84" s="1588"/>
      <c r="BT84" s="1588"/>
      <c r="BU84" s="2088"/>
      <c r="BV84" s="2091"/>
      <c r="BW84" s="1588"/>
      <c r="BX84" s="1588"/>
      <c r="BY84" s="2088"/>
      <c r="BZ84" s="2091"/>
      <c r="CA84" s="1588"/>
      <c r="CB84" s="1588"/>
      <c r="CC84" s="2088"/>
      <c r="CD84" s="2092"/>
      <c r="CE84" s="1588"/>
      <c r="CF84" s="1588"/>
      <c r="CG84" s="1588"/>
      <c r="CH84" s="1588"/>
      <c r="CI84" s="1588"/>
      <c r="CJ84" s="1588"/>
      <c r="CK84" s="1588"/>
      <c r="CL84" s="1588"/>
      <c r="CM84" s="1588"/>
      <c r="CN84" s="1588"/>
      <c r="CO84" s="1588"/>
      <c r="CP84" s="1588"/>
      <c r="CQ84" s="1588"/>
      <c r="CR84" s="1588"/>
      <c r="CS84" s="1588"/>
      <c r="CT84" s="1588"/>
      <c r="CU84" s="1588"/>
      <c r="CV84" s="1588"/>
      <c r="CW84" s="1588"/>
      <c r="CX84" s="1588"/>
      <c r="CY84" s="1588"/>
      <c r="CZ84" s="1588"/>
      <c r="DA84" s="1588"/>
      <c r="DB84" s="1588"/>
      <c r="DC84" s="1588"/>
      <c r="DD84" s="2088"/>
      <c r="DE84" s="1588"/>
      <c r="DF84" s="2089"/>
      <c r="DG84" s="2090"/>
      <c r="DH84" s="2089"/>
      <c r="DI84" s="2089"/>
      <c r="DJ84" s="2089"/>
      <c r="DK84" s="2089"/>
      <c r="DL84" s="1588"/>
      <c r="DM84" s="1588"/>
      <c r="DN84" s="1588"/>
      <c r="DO84" s="1588"/>
      <c r="DP84" s="1588"/>
      <c r="DQ84" s="1588"/>
      <c r="DR84" s="1588"/>
      <c r="DS84" s="1670"/>
      <c r="DT84" s="1588"/>
      <c r="DU84" s="1588"/>
      <c r="DV84" s="1588"/>
      <c r="DW84" s="1588"/>
      <c r="DX84" s="2256"/>
      <c r="DY84" s="1588"/>
      <c r="DZ84" s="1588"/>
      <c r="EA84"/>
      <c r="EB84"/>
      <c r="EC84"/>
      <c r="ED84"/>
      <c r="EE84"/>
      <c r="EF84"/>
    </row>
    <row r="85" spans="1:136" ht="11.25" hidden="1" customHeight="1" outlineLevel="1">
      <c r="A85" s="49"/>
      <c r="B85" s="209" t="s">
        <v>300</v>
      </c>
      <c r="C85" s="188"/>
      <c r="D85" s="188"/>
      <c r="E85" s="198"/>
      <c r="F85" s="505">
        <f t="shared" ref="F85:S85" si="187">F78-F81</f>
        <v>-37.22000000000002</v>
      </c>
      <c r="G85" s="505">
        <f t="shared" si="187"/>
        <v>2.838000000000052</v>
      </c>
      <c r="H85" s="1088">
        <f t="shared" si="187"/>
        <v>1.0369999999999568</v>
      </c>
      <c r="I85" s="506">
        <f t="shared" si="187"/>
        <v>-41.325999999999986</v>
      </c>
      <c r="J85" s="505">
        <f t="shared" si="187"/>
        <v>-0.55699999999998884</v>
      </c>
      <c r="K85" s="505">
        <f t="shared" si="187"/>
        <v>15.444999999999933</v>
      </c>
      <c r="L85" s="505">
        <f t="shared" si="187"/>
        <v>17.559714340718148</v>
      </c>
      <c r="M85" s="506">
        <f t="shared" si="187"/>
        <v>16.20799999999997</v>
      </c>
      <c r="N85" s="505">
        <f t="shared" si="187"/>
        <v>22.215278737041611</v>
      </c>
      <c r="O85" s="505">
        <f t="shared" si="187"/>
        <v>73.038401891764636</v>
      </c>
      <c r="P85" s="505">
        <f t="shared" si="187"/>
        <v>54.501534776115619</v>
      </c>
      <c r="Q85" s="506">
        <f t="shared" si="187"/>
        <v>45.071365616533512</v>
      </c>
      <c r="R85" s="505">
        <f t="shared" si="187"/>
        <v>5.0248834503210329</v>
      </c>
      <c r="S85" s="505">
        <f t="shared" si="187"/>
        <v>68.800000000000068</v>
      </c>
      <c r="T85" s="602">
        <f t="shared" ref="T85:AF85" si="188">T78-T81</f>
        <v>47.89097677325644</v>
      </c>
      <c r="U85" s="506">
        <f t="shared" si="188"/>
        <v>29.600184742957552</v>
      </c>
      <c r="V85" s="505">
        <f t="shared" si="188"/>
        <v>30.400000000000016</v>
      </c>
      <c r="W85" s="505">
        <f t="shared" si="188"/>
        <v>56.025081087970925</v>
      </c>
      <c r="X85" s="505">
        <f t="shared" si="188"/>
        <v>70.795537108473852</v>
      </c>
      <c r="Y85" s="506">
        <f t="shared" si="188"/>
        <v>60.067057114279791</v>
      </c>
      <c r="Z85" s="505">
        <f t="shared" si="188"/>
        <v>68.804952461412199</v>
      </c>
      <c r="AA85" s="505">
        <f t="shared" si="188"/>
        <v>104.26742626372697</v>
      </c>
      <c r="AB85" s="505">
        <f t="shared" si="188"/>
        <v>102.86998165864213</v>
      </c>
      <c r="AC85" s="506">
        <f>AC78-AC81</f>
        <v>84.920633982265954</v>
      </c>
      <c r="AD85" s="505">
        <f t="shared" si="188"/>
        <v>102.99883343612146</v>
      </c>
      <c r="AE85" s="505">
        <f t="shared" si="188"/>
        <v>131.97001149535686</v>
      </c>
      <c r="AF85" s="505">
        <f t="shared" si="188"/>
        <v>123.02977342464601</v>
      </c>
      <c r="AG85" s="505">
        <f>AG78-AG81</f>
        <v>87.83800996631129</v>
      </c>
      <c r="AH85" s="507">
        <f>AH78-AH81</f>
        <v>177.64826084091453</v>
      </c>
      <c r="AI85" s="49">
        <f>AI78-AI81</f>
        <v>305.30360848767646</v>
      </c>
      <c r="AJ85" s="49">
        <f t="shared" ref="AJ85:AR85" si="189">AJ78-AJ81</f>
        <v>279.60684184863976</v>
      </c>
      <c r="AK85" s="50">
        <f>AK78-AK81</f>
        <v>228.0649197251787</v>
      </c>
      <c r="AL85" s="49">
        <f t="shared" si="189"/>
        <v>210.98976037078137</v>
      </c>
      <c r="AM85" s="49">
        <f t="shared" si="189"/>
        <v>91.787725256349859</v>
      </c>
      <c r="AN85" s="49">
        <f t="shared" si="189"/>
        <v>67.892006935091558</v>
      </c>
      <c r="AO85" s="50">
        <f t="shared" si="189"/>
        <v>173.18657194384241</v>
      </c>
      <c r="AP85" s="49">
        <f t="shared" si="189"/>
        <v>288.94885115999978</v>
      </c>
      <c r="AQ85" s="49">
        <f t="shared" si="189"/>
        <v>429.94007525000006</v>
      </c>
      <c r="AR85" s="49">
        <f t="shared" si="189"/>
        <v>400.83925150000005</v>
      </c>
      <c r="AS85" s="49">
        <f>AS78-AS81</f>
        <v>293.76533969848873</v>
      </c>
      <c r="AT85" s="48">
        <f t="shared" ref="AT85:BA85" si="190">AT78-AT81</f>
        <v>206.97132884299981</v>
      </c>
      <c r="AU85" s="49">
        <f>AU78-AU81</f>
        <v>225.58216772499964</v>
      </c>
      <c r="AV85" s="49">
        <f t="shared" si="190"/>
        <v>156.05312178269969</v>
      </c>
      <c r="AW85" s="49">
        <f t="shared" si="190"/>
        <v>194.31393374718755</v>
      </c>
      <c r="AX85" s="48">
        <f t="shared" si="190"/>
        <v>260.43461406480401</v>
      </c>
      <c r="AY85" s="49">
        <f t="shared" si="190"/>
        <v>358.37867133650047</v>
      </c>
      <c r="AZ85" s="49">
        <f t="shared" si="190"/>
        <v>619.17196134369033</v>
      </c>
      <c r="BA85" s="49">
        <f t="shared" si="190"/>
        <v>872.10029102005683</v>
      </c>
      <c r="BB85" s="48">
        <f t="shared" ref="BB85:BH85" si="191">BB78-BB81</f>
        <v>593.90000000000009</v>
      </c>
      <c r="BC85" s="2095">
        <f>BC78-BC81</f>
        <v>513.05549999999994</v>
      </c>
      <c r="BD85" s="49">
        <f t="shared" si="191"/>
        <v>513.72000000000025</v>
      </c>
      <c r="BE85" s="50">
        <f>BE78-BE81</f>
        <v>477.23799999999983</v>
      </c>
      <c r="BF85" s="49">
        <f t="shared" si="191"/>
        <v>514.07020000000011</v>
      </c>
      <c r="BG85" s="49">
        <f t="shared" si="191"/>
        <v>531.82400000000007</v>
      </c>
      <c r="BH85" s="49">
        <f t="shared" si="191"/>
        <v>470.00799999999981</v>
      </c>
      <c r="BI85" s="50">
        <f>BI78-BI81</f>
        <v>445.30999999999995</v>
      </c>
      <c r="BJ85" s="36">
        <f t="shared" ref="BJ85:BP85" si="192">BJ78-BJ81</f>
        <v>549.19399999999996</v>
      </c>
      <c r="BK85" s="49">
        <f t="shared" si="192"/>
        <v>590.904</v>
      </c>
      <c r="BL85" s="49">
        <f t="shared" si="192"/>
        <v>470.89599999999996</v>
      </c>
      <c r="BM85" s="50">
        <f>BM78-BM81</f>
        <v>391.98249999999985</v>
      </c>
      <c r="BN85" s="36">
        <f>BN78-BN81</f>
        <v>412.22499999999991</v>
      </c>
      <c r="BO85" s="49">
        <f>BO78-BO81</f>
        <v>403.21249999999998</v>
      </c>
      <c r="BP85" s="49">
        <f t="shared" si="192"/>
        <v>317.25999999999988</v>
      </c>
      <c r="BQ85" s="50">
        <f>BQ78-BQ81</f>
        <v>268.73</v>
      </c>
      <c r="BR85" s="1427">
        <f t="shared" ref="BR85:BY85" si="193">BR78-BR81</f>
        <v>447.55600000000004</v>
      </c>
      <c r="BS85" s="49">
        <f t="shared" si="193"/>
        <v>674.85299999999984</v>
      </c>
      <c r="BT85" s="49">
        <f t="shared" si="193"/>
        <v>716.07600000000002</v>
      </c>
      <c r="BU85" s="50">
        <f t="shared" si="193"/>
        <v>881.07699999999977</v>
      </c>
      <c r="BV85" s="1427">
        <f t="shared" si="193"/>
        <v>1088.8649999999998</v>
      </c>
      <c r="BW85" s="49">
        <f t="shared" si="193"/>
        <v>1208.3600000000001</v>
      </c>
      <c r="BX85" s="49">
        <f t="shared" si="193"/>
        <v>1002.8418663689997</v>
      </c>
      <c r="BY85" s="50">
        <f t="shared" si="193"/>
        <v>901.03341067384486</v>
      </c>
      <c r="BZ85" s="1427">
        <f>BZ78-BZ81</f>
        <v>957.19150366399299</v>
      </c>
      <c r="CA85" s="49">
        <f>CA78-CA81</f>
        <v>876.8225461503547</v>
      </c>
      <c r="CB85" s="49">
        <f>CB78-CB81</f>
        <v>712.19404159051226</v>
      </c>
      <c r="CC85" s="50">
        <f>CC78-CC81</f>
        <v>663.88813011965897</v>
      </c>
      <c r="CD85" s="12"/>
      <c r="CE85" s="49">
        <f t="shared" ref="CE85:CJ85" si="194">CE78-CE81</f>
        <v>-74.671000000000163</v>
      </c>
      <c r="CF85" s="49">
        <f t="shared" si="194"/>
        <v>48.655714340718234</v>
      </c>
      <c r="CG85" s="49">
        <f t="shared" si="194"/>
        <v>194.82658102145598</v>
      </c>
      <c r="CH85" s="49">
        <f t="shared" si="194"/>
        <v>151.31604496653452</v>
      </c>
      <c r="CI85" s="49">
        <f t="shared" si="194"/>
        <v>217.28767531072438</v>
      </c>
      <c r="CJ85" s="49">
        <f t="shared" si="194"/>
        <v>360.86299436604759</v>
      </c>
      <c r="CK85" s="49">
        <f t="shared" ref="CK85:CP85" si="195">CK78-CK81</f>
        <v>445.83662832243539</v>
      </c>
      <c r="CL85" s="49">
        <f t="shared" si="195"/>
        <v>990.62363090240967</v>
      </c>
      <c r="CM85" s="49">
        <f t="shared" si="195"/>
        <v>543.8560645060661</v>
      </c>
      <c r="CN85" s="49">
        <f t="shared" si="195"/>
        <v>1413.4935176084884</v>
      </c>
      <c r="CO85" s="49">
        <f>CO78-CO81</f>
        <v>782.92055209788668</v>
      </c>
      <c r="CP85" s="49">
        <f t="shared" si="195"/>
        <v>2110.0855377650514</v>
      </c>
      <c r="CQ85" s="49">
        <f t="shared" ref="CQ85:CV85" si="196">CQ78-CQ81</f>
        <v>2097.9135000000006</v>
      </c>
      <c r="CR85" s="49">
        <f t="shared" si="196"/>
        <v>1961.2121999999999</v>
      </c>
      <c r="CS85" s="49">
        <f t="shared" si="196"/>
        <v>2002.9764999999998</v>
      </c>
      <c r="CT85" s="49">
        <f t="shared" si="196"/>
        <v>1401.4274999999998</v>
      </c>
      <c r="CU85" s="49">
        <f t="shared" si="196"/>
        <v>2719.5619999999999</v>
      </c>
      <c r="CV85" s="49">
        <f t="shared" si="196"/>
        <v>4201.100277042844</v>
      </c>
      <c r="CW85" s="49">
        <f t="shared" ref="CW85:DC85" si="197">CW78-CW81</f>
        <v>3210.0962215245167</v>
      </c>
      <c r="CX85" s="49">
        <f t="shared" si="197"/>
        <v>3539.9520940646489</v>
      </c>
      <c r="CY85" s="49">
        <f t="shared" si="197"/>
        <v>3686.0463633356276</v>
      </c>
      <c r="CZ85" s="49">
        <f t="shared" si="197"/>
        <v>3913.3604222752533</v>
      </c>
      <c r="DA85" s="49">
        <f t="shared" si="197"/>
        <v>3935.0840380490326</v>
      </c>
      <c r="DB85" s="49">
        <f t="shared" si="197"/>
        <v>4146.06318536872</v>
      </c>
      <c r="DC85" s="49">
        <f t="shared" si="197"/>
        <v>4382.4865510555992</v>
      </c>
      <c r="DD85" s="1508"/>
      <c r="DE85" s="1553"/>
      <c r="DF85" s="30"/>
      <c r="DG85" s="36"/>
      <c r="DH85" s="30"/>
      <c r="DI85" s="30"/>
      <c r="DJ85" s="30"/>
      <c r="DK85" s="30"/>
      <c r="DL85" s="49">
        <f t="shared" ref="DL85:DR85" si="198">DL78-DL81</f>
        <v>422.75946057238639</v>
      </c>
      <c r="DM85" s="49">
        <f t="shared" si="198"/>
        <v>693.81965271954823</v>
      </c>
      <c r="DN85" s="49">
        <f t="shared" si="198"/>
        <v>810.44924720094969</v>
      </c>
      <c r="DO85" s="49">
        <f t="shared" si="198"/>
        <v>959.96750528893381</v>
      </c>
      <c r="DP85" s="49">
        <f t="shared" si="198"/>
        <v>1127.1580877664883</v>
      </c>
      <c r="DQ85" s="49">
        <f t="shared" si="198"/>
        <v>969.18034093119172</v>
      </c>
      <c r="DR85" s="49">
        <f t="shared" si="198"/>
        <v>2598.2277523637472</v>
      </c>
      <c r="DS85" s="48">
        <f t="shared" ref="DS85:DZ85" si="199">DS78-DS81</f>
        <v>2036.8522000000003</v>
      </c>
      <c r="DT85" s="49">
        <f t="shared" si="199"/>
        <v>2055.4159999999997</v>
      </c>
      <c r="DU85" s="49">
        <f t="shared" si="199"/>
        <v>1678.3159999999998</v>
      </c>
      <c r="DV85" s="49">
        <f t="shared" si="199"/>
        <v>1708.3989999999997</v>
      </c>
      <c r="DW85" s="49">
        <f t="shared" si="199"/>
        <v>3894.3779999999997</v>
      </c>
      <c r="DX85" s="2257">
        <f t="shared" ref="DX85" si="200">DX78-DX81</f>
        <v>3737.8893268571924</v>
      </c>
      <c r="DY85" s="49"/>
      <c r="DZ85" s="1553">
        <f t="shared" si="199"/>
        <v>-2108.9944743606693</v>
      </c>
    </row>
    <row r="86" spans="1:136" ht="11.25" hidden="1" customHeight="1" outlineLevel="1">
      <c r="A86" s="402"/>
      <c r="B86" s="397"/>
      <c r="C86" s="398" t="s">
        <v>271</v>
      </c>
      <c r="D86" s="398"/>
      <c r="E86" s="399"/>
      <c r="F86" s="400">
        <f t="shared" ref="F86:AK86" si="201">F85/F11</f>
        <v>-8.7707309256632296E-2</v>
      </c>
      <c r="G86" s="400">
        <f t="shared" si="201"/>
        <v>5.0536887654255959E-3</v>
      </c>
      <c r="H86" s="400">
        <f t="shared" si="201"/>
        <v>2.0264869861232673E-3</v>
      </c>
      <c r="I86" s="401">
        <f t="shared" si="201"/>
        <v>-9.0680288677800341E-2</v>
      </c>
      <c r="J86" s="400">
        <f t="shared" si="201"/>
        <v>-1.2632018197363125E-3</v>
      </c>
      <c r="K86" s="400">
        <f t="shared" si="201"/>
        <v>2.6876294221031084E-2</v>
      </c>
      <c r="L86" s="400">
        <f t="shared" si="201"/>
        <v>2.9518737420330055E-2</v>
      </c>
      <c r="M86" s="401">
        <f t="shared" si="201"/>
        <v>2.9977509469696913E-2</v>
      </c>
      <c r="N86" s="400">
        <f t="shared" si="201"/>
        <v>3.8111039826256098E-2</v>
      </c>
      <c r="O86" s="400">
        <f t="shared" si="201"/>
        <v>9.7451010192299528E-2</v>
      </c>
      <c r="P86" s="400">
        <f t="shared" si="201"/>
        <v>7.7215300795957426E-2</v>
      </c>
      <c r="Q86" s="401">
        <f t="shared" si="201"/>
        <v>6.6255856408702768E-2</v>
      </c>
      <c r="R86" s="400">
        <f t="shared" si="201"/>
        <v>7.035435990477565E-3</v>
      </c>
      <c r="S86" s="400">
        <f t="shared" si="201"/>
        <v>8.2413290988582244E-2</v>
      </c>
      <c r="T86" s="916">
        <f t="shared" si="201"/>
        <v>6.3949197224413223E-2</v>
      </c>
      <c r="U86" s="401">
        <f t="shared" si="201"/>
        <v>3.9530507793697343E-2</v>
      </c>
      <c r="V86" s="400">
        <f t="shared" si="201"/>
        <v>3.691217532074563E-2</v>
      </c>
      <c r="W86" s="400">
        <f t="shared" si="201"/>
        <v>5.8669608954181093E-2</v>
      </c>
      <c r="X86" s="400">
        <f t="shared" si="201"/>
        <v>7.6960409364531635E-2</v>
      </c>
      <c r="Y86" s="401">
        <f t="shared" si="201"/>
        <v>6.3876181816288402E-2</v>
      </c>
      <c r="Z86" s="400">
        <f t="shared" si="201"/>
        <v>6.8130126794324425E-2</v>
      </c>
      <c r="AA86" s="400">
        <f t="shared" si="201"/>
        <v>9.3340315734093043E-2</v>
      </c>
      <c r="AB86" s="400">
        <f t="shared" si="201"/>
        <v>9.1134583068449848E-2</v>
      </c>
      <c r="AC86" s="401">
        <f t="shared" si="201"/>
        <v>7.8230326834720768E-2</v>
      </c>
      <c r="AD86" s="400">
        <f t="shared" si="201"/>
        <v>8.1486494062754766E-2</v>
      </c>
      <c r="AE86" s="400">
        <f t="shared" si="201"/>
        <v>9.241791524540427E-2</v>
      </c>
      <c r="AF86" s="400">
        <f t="shared" si="201"/>
        <v>8.7253316024550526E-2</v>
      </c>
      <c r="AG86" s="400">
        <f t="shared" si="201"/>
        <v>6.4269781453827224E-2</v>
      </c>
      <c r="AH86" s="941">
        <f t="shared" si="201"/>
        <v>0.10059423011334491</v>
      </c>
      <c r="AI86" s="400">
        <f t="shared" si="201"/>
        <v>0.13851599684878582</v>
      </c>
      <c r="AJ86" s="400">
        <f t="shared" si="201"/>
        <v>0.13245063317327896</v>
      </c>
      <c r="AK86" s="401">
        <f t="shared" si="201"/>
        <v>0.11442924787248089</v>
      </c>
      <c r="AL86" s="400">
        <f t="shared" ref="AL86:BQ86" si="202">AL85/AL11</f>
        <v>0.1000430463605889</v>
      </c>
      <c r="AM86" s="400">
        <f t="shared" si="202"/>
        <v>5.035568540678053E-2</v>
      </c>
      <c r="AN86" s="400">
        <f t="shared" si="202"/>
        <v>4.2648626062144562E-2</v>
      </c>
      <c r="AO86" s="401">
        <f t="shared" si="202"/>
        <v>8.9818368442038082E-2</v>
      </c>
      <c r="AP86" s="400">
        <f t="shared" si="202"/>
        <v>0.13086451592391293</v>
      </c>
      <c r="AQ86" s="400">
        <f t="shared" si="202"/>
        <v>0.16416192258495613</v>
      </c>
      <c r="AR86" s="400">
        <f t="shared" si="202"/>
        <v>0.15177555906853465</v>
      </c>
      <c r="AS86" s="400">
        <f t="shared" si="202"/>
        <v>0.12332717871473078</v>
      </c>
      <c r="AT86" s="941">
        <f t="shared" si="202"/>
        <v>8.458166278831214E-2</v>
      </c>
      <c r="AU86" s="400">
        <f t="shared" si="202"/>
        <v>9.1144310191919042E-2</v>
      </c>
      <c r="AV86" s="400">
        <f t="shared" si="202"/>
        <v>6.9295347150399506E-2</v>
      </c>
      <c r="AW86" s="400">
        <f t="shared" si="202"/>
        <v>8.086306023603311E-2</v>
      </c>
      <c r="AX86" s="941">
        <f t="shared" si="202"/>
        <v>9.6672091338086116E-2</v>
      </c>
      <c r="AY86" s="400">
        <f t="shared" si="202"/>
        <v>0.17963843174761929</v>
      </c>
      <c r="AZ86" s="400">
        <f t="shared" si="202"/>
        <v>0.20401053092049104</v>
      </c>
      <c r="BA86" s="400">
        <f t="shared" si="202"/>
        <v>0.18344558077830392</v>
      </c>
      <c r="BB86" s="941">
        <f t="shared" si="202"/>
        <v>0.14718711276332097</v>
      </c>
      <c r="BC86" s="400">
        <f t="shared" si="202"/>
        <v>0.13416723326359831</v>
      </c>
      <c r="BD86" s="400">
        <f t="shared" si="202"/>
        <v>0.13648246546227424</v>
      </c>
      <c r="BE86" s="401">
        <f t="shared" si="202"/>
        <v>0.12801448497854073</v>
      </c>
      <c r="BF86" s="400">
        <f t="shared" si="202"/>
        <v>0.13513937960042063</v>
      </c>
      <c r="BG86" s="400">
        <f t="shared" si="202"/>
        <v>0.13389325276938571</v>
      </c>
      <c r="BH86" s="400">
        <f t="shared" si="202"/>
        <v>0.12692627599243853</v>
      </c>
      <c r="BI86" s="401">
        <f t="shared" si="202"/>
        <v>0.12196932347302107</v>
      </c>
      <c r="BJ86" s="941">
        <f t="shared" si="202"/>
        <v>0.13928328683743341</v>
      </c>
      <c r="BK86" s="400">
        <f t="shared" si="202"/>
        <v>0.15198148148148147</v>
      </c>
      <c r="BL86" s="400">
        <f t="shared" si="202"/>
        <v>0.13264676056338026</v>
      </c>
      <c r="BM86" s="401">
        <f t="shared" si="202"/>
        <v>0.12284001880288306</v>
      </c>
      <c r="BN86" s="941">
        <f t="shared" si="202"/>
        <v>0.12268601190476187</v>
      </c>
      <c r="BO86" s="400">
        <f t="shared" si="202"/>
        <v>0.12155939101597829</v>
      </c>
      <c r="BP86" s="400">
        <f t="shared" si="202"/>
        <v>0.1124238128986534</v>
      </c>
      <c r="BQ86" s="401">
        <f t="shared" si="202"/>
        <v>7.6889842632331909E-2</v>
      </c>
      <c r="BR86" s="1418">
        <f t="shared" ref="BR86:BY86" si="203">BR85/BR11</f>
        <v>9.4941875265167591E-2</v>
      </c>
      <c r="BS86" s="400">
        <f t="shared" si="203"/>
        <v>0.13806321603927985</v>
      </c>
      <c r="BT86" s="400">
        <f t="shared" si="203"/>
        <v>0.15402796300279631</v>
      </c>
      <c r="BU86" s="401">
        <f t="shared" si="203"/>
        <v>0.18196551011978518</v>
      </c>
      <c r="BV86" s="1418">
        <f t="shared" si="203"/>
        <v>0.21016502605674575</v>
      </c>
      <c r="BW86" s="400">
        <f t="shared" si="203"/>
        <v>0.22645427286356823</v>
      </c>
      <c r="BX86" s="400">
        <f t="shared" si="203"/>
        <v>0.20428228028560802</v>
      </c>
      <c r="BY86" s="401">
        <f t="shared" si="203"/>
        <v>0.18335968842396447</v>
      </c>
      <c r="BZ86" s="1418">
        <f>BZ85/BZ11</f>
        <v>0.18877612913530631</v>
      </c>
      <c r="CA86" s="400">
        <f>CA85/CA11</f>
        <v>0.17571215612631</v>
      </c>
      <c r="CB86" s="400">
        <f>CB85/CB11</f>
        <v>0.15369232848885836</v>
      </c>
      <c r="CC86" s="401">
        <f>CC85/CC11</f>
        <v>0.15136062213555432</v>
      </c>
      <c r="CD86" s="766"/>
      <c r="CE86" s="400">
        <f t="shared" ref="CE86:DA86" si="204">CE85/CE11</f>
        <v>-3.8226326308288434E-2</v>
      </c>
      <c r="CF86" s="400">
        <f t="shared" si="204"/>
        <v>2.2618448534500582E-2</v>
      </c>
      <c r="CG86" s="400">
        <f t="shared" si="204"/>
        <v>7.1666979111775497E-2</v>
      </c>
      <c r="CH86" s="400">
        <f t="shared" si="204"/>
        <v>4.9665129099901346E-2</v>
      </c>
      <c r="CI86" s="400">
        <f t="shared" si="204"/>
        <v>5.9714690234864871E-2</v>
      </c>
      <c r="CJ86" s="400">
        <f t="shared" si="204"/>
        <v>8.3123965268716515E-2</v>
      </c>
      <c r="CK86" s="400">
        <f t="shared" si="204"/>
        <v>8.1525062109775337E-2</v>
      </c>
      <c r="CL86" s="400">
        <f t="shared" si="204"/>
        <v>0.12269024807311225</v>
      </c>
      <c r="CM86" s="400">
        <f t="shared" si="204"/>
        <v>7.2982631414005267E-2</v>
      </c>
      <c r="CN86" s="400">
        <f t="shared" si="204"/>
        <v>0.14350187996025263</v>
      </c>
      <c r="CO86" s="400">
        <f t="shared" si="204"/>
        <v>8.1750083752520269E-2</v>
      </c>
      <c r="CP86" s="400">
        <f t="shared" si="204"/>
        <v>0.16910446688291805</v>
      </c>
      <c r="CQ86" s="400">
        <f t="shared" si="204"/>
        <v>0.13666298612468247</v>
      </c>
      <c r="CR86" s="400">
        <f t="shared" si="204"/>
        <v>0.12962407138136153</v>
      </c>
      <c r="CS86" s="400">
        <f t="shared" si="204"/>
        <v>0.13745378122426569</v>
      </c>
      <c r="CT86" s="400">
        <f t="shared" si="204"/>
        <v>0.10785189318146836</v>
      </c>
      <c r="CU86" s="400">
        <f t="shared" si="204"/>
        <v>0.14243764730529512</v>
      </c>
      <c r="CV86" s="400">
        <f t="shared" si="204"/>
        <v>0.20654255194431814</v>
      </c>
      <c r="CW86" s="400">
        <f>CW85/CW11</f>
        <v>0.16823831931624836</v>
      </c>
      <c r="CX86" s="400">
        <f t="shared" si="204"/>
        <v>0.17291603959516053</v>
      </c>
      <c r="CY86" s="400">
        <f t="shared" si="204"/>
        <v>0.17375335356645225</v>
      </c>
      <c r="CZ86" s="400">
        <f t="shared" si="204"/>
        <v>0.17770443310915179</v>
      </c>
      <c r="DA86" s="400">
        <f t="shared" si="204"/>
        <v>0.17077586485977064</v>
      </c>
      <c r="DB86" s="400">
        <f>DB85/DB11</f>
        <v>0.17133100602150911</v>
      </c>
      <c r="DC86" s="400">
        <f>DC85/DC11</f>
        <v>0.17180013429530822</v>
      </c>
      <c r="DD86" s="1512"/>
      <c r="DE86" s="1555"/>
      <c r="DF86" s="29"/>
      <c r="DG86" s="1283"/>
      <c r="DH86" s="731"/>
      <c r="DI86" s="731"/>
      <c r="DJ86" s="731"/>
      <c r="DK86" s="731"/>
      <c r="DL86" s="400">
        <f t="shared" ref="DL86:DW86" si="205">DL85/DL11</f>
        <v>8.6167367211163637E-2</v>
      </c>
      <c r="DM86" s="400">
        <f t="shared" si="205"/>
        <v>0.10283639585037239</v>
      </c>
      <c r="DN86" s="400">
        <f t="shared" si="205"/>
        <v>0.10085396144085408</v>
      </c>
      <c r="DO86" s="400">
        <f t="shared" si="205"/>
        <v>0.11500640568042472</v>
      </c>
      <c r="DP86" s="400">
        <f t="shared" si="205"/>
        <v>0.113339174234941</v>
      </c>
      <c r="DQ86" s="400">
        <f t="shared" si="205"/>
        <v>0.10372221114417719</v>
      </c>
      <c r="DR86" s="400">
        <f t="shared" si="205"/>
        <v>0.16604216208868527</v>
      </c>
      <c r="DS86" s="941">
        <f t="shared" si="205"/>
        <v>0.13340661514278232</v>
      </c>
      <c r="DT86" s="400">
        <f t="shared" si="205"/>
        <v>0.135358314125782</v>
      </c>
      <c r="DU86" s="400">
        <f t="shared" si="205"/>
        <v>0.125079445520942</v>
      </c>
      <c r="DV86" s="400">
        <f t="shared" si="205"/>
        <v>0.10731823607010489</v>
      </c>
      <c r="DW86" s="400">
        <f t="shared" si="205"/>
        <v>0.19464104358256695</v>
      </c>
      <c r="DX86" s="2253">
        <f t="shared" ref="DX86" si="206">DX85/DX11</f>
        <v>0.18798724788062932</v>
      </c>
      <c r="DY86" s="400"/>
      <c r="DZ86" s="1555">
        <f>DZ85/DZ11</f>
        <v>-0.10724178760988851</v>
      </c>
    </row>
    <row r="87" spans="1:136" ht="11.25" hidden="1" customHeight="1" outlineLevel="1" collapsed="1">
      <c r="A87" s="145"/>
      <c r="B87" s="227"/>
      <c r="C87" s="145"/>
      <c r="D87" s="145"/>
      <c r="E87" s="228"/>
      <c r="F87" s="547"/>
      <c r="G87" s="547"/>
      <c r="H87" s="547"/>
      <c r="I87" s="626"/>
      <c r="J87" s="547"/>
      <c r="K87" s="547"/>
      <c r="L87" s="547"/>
      <c r="M87" s="626"/>
      <c r="N87" s="547"/>
      <c r="O87" s="547"/>
      <c r="P87" s="547"/>
      <c r="Q87" s="626"/>
      <c r="R87" s="547"/>
      <c r="S87" s="547"/>
      <c r="T87" s="146"/>
      <c r="U87" s="626"/>
      <c r="V87" s="547"/>
      <c r="W87" s="547"/>
      <c r="X87" s="547"/>
      <c r="Y87" s="626"/>
      <c r="Z87" s="547"/>
      <c r="AA87" s="547"/>
      <c r="AB87" s="547"/>
      <c r="AC87" s="626"/>
      <c r="AD87" s="547"/>
      <c r="AE87" s="547"/>
      <c r="AF87" s="547"/>
      <c r="AG87" s="547"/>
      <c r="AH87" s="693"/>
      <c r="AI87" s="145"/>
      <c r="AJ87" s="145"/>
      <c r="AK87" s="228"/>
      <c r="AL87" s="145"/>
      <c r="AM87" s="145"/>
      <c r="AN87" s="145"/>
      <c r="AO87" s="228"/>
      <c r="AP87" s="145"/>
      <c r="AQ87" s="145"/>
      <c r="AR87" s="145"/>
      <c r="AS87" s="145"/>
      <c r="AT87" s="227"/>
      <c r="AU87" s="145"/>
      <c r="AV87" s="145"/>
      <c r="AW87" s="145"/>
      <c r="AX87" s="227"/>
      <c r="AY87" s="145"/>
      <c r="AZ87" s="145"/>
      <c r="BA87" s="145"/>
      <c r="BB87" s="227"/>
      <c r="BC87" s="145"/>
      <c r="BD87" s="145"/>
      <c r="BE87" s="228"/>
      <c r="BF87" s="201"/>
      <c r="BG87" s="201"/>
      <c r="BH87" s="201"/>
      <c r="BI87" s="202"/>
      <c r="BJ87" s="207"/>
      <c r="BK87" s="201"/>
      <c r="BL87" s="201"/>
      <c r="BM87" s="202"/>
      <c r="BN87" s="1419"/>
      <c r="BO87" s="201"/>
      <c r="BP87" s="201"/>
      <c r="BQ87" s="202"/>
      <c r="BR87" s="1419"/>
      <c r="BS87" s="201"/>
      <c r="BT87" s="201"/>
      <c r="BU87" s="202"/>
      <c r="BV87" s="1419"/>
      <c r="BW87" s="201"/>
      <c r="BX87" s="201"/>
      <c r="BY87" s="202"/>
      <c r="BZ87" s="1419"/>
      <c r="CA87" s="201"/>
      <c r="CB87" s="201"/>
      <c r="CC87" s="202"/>
      <c r="CD87" s="228"/>
      <c r="CE87" s="145"/>
      <c r="CF87" s="145"/>
      <c r="CG87" s="145"/>
      <c r="CH87" s="145"/>
      <c r="CI87" s="145"/>
      <c r="CJ87" s="145"/>
      <c r="CK87" s="145"/>
      <c r="CL87" s="145"/>
      <c r="CM87" s="145"/>
      <c r="CN87" s="145"/>
      <c r="CO87" s="145"/>
      <c r="CP87" s="145"/>
      <c r="CQ87" s="145"/>
      <c r="CR87" s="145"/>
      <c r="CS87" s="201"/>
      <c r="CU87" s="201"/>
      <c r="CV87" s="201"/>
      <c r="CW87" s="201"/>
      <c r="CX87" s="201"/>
      <c r="CY87" s="201"/>
      <c r="CZ87" s="201"/>
      <c r="DA87" s="201"/>
      <c r="DB87" s="201"/>
      <c r="DC87" s="201"/>
      <c r="DD87" s="1505"/>
      <c r="DE87" s="1551"/>
      <c r="DF87" s="141"/>
      <c r="DG87" s="215"/>
      <c r="DH87" s="141"/>
      <c r="DI87" s="141"/>
      <c r="DJ87" s="141"/>
      <c r="DK87" s="141"/>
      <c r="DL87" s="641"/>
      <c r="DM87" s="641"/>
      <c r="DN87" s="641"/>
      <c r="DO87" s="641"/>
      <c r="DP87" s="141"/>
      <c r="DQ87" s="141"/>
      <c r="DR87" s="141"/>
      <c r="DS87" s="215"/>
      <c r="DT87" s="141"/>
      <c r="DU87" s="141"/>
      <c r="DV87" s="141"/>
      <c r="DW87" s="141"/>
      <c r="DX87" s="2241"/>
      <c r="DY87" s="141"/>
      <c r="DZ87" s="1676"/>
    </row>
    <row r="88" spans="1:136" ht="11.25" hidden="1" customHeight="1" outlineLevel="1">
      <c r="A88" s="49"/>
      <c r="B88" s="209" t="s">
        <v>310</v>
      </c>
      <c r="C88" s="188"/>
      <c r="D88" s="188"/>
      <c r="E88" s="198"/>
      <c r="F88" s="602">
        <f t="shared" ref="F88:AG88" si="207">F89+F96</f>
        <v>0</v>
      </c>
      <c r="G88" s="602">
        <f t="shared" si="207"/>
        <v>-0.74900000000000055</v>
      </c>
      <c r="H88" s="602">
        <f>H89+H96</f>
        <v>6.7850000000000001</v>
      </c>
      <c r="I88" s="603">
        <f t="shared" si="207"/>
        <v>17.116</v>
      </c>
      <c r="J88" s="602">
        <f t="shared" si="207"/>
        <v>-21.074999999999999</v>
      </c>
      <c r="K88" s="602">
        <f t="shared" si="207"/>
        <v>2.851</v>
      </c>
      <c r="L88" s="602">
        <f t="shared" si="207"/>
        <v>-1.6380000000000001</v>
      </c>
      <c r="M88" s="603">
        <f t="shared" si="207"/>
        <v>3.09</v>
      </c>
      <c r="N88" s="602">
        <f t="shared" si="207"/>
        <v>0</v>
      </c>
      <c r="O88" s="602">
        <f t="shared" si="207"/>
        <v>-1.32</v>
      </c>
      <c r="P88" s="602">
        <f t="shared" si="207"/>
        <v>0</v>
      </c>
      <c r="Q88" s="602">
        <f>Q89+Q96</f>
        <v>14.049999999999999</v>
      </c>
      <c r="R88" s="788">
        <f t="shared" si="207"/>
        <v>0</v>
      </c>
      <c r="S88" s="602">
        <f t="shared" si="207"/>
        <v>0</v>
      </c>
      <c r="T88" s="602">
        <f t="shared" si="207"/>
        <v>0</v>
      </c>
      <c r="U88" s="603">
        <f t="shared" si="207"/>
        <v>0</v>
      </c>
      <c r="V88" s="788">
        <f t="shared" si="207"/>
        <v>0</v>
      </c>
      <c r="W88" s="602">
        <f t="shared" si="207"/>
        <v>0</v>
      </c>
      <c r="X88" s="602">
        <f t="shared" si="207"/>
        <v>0</v>
      </c>
      <c r="Y88" s="603">
        <f t="shared" si="207"/>
        <v>19</v>
      </c>
      <c r="Z88" s="602">
        <f t="shared" si="207"/>
        <v>0</v>
      </c>
      <c r="AA88" s="602">
        <f t="shared" si="207"/>
        <v>0</v>
      </c>
      <c r="AB88" s="602">
        <f t="shared" si="207"/>
        <v>0</v>
      </c>
      <c r="AC88" s="603">
        <f t="shared" si="207"/>
        <v>-35</v>
      </c>
      <c r="AD88" s="602">
        <f t="shared" si="207"/>
        <v>0</v>
      </c>
      <c r="AE88" s="602">
        <f t="shared" si="207"/>
        <v>0</v>
      </c>
      <c r="AF88" s="602">
        <f t="shared" si="207"/>
        <v>0</v>
      </c>
      <c r="AG88" s="602">
        <f t="shared" si="207"/>
        <v>-146.86976434619334</v>
      </c>
      <c r="AH88" s="788">
        <f>AH89+AH96</f>
        <v>108.65968832787155</v>
      </c>
      <c r="AI88" s="602">
        <f t="shared" ref="AI88:AS88" si="208">AI89+AI96</f>
        <v>0</v>
      </c>
      <c r="AJ88" s="602">
        <f t="shared" si="208"/>
        <v>0</v>
      </c>
      <c r="AK88" s="603">
        <f t="shared" si="208"/>
        <v>15</v>
      </c>
      <c r="AL88" s="602">
        <f t="shared" si="208"/>
        <v>0</v>
      </c>
      <c r="AM88" s="602">
        <f t="shared" si="208"/>
        <v>78</v>
      </c>
      <c r="AN88" s="602">
        <f t="shared" si="208"/>
        <v>18</v>
      </c>
      <c r="AO88" s="603">
        <f t="shared" si="208"/>
        <v>-23</v>
      </c>
      <c r="AP88" s="602">
        <f t="shared" si="208"/>
        <v>0</v>
      </c>
      <c r="AQ88" s="602">
        <f t="shared" si="208"/>
        <v>0</v>
      </c>
      <c r="AR88" s="602">
        <f t="shared" si="208"/>
        <v>0</v>
      </c>
      <c r="AS88" s="602">
        <f t="shared" si="208"/>
        <v>27</v>
      </c>
      <c r="AT88" s="788">
        <f t="shared" ref="AT88:BA88" si="209">AT89+AT96</f>
        <v>0</v>
      </c>
      <c r="AU88" s="602">
        <f t="shared" si="209"/>
        <v>0</v>
      </c>
      <c r="AV88" s="602">
        <f t="shared" si="209"/>
        <v>10</v>
      </c>
      <c r="AW88" s="602">
        <f t="shared" si="209"/>
        <v>35</v>
      </c>
      <c r="AX88" s="788">
        <f t="shared" si="209"/>
        <v>21</v>
      </c>
      <c r="AY88" s="602">
        <f t="shared" si="209"/>
        <v>213</v>
      </c>
      <c r="AZ88" s="602">
        <f t="shared" si="209"/>
        <v>136</v>
      </c>
      <c r="BA88" s="602">
        <f t="shared" si="209"/>
        <v>127</v>
      </c>
      <c r="BB88" s="788">
        <f t="shared" ref="BB88:BI88" si="210">BB89+BB96</f>
        <v>75</v>
      </c>
      <c r="BC88" s="602">
        <f t="shared" si="210"/>
        <v>178</v>
      </c>
      <c r="BD88" s="602">
        <f t="shared" si="210"/>
        <v>123</v>
      </c>
      <c r="BE88" s="603">
        <f>BE89+BE96</f>
        <v>742</v>
      </c>
      <c r="BF88" s="602">
        <f t="shared" si="210"/>
        <v>19</v>
      </c>
      <c r="BG88" s="602">
        <f t="shared" si="210"/>
        <v>102</v>
      </c>
      <c r="BH88" s="602">
        <f t="shared" si="210"/>
        <v>95</v>
      </c>
      <c r="BI88" s="603">
        <f t="shared" si="210"/>
        <v>128</v>
      </c>
      <c r="BJ88" s="788">
        <f t="shared" ref="BJ88:BQ88" si="211">BJ89+BJ96</f>
        <v>122</v>
      </c>
      <c r="BK88" s="602">
        <f t="shared" si="211"/>
        <v>144</v>
      </c>
      <c r="BL88" s="602">
        <f t="shared" si="211"/>
        <v>96</v>
      </c>
      <c r="BM88" s="603">
        <f t="shared" si="211"/>
        <v>178.5</v>
      </c>
      <c r="BN88" s="788">
        <f>BN89+BN96</f>
        <v>129</v>
      </c>
      <c r="BO88" s="602">
        <f>BO89+BO96</f>
        <v>162</v>
      </c>
      <c r="BP88" s="602">
        <f t="shared" si="211"/>
        <v>249</v>
      </c>
      <c r="BQ88" s="603">
        <f t="shared" si="211"/>
        <v>635.9</v>
      </c>
      <c r="BR88" s="1428">
        <f t="shared" ref="BR88:BY88" si="212">BR89+BR96</f>
        <v>814</v>
      </c>
      <c r="BS88" s="602">
        <f t="shared" si="212"/>
        <v>440</v>
      </c>
      <c r="BT88" s="602">
        <f t="shared" si="212"/>
        <v>468</v>
      </c>
      <c r="BU88" s="603">
        <f t="shared" si="212"/>
        <v>601</v>
      </c>
      <c r="BV88" s="1428">
        <f t="shared" si="212"/>
        <v>408</v>
      </c>
      <c r="BW88" s="602">
        <f t="shared" si="212"/>
        <v>2031</v>
      </c>
      <c r="BX88" s="602">
        <f t="shared" si="212"/>
        <v>432</v>
      </c>
      <c r="BY88" s="603">
        <f t="shared" si="212"/>
        <v>417.5</v>
      </c>
      <c r="BZ88" s="1428">
        <f>BZ89+BZ96</f>
        <v>319</v>
      </c>
      <c r="CA88" s="602">
        <f>CA89+CA96</f>
        <v>315</v>
      </c>
      <c r="CB88" s="602">
        <f>CB89+CB96</f>
        <v>314</v>
      </c>
      <c r="CC88" s="603">
        <f>CC89+CC96</f>
        <v>316.75</v>
      </c>
      <c r="CD88" s="50"/>
      <c r="CE88" s="602">
        <f t="shared" ref="CE88:CM88" si="213">CE89+CE96</f>
        <v>23.152000000000001</v>
      </c>
      <c r="CF88" s="602">
        <f t="shared" si="213"/>
        <v>-16.771999999999998</v>
      </c>
      <c r="CG88" s="602">
        <f t="shared" si="213"/>
        <v>12.729999999999999</v>
      </c>
      <c r="CH88" s="602">
        <f t="shared" si="213"/>
        <v>0</v>
      </c>
      <c r="CI88" s="602">
        <f t="shared" si="213"/>
        <v>19</v>
      </c>
      <c r="CJ88" s="602">
        <f t="shared" si="213"/>
        <v>-35</v>
      </c>
      <c r="CK88" s="602">
        <f t="shared" si="213"/>
        <v>-146.86976434619334</v>
      </c>
      <c r="CL88" s="602">
        <f>CL89+CL96</f>
        <v>123.65968832787155</v>
      </c>
      <c r="CM88" s="602">
        <f t="shared" si="213"/>
        <v>73</v>
      </c>
      <c r="CN88" s="602">
        <f>CN89+CN96</f>
        <v>27</v>
      </c>
      <c r="CO88" s="602">
        <f>CO89+CO96</f>
        <v>45</v>
      </c>
      <c r="CP88" s="602">
        <f>CP89+CP96</f>
        <v>497</v>
      </c>
      <c r="CQ88" s="602">
        <f t="shared" ref="CQ88:CQ96" si="214">SUM(BB88:BE88)</f>
        <v>1118</v>
      </c>
      <c r="CR88" s="49">
        <f t="shared" ref="CR88:CR96" si="215">SUM(BF88:BI88)</f>
        <v>344</v>
      </c>
      <c r="CS88" s="30">
        <f t="shared" ref="CS88:CS96" si="216">SUM(BJ88:BM88)</f>
        <v>540.5</v>
      </c>
      <c r="CT88" s="30">
        <f t="shared" ref="CT88:CT96" si="217">SUM(BN88:BQ88)</f>
        <v>1175.9000000000001</v>
      </c>
      <c r="CU88" s="602">
        <f t="shared" ref="CU88:CU96" si="218">SUM(BR88:BU88)</f>
        <v>2323</v>
      </c>
      <c r="CV88" s="602">
        <f t="shared" ref="CV88:CV96" si="219">SUM(BV88:BY88)</f>
        <v>3288.5</v>
      </c>
      <c r="CW88" s="602">
        <f t="shared" ref="CW88:CW96" si="220">SUM(BZ88:CC88)</f>
        <v>1264.75</v>
      </c>
      <c r="CX88" s="602">
        <f t="shared" ref="CX88:DC88" si="221">CX89+CX96</f>
        <v>1264.75</v>
      </c>
      <c r="CY88" s="602">
        <f t="shared" si="221"/>
        <v>1264.75</v>
      </c>
      <c r="CZ88" s="602">
        <f t="shared" si="221"/>
        <v>1264.75</v>
      </c>
      <c r="DA88" s="602">
        <f t="shared" si="221"/>
        <v>1264.75</v>
      </c>
      <c r="DB88" s="602">
        <f t="shared" si="221"/>
        <v>1264.75</v>
      </c>
      <c r="DC88" s="602">
        <f t="shared" si="221"/>
        <v>1264.75</v>
      </c>
      <c r="DD88" s="1508"/>
      <c r="DE88" s="1553"/>
      <c r="DF88" s="30"/>
      <c r="DG88" s="36"/>
      <c r="DH88" s="30"/>
      <c r="DI88" s="30"/>
      <c r="DJ88" s="30"/>
      <c r="DK88" s="30"/>
      <c r="DL88" s="641">
        <f t="shared" ref="DL88:DL96" si="222">SUM(AB88:AE88)</f>
        <v>-35</v>
      </c>
      <c r="DM88" s="641">
        <f t="shared" ref="DM88:DM96" si="223">SUM(AF88:AI88)</f>
        <v>-38.210076018321786</v>
      </c>
      <c r="DN88" s="641">
        <f t="shared" ref="DN88:DN96" si="224">SUM(AJ88:AM88)</f>
        <v>93</v>
      </c>
      <c r="DO88" s="641">
        <f t="shared" ref="DO88:DO96" si="225">SUM(AN88:AQ88)</f>
        <v>-5</v>
      </c>
      <c r="DP88" s="641">
        <f t="shared" ref="DP88:DP96" si="226">SUM(AR88:AU88)</f>
        <v>27</v>
      </c>
      <c r="DQ88" s="641">
        <f t="shared" ref="DQ88:DQ96" si="227">SUM(AV88:AY88)</f>
        <v>279</v>
      </c>
      <c r="DR88" s="641">
        <f t="shared" ref="DR88:DR96" si="228">SUM(AZ88:BC88)</f>
        <v>516</v>
      </c>
      <c r="DS88" s="1102">
        <f t="shared" ref="DS88:DS96" si="229">SUM(BD88:BG88)</f>
        <v>986</v>
      </c>
      <c r="DT88" s="641">
        <f t="shared" ref="DT88:DT96" si="230">SUM(BH88:BK88)</f>
        <v>489</v>
      </c>
      <c r="DU88" s="641">
        <f t="shared" ref="DU88:DU96" si="231">SUM(BL88:BO88)</f>
        <v>565.5</v>
      </c>
      <c r="DV88" s="641">
        <f t="shared" ref="DV88:DV96" si="232">SUM(BP88:BS88)</f>
        <v>2138.9</v>
      </c>
      <c r="DW88" s="641">
        <f t="shared" ref="DW88:DW96" si="233">SUM(BT88:BW88)</f>
        <v>3508</v>
      </c>
      <c r="DX88" s="2238">
        <f t="shared" ref="DX88:DX96" si="234">SUM(BX88:CA88)</f>
        <v>1483.5</v>
      </c>
      <c r="DY88" s="641"/>
      <c r="DZ88" s="1556"/>
    </row>
    <row r="89" spans="1:136" ht="11.25" hidden="1" customHeight="1" outlineLevel="1">
      <c r="A89" s="49"/>
      <c r="B89" s="209"/>
      <c r="C89" s="201" t="s">
        <v>297</v>
      </c>
      <c r="D89" s="188"/>
      <c r="E89" s="198"/>
      <c r="F89" s="53">
        <f t="shared" ref="F89:AH89" si="235">SUM(F90:F95)</f>
        <v>0</v>
      </c>
      <c r="G89" s="53">
        <f t="shared" si="235"/>
        <v>-0.74900000000000055</v>
      </c>
      <c r="H89" s="53">
        <f>SUM(H90:H95)</f>
        <v>6.7850000000000001</v>
      </c>
      <c r="I89" s="645">
        <f t="shared" si="235"/>
        <v>17.116</v>
      </c>
      <c r="J89" s="53">
        <f t="shared" si="235"/>
        <v>-21.074999999999999</v>
      </c>
      <c r="K89" s="53">
        <f t="shared" si="235"/>
        <v>2.851</v>
      </c>
      <c r="L89" s="53">
        <f t="shared" si="235"/>
        <v>-1.4E-2</v>
      </c>
      <c r="M89" s="645">
        <f t="shared" si="235"/>
        <v>3.09</v>
      </c>
      <c r="N89" s="53">
        <f t="shared" si="235"/>
        <v>0</v>
      </c>
      <c r="O89" s="53">
        <f t="shared" si="235"/>
        <v>-1.32</v>
      </c>
      <c r="P89" s="53">
        <f t="shared" si="235"/>
        <v>0</v>
      </c>
      <c r="Q89" s="53">
        <f>SUM(Q90:Q95)</f>
        <v>14.049999999999999</v>
      </c>
      <c r="R89" s="644">
        <f t="shared" si="235"/>
        <v>0</v>
      </c>
      <c r="S89" s="53">
        <f t="shared" si="235"/>
        <v>0</v>
      </c>
      <c r="T89" s="53">
        <f t="shared" si="235"/>
        <v>0</v>
      </c>
      <c r="U89" s="645">
        <f t="shared" si="235"/>
        <v>0</v>
      </c>
      <c r="V89" s="644">
        <f t="shared" si="235"/>
        <v>0</v>
      </c>
      <c r="W89" s="53">
        <f t="shared" si="235"/>
        <v>0</v>
      </c>
      <c r="X89" s="53">
        <f t="shared" si="235"/>
        <v>0</v>
      </c>
      <c r="Y89" s="645">
        <f t="shared" si="235"/>
        <v>19</v>
      </c>
      <c r="Z89" s="53">
        <f t="shared" si="235"/>
        <v>0</v>
      </c>
      <c r="AA89" s="53">
        <f t="shared" si="235"/>
        <v>0</v>
      </c>
      <c r="AB89" s="53">
        <f t="shared" si="235"/>
        <v>0</v>
      </c>
      <c r="AC89" s="645">
        <f t="shared" si="235"/>
        <v>-13</v>
      </c>
      <c r="AD89" s="53">
        <f t="shared" si="235"/>
        <v>0</v>
      </c>
      <c r="AE89" s="53">
        <f t="shared" si="235"/>
        <v>0</v>
      </c>
      <c r="AF89" s="53">
        <f t="shared" si="235"/>
        <v>0</v>
      </c>
      <c r="AG89" s="53">
        <f t="shared" si="235"/>
        <v>0</v>
      </c>
      <c r="AH89" s="644">
        <f t="shared" si="235"/>
        <v>49</v>
      </c>
      <c r="AI89" s="602">
        <f t="shared" ref="AI89:AS89" si="236">SUM(AI90:AI95)</f>
        <v>0</v>
      </c>
      <c r="AJ89" s="602">
        <f t="shared" si="236"/>
        <v>0</v>
      </c>
      <c r="AK89" s="603">
        <f t="shared" si="236"/>
        <v>0</v>
      </c>
      <c r="AL89" s="602">
        <f t="shared" si="236"/>
        <v>0</v>
      </c>
      <c r="AM89" s="602">
        <f t="shared" si="236"/>
        <v>91</v>
      </c>
      <c r="AN89" s="602">
        <f t="shared" si="236"/>
        <v>18</v>
      </c>
      <c r="AO89" s="603">
        <f t="shared" si="236"/>
        <v>-23</v>
      </c>
      <c r="AP89" s="602">
        <f t="shared" si="236"/>
        <v>0</v>
      </c>
      <c r="AQ89" s="602">
        <f t="shared" si="236"/>
        <v>0</v>
      </c>
      <c r="AR89" s="602">
        <f t="shared" si="236"/>
        <v>0</v>
      </c>
      <c r="AS89" s="602">
        <f t="shared" si="236"/>
        <v>27</v>
      </c>
      <c r="AT89" s="788">
        <f t="shared" ref="AT89:BA89" si="237">SUM(AT90:AT95)</f>
        <v>0</v>
      </c>
      <c r="AU89" s="602">
        <f t="shared" si="237"/>
        <v>0</v>
      </c>
      <c r="AV89" s="602">
        <f t="shared" si="237"/>
        <v>10</v>
      </c>
      <c r="AW89" s="602">
        <f t="shared" si="237"/>
        <v>35</v>
      </c>
      <c r="AX89" s="788">
        <f t="shared" si="237"/>
        <v>21</v>
      </c>
      <c r="AY89" s="602">
        <f t="shared" si="237"/>
        <v>213</v>
      </c>
      <c r="AZ89" s="602">
        <f>SUM(AZ90:AZ95)</f>
        <v>152</v>
      </c>
      <c r="BA89" s="603">
        <f t="shared" si="237"/>
        <v>131</v>
      </c>
      <c r="BB89" s="788">
        <f t="shared" ref="BB89:BI89" si="238">SUM(BB90:BB95)</f>
        <v>75</v>
      </c>
      <c r="BC89" s="602">
        <f t="shared" si="238"/>
        <v>90</v>
      </c>
      <c r="BD89" s="602">
        <f t="shared" si="238"/>
        <v>123</v>
      </c>
      <c r="BE89" s="603">
        <f>SUM(BE90:BE95)</f>
        <v>742</v>
      </c>
      <c r="BF89" s="602">
        <f t="shared" si="238"/>
        <v>19</v>
      </c>
      <c r="BG89" s="602">
        <f t="shared" si="238"/>
        <v>102</v>
      </c>
      <c r="BH89" s="602">
        <f t="shared" si="238"/>
        <v>95</v>
      </c>
      <c r="BI89" s="603">
        <f t="shared" si="238"/>
        <v>128</v>
      </c>
      <c r="BJ89" s="788">
        <f t="shared" ref="BJ89:BQ89" si="239">SUM(BJ90:BJ95)</f>
        <v>120</v>
      </c>
      <c r="BK89" s="602">
        <f t="shared" si="239"/>
        <v>141</v>
      </c>
      <c r="BL89" s="602">
        <f t="shared" si="239"/>
        <v>94</v>
      </c>
      <c r="BM89" s="603">
        <f t="shared" si="239"/>
        <v>177.5</v>
      </c>
      <c r="BN89" s="788">
        <f>SUM(BN90:BN95)</f>
        <v>124</v>
      </c>
      <c r="BO89" s="602">
        <f>SUM(BO90:BO95)</f>
        <v>186</v>
      </c>
      <c r="BP89" s="602">
        <f t="shared" si="239"/>
        <v>265</v>
      </c>
      <c r="BQ89" s="603">
        <f t="shared" si="239"/>
        <v>727.9</v>
      </c>
      <c r="BR89" s="1428">
        <f t="shared" ref="BR89:BY89" si="240">SUM(BR90:BR95)</f>
        <v>780</v>
      </c>
      <c r="BS89" s="602">
        <f t="shared" si="240"/>
        <v>453</v>
      </c>
      <c r="BT89" s="602">
        <f t="shared" si="240"/>
        <v>505</v>
      </c>
      <c r="BU89" s="603">
        <f t="shared" si="240"/>
        <v>574</v>
      </c>
      <c r="BV89" s="1428">
        <f t="shared" si="240"/>
        <v>463</v>
      </c>
      <c r="BW89" s="602">
        <f t="shared" si="240"/>
        <v>487</v>
      </c>
      <c r="BX89" s="602">
        <f t="shared" si="240"/>
        <v>432</v>
      </c>
      <c r="BY89" s="603">
        <f t="shared" si="240"/>
        <v>417.5</v>
      </c>
      <c r="BZ89" s="1428">
        <f>SUM(BZ90:BZ95)</f>
        <v>319</v>
      </c>
      <c r="CA89" s="602">
        <f>SUM(CA90:CA95)</f>
        <v>315</v>
      </c>
      <c r="CB89" s="602">
        <f>SUM(CB90:CB95)</f>
        <v>314</v>
      </c>
      <c r="CC89" s="603">
        <f>SUM(CC90:CC95)</f>
        <v>316.75</v>
      </c>
      <c r="CD89" s="50"/>
      <c r="CE89" s="53">
        <f t="shared" ref="CE89:CM89" si="241">SUM(CE90:CE95)</f>
        <v>23.152000000000001</v>
      </c>
      <c r="CF89" s="53">
        <f t="shared" si="241"/>
        <v>-15.148</v>
      </c>
      <c r="CG89" s="53">
        <f t="shared" si="241"/>
        <v>12.729999999999999</v>
      </c>
      <c r="CH89" s="53">
        <f t="shared" si="241"/>
        <v>0</v>
      </c>
      <c r="CI89" s="53">
        <f t="shared" si="241"/>
        <v>19</v>
      </c>
      <c r="CJ89" s="53">
        <f t="shared" si="241"/>
        <v>-13</v>
      </c>
      <c r="CK89" s="53">
        <f t="shared" si="241"/>
        <v>0</v>
      </c>
      <c r="CL89" s="53">
        <f t="shared" si="241"/>
        <v>49</v>
      </c>
      <c r="CM89" s="53">
        <f t="shared" si="241"/>
        <v>86</v>
      </c>
      <c r="CN89" s="602">
        <f>SUM(CN90:CN95)</f>
        <v>27</v>
      </c>
      <c r="CO89" s="602">
        <f>SUM(CO90:CO95)</f>
        <v>45</v>
      </c>
      <c r="CP89" s="602">
        <f>SUM(CP90:CP95)</f>
        <v>517</v>
      </c>
      <c r="CQ89" s="602">
        <f t="shared" si="214"/>
        <v>1030</v>
      </c>
      <c r="CR89" s="49">
        <f t="shared" si="215"/>
        <v>344</v>
      </c>
      <c r="CS89" s="30">
        <f t="shared" si="216"/>
        <v>532.5</v>
      </c>
      <c r="CT89" s="30">
        <f t="shared" si="217"/>
        <v>1302.9000000000001</v>
      </c>
      <c r="CU89" s="602">
        <f t="shared" si="218"/>
        <v>2312</v>
      </c>
      <c r="CV89" s="602">
        <f t="shared" si="219"/>
        <v>1799.5</v>
      </c>
      <c r="CW89" s="602">
        <f t="shared" si="220"/>
        <v>1264.75</v>
      </c>
      <c r="CX89" s="602">
        <f t="shared" ref="CX89:DC89" si="242">SUM(CX90:CX95)</f>
        <v>1264.75</v>
      </c>
      <c r="CY89" s="602">
        <f t="shared" si="242"/>
        <v>1264.75</v>
      </c>
      <c r="CZ89" s="602">
        <f t="shared" si="242"/>
        <v>1264.75</v>
      </c>
      <c r="DA89" s="602">
        <f t="shared" si="242"/>
        <v>1264.75</v>
      </c>
      <c r="DB89" s="602">
        <f t="shared" si="242"/>
        <v>1264.75</v>
      </c>
      <c r="DC89" s="602">
        <f t="shared" si="242"/>
        <v>1264.75</v>
      </c>
      <c r="DD89" s="1508"/>
      <c r="DE89" s="1553"/>
      <c r="DF89" s="30"/>
      <c r="DG89" s="36"/>
      <c r="DH89" s="30"/>
      <c r="DI89" s="30"/>
      <c r="DJ89" s="30"/>
      <c r="DK89" s="30"/>
      <c r="DL89" s="641">
        <f t="shared" si="222"/>
        <v>-13</v>
      </c>
      <c r="DM89" s="641">
        <f t="shared" si="223"/>
        <v>49</v>
      </c>
      <c r="DN89" s="641">
        <f t="shared" si="224"/>
        <v>91</v>
      </c>
      <c r="DO89" s="641">
        <f t="shared" si="225"/>
        <v>-5</v>
      </c>
      <c r="DP89" s="641">
        <f t="shared" si="226"/>
        <v>27</v>
      </c>
      <c r="DQ89" s="641">
        <f t="shared" si="227"/>
        <v>279</v>
      </c>
      <c r="DR89" s="641">
        <f t="shared" si="228"/>
        <v>448</v>
      </c>
      <c r="DS89" s="1102">
        <f t="shared" si="229"/>
        <v>986</v>
      </c>
      <c r="DT89" s="641">
        <f t="shared" si="230"/>
        <v>484</v>
      </c>
      <c r="DU89" s="641">
        <f t="shared" si="231"/>
        <v>581.5</v>
      </c>
      <c r="DV89" s="641">
        <f t="shared" si="232"/>
        <v>2225.9</v>
      </c>
      <c r="DW89" s="641">
        <f t="shared" si="233"/>
        <v>2029</v>
      </c>
      <c r="DX89" s="2238">
        <f t="shared" si="234"/>
        <v>1483.5</v>
      </c>
      <c r="DY89" s="641"/>
      <c r="DZ89" s="1556"/>
    </row>
    <row r="90" spans="1:136" ht="11.25" hidden="1" customHeight="1" outlineLevel="3">
      <c r="A90" s="11"/>
      <c r="B90" s="207"/>
      <c r="C90" s="641"/>
      <c r="D90" s="824" t="s">
        <v>207</v>
      </c>
      <c r="E90" s="202"/>
      <c r="F90" s="457">
        <v>0</v>
      </c>
      <c r="G90" s="457">
        <v>0</v>
      </c>
      <c r="H90" s="459">
        <v>0</v>
      </c>
      <c r="I90" s="522">
        <v>0</v>
      </c>
      <c r="J90" s="457">
        <v>0</v>
      </c>
      <c r="K90" s="457">
        <v>0</v>
      </c>
      <c r="L90" s="457">
        <v>0</v>
      </c>
      <c r="M90" s="521">
        <v>0</v>
      </c>
      <c r="N90" s="457">
        <v>0</v>
      </c>
      <c r="O90" s="457">
        <v>0</v>
      </c>
      <c r="P90" s="457">
        <v>0</v>
      </c>
      <c r="Q90" s="521">
        <v>0</v>
      </c>
      <c r="R90" s="457">
        <v>0</v>
      </c>
      <c r="S90" s="457">
        <v>0</v>
      </c>
      <c r="T90" s="459">
        <v>0</v>
      </c>
      <c r="U90" s="521">
        <v>0</v>
      </c>
      <c r="V90" s="457">
        <v>0</v>
      </c>
      <c r="W90" s="457">
        <v>0</v>
      </c>
      <c r="X90" s="457">
        <v>0</v>
      </c>
      <c r="Y90" s="521">
        <v>0</v>
      </c>
      <c r="Z90" s="457">
        <v>0</v>
      </c>
      <c r="AA90" s="457">
        <v>0</v>
      </c>
      <c r="AB90" s="457">
        <v>0</v>
      </c>
      <c r="AC90" s="521">
        <v>0</v>
      </c>
      <c r="AD90" s="457">
        <v>0</v>
      </c>
      <c r="AE90" s="457">
        <v>0</v>
      </c>
      <c r="AF90" s="457">
        <v>0</v>
      </c>
      <c r="AG90" s="457">
        <v>0</v>
      </c>
      <c r="AH90" s="832">
        <v>0</v>
      </c>
      <c r="AI90" s="458">
        <v>0</v>
      </c>
      <c r="AJ90" s="458">
        <v>0</v>
      </c>
      <c r="AK90" s="523">
        <v>0</v>
      </c>
      <c r="AL90" s="458">
        <v>0</v>
      </c>
      <c r="AM90" s="458">
        <v>0</v>
      </c>
      <c r="AN90" s="46">
        <v>0</v>
      </c>
      <c r="AO90" s="47">
        <v>0</v>
      </c>
      <c r="AP90" s="46">
        <v>0</v>
      </c>
      <c r="AQ90" s="46">
        <v>0</v>
      </c>
      <c r="AR90" s="46">
        <v>0</v>
      </c>
      <c r="AS90" s="46">
        <v>0</v>
      </c>
      <c r="AT90" s="969">
        <v>0</v>
      </c>
      <c r="AU90" s="46">
        <v>0</v>
      </c>
      <c r="AV90" s="46">
        <v>0</v>
      </c>
      <c r="AW90" s="46">
        <v>0</v>
      </c>
      <c r="AX90" s="969">
        <v>0</v>
      </c>
      <c r="AY90" s="46">
        <v>0</v>
      </c>
      <c r="AZ90" s="46">
        <v>12</v>
      </c>
      <c r="BA90" s="59">
        <v>51</v>
      </c>
      <c r="BB90" s="969">
        <v>49</v>
      </c>
      <c r="BC90" s="46">
        <v>49</v>
      </c>
      <c r="BD90" s="46">
        <v>49</v>
      </c>
      <c r="BE90" s="47">
        <v>46</v>
      </c>
      <c r="BF90" s="46">
        <v>47</v>
      </c>
      <c r="BG90" s="46">
        <v>51</v>
      </c>
      <c r="BH90" s="46">
        <v>50</v>
      </c>
      <c r="BI90" s="47">
        <v>47</v>
      </c>
      <c r="BJ90" s="969">
        <f>46</f>
        <v>46</v>
      </c>
      <c r="BK90" s="46">
        <v>45</v>
      </c>
      <c r="BL90" s="46">
        <v>44</v>
      </c>
      <c r="BM90" s="47">
        <v>28</v>
      </c>
      <c r="BN90" s="969">
        <v>25</v>
      </c>
      <c r="BO90" s="46">
        <v>24</v>
      </c>
      <c r="BP90" s="46">
        <v>22</v>
      </c>
      <c r="BQ90" s="47">
        <v>187</v>
      </c>
      <c r="BR90" s="46">
        <v>242</v>
      </c>
      <c r="BS90" s="2140">
        <v>259</v>
      </c>
      <c r="BT90" s="46">
        <v>303</v>
      </c>
      <c r="BU90" s="47">
        <v>319</v>
      </c>
      <c r="BV90" s="46">
        <v>319</v>
      </c>
      <c r="BW90" s="46">
        <v>315</v>
      </c>
      <c r="BX90" s="46">
        <f>AVERAGE(BT90:BW90)</f>
        <v>314</v>
      </c>
      <c r="BY90" s="47">
        <f>AVERAGE(BU90:BX90)</f>
        <v>316.75</v>
      </c>
      <c r="BZ90" s="46">
        <f>BV90</f>
        <v>319</v>
      </c>
      <c r="CA90" s="46">
        <f>BW90</f>
        <v>315</v>
      </c>
      <c r="CB90" s="46">
        <f>BX90</f>
        <v>314</v>
      </c>
      <c r="CC90" s="47">
        <f>BY90</f>
        <v>316.75</v>
      </c>
      <c r="CD90" s="12"/>
      <c r="CE90" s="29">
        <f t="shared" ref="CE90:CE96" si="243">SUM(F90:I90)</f>
        <v>0</v>
      </c>
      <c r="CF90" s="29">
        <f t="shared" ref="CF90:CF96" si="244">SUM(J90:M90)</f>
        <v>0</v>
      </c>
      <c r="CG90" s="29">
        <f t="shared" ref="CG90:CG96" si="245">SUM(N90:Q90)</f>
        <v>0</v>
      </c>
      <c r="CH90" s="29">
        <f t="shared" ref="CH90:CH96" si="246">SUM(R90:U90)</f>
        <v>0</v>
      </c>
      <c r="CI90" s="29">
        <f t="shared" ref="CI90:CI96" si="247">SUM(V90:Y90)</f>
        <v>0</v>
      </c>
      <c r="CJ90" s="29">
        <f t="shared" ref="CJ90:CJ96" si="248">SUM(Z90:AC90)</f>
        <v>0</v>
      </c>
      <c r="CK90" s="29">
        <f t="shared" ref="CK90:CK96" si="249">SUM(AD90:AG90)</f>
        <v>0</v>
      </c>
      <c r="CL90" s="29">
        <f t="shared" ref="CL90:CL96" si="250">SUM(AH90:AK90)</f>
        <v>0</v>
      </c>
      <c r="CM90" s="29">
        <f t="shared" ref="CM90:CM96" si="251">SUM(AL90:AO90)</f>
        <v>0</v>
      </c>
      <c r="CN90" s="29">
        <f t="shared" ref="CN90:CN96" si="252">SUM(AP90:AS90)</f>
        <v>0</v>
      </c>
      <c r="CO90" s="487">
        <f t="shared" ref="CO90:CO96" si="253">SUM(AT90:AW90)</f>
        <v>0</v>
      </c>
      <c r="CP90" s="487">
        <f t="shared" ref="CP90:CP96" si="254">SUM(AX90:BA90)</f>
        <v>63</v>
      </c>
      <c r="CQ90" s="11">
        <f t="shared" si="214"/>
        <v>193</v>
      </c>
      <c r="CR90" s="49">
        <f t="shared" si="215"/>
        <v>195</v>
      </c>
      <c r="CS90" s="11">
        <f t="shared" si="216"/>
        <v>163</v>
      </c>
      <c r="CT90" s="29">
        <f t="shared" si="217"/>
        <v>258</v>
      </c>
      <c r="CU90" s="29">
        <f t="shared" si="218"/>
        <v>1123</v>
      </c>
      <c r="CV90" s="29">
        <f t="shared" si="219"/>
        <v>1264.75</v>
      </c>
      <c r="CW90" s="29">
        <f t="shared" si="220"/>
        <v>1264.75</v>
      </c>
      <c r="CX90" s="46">
        <f t="shared" ref="CX90:DC90" si="255">CW90</f>
        <v>1264.75</v>
      </c>
      <c r="CY90" s="46">
        <f t="shared" si="255"/>
        <v>1264.75</v>
      </c>
      <c r="CZ90" s="46">
        <f t="shared" si="255"/>
        <v>1264.75</v>
      </c>
      <c r="DA90" s="46">
        <f t="shared" si="255"/>
        <v>1264.75</v>
      </c>
      <c r="DB90" s="46">
        <f t="shared" si="255"/>
        <v>1264.75</v>
      </c>
      <c r="DC90" s="46">
        <f t="shared" si="255"/>
        <v>1264.75</v>
      </c>
      <c r="DD90" s="1509"/>
      <c r="DE90" s="1521"/>
      <c r="DF90" s="29"/>
      <c r="DG90" s="57"/>
      <c r="DH90" s="29"/>
      <c r="DI90" s="29"/>
      <c r="DJ90" s="29"/>
      <c r="DK90" s="29"/>
      <c r="DL90" s="641">
        <f t="shared" si="222"/>
        <v>0</v>
      </c>
      <c r="DM90" s="641">
        <f t="shared" si="223"/>
        <v>0</v>
      </c>
      <c r="DN90" s="641">
        <f t="shared" si="224"/>
        <v>0</v>
      </c>
      <c r="DO90" s="641">
        <f t="shared" si="225"/>
        <v>0</v>
      </c>
      <c r="DP90" s="641">
        <f t="shared" si="226"/>
        <v>0</v>
      </c>
      <c r="DQ90" s="641">
        <f t="shared" si="227"/>
        <v>0</v>
      </c>
      <c r="DR90" s="641">
        <f t="shared" si="228"/>
        <v>161</v>
      </c>
      <c r="DS90" s="1102">
        <f t="shared" si="229"/>
        <v>193</v>
      </c>
      <c r="DT90" s="29">
        <f t="shared" si="230"/>
        <v>188</v>
      </c>
      <c r="DU90" s="641">
        <f t="shared" si="231"/>
        <v>121</v>
      </c>
      <c r="DV90" s="641">
        <f t="shared" si="232"/>
        <v>710</v>
      </c>
      <c r="DW90" s="641">
        <f t="shared" si="233"/>
        <v>1256</v>
      </c>
      <c r="DX90" s="2238">
        <f t="shared" si="234"/>
        <v>1264.75</v>
      </c>
      <c r="DY90" s="641"/>
      <c r="DZ90" s="1559"/>
    </row>
    <row r="91" spans="1:136" ht="11.25" hidden="1" customHeight="1" outlineLevel="3">
      <c r="A91" s="11"/>
      <c r="B91" s="207"/>
      <c r="C91" s="641"/>
      <c r="D91" s="824" t="s">
        <v>682</v>
      </c>
      <c r="E91" s="202"/>
      <c r="F91" s="457">
        <v>0</v>
      </c>
      <c r="G91" s="457">
        <v>0</v>
      </c>
      <c r="H91" s="459">
        <v>0</v>
      </c>
      <c r="I91" s="522">
        <v>0</v>
      </c>
      <c r="J91" s="457">
        <v>0</v>
      </c>
      <c r="K91" s="457">
        <v>0</v>
      </c>
      <c r="L91" s="457">
        <v>0</v>
      </c>
      <c r="M91" s="521">
        <v>0</v>
      </c>
      <c r="N91" s="832">
        <v>0</v>
      </c>
      <c r="O91" s="457">
        <v>0</v>
      </c>
      <c r="P91" s="457">
        <v>0</v>
      </c>
      <c r="Q91" s="521">
        <v>0</v>
      </c>
      <c r="R91" s="457">
        <v>0</v>
      </c>
      <c r="S91" s="457">
        <v>0</v>
      </c>
      <c r="T91" s="459">
        <v>0</v>
      </c>
      <c r="U91" s="521">
        <v>0</v>
      </c>
      <c r="V91" s="457">
        <v>0</v>
      </c>
      <c r="W91" s="457">
        <v>0</v>
      </c>
      <c r="X91" s="457">
        <v>0</v>
      </c>
      <c r="Y91" s="522">
        <v>0</v>
      </c>
      <c r="Z91" s="457">
        <v>0</v>
      </c>
      <c r="AA91" s="459">
        <v>0</v>
      </c>
      <c r="AB91" s="459">
        <v>0</v>
      </c>
      <c r="AC91" s="521">
        <v>0</v>
      </c>
      <c r="AD91" s="457">
        <v>0</v>
      </c>
      <c r="AE91" s="457">
        <v>0</v>
      </c>
      <c r="AF91" s="457">
        <v>0</v>
      </c>
      <c r="AG91" s="457">
        <v>0</v>
      </c>
      <c r="AH91" s="832">
        <v>0</v>
      </c>
      <c r="AI91" s="458">
        <v>0</v>
      </c>
      <c r="AJ91" s="458">
        <v>0</v>
      </c>
      <c r="AK91" s="523">
        <v>0</v>
      </c>
      <c r="AL91" s="458">
        <v>0</v>
      </c>
      <c r="AM91" s="458">
        <v>113</v>
      </c>
      <c r="AN91" s="46">
        <v>4</v>
      </c>
      <c r="AO91" s="47">
        <v>-23</v>
      </c>
      <c r="AP91" s="46">
        <v>0</v>
      </c>
      <c r="AQ91" s="46">
        <v>0</v>
      </c>
      <c r="AR91" s="46">
        <v>0</v>
      </c>
      <c r="AS91" s="47">
        <v>0</v>
      </c>
      <c r="AT91" s="46">
        <v>0</v>
      </c>
      <c r="AU91" s="46">
        <v>0</v>
      </c>
      <c r="AV91" s="46">
        <v>0</v>
      </c>
      <c r="AW91" s="46">
        <v>0</v>
      </c>
      <c r="AX91" s="969">
        <v>0</v>
      </c>
      <c r="AY91" s="46">
        <v>0</v>
      </c>
      <c r="AZ91" s="46">
        <v>0</v>
      </c>
      <c r="BA91" s="59">
        <f>80</f>
        <v>80</v>
      </c>
      <c r="BB91" s="969">
        <v>26</v>
      </c>
      <c r="BC91" s="46">
        <v>0</v>
      </c>
      <c r="BD91" s="46">
        <v>63</v>
      </c>
      <c r="BE91" s="47">
        <v>8</v>
      </c>
      <c r="BF91" s="46">
        <v>0</v>
      </c>
      <c r="BG91" s="46">
        <v>0</v>
      </c>
      <c r="BH91" s="46">
        <v>28</v>
      </c>
      <c r="BI91" s="47">
        <v>10</v>
      </c>
      <c r="BJ91" s="969">
        <v>0</v>
      </c>
      <c r="BK91" s="46">
        <v>0</v>
      </c>
      <c r="BL91" s="46">
        <v>0</v>
      </c>
      <c r="BM91" s="47">
        <v>0</v>
      </c>
      <c r="BN91" s="969">
        <v>0</v>
      </c>
      <c r="BO91" s="46">
        <v>0</v>
      </c>
      <c r="BP91" s="46">
        <v>0</v>
      </c>
      <c r="BQ91" s="47">
        <v>0</v>
      </c>
      <c r="BR91" s="1429">
        <v>0</v>
      </c>
      <c r="BS91" s="2140">
        <v>0</v>
      </c>
      <c r="BT91" s="46">
        <v>0</v>
      </c>
      <c r="BU91" s="47">
        <v>0</v>
      </c>
      <c r="BV91" s="1429">
        <v>0</v>
      </c>
      <c r="BW91" s="46">
        <v>0</v>
      </c>
      <c r="BX91" s="46">
        <v>0</v>
      </c>
      <c r="BY91" s="47">
        <v>0</v>
      </c>
      <c r="BZ91" s="1429">
        <v>0</v>
      </c>
      <c r="CA91" s="46">
        <v>0</v>
      </c>
      <c r="CB91" s="46">
        <v>0</v>
      </c>
      <c r="CC91" s="47">
        <v>0</v>
      </c>
      <c r="CD91" s="12"/>
      <c r="CE91" s="29">
        <f t="shared" si="243"/>
        <v>0</v>
      </c>
      <c r="CF91" s="29">
        <f t="shared" si="244"/>
        <v>0</v>
      </c>
      <c r="CG91" s="29">
        <f t="shared" si="245"/>
        <v>0</v>
      </c>
      <c r="CH91" s="29">
        <f t="shared" si="246"/>
        <v>0</v>
      </c>
      <c r="CI91" s="29">
        <f t="shared" si="247"/>
        <v>0</v>
      </c>
      <c r="CJ91" s="29">
        <f t="shared" si="248"/>
        <v>0</v>
      </c>
      <c r="CK91" s="29">
        <f t="shared" si="249"/>
        <v>0</v>
      </c>
      <c r="CL91" s="29">
        <f t="shared" si="250"/>
        <v>0</v>
      </c>
      <c r="CM91" s="29">
        <f t="shared" si="251"/>
        <v>94</v>
      </c>
      <c r="CN91" s="29">
        <f t="shared" si="252"/>
        <v>0</v>
      </c>
      <c r="CO91" s="487">
        <f t="shared" si="253"/>
        <v>0</v>
      </c>
      <c r="CP91" s="487">
        <f t="shared" si="254"/>
        <v>80</v>
      </c>
      <c r="CQ91" s="11">
        <f t="shared" si="214"/>
        <v>97</v>
      </c>
      <c r="CR91" s="11">
        <f t="shared" si="215"/>
        <v>38</v>
      </c>
      <c r="CS91" s="11">
        <f t="shared" si="216"/>
        <v>0</v>
      </c>
      <c r="CT91" s="29">
        <f t="shared" si="217"/>
        <v>0</v>
      </c>
      <c r="CU91" s="29">
        <f t="shared" si="218"/>
        <v>0</v>
      </c>
      <c r="CV91" s="29">
        <f t="shared" si="219"/>
        <v>0</v>
      </c>
      <c r="CW91" s="29">
        <f t="shared" si="220"/>
        <v>0</v>
      </c>
      <c r="CX91" s="46">
        <v>0</v>
      </c>
      <c r="CY91" s="46">
        <v>0</v>
      </c>
      <c r="CZ91" s="46">
        <v>0</v>
      </c>
      <c r="DA91" s="46">
        <v>0</v>
      </c>
      <c r="DB91" s="46">
        <v>0</v>
      </c>
      <c r="DC91" s="46">
        <v>0</v>
      </c>
      <c r="DD91" s="1509"/>
      <c r="DE91" s="1521"/>
      <c r="DF91" s="29"/>
      <c r="DG91" s="57"/>
      <c r="DH91" s="29"/>
      <c r="DI91" s="29"/>
      <c r="DJ91" s="29"/>
      <c r="DK91" s="29"/>
      <c r="DL91" s="641">
        <f t="shared" si="222"/>
        <v>0</v>
      </c>
      <c r="DM91" s="641">
        <f t="shared" si="223"/>
        <v>0</v>
      </c>
      <c r="DN91" s="641">
        <f t="shared" si="224"/>
        <v>113</v>
      </c>
      <c r="DO91" s="641">
        <f t="shared" si="225"/>
        <v>-19</v>
      </c>
      <c r="DP91" s="641">
        <f t="shared" si="226"/>
        <v>0</v>
      </c>
      <c r="DQ91" s="641">
        <f t="shared" si="227"/>
        <v>0</v>
      </c>
      <c r="DR91" s="641">
        <f t="shared" si="228"/>
        <v>106</v>
      </c>
      <c r="DS91" s="1102">
        <f t="shared" si="229"/>
        <v>71</v>
      </c>
      <c r="DT91" s="29">
        <f t="shared" si="230"/>
        <v>38</v>
      </c>
      <c r="DU91" s="641">
        <f t="shared" si="231"/>
        <v>0</v>
      </c>
      <c r="DV91" s="641">
        <f t="shared" si="232"/>
        <v>0</v>
      </c>
      <c r="DW91" s="641">
        <f t="shared" si="233"/>
        <v>0</v>
      </c>
      <c r="DX91" s="2238">
        <f t="shared" si="234"/>
        <v>0</v>
      </c>
      <c r="DY91" s="641"/>
      <c r="DZ91" s="1559"/>
    </row>
    <row r="92" spans="1:136" ht="11.25" hidden="1" customHeight="1" outlineLevel="3">
      <c r="A92" s="11"/>
      <c r="B92" s="207"/>
      <c r="C92" s="641"/>
      <c r="D92" s="824" t="s">
        <v>683</v>
      </c>
      <c r="E92" s="202"/>
      <c r="F92" s="457">
        <v>0</v>
      </c>
      <c r="G92" s="457">
        <v>0</v>
      </c>
      <c r="H92" s="457">
        <v>0</v>
      </c>
      <c r="I92" s="521">
        <v>0</v>
      </c>
      <c r="J92" s="457">
        <v>0</v>
      </c>
      <c r="K92" s="457">
        <v>0</v>
      </c>
      <c r="L92" s="457">
        <v>0</v>
      </c>
      <c r="M92" s="521">
        <v>0</v>
      </c>
      <c r="N92" s="832">
        <v>0</v>
      </c>
      <c r="O92" s="457">
        <v>0</v>
      </c>
      <c r="P92" s="457">
        <v>0</v>
      </c>
      <c r="Q92" s="521">
        <v>0</v>
      </c>
      <c r="R92" s="832">
        <v>0</v>
      </c>
      <c r="S92" s="457">
        <v>0</v>
      </c>
      <c r="T92" s="459">
        <v>0</v>
      </c>
      <c r="U92" s="521">
        <v>0</v>
      </c>
      <c r="V92" s="832">
        <v>0</v>
      </c>
      <c r="W92" s="457">
        <v>0</v>
      </c>
      <c r="X92" s="457">
        <v>0</v>
      </c>
      <c r="Y92" s="521">
        <v>0</v>
      </c>
      <c r="Z92" s="832">
        <v>0</v>
      </c>
      <c r="AA92" s="457">
        <v>0</v>
      </c>
      <c r="AB92" s="457">
        <v>0</v>
      </c>
      <c r="AC92" s="521">
        <v>0</v>
      </c>
      <c r="AD92" s="457">
        <v>0</v>
      </c>
      <c r="AE92" s="457">
        <v>0</v>
      </c>
      <c r="AF92" s="457">
        <v>0</v>
      </c>
      <c r="AG92" s="457">
        <v>0</v>
      </c>
      <c r="AH92" s="832">
        <v>0</v>
      </c>
      <c r="AI92" s="458">
        <v>0</v>
      </c>
      <c r="AJ92" s="458">
        <v>0</v>
      </c>
      <c r="AK92" s="523">
        <v>0</v>
      </c>
      <c r="AL92" s="458">
        <v>0</v>
      </c>
      <c r="AM92" s="458">
        <v>0</v>
      </c>
      <c r="AN92" s="46">
        <v>0</v>
      </c>
      <c r="AO92" s="47">
        <v>0</v>
      </c>
      <c r="AP92" s="46">
        <v>0</v>
      </c>
      <c r="AQ92" s="46">
        <v>0</v>
      </c>
      <c r="AR92" s="46">
        <v>0</v>
      </c>
      <c r="AS92" s="47">
        <v>0</v>
      </c>
      <c r="AT92" s="46">
        <v>0</v>
      </c>
      <c r="AU92" s="46">
        <v>0</v>
      </c>
      <c r="AV92" s="46">
        <v>0</v>
      </c>
      <c r="AW92" s="47">
        <v>0</v>
      </c>
      <c r="AX92" s="46">
        <v>0</v>
      </c>
      <c r="AY92" s="46">
        <v>0</v>
      </c>
      <c r="AZ92" s="46">
        <v>0</v>
      </c>
      <c r="BA92" s="59">
        <v>0</v>
      </c>
      <c r="BB92" s="46">
        <v>0</v>
      </c>
      <c r="BC92" s="46">
        <v>0</v>
      </c>
      <c r="BD92" s="46">
        <v>0</v>
      </c>
      <c r="BE92" s="47">
        <v>0</v>
      </c>
      <c r="BF92" s="46">
        <v>0</v>
      </c>
      <c r="BG92" s="46">
        <v>0</v>
      </c>
      <c r="BH92" s="46">
        <v>0</v>
      </c>
      <c r="BI92" s="47">
        <v>0</v>
      </c>
      <c r="BJ92" s="969">
        <v>0</v>
      </c>
      <c r="BK92" s="46">
        <v>0</v>
      </c>
      <c r="BL92" s="46">
        <v>0</v>
      </c>
      <c r="BM92" s="47">
        <v>0</v>
      </c>
      <c r="BN92" s="969">
        <v>0</v>
      </c>
      <c r="BO92" s="46">
        <v>0</v>
      </c>
      <c r="BP92" s="46">
        <v>0</v>
      </c>
      <c r="BQ92" s="47">
        <v>0</v>
      </c>
      <c r="BR92" s="1429">
        <v>0</v>
      </c>
      <c r="BS92" s="2140">
        <v>0</v>
      </c>
      <c r="BT92" s="46">
        <v>0</v>
      </c>
      <c r="BU92" s="47">
        <v>0</v>
      </c>
      <c r="BV92" s="1429">
        <v>0</v>
      </c>
      <c r="BW92" s="46">
        <v>0</v>
      </c>
      <c r="BX92" s="46">
        <v>0</v>
      </c>
      <c r="BY92" s="47">
        <v>0</v>
      </c>
      <c r="BZ92" s="1429">
        <v>0</v>
      </c>
      <c r="CA92" s="46">
        <v>0</v>
      </c>
      <c r="CB92" s="46">
        <v>0</v>
      </c>
      <c r="CC92" s="47">
        <v>0</v>
      </c>
      <c r="CD92" s="12"/>
      <c r="CE92" s="29">
        <f t="shared" si="243"/>
        <v>0</v>
      </c>
      <c r="CF92" s="29">
        <f t="shared" si="244"/>
        <v>0</v>
      </c>
      <c r="CG92" s="29">
        <f t="shared" si="245"/>
        <v>0</v>
      </c>
      <c r="CH92" s="29">
        <f t="shared" si="246"/>
        <v>0</v>
      </c>
      <c r="CI92" s="29">
        <f t="shared" si="247"/>
        <v>0</v>
      </c>
      <c r="CJ92" s="29">
        <f t="shared" si="248"/>
        <v>0</v>
      </c>
      <c r="CK92" s="29">
        <f t="shared" si="249"/>
        <v>0</v>
      </c>
      <c r="CL92" s="29">
        <f t="shared" si="250"/>
        <v>0</v>
      </c>
      <c r="CM92" s="29">
        <f t="shared" si="251"/>
        <v>0</v>
      </c>
      <c r="CN92" s="29">
        <f t="shared" si="252"/>
        <v>0</v>
      </c>
      <c r="CO92" s="487">
        <f t="shared" si="253"/>
        <v>0</v>
      </c>
      <c r="CP92" s="487">
        <f t="shared" si="254"/>
        <v>0</v>
      </c>
      <c r="CQ92" s="11">
        <f t="shared" si="214"/>
        <v>0</v>
      </c>
      <c r="CR92" s="11">
        <f t="shared" si="215"/>
        <v>0</v>
      </c>
      <c r="CS92" s="11">
        <f t="shared" si="216"/>
        <v>0</v>
      </c>
      <c r="CT92" s="29">
        <f t="shared" si="217"/>
        <v>0</v>
      </c>
      <c r="CU92" s="29">
        <f t="shared" si="218"/>
        <v>0</v>
      </c>
      <c r="CV92" s="29">
        <f t="shared" si="219"/>
        <v>0</v>
      </c>
      <c r="CW92" s="29">
        <f t="shared" si="220"/>
        <v>0</v>
      </c>
      <c r="CX92" s="46">
        <v>0</v>
      </c>
      <c r="CY92" s="46">
        <v>0</v>
      </c>
      <c r="CZ92" s="46">
        <v>0</v>
      </c>
      <c r="DA92" s="46">
        <v>0</v>
      </c>
      <c r="DB92" s="46">
        <v>0</v>
      </c>
      <c r="DC92" s="46">
        <v>0</v>
      </c>
      <c r="DD92" s="1509"/>
      <c r="DE92" s="1521"/>
      <c r="DF92" s="29"/>
      <c r="DG92" s="57"/>
      <c r="DH92" s="29"/>
      <c r="DI92" s="29"/>
      <c r="DJ92" s="29"/>
      <c r="DK92" s="29"/>
      <c r="DL92" s="641">
        <f t="shared" si="222"/>
        <v>0</v>
      </c>
      <c r="DM92" s="641">
        <f t="shared" si="223"/>
        <v>0</v>
      </c>
      <c r="DN92" s="641">
        <f t="shared" si="224"/>
        <v>0</v>
      </c>
      <c r="DO92" s="641">
        <f t="shared" si="225"/>
        <v>0</v>
      </c>
      <c r="DP92" s="641">
        <f t="shared" si="226"/>
        <v>0</v>
      </c>
      <c r="DQ92" s="641">
        <f t="shared" si="227"/>
        <v>0</v>
      </c>
      <c r="DR92" s="641">
        <f t="shared" si="228"/>
        <v>0</v>
      </c>
      <c r="DS92" s="1102">
        <f t="shared" si="229"/>
        <v>0</v>
      </c>
      <c r="DT92" s="29">
        <f t="shared" si="230"/>
        <v>0</v>
      </c>
      <c r="DU92" s="641">
        <f t="shared" si="231"/>
        <v>0</v>
      </c>
      <c r="DV92" s="641">
        <f t="shared" si="232"/>
        <v>0</v>
      </c>
      <c r="DW92" s="641">
        <f t="shared" si="233"/>
        <v>0</v>
      </c>
      <c r="DX92" s="2238">
        <f t="shared" si="234"/>
        <v>0</v>
      </c>
      <c r="DY92" s="641"/>
      <c r="DZ92" s="1559"/>
    </row>
    <row r="93" spans="1:136" ht="11.25" hidden="1" customHeight="1" outlineLevel="3">
      <c r="A93" s="11"/>
      <c r="B93" s="207"/>
      <c r="C93" s="641"/>
      <c r="D93" s="824" t="s">
        <v>948</v>
      </c>
      <c r="E93" s="202"/>
      <c r="F93" s="457">
        <v>0</v>
      </c>
      <c r="G93" s="457">
        <v>0</v>
      </c>
      <c r="H93" s="457">
        <v>0</v>
      </c>
      <c r="I93" s="521">
        <v>0</v>
      </c>
      <c r="J93" s="457">
        <v>0</v>
      </c>
      <c r="K93" s="457">
        <v>0</v>
      </c>
      <c r="L93" s="457">
        <v>0</v>
      </c>
      <c r="M93" s="457">
        <v>0</v>
      </c>
      <c r="N93" s="832">
        <v>0</v>
      </c>
      <c r="O93" s="457">
        <v>0</v>
      </c>
      <c r="P93" s="457">
        <v>0</v>
      </c>
      <c r="Q93" s="521">
        <v>0</v>
      </c>
      <c r="R93" s="832">
        <v>0</v>
      </c>
      <c r="S93" s="457">
        <v>0</v>
      </c>
      <c r="T93" s="459">
        <v>0</v>
      </c>
      <c r="U93" s="521">
        <v>0</v>
      </c>
      <c r="V93" s="832">
        <v>0</v>
      </c>
      <c r="W93" s="457">
        <v>0</v>
      </c>
      <c r="X93" s="457">
        <v>0</v>
      </c>
      <c r="Y93" s="521">
        <v>0</v>
      </c>
      <c r="Z93" s="832">
        <v>0</v>
      </c>
      <c r="AA93" s="457">
        <v>0</v>
      </c>
      <c r="AB93" s="457">
        <v>0</v>
      </c>
      <c r="AC93" s="521">
        <v>0</v>
      </c>
      <c r="AD93" s="832">
        <v>0</v>
      </c>
      <c r="AE93" s="457">
        <v>0</v>
      </c>
      <c r="AF93" s="457">
        <v>0</v>
      </c>
      <c r="AG93" s="457">
        <v>0</v>
      </c>
      <c r="AH93" s="832">
        <v>0</v>
      </c>
      <c r="AI93" s="458">
        <v>0</v>
      </c>
      <c r="AJ93" s="458">
        <v>0</v>
      </c>
      <c r="AK93" s="523">
        <v>0</v>
      </c>
      <c r="AL93" s="458">
        <v>0</v>
      </c>
      <c r="AM93" s="458">
        <v>0</v>
      </c>
      <c r="AN93" s="46">
        <v>0</v>
      </c>
      <c r="AO93" s="47">
        <v>0</v>
      </c>
      <c r="AP93" s="46">
        <v>0</v>
      </c>
      <c r="AQ93" s="46">
        <v>0</v>
      </c>
      <c r="AR93" s="46">
        <v>0</v>
      </c>
      <c r="AS93" s="47">
        <v>0</v>
      </c>
      <c r="AT93" s="46">
        <v>0</v>
      </c>
      <c r="AU93" s="46">
        <v>0</v>
      </c>
      <c r="AV93" s="46">
        <v>0</v>
      </c>
      <c r="AW93" s="47">
        <v>0</v>
      </c>
      <c r="AX93" s="46">
        <v>0</v>
      </c>
      <c r="AY93" s="46">
        <v>0</v>
      </c>
      <c r="AZ93" s="46">
        <v>0</v>
      </c>
      <c r="BA93" s="59">
        <v>0</v>
      </c>
      <c r="BB93" s="46">
        <v>0</v>
      </c>
      <c r="BC93" s="46">
        <v>0</v>
      </c>
      <c r="BD93" s="46">
        <v>0</v>
      </c>
      <c r="BE93" s="47">
        <v>0</v>
      </c>
      <c r="BF93" s="46">
        <v>0</v>
      </c>
      <c r="BG93" s="46">
        <v>0</v>
      </c>
      <c r="BH93" s="46">
        <v>0</v>
      </c>
      <c r="BI93" s="47">
        <v>0</v>
      </c>
      <c r="BJ93" s="969">
        <v>39</v>
      </c>
      <c r="BK93" s="46">
        <v>40</v>
      </c>
      <c r="BL93" s="46">
        <v>37</v>
      </c>
      <c r="BM93" s="47">
        <v>42</v>
      </c>
      <c r="BN93" s="969">
        <v>41</v>
      </c>
      <c r="BO93" s="46">
        <v>35</v>
      </c>
      <c r="BP93" s="46">
        <v>36</v>
      </c>
      <c r="BQ93" s="47">
        <v>68</v>
      </c>
      <c r="BR93" s="1429">
        <v>99</v>
      </c>
      <c r="BS93" s="2140">
        <v>191</v>
      </c>
      <c r="BT93" s="46">
        <v>187</v>
      </c>
      <c r="BU93" s="47">
        <v>89</v>
      </c>
      <c r="BV93" s="1429">
        <v>97</v>
      </c>
      <c r="BW93" s="46">
        <v>99</v>
      </c>
      <c r="BX93" s="46">
        <f>AVERAGE(BT93:BW93)</f>
        <v>118</v>
      </c>
      <c r="BY93" s="47">
        <f>AVERAGE(BU93:BX93)</f>
        <v>100.75</v>
      </c>
      <c r="BZ93" s="1429">
        <v>0</v>
      </c>
      <c r="CA93" s="46">
        <v>0</v>
      </c>
      <c r="CB93" s="46">
        <v>0</v>
      </c>
      <c r="CC93" s="47">
        <v>0</v>
      </c>
      <c r="CD93" s="12"/>
      <c r="CE93" s="29">
        <f t="shared" si="243"/>
        <v>0</v>
      </c>
      <c r="CF93" s="29">
        <f t="shared" si="244"/>
        <v>0</v>
      </c>
      <c r="CG93" s="29">
        <f t="shared" si="245"/>
        <v>0</v>
      </c>
      <c r="CH93" s="29">
        <f t="shared" si="246"/>
        <v>0</v>
      </c>
      <c r="CI93" s="29">
        <f t="shared" si="247"/>
        <v>0</v>
      </c>
      <c r="CJ93" s="29">
        <f t="shared" si="248"/>
        <v>0</v>
      </c>
      <c r="CK93" s="29">
        <f t="shared" si="249"/>
        <v>0</v>
      </c>
      <c r="CL93" s="29">
        <f t="shared" si="250"/>
        <v>0</v>
      </c>
      <c r="CM93" s="29">
        <f t="shared" si="251"/>
        <v>0</v>
      </c>
      <c r="CN93" s="29">
        <f t="shared" si="252"/>
        <v>0</v>
      </c>
      <c r="CO93" s="487">
        <f t="shared" si="253"/>
        <v>0</v>
      </c>
      <c r="CP93" s="487">
        <f t="shared" si="254"/>
        <v>0</v>
      </c>
      <c r="CQ93" s="11">
        <f t="shared" si="214"/>
        <v>0</v>
      </c>
      <c r="CR93" s="11">
        <f t="shared" si="215"/>
        <v>0</v>
      </c>
      <c r="CS93" s="11">
        <f t="shared" si="216"/>
        <v>158</v>
      </c>
      <c r="CT93" s="29">
        <f t="shared" si="217"/>
        <v>180</v>
      </c>
      <c r="CU93" s="29">
        <f t="shared" si="218"/>
        <v>566</v>
      </c>
      <c r="CV93" s="29">
        <f t="shared" si="219"/>
        <v>414.75</v>
      </c>
      <c r="CW93" s="29">
        <f t="shared" si="220"/>
        <v>0</v>
      </c>
      <c r="CX93" s="46">
        <v>0</v>
      </c>
      <c r="CY93" s="46">
        <v>0</v>
      </c>
      <c r="CZ93" s="46">
        <v>0</v>
      </c>
      <c r="DA93" s="46">
        <v>0</v>
      </c>
      <c r="DB93" s="46">
        <v>0</v>
      </c>
      <c r="DC93" s="46">
        <v>0</v>
      </c>
      <c r="DD93" s="1509"/>
      <c r="DE93" s="1521"/>
      <c r="DF93" s="29"/>
      <c r="DG93" s="57"/>
      <c r="DH93" s="29"/>
      <c r="DI93" s="29"/>
      <c r="DJ93" s="29"/>
      <c r="DK93" s="29"/>
      <c r="DL93" s="641">
        <f t="shared" si="222"/>
        <v>0</v>
      </c>
      <c r="DM93" s="641">
        <f t="shared" si="223"/>
        <v>0</v>
      </c>
      <c r="DN93" s="641">
        <f t="shared" si="224"/>
        <v>0</v>
      </c>
      <c r="DO93" s="641">
        <f t="shared" si="225"/>
        <v>0</v>
      </c>
      <c r="DP93" s="641">
        <f t="shared" si="226"/>
        <v>0</v>
      </c>
      <c r="DQ93" s="641">
        <f t="shared" si="227"/>
        <v>0</v>
      </c>
      <c r="DR93" s="641">
        <f t="shared" si="228"/>
        <v>0</v>
      </c>
      <c r="DS93" s="1102">
        <f t="shared" si="229"/>
        <v>0</v>
      </c>
      <c r="DT93" s="29">
        <f t="shared" si="230"/>
        <v>79</v>
      </c>
      <c r="DU93" s="641">
        <f t="shared" si="231"/>
        <v>155</v>
      </c>
      <c r="DV93" s="641">
        <f t="shared" si="232"/>
        <v>394</v>
      </c>
      <c r="DW93" s="641">
        <f t="shared" si="233"/>
        <v>472</v>
      </c>
      <c r="DX93" s="2238">
        <f t="shared" si="234"/>
        <v>218.75</v>
      </c>
      <c r="DY93" s="641"/>
      <c r="DZ93" s="1559"/>
    </row>
    <row r="94" spans="1:136" ht="11.25" hidden="1" customHeight="1" outlineLevel="3">
      <c r="A94" s="11"/>
      <c r="B94" s="207"/>
      <c r="C94" s="641"/>
      <c r="D94" s="824" t="s">
        <v>684</v>
      </c>
      <c r="E94" s="202"/>
      <c r="F94" s="457">
        <v>0</v>
      </c>
      <c r="G94" s="457">
        <v>0</v>
      </c>
      <c r="H94" s="457">
        <v>0</v>
      </c>
      <c r="I94" s="521">
        <v>-22.4</v>
      </c>
      <c r="J94" s="457">
        <v>0</v>
      </c>
      <c r="K94" s="457">
        <v>0</v>
      </c>
      <c r="L94" s="457">
        <v>0</v>
      </c>
      <c r="M94" s="521">
        <v>0</v>
      </c>
      <c r="N94" s="457">
        <v>0</v>
      </c>
      <c r="O94" s="457">
        <v>0</v>
      </c>
      <c r="P94" s="457">
        <v>0</v>
      </c>
      <c r="Q94" s="521">
        <v>0</v>
      </c>
      <c r="R94" s="832">
        <v>0</v>
      </c>
      <c r="S94" s="457">
        <v>0</v>
      </c>
      <c r="T94" s="459">
        <v>0</v>
      </c>
      <c r="U94" s="521">
        <v>0</v>
      </c>
      <c r="V94" s="832">
        <v>0</v>
      </c>
      <c r="W94" s="457">
        <v>0</v>
      </c>
      <c r="X94" s="457">
        <v>0</v>
      </c>
      <c r="Y94" s="521">
        <v>0</v>
      </c>
      <c r="Z94" s="832">
        <v>0</v>
      </c>
      <c r="AA94" s="457">
        <v>0</v>
      </c>
      <c r="AB94" s="457">
        <v>0</v>
      </c>
      <c r="AC94" s="521">
        <v>0</v>
      </c>
      <c r="AD94" s="457">
        <v>0</v>
      </c>
      <c r="AE94" s="457">
        <v>0</v>
      </c>
      <c r="AF94" s="457">
        <v>0</v>
      </c>
      <c r="AG94" s="457">
        <v>0</v>
      </c>
      <c r="AH94" s="832">
        <v>0</v>
      </c>
      <c r="AI94" s="458">
        <v>0</v>
      </c>
      <c r="AJ94" s="458">
        <v>0</v>
      </c>
      <c r="AK94" s="523">
        <v>0</v>
      </c>
      <c r="AL94" s="458">
        <v>0</v>
      </c>
      <c r="AM94" s="458">
        <v>0</v>
      </c>
      <c r="AN94" s="46">
        <v>0</v>
      </c>
      <c r="AO94" s="47">
        <v>0</v>
      </c>
      <c r="AP94" s="46">
        <v>0</v>
      </c>
      <c r="AQ94" s="46">
        <v>0</v>
      </c>
      <c r="AR94" s="46">
        <v>0</v>
      </c>
      <c r="AS94" s="47">
        <v>0</v>
      </c>
      <c r="AT94" s="46">
        <v>0</v>
      </c>
      <c r="AU94" s="46">
        <v>0</v>
      </c>
      <c r="AV94" s="46">
        <v>0</v>
      </c>
      <c r="AW94" s="47">
        <v>0</v>
      </c>
      <c r="AX94" s="46">
        <v>0</v>
      </c>
      <c r="AY94" s="46">
        <v>0</v>
      </c>
      <c r="AZ94" s="46">
        <v>0</v>
      </c>
      <c r="BA94" s="59">
        <v>0</v>
      </c>
      <c r="BB94" s="46">
        <v>0</v>
      </c>
      <c r="BC94" s="46">
        <v>0</v>
      </c>
      <c r="BD94" s="46">
        <v>0</v>
      </c>
      <c r="BE94" s="47">
        <v>0</v>
      </c>
      <c r="BF94" s="46">
        <v>0</v>
      </c>
      <c r="BG94" s="46">
        <v>0</v>
      </c>
      <c r="BH94" s="46">
        <v>4</v>
      </c>
      <c r="BI94" s="47">
        <v>0</v>
      </c>
      <c r="BJ94" s="969">
        <v>0</v>
      </c>
      <c r="BK94" s="46">
        <v>0</v>
      </c>
      <c r="BL94" s="46">
        <v>0</v>
      </c>
      <c r="BM94" s="47">
        <v>0</v>
      </c>
      <c r="BN94" s="969">
        <v>0</v>
      </c>
      <c r="BO94" s="46">
        <v>0</v>
      </c>
      <c r="BP94" s="46">
        <v>0</v>
      </c>
      <c r="BQ94" s="47">
        <v>0</v>
      </c>
      <c r="BR94" s="1429">
        <v>0</v>
      </c>
      <c r="BS94" s="2140">
        <v>0</v>
      </c>
      <c r="BT94" s="46">
        <v>0</v>
      </c>
      <c r="BU94" s="47">
        <v>0</v>
      </c>
      <c r="BV94" s="1429">
        <v>0</v>
      </c>
      <c r="BW94" s="46">
        <v>0</v>
      </c>
      <c r="BX94" s="46">
        <v>0</v>
      </c>
      <c r="BY94" s="47">
        <v>0</v>
      </c>
      <c r="BZ94" s="1429">
        <v>0</v>
      </c>
      <c r="CA94" s="46">
        <v>0</v>
      </c>
      <c r="CB94" s="46">
        <v>0</v>
      </c>
      <c r="CC94" s="47">
        <v>0</v>
      </c>
      <c r="CD94" s="12"/>
      <c r="CE94" s="29">
        <f t="shared" si="243"/>
        <v>-22.4</v>
      </c>
      <c r="CF94" s="29">
        <f t="shared" si="244"/>
        <v>0</v>
      </c>
      <c r="CG94" s="29">
        <f t="shared" si="245"/>
        <v>0</v>
      </c>
      <c r="CH94" s="29">
        <f t="shared" si="246"/>
        <v>0</v>
      </c>
      <c r="CI94" s="29">
        <f t="shared" si="247"/>
        <v>0</v>
      </c>
      <c r="CJ94" s="29">
        <f t="shared" si="248"/>
        <v>0</v>
      </c>
      <c r="CK94" s="29">
        <f t="shared" si="249"/>
        <v>0</v>
      </c>
      <c r="CL94" s="29">
        <f t="shared" si="250"/>
        <v>0</v>
      </c>
      <c r="CM94" s="29">
        <f t="shared" si="251"/>
        <v>0</v>
      </c>
      <c r="CN94" s="29">
        <f t="shared" si="252"/>
        <v>0</v>
      </c>
      <c r="CO94" s="487">
        <f t="shared" si="253"/>
        <v>0</v>
      </c>
      <c r="CP94" s="487">
        <f t="shared" si="254"/>
        <v>0</v>
      </c>
      <c r="CQ94" s="11">
        <f t="shared" si="214"/>
        <v>0</v>
      </c>
      <c r="CR94" s="11">
        <f t="shared" si="215"/>
        <v>4</v>
      </c>
      <c r="CS94" s="11">
        <f t="shared" si="216"/>
        <v>0</v>
      </c>
      <c r="CT94" s="29">
        <f t="shared" si="217"/>
        <v>0</v>
      </c>
      <c r="CU94" s="29">
        <f t="shared" si="218"/>
        <v>0</v>
      </c>
      <c r="CV94" s="29">
        <f t="shared" si="219"/>
        <v>0</v>
      </c>
      <c r="CW94" s="29">
        <f t="shared" si="220"/>
        <v>0</v>
      </c>
      <c r="CX94" s="46">
        <v>0</v>
      </c>
      <c r="CY94" s="46">
        <v>0</v>
      </c>
      <c r="CZ94" s="46">
        <v>0</v>
      </c>
      <c r="DA94" s="46">
        <v>0</v>
      </c>
      <c r="DB94" s="46">
        <v>0</v>
      </c>
      <c r="DC94" s="46">
        <v>0</v>
      </c>
      <c r="DD94" s="1509"/>
      <c r="DE94" s="1521"/>
      <c r="DF94" s="29"/>
      <c r="DG94" s="57"/>
      <c r="DH94" s="29"/>
      <c r="DI94" s="29"/>
      <c r="DJ94" s="29"/>
      <c r="DK94" s="29"/>
      <c r="DL94" s="641">
        <f t="shared" si="222"/>
        <v>0</v>
      </c>
      <c r="DM94" s="641">
        <f t="shared" si="223"/>
        <v>0</v>
      </c>
      <c r="DN94" s="641">
        <f t="shared" si="224"/>
        <v>0</v>
      </c>
      <c r="DO94" s="641">
        <f t="shared" si="225"/>
        <v>0</v>
      </c>
      <c r="DP94" s="641">
        <f t="shared" si="226"/>
        <v>0</v>
      </c>
      <c r="DQ94" s="641">
        <f t="shared" si="227"/>
        <v>0</v>
      </c>
      <c r="DR94" s="641">
        <f t="shared" si="228"/>
        <v>0</v>
      </c>
      <c r="DS94" s="1102">
        <f t="shared" si="229"/>
        <v>0</v>
      </c>
      <c r="DT94" s="29">
        <f t="shared" si="230"/>
        <v>4</v>
      </c>
      <c r="DU94" s="641">
        <f t="shared" si="231"/>
        <v>0</v>
      </c>
      <c r="DV94" s="641">
        <f t="shared" si="232"/>
        <v>0</v>
      </c>
      <c r="DW94" s="641">
        <f t="shared" si="233"/>
        <v>0</v>
      </c>
      <c r="DX94" s="2238">
        <f t="shared" si="234"/>
        <v>0</v>
      </c>
      <c r="DY94" s="641"/>
      <c r="DZ94" s="1559"/>
    </row>
    <row r="95" spans="1:136" ht="11.25" hidden="1" customHeight="1" outlineLevel="3">
      <c r="A95" s="11"/>
      <c r="B95" s="207"/>
      <c r="C95" s="641"/>
      <c r="D95" s="824" t="s">
        <v>52</v>
      </c>
      <c r="E95" s="202"/>
      <c r="F95" s="457">
        <v>0</v>
      </c>
      <c r="G95" s="457">
        <f>9.827-10.576</f>
        <v>-0.74900000000000055</v>
      </c>
      <c r="H95" s="457">
        <f>7.156-0.371</f>
        <v>6.7850000000000001</v>
      </c>
      <c r="I95" s="521">
        <f>38.012+1.504</f>
        <v>39.515999999999998</v>
      </c>
      <c r="J95" s="457">
        <v>-21.074999999999999</v>
      </c>
      <c r="K95" s="457">
        <v>2.851</v>
      </c>
      <c r="L95" s="457">
        <v>-1.4E-2</v>
      </c>
      <c r="M95" s="59">
        <v>3.09</v>
      </c>
      <c r="N95" s="457"/>
      <c r="O95" s="457">
        <v>-1.32</v>
      </c>
      <c r="P95" s="457">
        <v>0</v>
      </c>
      <c r="Q95" s="521">
        <f>18.5-3.4-1.05</f>
        <v>14.049999999999999</v>
      </c>
      <c r="R95" s="832">
        <v>0</v>
      </c>
      <c r="S95" s="457">
        <v>0</v>
      </c>
      <c r="T95" s="459">
        <v>0</v>
      </c>
      <c r="U95" s="521">
        <v>0</v>
      </c>
      <c r="V95" s="459">
        <v>0</v>
      </c>
      <c r="W95" s="457">
        <v>0</v>
      </c>
      <c r="X95" s="457">
        <v>0</v>
      </c>
      <c r="Y95" s="522">
        <v>19</v>
      </c>
      <c r="Z95" s="457">
        <v>0</v>
      </c>
      <c r="AA95" s="459">
        <v>0</v>
      </c>
      <c r="AB95" s="459">
        <v>0</v>
      </c>
      <c r="AC95" s="521">
        <v>-13</v>
      </c>
      <c r="AD95" s="457">
        <v>0</v>
      </c>
      <c r="AE95" s="457">
        <v>0</v>
      </c>
      <c r="AF95" s="457">
        <v>0</v>
      </c>
      <c r="AG95" s="457">
        <v>0</v>
      </c>
      <c r="AH95" s="832">
        <v>49</v>
      </c>
      <c r="AI95" s="458">
        <v>0</v>
      </c>
      <c r="AJ95" s="458">
        <v>0</v>
      </c>
      <c r="AK95" s="523">
        <v>0</v>
      </c>
      <c r="AL95" s="458">
        <v>0</v>
      </c>
      <c r="AM95" s="458">
        <f>-16-6</f>
        <v>-22</v>
      </c>
      <c r="AN95" s="46">
        <v>14</v>
      </c>
      <c r="AO95" s="47">
        <v>0</v>
      </c>
      <c r="AP95" s="46">
        <v>0</v>
      </c>
      <c r="AQ95" s="46">
        <v>0</v>
      </c>
      <c r="AR95" s="46">
        <v>0</v>
      </c>
      <c r="AS95" s="47">
        <v>27</v>
      </c>
      <c r="AT95" s="46">
        <v>0</v>
      </c>
      <c r="AU95" s="46">
        <v>0</v>
      </c>
      <c r="AV95" s="46">
        <v>10</v>
      </c>
      <c r="AW95" s="47">
        <v>35</v>
      </c>
      <c r="AX95" s="46">
        <v>21</v>
      </c>
      <c r="AY95" s="46">
        <f>199+14</f>
        <v>213</v>
      </c>
      <c r="AZ95" s="46">
        <v>140</v>
      </c>
      <c r="BA95" s="59">
        <v>0</v>
      </c>
      <c r="BB95" s="46">
        <v>0</v>
      </c>
      <c r="BC95" s="46">
        <f>41</f>
        <v>41</v>
      </c>
      <c r="BD95" s="46">
        <v>11</v>
      </c>
      <c r="BE95" s="47">
        <f>7+681</f>
        <v>688</v>
      </c>
      <c r="BF95" s="46">
        <f>13+13+11-65</f>
        <v>-28</v>
      </c>
      <c r="BG95" s="46">
        <f>13+26+12</f>
        <v>51</v>
      </c>
      <c r="BH95" s="46">
        <f>13</f>
        <v>13</v>
      </c>
      <c r="BI95" s="47">
        <f>13+36+22</f>
        <v>71</v>
      </c>
      <c r="BJ95" s="969">
        <f>9+14+12</f>
        <v>35</v>
      </c>
      <c r="BK95" s="46">
        <f>53+1-37+39</f>
        <v>56</v>
      </c>
      <c r="BL95" s="46">
        <f>10+3</f>
        <v>13</v>
      </c>
      <c r="BM95" s="47">
        <f>104+3.5</f>
        <v>107.5</v>
      </c>
      <c r="BN95" s="969">
        <f>56+2</f>
        <v>58</v>
      </c>
      <c r="BO95" s="46">
        <f>27+37+32+27+4</f>
        <v>127</v>
      </c>
      <c r="BP95" s="46">
        <f>140+49+16+2</f>
        <v>207</v>
      </c>
      <c r="BQ95" s="47">
        <f>122+58+57+238.4-2.5</f>
        <v>472.9</v>
      </c>
      <c r="BR95" s="46">
        <f>27+63+68+5+267+9</f>
        <v>439</v>
      </c>
      <c r="BS95" s="2140">
        <v>3</v>
      </c>
      <c r="BT95" s="46">
        <v>15</v>
      </c>
      <c r="BU95" s="47">
        <f>80-1+40+47</f>
        <v>166</v>
      </c>
      <c r="BV95" s="46">
        <f>4-4+52+0+0-5</f>
        <v>47</v>
      </c>
      <c r="BW95" s="46">
        <f>48+6+18+2-1</f>
        <v>73</v>
      </c>
      <c r="BX95" s="46">
        <v>0</v>
      </c>
      <c r="BY95" s="47">
        <v>0</v>
      </c>
      <c r="BZ95" s="46">
        <v>0</v>
      </c>
      <c r="CA95" s="46">
        <v>0</v>
      </c>
      <c r="CB95" s="46">
        <v>0</v>
      </c>
      <c r="CC95" s="47">
        <v>0</v>
      </c>
      <c r="CD95" s="12"/>
      <c r="CE95" s="29">
        <f t="shared" si="243"/>
        <v>45.552</v>
      </c>
      <c r="CF95" s="29">
        <f t="shared" si="244"/>
        <v>-15.148</v>
      </c>
      <c r="CG95" s="29">
        <f t="shared" si="245"/>
        <v>12.729999999999999</v>
      </c>
      <c r="CH95" s="29">
        <f t="shared" si="246"/>
        <v>0</v>
      </c>
      <c r="CI95" s="29">
        <f t="shared" si="247"/>
        <v>19</v>
      </c>
      <c r="CJ95" s="29">
        <f t="shared" si="248"/>
        <v>-13</v>
      </c>
      <c r="CK95" s="29">
        <f t="shared" si="249"/>
        <v>0</v>
      </c>
      <c r="CL95" s="29">
        <f t="shared" si="250"/>
        <v>49</v>
      </c>
      <c r="CM95" s="29">
        <f t="shared" si="251"/>
        <v>-8</v>
      </c>
      <c r="CN95" s="29">
        <f t="shared" si="252"/>
        <v>27</v>
      </c>
      <c r="CO95" s="487">
        <f t="shared" si="253"/>
        <v>45</v>
      </c>
      <c r="CP95" s="487">
        <f t="shared" si="254"/>
        <v>374</v>
      </c>
      <c r="CQ95" s="11">
        <f t="shared" si="214"/>
        <v>740</v>
      </c>
      <c r="CR95" s="11">
        <f t="shared" si="215"/>
        <v>107</v>
      </c>
      <c r="CS95" s="11">
        <f t="shared" si="216"/>
        <v>211.5</v>
      </c>
      <c r="CT95" s="29">
        <f t="shared" si="217"/>
        <v>864.9</v>
      </c>
      <c r="CU95" s="29">
        <f t="shared" si="218"/>
        <v>623</v>
      </c>
      <c r="CV95" s="29">
        <f t="shared" si="219"/>
        <v>120</v>
      </c>
      <c r="CW95" s="29">
        <f t="shared" si="220"/>
        <v>0</v>
      </c>
      <c r="CX95" s="46">
        <v>0</v>
      </c>
      <c r="CY95" s="46">
        <v>0</v>
      </c>
      <c r="CZ95" s="46">
        <v>0</v>
      </c>
      <c r="DA95" s="46">
        <v>0</v>
      </c>
      <c r="DB95" s="46">
        <v>0</v>
      </c>
      <c r="DC95" s="46">
        <v>0</v>
      </c>
      <c r="DD95" s="1509"/>
      <c r="DE95" s="1521"/>
      <c r="DF95" s="29"/>
      <c r="DG95" s="57"/>
      <c r="DH95" s="29"/>
      <c r="DI95" s="29"/>
      <c r="DJ95" s="29"/>
      <c r="DK95" s="29"/>
      <c r="DL95" s="641">
        <f t="shared" si="222"/>
        <v>-13</v>
      </c>
      <c r="DM95" s="641">
        <f t="shared" si="223"/>
        <v>49</v>
      </c>
      <c r="DN95" s="641">
        <f t="shared" si="224"/>
        <v>-22</v>
      </c>
      <c r="DO95" s="641">
        <f t="shared" si="225"/>
        <v>14</v>
      </c>
      <c r="DP95" s="641">
        <f t="shared" si="226"/>
        <v>27</v>
      </c>
      <c r="DQ95" s="641">
        <f t="shared" si="227"/>
        <v>279</v>
      </c>
      <c r="DR95" s="641">
        <f t="shared" si="228"/>
        <v>181</v>
      </c>
      <c r="DS95" s="1102">
        <f t="shared" si="229"/>
        <v>722</v>
      </c>
      <c r="DT95" s="29">
        <f t="shared" si="230"/>
        <v>175</v>
      </c>
      <c r="DU95" s="641">
        <f t="shared" si="231"/>
        <v>305.5</v>
      </c>
      <c r="DV95" s="641">
        <f t="shared" si="232"/>
        <v>1121.9000000000001</v>
      </c>
      <c r="DW95" s="641">
        <f t="shared" si="233"/>
        <v>301</v>
      </c>
      <c r="DX95" s="2238">
        <f t="shared" si="234"/>
        <v>0</v>
      </c>
      <c r="DY95" s="641"/>
      <c r="DZ95" s="1559"/>
    </row>
    <row r="96" spans="1:136" ht="11.25" hidden="1" customHeight="1" outlineLevel="3">
      <c r="A96" s="11"/>
      <c r="B96" s="207"/>
      <c r="C96" s="641" t="s">
        <v>298</v>
      </c>
      <c r="D96" s="824"/>
      <c r="E96" s="202"/>
      <c r="F96" s="457">
        <v>0</v>
      </c>
      <c r="G96" s="457">
        <v>0</v>
      </c>
      <c r="H96" s="457">
        <v>0</v>
      </c>
      <c r="I96" s="521">
        <v>0</v>
      </c>
      <c r="J96" s="457">
        <v>0</v>
      </c>
      <c r="K96" s="457">
        <v>0</v>
      </c>
      <c r="L96" s="457">
        <v>-1.6240000000000001</v>
      </c>
      <c r="M96" s="521">
        <v>0</v>
      </c>
      <c r="N96" s="457">
        <v>0</v>
      </c>
      <c r="O96" s="457">
        <v>0</v>
      </c>
      <c r="P96" s="457">
        <v>0</v>
      </c>
      <c r="Q96" s="521">
        <v>0</v>
      </c>
      <c r="R96" s="457">
        <v>0</v>
      </c>
      <c r="S96" s="457">
        <v>0</v>
      </c>
      <c r="T96" s="459">
        <v>0</v>
      </c>
      <c r="U96" s="521">
        <v>0</v>
      </c>
      <c r="V96" s="459">
        <v>0</v>
      </c>
      <c r="W96" s="459">
        <v>0</v>
      </c>
      <c r="X96" s="459">
        <v>0</v>
      </c>
      <c r="Y96" s="522">
        <v>0</v>
      </c>
      <c r="Z96" s="457">
        <v>0</v>
      </c>
      <c r="AA96" s="459">
        <v>0</v>
      </c>
      <c r="AB96" s="459">
        <v>0</v>
      </c>
      <c r="AC96" s="521">
        <f>-22</f>
        <v>-22</v>
      </c>
      <c r="AD96" s="457">
        <v>0</v>
      </c>
      <c r="AE96" s="457">
        <v>0</v>
      </c>
      <c r="AF96" s="457">
        <v>0</v>
      </c>
      <c r="AG96" s="457">
        <v>-146.86976434619334</v>
      </c>
      <c r="AH96" s="832">
        <v>59.65968832787155</v>
      </c>
      <c r="AI96" s="458">
        <v>0</v>
      </c>
      <c r="AJ96" s="458">
        <v>0</v>
      </c>
      <c r="AK96" s="521">
        <v>15</v>
      </c>
      <c r="AL96" s="458">
        <v>0</v>
      </c>
      <c r="AM96" s="458">
        <v>-13</v>
      </c>
      <c r="AN96" s="46">
        <v>0</v>
      </c>
      <c r="AO96" s="47">
        <v>0</v>
      </c>
      <c r="AP96" s="46">
        <v>0</v>
      </c>
      <c r="AQ96" s="46">
        <v>0</v>
      </c>
      <c r="AR96" s="46">
        <v>0</v>
      </c>
      <c r="AS96" s="47">
        <v>0</v>
      </c>
      <c r="AT96" s="46">
        <v>0</v>
      </c>
      <c r="AU96" s="46">
        <v>0</v>
      </c>
      <c r="AV96" s="46">
        <v>0</v>
      </c>
      <c r="AW96" s="47">
        <v>0</v>
      </c>
      <c r="AX96" s="46">
        <v>0</v>
      </c>
      <c r="AY96" s="46">
        <v>0</v>
      </c>
      <c r="AZ96" s="46">
        <v>-16</v>
      </c>
      <c r="BA96" s="59">
        <v>-4</v>
      </c>
      <c r="BB96" s="46">
        <v>0</v>
      </c>
      <c r="BC96" s="46">
        <v>88</v>
      </c>
      <c r="BD96" s="46">
        <v>0</v>
      </c>
      <c r="BE96" s="47">
        <v>0</v>
      </c>
      <c r="BF96" s="46">
        <v>0</v>
      </c>
      <c r="BG96" s="46">
        <v>0</v>
      </c>
      <c r="BH96" s="46">
        <v>0</v>
      </c>
      <c r="BI96" s="47">
        <v>0</v>
      </c>
      <c r="BJ96" s="969">
        <v>2</v>
      </c>
      <c r="BK96" s="46">
        <v>3</v>
      </c>
      <c r="BL96" s="46">
        <v>2</v>
      </c>
      <c r="BM96" s="47">
        <v>1</v>
      </c>
      <c r="BN96" s="969">
        <v>5</v>
      </c>
      <c r="BO96" s="46">
        <v>-24</v>
      </c>
      <c r="BP96" s="46">
        <v>-16</v>
      </c>
      <c r="BQ96" s="59">
        <v>-92</v>
      </c>
      <c r="BR96" s="46">
        <v>34</v>
      </c>
      <c r="BS96" s="46">
        <v>-13</v>
      </c>
      <c r="BT96" s="39">
        <v>-37</v>
      </c>
      <c r="BU96" s="47">
        <v>27</v>
      </c>
      <c r="BV96" s="39">
        <v>-55</v>
      </c>
      <c r="BW96" s="46">
        <v>1544</v>
      </c>
      <c r="BX96" s="46">
        <v>0</v>
      </c>
      <c r="BY96" s="47">
        <v>0</v>
      </c>
      <c r="BZ96" s="46">
        <v>0</v>
      </c>
      <c r="CA96" s="46">
        <v>0</v>
      </c>
      <c r="CB96" s="46">
        <v>0</v>
      </c>
      <c r="CC96" s="47">
        <v>0</v>
      </c>
      <c r="CD96" s="12"/>
      <c r="CE96" s="29">
        <f t="shared" si="243"/>
        <v>0</v>
      </c>
      <c r="CF96" s="29">
        <f t="shared" si="244"/>
        <v>-1.6240000000000001</v>
      </c>
      <c r="CG96" s="29">
        <f t="shared" si="245"/>
        <v>0</v>
      </c>
      <c r="CH96" s="29">
        <f t="shared" si="246"/>
        <v>0</v>
      </c>
      <c r="CI96" s="29">
        <f t="shared" si="247"/>
        <v>0</v>
      </c>
      <c r="CJ96" s="29">
        <f t="shared" si="248"/>
        <v>-22</v>
      </c>
      <c r="CK96" s="29">
        <f t="shared" si="249"/>
        <v>-146.86976434619334</v>
      </c>
      <c r="CL96" s="29">
        <f t="shared" si="250"/>
        <v>74.65968832787155</v>
      </c>
      <c r="CM96" s="29">
        <f t="shared" si="251"/>
        <v>-13</v>
      </c>
      <c r="CN96" s="29">
        <f t="shared" si="252"/>
        <v>0</v>
      </c>
      <c r="CO96" s="487">
        <f t="shared" si="253"/>
        <v>0</v>
      </c>
      <c r="CP96" s="487">
        <f t="shared" si="254"/>
        <v>-20</v>
      </c>
      <c r="CQ96" s="11">
        <f t="shared" si="214"/>
        <v>88</v>
      </c>
      <c r="CR96" s="11">
        <f t="shared" si="215"/>
        <v>0</v>
      </c>
      <c r="CS96" s="11">
        <f t="shared" si="216"/>
        <v>8</v>
      </c>
      <c r="CT96" s="29">
        <f t="shared" si="217"/>
        <v>-127</v>
      </c>
      <c r="CU96" s="29">
        <f t="shared" si="218"/>
        <v>11</v>
      </c>
      <c r="CV96" s="29">
        <f t="shared" si="219"/>
        <v>1489</v>
      </c>
      <c r="CW96" s="29">
        <f t="shared" si="220"/>
        <v>0</v>
      </c>
      <c r="CX96" s="46">
        <v>0</v>
      </c>
      <c r="CY96" s="46">
        <v>0</v>
      </c>
      <c r="CZ96" s="46">
        <v>0</v>
      </c>
      <c r="DA96" s="46">
        <v>0</v>
      </c>
      <c r="DB96" s="46">
        <v>0</v>
      </c>
      <c r="DC96" s="46">
        <v>0</v>
      </c>
      <c r="DD96" s="1509"/>
      <c r="DE96" s="1521"/>
      <c r="DF96" s="29"/>
      <c r="DG96" s="57"/>
      <c r="DH96" s="29"/>
      <c r="DI96" s="29"/>
      <c r="DJ96" s="29"/>
      <c r="DK96" s="29"/>
      <c r="DL96" s="641">
        <f t="shared" si="222"/>
        <v>-22</v>
      </c>
      <c r="DM96" s="641">
        <f t="shared" si="223"/>
        <v>-87.210076018321786</v>
      </c>
      <c r="DN96" s="641">
        <f t="shared" si="224"/>
        <v>2</v>
      </c>
      <c r="DO96" s="641">
        <f t="shared" si="225"/>
        <v>0</v>
      </c>
      <c r="DP96" s="641">
        <f t="shared" si="226"/>
        <v>0</v>
      </c>
      <c r="DQ96" s="641">
        <f t="shared" si="227"/>
        <v>0</v>
      </c>
      <c r="DR96" s="641">
        <f t="shared" si="228"/>
        <v>68</v>
      </c>
      <c r="DS96" s="1102">
        <f t="shared" si="229"/>
        <v>0</v>
      </c>
      <c r="DT96" s="29">
        <f t="shared" si="230"/>
        <v>5</v>
      </c>
      <c r="DU96" s="641">
        <f t="shared" si="231"/>
        <v>-16</v>
      </c>
      <c r="DV96" s="641">
        <f t="shared" si="232"/>
        <v>-87</v>
      </c>
      <c r="DW96" s="641">
        <f t="shared" si="233"/>
        <v>1479</v>
      </c>
      <c r="DX96" s="2238">
        <f t="shared" si="234"/>
        <v>0</v>
      </c>
      <c r="DY96" s="641"/>
      <c r="DZ96" s="1559"/>
    </row>
    <row r="97" spans="1:130" ht="11.25" hidden="1" customHeight="1" outlineLevel="1" collapsed="1">
      <c r="A97" s="145"/>
      <c r="B97" s="227"/>
      <c r="C97" s="145"/>
      <c r="D97" s="145"/>
      <c r="E97" s="228"/>
      <c r="F97" s="547"/>
      <c r="G97" s="547"/>
      <c r="H97" s="547"/>
      <c r="I97" s="626"/>
      <c r="J97" s="674"/>
      <c r="K97" s="674"/>
      <c r="L97" s="674"/>
      <c r="M97" s="675"/>
      <c r="N97" s="674"/>
      <c r="O97" s="674"/>
      <c r="P97" s="674"/>
      <c r="Q97" s="675"/>
      <c r="R97" s="674"/>
      <c r="S97" s="674"/>
      <c r="T97" s="526"/>
      <c r="U97" s="675"/>
      <c r="V97" s="674"/>
      <c r="W97" s="674"/>
      <c r="X97" s="674"/>
      <c r="Y97" s="675"/>
      <c r="Z97" s="674"/>
      <c r="AA97" s="674"/>
      <c r="AB97" s="674"/>
      <c r="AC97" s="675"/>
      <c r="AD97" s="674"/>
      <c r="AE97" s="674"/>
      <c r="AF97" s="674"/>
      <c r="AG97" s="674"/>
      <c r="AH97" s="1063"/>
      <c r="AI97" s="481"/>
      <c r="AJ97" s="481"/>
      <c r="AK97" s="482"/>
      <c r="AL97" s="481"/>
      <c r="AM97" s="481"/>
      <c r="AN97" s="145"/>
      <c r="AO97" s="228"/>
      <c r="AP97" s="145"/>
      <c r="AQ97" s="145"/>
      <c r="AR97" s="145"/>
      <c r="AS97" s="228"/>
      <c r="AT97" s="145"/>
      <c r="AU97" s="145"/>
      <c r="AV97" s="145"/>
      <c r="AW97" s="145"/>
      <c r="AX97" s="227"/>
      <c r="AY97" s="145"/>
      <c r="AZ97" s="145"/>
      <c r="BA97" s="228"/>
      <c r="BB97" s="227"/>
      <c r="BC97" s="145"/>
      <c r="BD97" s="145"/>
      <c r="BE97" s="228"/>
      <c r="BF97" s="201"/>
      <c r="BG97" s="201"/>
      <c r="BH97" s="201"/>
      <c r="BI97" s="202"/>
      <c r="BJ97" s="207"/>
      <c r="BK97" s="201"/>
      <c r="BL97" s="201"/>
      <c r="BM97" s="202"/>
      <c r="BN97" s="207"/>
      <c r="BO97" s="201"/>
      <c r="BP97" s="201"/>
      <c r="BQ97" s="202"/>
      <c r="BR97" s="201"/>
      <c r="BS97" s="1627"/>
      <c r="BT97" s="1627"/>
      <c r="BU97" s="202"/>
      <c r="BV97" s="201"/>
      <c r="BW97" s="201"/>
      <c r="BX97" s="201"/>
      <c r="BY97" s="202"/>
      <c r="BZ97" s="201"/>
      <c r="CA97" s="201"/>
      <c r="CB97" s="201"/>
      <c r="CC97" s="202"/>
      <c r="CD97" s="228"/>
      <c r="CE97" s="145"/>
      <c r="CF97" s="145"/>
      <c r="CG97" s="145"/>
      <c r="CH97" s="145"/>
      <c r="CI97" s="145"/>
      <c r="CJ97" s="145"/>
      <c r="CK97" s="145"/>
      <c r="CL97" s="145"/>
      <c r="CM97" s="145"/>
      <c r="CN97" s="145"/>
      <c r="CO97" s="145"/>
      <c r="CP97" s="145"/>
      <c r="CQ97" s="145"/>
      <c r="CR97" s="145"/>
      <c r="CS97" s="201"/>
      <c r="CT97" s="201"/>
      <c r="CU97" s="201"/>
      <c r="CV97" s="201"/>
      <c r="CW97" s="201"/>
      <c r="CX97" s="201"/>
      <c r="CY97" s="201"/>
      <c r="CZ97" s="201"/>
      <c r="DA97" s="201"/>
      <c r="DB97" s="201"/>
      <c r="DC97" s="201"/>
      <c r="DD97" s="1505"/>
      <c r="DE97" s="1551"/>
      <c r="DF97" s="141"/>
      <c r="DG97" s="215"/>
      <c r="DH97" s="141"/>
      <c r="DI97" s="141"/>
      <c r="DJ97" s="141"/>
      <c r="DK97" s="141"/>
      <c r="DL97" s="641"/>
      <c r="DM97" s="641"/>
      <c r="DN97" s="641"/>
      <c r="DO97" s="641"/>
      <c r="DP97" s="141"/>
      <c r="DQ97" s="141"/>
      <c r="DR97" s="141"/>
      <c r="DS97" s="215"/>
      <c r="DT97" s="141"/>
      <c r="DU97" s="141"/>
      <c r="DV97" s="141"/>
      <c r="DW97" s="141"/>
      <c r="DX97" s="2241"/>
      <c r="DY97" s="141"/>
      <c r="DZ97" s="1676"/>
    </row>
    <row r="98" spans="1:130" ht="11.25" hidden="1" customHeight="1" outlineLevel="1">
      <c r="A98" s="49"/>
      <c r="B98" s="207" t="s">
        <v>301</v>
      </c>
      <c r="C98" s="201"/>
      <c r="D98" s="201"/>
      <c r="E98" s="202"/>
      <c r="F98" s="138">
        <f t="shared" ref="F98:R98" si="256">F100+F80</f>
        <v>-37.22000000000002</v>
      </c>
      <c r="G98" s="138">
        <f t="shared" si="256"/>
        <v>3.5870000000000526</v>
      </c>
      <c r="H98" s="138">
        <f>H100+H80</f>
        <v>-5.7480000000000437</v>
      </c>
      <c r="I98" s="164">
        <f t="shared" si="256"/>
        <v>-58.441999999999986</v>
      </c>
      <c r="J98" s="138">
        <f t="shared" si="256"/>
        <v>20.518000000000011</v>
      </c>
      <c r="K98" s="138">
        <f t="shared" si="256"/>
        <v>12.593999999999934</v>
      </c>
      <c r="L98" s="138">
        <f t="shared" si="256"/>
        <v>17.573714340718151</v>
      </c>
      <c r="M98" s="164">
        <f t="shared" si="256"/>
        <v>13.60199999999997</v>
      </c>
      <c r="N98" s="169">
        <f t="shared" si="256"/>
        <v>24.01627873704161</v>
      </c>
      <c r="O98" s="138">
        <f t="shared" si="256"/>
        <v>76.581401891764628</v>
      </c>
      <c r="P98" s="138">
        <f t="shared" si="256"/>
        <v>56.77253477611562</v>
      </c>
      <c r="Q98" s="164">
        <f t="shared" si="256"/>
        <v>33.054365616533516</v>
      </c>
      <c r="R98" s="169">
        <f t="shared" si="256"/>
        <v>5.2248834503210331</v>
      </c>
      <c r="S98" s="138">
        <f t="shared" ref="S98:AS98" si="257">S100+S80</f>
        <v>71.300000000000068</v>
      </c>
      <c r="T98" s="53">
        <f t="shared" si="257"/>
        <v>48.990976773256442</v>
      </c>
      <c r="U98" s="164">
        <f t="shared" si="257"/>
        <v>29.700184742957553</v>
      </c>
      <c r="V98" s="169">
        <f>V100+V80</f>
        <v>31.200000000000017</v>
      </c>
      <c r="W98" s="138">
        <f t="shared" si="257"/>
        <v>57.425081087970923</v>
      </c>
      <c r="X98" s="138">
        <f t="shared" si="257"/>
        <v>72.595537108473849</v>
      </c>
      <c r="Y98" s="164">
        <f t="shared" si="257"/>
        <v>41.067057114279791</v>
      </c>
      <c r="Z98" s="169">
        <f>Z100+Z80</f>
        <v>70.404952461412194</v>
      </c>
      <c r="AA98" s="138">
        <f t="shared" si="257"/>
        <v>107.06742626372697</v>
      </c>
      <c r="AB98" s="138">
        <f t="shared" si="257"/>
        <v>105.46998165864213</v>
      </c>
      <c r="AC98" s="164">
        <f t="shared" si="257"/>
        <v>99.720633982265952</v>
      </c>
      <c r="AD98" s="169">
        <f>AD100+AD80</f>
        <v>105.99883343612146</v>
      </c>
      <c r="AE98" s="138">
        <f t="shared" si="257"/>
        <v>131.97001149535686</v>
      </c>
      <c r="AF98" s="138">
        <f t="shared" si="257"/>
        <v>124.02977342464601</v>
      </c>
      <c r="AG98" s="138">
        <f t="shared" si="257"/>
        <v>88.707774312504625</v>
      </c>
      <c r="AH98" s="169">
        <f>AH100+AH80</f>
        <v>137.98857251304298</v>
      </c>
      <c r="AI98" s="138">
        <f>AI100+AI80</f>
        <v>316.30360848767646</v>
      </c>
      <c r="AJ98" s="138">
        <f t="shared" si="257"/>
        <v>289.60684184863976</v>
      </c>
      <c r="AK98" s="164">
        <f t="shared" si="257"/>
        <v>237.0649197251787</v>
      </c>
      <c r="AL98" s="169">
        <f>AL100+AL80</f>
        <v>229.98976037078137</v>
      </c>
      <c r="AM98" s="138">
        <f t="shared" si="257"/>
        <v>6.7877252563498587</v>
      </c>
      <c r="AN98" s="138">
        <f t="shared" si="257"/>
        <v>57.892006935091558</v>
      </c>
      <c r="AO98" s="164">
        <f t="shared" si="257"/>
        <v>207.18657194384241</v>
      </c>
      <c r="AP98" s="169">
        <f>AP100+AP80</f>
        <v>317.94885115999978</v>
      </c>
      <c r="AQ98" s="138">
        <f t="shared" si="257"/>
        <v>471.94007525000006</v>
      </c>
      <c r="AR98" s="138">
        <f t="shared" si="257"/>
        <v>440.83925150000005</v>
      </c>
      <c r="AS98" s="138">
        <f t="shared" si="257"/>
        <v>293.76533969848873</v>
      </c>
      <c r="AT98" s="169">
        <f t="shared" ref="AT98:BA98" si="258">AT100+AT80</f>
        <v>220.97132884299981</v>
      </c>
      <c r="AU98" s="138">
        <f t="shared" si="258"/>
        <v>239.58216772499964</v>
      </c>
      <c r="AV98" s="138">
        <f t="shared" si="258"/>
        <v>159.05312178269969</v>
      </c>
      <c r="AW98" s="138">
        <f t="shared" si="258"/>
        <v>171.31393374718755</v>
      </c>
      <c r="AX98" s="169">
        <f t="shared" si="258"/>
        <v>258.43461406480401</v>
      </c>
      <c r="AY98" s="138">
        <f t="shared" si="258"/>
        <v>160.37867133650047</v>
      </c>
      <c r="AZ98" s="138">
        <f t="shared" si="258"/>
        <v>538.17196134369033</v>
      </c>
      <c r="BA98" s="164">
        <f t="shared" si="258"/>
        <v>801.10029102005683</v>
      </c>
      <c r="BB98" s="169">
        <f t="shared" ref="BB98:BH98" si="259">BB100+BB80</f>
        <v>577.90000000000009</v>
      </c>
      <c r="BC98" s="138">
        <f t="shared" si="259"/>
        <v>468.05549999999994</v>
      </c>
      <c r="BD98" s="138">
        <f t="shared" si="259"/>
        <v>405.72000000000025</v>
      </c>
      <c r="BE98" s="164">
        <f>BE100+BE80</f>
        <v>-229.76200000000017</v>
      </c>
      <c r="BF98" s="138">
        <f t="shared" si="259"/>
        <v>532.07020000000011</v>
      </c>
      <c r="BG98" s="138">
        <f t="shared" si="259"/>
        <v>466.82400000000007</v>
      </c>
      <c r="BH98" s="138">
        <f t="shared" si="259"/>
        <v>406.00799999999981</v>
      </c>
      <c r="BI98" s="164">
        <f>BI100+BI80</f>
        <v>347.30999999999995</v>
      </c>
      <c r="BJ98" s="169">
        <f t="shared" ref="BJ98:BQ98" si="260">BJ100+BJ80</f>
        <v>464.19399999999996</v>
      </c>
      <c r="BK98" s="138">
        <f t="shared" si="260"/>
        <v>466.904</v>
      </c>
      <c r="BL98" s="138">
        <f t="shared" si="260"/>
        <v>402.89599999999996</v>
      </c>
      <c r="BM98" s="164">
        <f>BM100+BM80</f>
        <v>240.48249999999985</v>
      </c>
      <c r="BN98" s="169">
        <f>BN100+BN80</f>
        <v>314.22499999999991</v>
      </c>
      <c r="BO98" s="138">
        <f>BO100+BO80</f>
        <v>234.21249999999998</v>
      </c>
      <c r="BP98" s="138">
        <f>BP100+BP80</f>
        <v>74.259999999999877</v>
      </c>
      <c r="BQ98" s="164">
        <f t="shared" si="260"/>
        <v>-486.16999999999996</v>
      </c>
      <c r="BR98" s="138">
        <f t="shared" ref="BR98:BY98" si="261">BR100+BR80</f>
        <v>-271.44399999999996</v>
      </c>
      <c r="BS98" s="138">
        <f t="shared" si="261"/>
        <v>320.85299999999984</v>
      </c>
      <c r="BT98" s="138">
        <f t="shared" si="261"/>
        <v>304.07600000000002</v>
      </c>
      <c r="BU98" s="164">
        <f t="shared" si="261"/>
        <v>415.07699999999977</v>
      </c>
      <c r="BV98" s="138">
        <f t="shared" si="261"/>
        <v>709.86499999999978</v>
      </c>
      <c r="BW98" s="138">
        <f t="shared" si="261"/>
        <v>774.36000000000013</v>
      </c>
      <c r="BX98" s="138">
        <f t="shared" si="261"/>
        <v>629.20832419999965</v>
      </c>
      <c r="BY98" s="164">
        <f t="shared" si="261"/>
        <v>535.97450864957125</v>
      </c>
      <c r="BZ98" s="138">
        <f>BZ100+BZ80</f>
        <v>693.90106207829945</v>
      </c>
      <c r="CA98" s="138">
        <f>CA100+CA80</f>
        <v>612.85454619085158</v>
      </c>
      <c r="CB98" s="138">
        <f>CB100+CB80</f>
        <v>439.64448845556853</v>
      </c>
      <c r="CC98" s="164">
        <f>CC100+CC80</f>
        <v>385.77712181974493</v>
      </c>
      <c r="CD98" s="12"/>
      <c r="CE98" s="11">
        <f t="shared" ref="CE98:CL98" si="262">(CE78-CE90-CE92-CE94-CE95)</f>
        <v>-97.823000000000164</v>
      </c>
      <c r="CF98" s="11">
        <f t="shared" si="262"/>
        <v>64.287714340718239</v>
      </c>
      <c r="CG98" s="11">
        <f t="shared" si="262"/>
        <v>190.42458102145599</v>
      </c>
      <c r="CH98" s="11">
        <f t="shared" si="262"/>
        <v>155.21604496653453</v>
      </c>
      <c r="CI98" s="11">
        <f t="shared" si="262"/>
        <v>202.28767531072438</v>
      </c>
      <c r="CJ98" s="11">
        <f t="shared" si="262"/>
        <v>382.6629943660476</v>
      </c>
      <c r="CK98" s="11">
        <f t="shared" si="262"/>
        <v>450.70639266862872</v>
      </c>
      <c r="CL98" s="11">
        <f t="shared" si="262"/>
        <v>980.96394257453812</v>
      </c>
      <c r="CM98" s="11">
        <f t="shared" ref="CM98:CR98" si="263">(CM78-CM90-CM92-CM94-CM95)</f>
        <v>595.8560645060661</v>
      </c>
      <c r="CN98" s="11">
        <f t="shared" si="263"/>
        <v>1524.4935176084884</v>
      </c>
      <c r="CO98" s="11">
        <f t="shared" si="263"/>
        <v>790.92055209788668</v>
      </c>
      <c r="CP98" s="11">
        <f t="shared" si="263"/>
        <v>1838.0855377650514</v>
      </c>
      <c r="CQ98" s="11">
        <f t="shared" si="263"/>
        <v>1318.9135000000006</v>
      </c>
      <c r="CR98" s="11">
        <f t="shared" si="263"/>
        <v>1790.2121999999999</v>
      </c>
      <c r="CS98" s="138">
        <f t="shared" ref="CS98:DA98" si="264">CS100+CS80</f>
        <v>1574.4764999999998</v>
      </c>
      <c r="CT98" s="138">
        <f t="shared" si="264"/>
        <v>136.52749999999969</v>
      </c>
      <c r="CU98" s="138">
        <f t="shared" si="264"/>
        <v>768.5619999999999</v>
      </c>
      <c r="CV98" s="138">
        <f t="shared" si="264"/>
        <v>2649.4078328495707</v>
      </c>
      <c r="CW98" s="138">
        <f>CW100+CW80</f>
        <v>2132.1772185444624</v>
      </c>
      <c r="CX98" s="138">
        <f t="shared" si="264"/>
        <v>2481.2310519202638</v>
      </c>
      <c r="CY98" s="138">
        <f t="shared" si="264"/>
        <v>2635.8281622599234</v>
      </c>
      <c r="CZ98" s="138">
        <f t="shared" si="264"/>
        <v>2876.3721399738133</v>
      </c>
      <c r="DA98" s="138">
        <f t="shared" si="264"/>
        <v>3107.5655978322584</v>
      </c>
      <c r="DB98" s="138">
        <f>DB100+DB80</f>
        <v>3341.986872631911</v>
      </c>
      <c r="DC98" s="138">
        <f>DC100+DC80</f>
        <v>3604.6795011728882</v>
      </c>
      <c r="DD98" s="1509"/>
      <c r="DE98" s="1521"/>
      <c r="DF98" s="30"/>
      <c r="DG98" s="36"/>
      <c r="DH98" s="30"/>
      <c r="DI98" s="30"/>
      <c r="DJ98" s="30"/>
      <c r="DK98" s="30"/>
      <c r="DL98" s="641">
        <f>SUM(AB98:AE98)</f>
        <v>443.15946057238637</v>
      </c>
      <c r="DM98" s="641">
        <f>SUM(AF98:AI98)</f>
        <v>667.02972873787007</v>
      </c>
      <c r="DN98" s="641">
        <f>SUM(AJ98:AM98)</f>
        <v>763.44924720094969</v>
      </c>
      <c r="DO98" s="641">
        <f>SUM(AN98:AQ98)</f>
        <v>1054.9675052889338</v>
      </c>
      <c r="DP98" s="641">
        <f>SUM(AR98:AU98)</f>
        <v>1195.1580877664883</v>
      </c>
      <c r="DQ98" s="641">
        <f>SUM(AV98:AY98)</f>
        <v>749.18034093119172</v>
      </c>
      <c r="DR98" s="641">
        <f>SUM(AZ98:BC98)</f>
        <v>2385.2277523637472</v>
      </c>
      <c r="DS98" s="1102">
        <f>SUM(BD98:BG98)</f>
        <v>1174.8522000000003</v>
      </c>
      <c r="DT98" s="11">
        <f>SUM(BE98:BH98)</f>
        <v>1175.1401999999998</v>
      </c>
      <c r="DU98" s="11">
        <f>SUM(BF98:BI98)</f>
        <v>1752.2121999999999</v>
      </c>
      <c r="DV98" s="11">
        <f>SUM(BJ98:BM98)</f>
        <v>1574.4764999999998</v>
      </c>
      <c r="DW98" s="11">
        <f>SUM(BN98:BQ98)</f>
        <v>136.5274999999998</v>
      </c>
      <c r="DX98" s="2258">
        <f>SUM(BR98:BU98)</f>
        <v>768.56199999999967</v>
      </c>
      <c r="DY98" s="11"/>
      <c r="DZ98" s="1556"/>
    </row>
    <row r="99" spans="1:130" ht="11.25" hidden="1" customHeight="1" outlineLevel="1" collapsed="1">
      <c r="A99" s="145"/>
      <c r="B99" s="227"/>
      <c r="C99" s="145"/>
      <c r="D99" s="145"/>
      <c r="E99" s="228"/>
      <c r="F99" s="547"/>
      <c r="G99" s="547"/>
      <c r="H99" s="547"/>
      <c r="I99" s="626"/>
      <c r="J99" s="547"/>
      <c r="K99" s="547"/>
      <c r="L99" s="547"/>
      <c r="M99" s="626"/>
      <c r="N99" s="547"/>
      <c r="O99" s="547"/>
      <c r="P99" s="547"/>
      <c r="Q99" s="626"/>
      <c r="R99" s="547"/>
      <c r="S99" s="547"/>
      <c r="T99" s="146"/>
      <c r="U99" s="626"/>
      <c r="V99" s="670"/>
      <c r="W99" s="670"/>
      <c r="X99" s="670"/>
      <c r="Y99" s="671"/>
      <c r="Z99" s="547"/>
      <c r="AA99" s="547"/>
      <c r="AB99" s="547"/>
      <c r="AC99" s="626"/>
      <c r="AD99" s="547"/>
      <c r="AE99" s="547"/>
      <c r="AF99" s="547"/>
      <c r="AG99" s="547"/>
      <c r="AH99" s="693"/>
      <c r="AI99" s="145"/>
      <c r="AJ99" s="145"/>
      <c r="AK99" s="228"/>
      <c r="AL99" s="145"/>
      <c r="AM99" s="145"/>
      <c r="AN99" s="145"/>
      <c r="AO99" s="228"/>
      <c r="AP99" s="145"/>
      <c r="AQ99" s="145"/>
      <c r="AR99" s="145"/>
      <c r="AS99" s="145"/>
      <c r="AT99" s="227"/>
      <c r="AU99" s="145"/>
      <c r="AV99" s="145"/>
      <c r="AW99" s="145"/>
      <c r="AX99" s="227"/>
      <c r="AY99" s="145"/>
      <c r="AZ99" s="145"/>
      <c r="BA99" s="228"/>
      <c r="BB99" s="227"/>
      <c r="BC99" s="145"/>
      <c r="BD99" s="1328"/>
      <c r="BE99" s="228"/>
      <c r="BF99" s="201"/>
      <c r="BG99" s="201"/>
      <c r="BH99" s="201"/>
      <c r="BI99" s="228"/>
      <c r="BJ99" s="207"/>
      <c r="BK99" s="201"/>
      <c r="BL99" s="201"/>
      <c r="BM99" s="228"/>
      <c r="BN99" s="207"/>
      <c r="BO99" s="201"/>
      <c r="BP99" s="201"/>
      <c r="BQ99" s="202"/>
      <c r="BR99" s="201"/>
      <c r="BS99" s="201"/>
      <c r="BT99" s="201"/>
      <c r="BU99" s="202"/>
      <c r="BV99" s="201"/>
      <c r="BW99" s="201"/>
      <c r="BX99" s="201"/>
      <c r="BY99" s="202"/>
      <c r="BZ99" s="201"/>
      <c r="CA99" s="201"/>
      <c r="CB99" s="201"/>
      <c r="CC99" s="202"/>
      <c r="CD99" s="228"/>
      <c r="CE99" s="145"/>
      <c r="CF99" s="145"/>
      <c r="CG99" s="145"/>
      <c r="CH99" s="145"/>
      <c r="CI99" s="145"/>
      <c r="CJ99" s="145"/>
      <c r="CK99" s="145"/>
      <c r="CL99" s="145"/>
      <c r="CM99" s="145"/>
      <c r="CN99" s="145"/>
      <c r="CO99" s="145"/>
      <c r="CP99" s="145"/>
      <c r="CQ99" s="145"/>
      <c r="CR99" s="145"/>
      <c r="CS99" s="1479"/>
      <c r="CT99" s="1479"/>
      <c r="CU99" s="201"/>
      <c r="CV99" s="201"/>
      <c r="CW99" s="201"/>
      <c r="CX99" s="201"/>
      <c r="CY99" s="201"/>
      <c r="CZ99" s="201"/>
      <c r="DA99" s="201"/>
      <c r="DB99" s="201"/>
      <c r="DC99" s="201"/>
      <c r="DD99" s="1505"/>
      <c r="DE99" s="1551"/>
      <c r="DF99" s="141"/>
      <c r="DG99" s="215"/>
      <c r="DH99" s="141"/>
      <c r="DI99" s="141"/>
      <c r="DJ99" s="141"/>
      <c r="DK99" s="141"/>
      <c r="DL99" s="641"/>
      <c r="DM99" s="641"/>
      <c r="DN99" s="641"/>
      <c r="DO99" s="641"/>
      <c r="DP99" s="141"/>
      <c r="DQ99" s="141"/>
      <c r="DR99" s="141"/>
      <c r="DS99" s="215"/>
      <c r="DT99" s="141"/>
      <c r="DU99" s="141"/>
      <c r="DV99" s="141"/>
      <c r="DW99" s="141"/>
      <c r="DX99" s="2241"/>
      <c r="DY99" s="141"/>
      <c r="DZ99" s="1676"/>
    </row>
    <row r="100" spans="1:130" ht="11.25" hidden="1" customHeight="1" outlineLevel="1">
      <c r="A100" s="49"/>
      <c r="B100" s="209" t="s">
        <v>71</v>
      </c>
      <c r="C100" s="188"/>
      <c r="D100" s="188"/>
      <c r="E100" s="198"/>
      <c r="F100" s="602">
        <f t="shared" ref="F100:AS100" si="265">F85-F88</f>
        <v>-37.22000000000002</v>
      </c>
      <c r="G100" s="602">
        <f t="shared" si="265"/>
        <v>3.5870000000000526</v>
      </c>
      <c r="H100" s="602">
        <f>H85-H88</f>
        <v>-5.7480000000000437</v>
      </c>
      <c r="I100" s="602">
        <f t="shared" si="265"/>
        <v>-58.441999999999986</v>
      </c>
      <c r="J100" s="788">
        <f t="shared" si="265"/>
        <v>20.518000000000011</v>
      </c>
      <c r="K100" s="602">
        <f t="shared" si="265"/>
        <v>12.593999999999934</v>
      </c>
      <c r="L100" s="602">
        <f t="shared" si="265"/>
        <v>19.19771434071815</v>
      </c>
      <c r="M100" s="602">
        <f t="shared" si="265"/>
        <v>13.11799999999997</v>
      </c>
      <c r="N100" s="788">
        <f t="shared" si="265"/>
        <v>22.215278737041611</v>
      </c>
      <c r="O100" s="602">
        <f t="shared" si="265"/>
        <v>74.358401891764629</v>
      </c>
      <c r="P100" s="602">
        <f t="shared" si="265"/>
        <v>54.501534776115619</v>
      </c>
      <c r="Q100" s="602">
        <f>Q85-Q88</f>
        <v>31.021365616533515</v>
      </c>
      <c r="R100" s="788">
        <f t="shared" si="265"/>
        <v>5.0248834503210329</v>
      </c>
      <c r="S100" s="602">
        <f t="shared" si="265"/>
        <v>68.800000000000068</v>
      </c>
      <c r="T100" s="602">
        <f t="shared" si="265"/>
        <v>47.89097677325644</v>
      </c>
      <c r="U100" s="602">
        <f t="shared" si="265"/>
        <v>29.600184742957552</v>
      </c>
      <c r="V100" s="788">
        <f t="shared" si="265"/>
        <v>30.400000000000016</v>
      </c>
      <c r="W100" s="602">
        <f t="shared" si="265"/>
        <v>56.025081087970925</v>
      </c>
      <c r="X100" s="602">
        <f t="shared" si="265"/>
        <v>70.795537108473852</v>
      </c>
      <c r="Y100" s="602">
        <f t="shared" si="265"/>
        <v>41.067057114279791</v>
      </c>
      <c r="Z100" s="788">
        <f t="shared" si="265"/>
        <v>68.804952461412199</v>
      </c>
      <c r="AA100" s="602">
        <f t="shared" si="265"/>
        <v>104.26742626372697</v>
      </c>
      <c r="AB100" s="602">
        <f t="shared" si="265"/>
        <v>102.86998165864213</v>
      </c>
      <c r="AC100" s="602">
        <f>AC85-AC88</f>
        <v>119.92063398226595</v>
      </c>
      <c r="AD100" s="788">
        <f t="shared" si="265"/>
        <v>102.99883343612146</v>
      </c>
      <c r="AE100" s="602">
        <f t="shared" si="265"/>
        <v>131.97001149535686</v>
      </c>
      <c r="AF100" s="602">
        <f t="shared" si="265"/>
        <v>123.02977342464601</v>
      </c>
      <c r="AG100" s="602">
        <f t="shared" si="265"/>
        <v>234.70777431250463</v>
      </c>
      <c r="AH100" s="788">
        <f>AH85-AH88</f>
        <v>68.988572513042982</v>
      </c>
      <c r="AI100" s="602">
        <f>AI85-AI88</f>
        <v>305.30360848767646</v>
      </c>
      <c r="AJ100" s="602">
        <f t="shared" si="265"/>
        <v>279.60684184863976</v>
      </c>
      <c r="AK100" s="602">
        <f>AK85-AK88</f>
        <v>213.0649197251787</v>
      </c>
      <c r="AL100" s="788">
        <f t="shared" si="265"/>
        <v>210.98976037078137</v>
      </c>
      <c r="AM100" s="602">
        <f t="shared" si="265"/>
        <v>13.787725256349859</v>
      </c>
      <c r="AN100" s="602">
        <f t="shared" si="265"/>
        <v>49.892006935091558</v>
      </c>
      <c r="AO100" s="1004">
        <f t="shared" si="265"/>
        <v>196.18657194384241</v>
      </c>
      <c r="AP100" s="788">
        <f t="shared" si="265"/>
        <v>288.94885115999978</v>
      </c>
      <c r="AQ100" s="602">
        <f t="shared" si="265"/>
        <v>429.94007525000006</v>
      </c>
      <c r="AR100" s="602">
        <f t="shared" si="265"/>
        <v>400.83925150000005</v>
      </c>
      <c r="AS100" s="602">
        <f t="shared" si="265"/>
        <v>266.76533969848873</v>
      </c>
      <c r="AT100" s="788">
        <f t="shared" ref="AT100:BA100" si="266">AT85-AT88</f>
        <v>206.97132884299981</v>
      </c>
      <c r="AU100" s="602">
        <f t="shared" si="266"/>
        <v>225.58216772499964</v>
      </c>
      <c r="AV100" s="602">
        <f t="shared" si="266"/>
        <v>146.05312178269969</v>
      </c>
      <c r="AW100" s="602">
        <f>AW85-AW88</f>
        <v>159.31393374718755</v>
      </c>
      <c r="AX100" s="788">
        <f t="shared" si="266"/>
        <v>239.43461406480401</v>
      </c>
      <c r="AY100" s="602">
        <f t="shared" si="266"/>
        <v>145.37867133650047</v>
      </c>
      <c r="AZ100" s="602">
        <f t="shared" si="266"/>
        <v>483.17196134369033</v>
      </c>
      <c r="BA100" s="602">
        <f t="shared" si="266"/>
        <v>745.10029102005683</v>
      </c>
      <c r="BB100" s="788">
        <f t="shared" ref="BB100:BH100" si="267">BB85-BB88</f>
        <v>518.90000000000009</v>
      </c>
      <c r="BC100" s="602">
        <f t="shared" si="267"/>
        <v>335.05549999999994</v>
      </c>
      <c r="BD100" s="602">
        <f t="shared" si="267"/>
        <v>390.72000000000025</v>
      </c>
      <c r="BE100" s="603">
        <f>BE85-BE88</f>
        <v>-264.76200000000017</v>
      </c>
      <c r="BF100" s="602">
        <f t="shared" si="267"/>
        <v>495.07020000000011</v>
      </c>
      <c r="BG100" s="602">
        <f t="shared" si="267"/>
        <v>429.82400000000007</v>
      </c>
      <c r="BH100" s="602">
        <f t="shared" si="267"/>
        <v>375.00799999999981</v>
      </c>
      <c r="BI100" s="603">
        <f>BI85-BI88</f>
        <v>317.30999999999995</v>
      </c>
      <c r="BJ100" s="788">
        <f t="shared" ref="BJ100:BP100" si="268">BJ85-BJ88</f>
        <v>427.19399999999996</v>
      </c>
      <c r="BK100" s="602">
        <f t="shared" si="268"/>
        <v>446.904</v>
      </c>
      <c r="BL100" s="602">
        <f t="shared" si="268"/>
        <v>374.89599999999996</v>
      </c>
      <c r="BM100" s="603">
        <f>BM85-BM88</f>
        <v>213.48249999999985</v>
      </c>
      <c r="BN100" s="788">
        <f>BN85-BN88</f>
        <v>283.22499999999991</v>
      </c>
      <c r="BO100" s="602">
        <f>BO85-BO88</f>
        <v>241.21249999999998</v>
      </c>
      <c r="BP100" s="602">
        <f t="shared" si="268"/>
        <v>68.259999999999877</v>
      </c>
      <c r="BQ100" s="603">
        <f>BQ85-BQ88</f>
        <v>-367.16999999999996</v>
      </c>
      <c r="BR100" s="788">
        <f t="shared" ref="BR100:BY100" si="269">BR85-BR88</f>
        <v>-366.44399999999996</v>
      </c>
      <c r="BS100" s="602">
        <f t="shared" si="269"/>
        <v>234.85299999999984</v>
      </c>
      <c r="BT100" s="602">
        <f t="shared" si="269"/>
        <v>248.07600000000002</v>
      </c>
      <c r="BU100" s="603">
        <f t="shared" si="269"/>
        <v>280.07699999999977</v>
      </c>
      <c r="BV100" s="788">
        <f t="shared" si="269"/>
        <v>680.86499999999978</v>
      </c>
      <c r="BW100" s="602">
        <f t="shared" si="269"/>
        <v>-822.63999999999987</v>
      </c>
      <c r="BX100" s="602">
        <f t="shared" si="269"/>
        <v>570.84186636899972</v>
      </c>
      <c r="BY100" s="603">
        <f t="shared" si="269"/>
        <v>483.53341067384486</v>
      </c>
      <c r="BZ100" s="788">
        <f>BZ85-BZ88</f>
        <v>638.19150366399299</v>
      </c>
      <c r="CA100" s="602">
        <f>CA85-CA88</f>
        <v>561.8225461503547</v>
      </c>
      <c r="CB100" s="602">
        <f>CB85-CB88</f>
        <v>398.19404159051226</v>
      </c>
      <c r="CC100" s="603">
        <f>CC85-CC88</f>
        <v>347.13813011965897</v>
      </c>
      <c r="CD100" s="12"/>
      <c r="CE100" s="1089">
        <f t="shared" ref="CE100:CM100" si="270">CE85-CE88</f>
        <v>-97.823000000000164</v>
      </c>
      <c r="CF100" s="49">
        <f t="shared" si="270"/>
        <v>65.427714340718239</v>
      </c>
      <c r="CG100" s="49">
        <f t="shared" si="270"/>
        <v>182.09658102145599</v>
      </c>
      <c r="CH100" s="49">
        <f t="shared" si="270"/>
        <v>151.31604496653452</v>
      </c>
      <c r="CI100" s="49">
        <f t="shared" si="270"/>
        <v>198.28767531072438</v>
      </c>
      <c r="CJ100" s="49">
        <f t="shared" si="270"/>
        <v>395.86299436604759</v>
      </c>
      <c r="CK100" s="49">
        <f>CK85-CK88</f>
        <v>592.70639266862872</v>
      </c>
      <c r="CL100" s="49">
        <f>CL85-CL88</f>
        <v>866.96394257453812</v>
      </c>
      <c r="CM100" s="49">
        <f t="shared" si="270"/>
        <v>470.8560645060661</v>
      </c>
      <c r="CN100" s="49">
        <f t="shared" ref="CN100:CV100" si="271">CN85-CN88</f>
        <v>1386.4935176084884</v>
      </c>
      <c r="CO100" s="49">
        <f t="shared" si="271"/>
        <v>737.92055209788668</v>
      </c>
      <c r="CP100" s="49">
        <f t="shared" si="271"/>
        <v>1613.0855377650514</v>
      </c>
      <c r="CQ100" s="49">
        <f t="shared" si="271"/>
        <v>979.91350000000057</v>
      </c>
      <c r="CR100" s="49">
        <f t="shared" si="271"/>
        <v>1617.2121999999999</v>
      </c>
      <c r="CS100" s="602">
        <f t="shared" si="271"/>
        <v>1462.4764999999998</v>
      </c>
      <c r="CT100" s="602">
        <f t="shared" si="271"/>
        <v>225.52749999999969</v>
      </c>
      <c r="CU100" s="602">
        <f t="shared" si="271"/>
        <v>396.5619999999999</v>
      </c>
      <c r="CV100" s="602">
        <f t="shared" si="271"/>
        <v>912.60027704284403</v>
      </c>
      <c r="CW100" s="602">
        <f t="shared" ref="CW100:DC100" si="272">CW85-CW88</f>
        <v>1945.3462215245167</v>
      </c>
      <c r="CX100" s="602">
        <f t="shared" si="272"/>
        <v>2275.2020940646489</v>
      </c>
      <c r="CY100" s="602">
        <f t="shared" si="272"/>
        <v>2421.2963633356276</v>
      </c>
      <c r="CZ100" s="602">
        <f t="shared" si="272"/>
        <v>2648.6104222752533</v>
      </c>
      <c r="DA100" s="602">
        <f t="shared" si="272"/>
        <v>2670.3340380490326</v>
      </c>
      <c r="DB100" s="602">
        <f t="shared" si="272"/>
        <v>2881.31318536872</v>
      </c>
      <c r="DC100" s="602">
        <f t="shared" si="272"/>
        <v>3117.7365510555992</v>
      </c>
      <c r="DD100" s="1509"/>
      <c r="DE100" s="1521"/>
      <c r="DF100" s="30"/>
      <c r="DG100" s="36"/>
      <c r="DH100" s="30"/>
      <c r="DI100" s="30"/>
      <c r="DJ100" s="30"/>
      <c r="DK100" s="30"/>
      <c r="DL100" s="1116">
        <f>SUM(AB100:AE100)</f>
        <v>457.75946057238639</v>
      </c>
      <c r="DM100" s="1116">
        <f>SUM(AF100:AI100)</f>
        <v>732.02972873787007</v>
      </c>
      <c r="DN100" s="1116">
        <f>SUM(AJ100:AM100)</f>
        <v>717.44924720094969</v>
      </c>
      <c r="DO100" s="1116">
        <f>SUM(AN100:AQ100)</f>
        <v>964.96750528893381</v>
      </c>
      <c r="DP100" s="1116">
        <f>SUM(AR100:AU100)</f>
        <v>1100.1580877664883</v>
      </c>
      <c r="DQ100" s="1116">
        <f>SUM(AV100:AY100)</f>
        <v>690.18034093119172</v>
      </c>
      <c r="DR100" s="1116">
        <f>SUM(AZ100:BC100)</f>
        <v>2082.2277523637472</v>
      </c>
      <c r="DS100" s="1243">
        <f>SUM(BD100:BG100)</f>
        <v>1050.8522000000003</v>
      </c>
      <c r="DT100" s="49">
        <f>SUM(BH100:BK100)</f>
        <v>1566.4159999999997</v>
      </c>
      <c r="DU100" s="1116">
        <f>SUM(BL100:BO100)</f>
        <v>1112.8159999999998</v>
      </c>
      <c r="DV100" s="1116">
        <f>SUM(BP100:BS100)</f>
        <v>-430.5010000000002</v>
      </c>
      <c r="DW100" s="1116">
        <f>SUM(BT100:BW100)</f>
        <v>386.3779999999997</v>
      </c>
      <c r="DX100" s="2242">
        <f>SUM(BX100:CA100)</f>
        <v>2254.3893268571924</v>
      </c>
      <c r="DY100" s="1116"/>
      <c r="DZ100" s="1556"/>
    </row>
    <row r="101" spans="1:130" ht="11.25" hidden="1" customHeight="1" outlineLevel="1" collapsed="1">
      <c r="A101" s="145"/>
      <c r="B101" s="227"/>
      <c r="C101" s="145"/>
      <c r="D101" s="145"/>
      <c r="E101" s="228"/>
      <c r="F101" s="145"/>
      <c r="G101" s="145"/>
      <c r="H101" s="145"/>
      <c r="I101" s="228"/>
      <c r="J101" s="145"/>
      <c r="K101" s="145"/>
      <c r="L101" s="145"/>
      <c r="M101" s="228"/>
      <c r="N101" s="145"/>
      <c r="O101" s="145"/>
      <c r="P101" s="145"/>
      <c r="Q101" s="228"/>
      <c r="R101" s="145"/>
      <c r="S101" s="145"/>
      <c r="T101" s="145"/>
      <c r="U101" s="228"/>
      <c r="V101" s="145"/>
      <c r="W101" s="145"/>
      <c r="X101" s="145"/>
      <c r="Y101" s="228"/>
      <c r="Z101" s="145"/>
      <c r="AA101" s="145"/>
      <c r="AB101" s="145"/>
      <c r="AC101" s="228"/>
      <c r="AD101" s="145"/>
      <c r="AE101" s="145"/>
      <c r="AF101" s="145"/>
      <c r="AG101" s="145"/>
      <c r="AH101" s="227"/>
      <c r="AI101" s="910"/>
      <c r="AJ101" s="910"/>
      <c r="AK101" s="910"/>
      <c r="AL101" s="942"/>
      <c r="AM101" s="910"/>
      <c r="AN101" s="910"/>
      <c r="AO101" s="911"/>
      <c r="AP101" s="910"/>
      <c r="AQ101" s="910"/>
      <c r="AR101" s="910"/>
      <c r="AS101" s="910"/>
      <c r="AT101" s="942"/>
      <c r="AU101" s="910"/>
      <c r="AV101" s="910"/>
      <c r="AW101" s="910"/>
      <c r="AX101" s="942"/>
      <c r="AY101" s="910"/>
      <c r="AZ101" s="910"/>
      <c r="BA101" s="910"/>
      <c r="BB101" s="942"/>
      <c r="BC101" s="910"/>
      <c r="BD101" s="910"/>
      <c r="BE101" s="911"/>
      <c r="BF101" s="910"/>
      <c r="BG101" s="910"/>
      <c r="BH101" s="910"/>
      <c r="BI101" s="911"/>
      <c r="BJ101" s="942"/>
      <c r="BK101" s="910"/>
      <c r="BL101" s="910"/>
      <c r="BM101" s="911"/>
      <c r="BN101" s="942"/>
      <c r="BO101" s="910"/>
      <c r="BP101" s="201"/>
      <c r="BQ101" s="202"/>
      <c r="BR101" s="942"/>
      <c r="BS101" s="910"/>
      <c r="BT101" s="910"/>
      <c r="BU101" s="911"/>
      <c r="BV101" s="942"/>
      <c r="BW101" s="910"/>
      <c r="BX101" s="910"/>
      <c r="BY101" s="911"/>
      <c r="BZ101" s="942"/>
      <c r="CA101" s="910"/>
      <c r="CB101" s="910"/>
      <c r="CC101" s="911"/>
      <c r="CD101" s="228"/>
      <c r="CE101" s="145"/>
      <c r="CF101" s="145"/>
      <c r="CG101" s="145"/>
      <c r="CH101" s="145"/>
      <c r="CI101" s="145"/>
      <c r="CJ101" s="141"/>
      <c r="CK101" s="141"/>
      <c r="CL101" s="145"/>
      <c r="CM101" s="145"/>
      <c r="CN101" s="145"/>
      <c r="CO101" s="910"/>
      <c r="CP101" s="910"/>
      <c r="CQ101" s="910"/>
      <c r="CR101" s="910"/>
      <c r="CS101" s="910"/>
      <c r="CT101" s="910"/>
      <c r="CU101" s="910"/>
      <c r="CV101" s="910"/>
      <c r="CW101" s="910"/>
      <c r="CX101" s="910"/>
      <c r="CY101" s="910"/>
      <c r="CZ101" s="910"/>
      <c r="DA101" s="910"/>
      <c r="DB101" s="910"/>
      <c r="DC101" s="910"/>
      <c r="DD101" s="1505"/>
      <c r="DE101" s="1551"/>
      <c r="DF101" s="141"/>
      <c r="DG101" s="215"/>
      <c r="DH101" s="141"/>
      <c r="DI101" s="141"/>
      <c r="DJ101" s="141"/>
      <c r="DK101" s="141"/>
      <c r="DL101" s="641"/>
      <c r="DM101" s="641"/>
      <c r="DN101" s="641"/>
      <c r="DO101" s="641"/>
      <c r="DP101" s="141"/>
      <c r="DQ101" s="141"/>
      <c r="DR101" s="141"/>
      <c r="DS101" s="215"/>
      <c r="DT101" s="141"/>
      <c r="DU101" s="141"/>
      <c r="DV101" s="141"/>
      <c r="DW101" s="141"/>
      <c r="DX101" s="2241"/>
      <c r="DY101" s="141"/>
      <c r="DZ101" s="1676"/>
    </row>
    <row r="102" spans="1:130" ht="11.25" hidden="1" customHeight="1" outlineLevel="1">
      <c r="A102" s="24"/>
      <c r="B102" s="208" t="s">
        <v>72</v>
      </c>
      <c r="C102" s="196"/>
      <c r="D102" s="196"/>
      <c r="E102" s="197"/>
      <c r="F102" s="374">
        <f>CF!F19</f>
        <v>0</v>
      </c>
      <c r="G102" s="374">
        <f>CF!G19</f>
        <v>0</v>
      </c>
      <c r="H102" s="374">
        <f>CF!H19</f>
        <v>0</v>
      </c>
      <c r="I102" s="496">
        <f>CF!I19</f>
        <v>0</v>
      </c>
      <c r="J102" s="374">
        <f>CF!J19</f>
        <v>0</v>
      </c>
      <c r="K102" s="374">
        <f>CF!K19</f>
        <v>0</v>
      </c>
      <c r="L102" s="374">
        <f>CF!L19</f>
        <v>0</v>
      </c>
      <c r="M102" s="496">
        <f>CF!M19</f>
        <v>0</v>
      </c>
      <c r="N102" s="374">
        <f>CF!N19</f>
        <v>0</v>
      </c>
      <c r="O102" s="374">
        <f>CF!O19</f>
        <v>0</v>
      </c>
      <c r="P102" s="374">
        <f>CF!P19</f>
        <v>0</v>
      </c>
      <c r="Q102" s="496">
        <f>CF!Q19</f>
        <v>0</v>
      </c>
      <c r="R102" s="374">
        <f>CF!R19</f>
        <v>0</v>
      </c>
      <c r="S102" s="374">
        <f>CF!S19</f>
        <v>0</v>
      </c>
      <c r="T102" s="374">
        <f>CF!T19</f>
        <v>0</v>
      </c>
      <c r="U102" s="496">
        <f>CF!U19</f>
        <v>0</v>
      </c>
      <c r="V102" s="374">
        <f>CF!V19</f>
        <v>0</v>
      </c>
      <c r="W102" s="374">
        <f>CF!W19</f>
        <v>0</v>
      </c>
      <c r="X102" s="374">
        <f>CF!X19</f>
        <v>0</v>
      </c>
      <c r="Y102" s="496">
        <f>CF!Y19</f>
        <v>0</v>
      </c>
      <c r="Z102" s="374">
        <f>CF!Z19</f>
        <v>6.9</v>
      </c>
      <c r="AA102" s="374">
        <f>CF!AA19</f>
        <v>8.9</v>
      </c>
      <c r="AB102" s="374">
        <f>CF!AB19</f>
        <v>8.6999999999999993</v>
      </c>
      <c r="AC102" s="496">
        <f>CF!AC19</f>
        <v>12.5</v>
      </c>
      <c r="AD102" s="374">
        <f>CF!AD19</f>
        <v>9</v>
      </c>
      <c r="AE102" s="374">
        <f>CF!AE19</f>
        <v>12</v>
      </c>
      <c r="AF102" s="374">
        <f>CF!AF19</f>
        <v>13</v>
      </c>
      <c r="AG102" s="374">
        <f>CF!AG19</f>
        <v>14</v>
      </c>
      <c r="AH102" s="498">
        <f>CF!AH19</f>
        <v>8</v>
      </c>
      <c r="AI102" s="374">
        <f>CF!AI19</f>
        <v>9</v>
      </c>
      <c r="AJ102" s="374">
        <f>CF!AJ19</f>
        <v>10</v>
      </c>
      <c r="AK102" s="374">
        <f>CF!AK19</f>
        <v>10</v>
      </c>
      <c r="AL102" s="498">
        <f>CF!AL19</f>
        <v>10</v>
      </c>
      <c r="AM102" s="374">
        <f>CF!AM19</f>
        <v>11</v>
      </c>
      <c r="AN102" s="374">
        <f>CF!AN19</f>
        <v>12</v>
      </c>
      <c r="AO102" s="496">
        <f>CF!AO19</f>
        <v>14</v>
      </c>
      <c r="AP102" s="498">
        <f>CF!AP19</f>
        <v>13</v>
      </c>
      <c r="AQ102" s="374">
        <f>CF!AQ19</f>
        <v>14</v>
      </c>
      <c r="AR102" s="374">
        <f>CF!AR19</f>
        <v>16</v>
      </c>
      <c r="AS102" s="374">
        <f>CF!AS19</f>
        <v>17</v>
      </c>
      <c r="AT102" s="498">
        <f>CF!AT19</f>
        <v>19</v>
      </c>
      <c r="AU102" s="374">
        <f>CF!AU19</f>
        <v>18</v>
      </c>
      <c r="AV102" s="374">
        <f>CF!AV19</f>
        <v>17</v>
      </c>
      <c r="AW102" s="496">
        <f>CF!AW19</f>
        <v>15</v>
      </c>
      <c r="AX102" s="374">
        <f>CF!AX19</f>
        <v>17</v>
      </c>
      <c r="AY102" s="374">
        <f>CF!AY19</f>
        <v>24</v>
      </c>
      <c r="AZ102" s="374">
        <f>CF!AZ19</f>
        <v>20</v>
      </c>
      <c r="BA102" s="29">
        <f>CF!BA19</f>
        <v>31</v>
      </c>
      <c r="BB102" s="57">
        <f>CF!BB19</f>
        <v>39</v>
      </c>
      <c r="BC102" s="374">
        <f>CF!BC19</f>
        <v>32</v>
      </c>
      <c r="BD102" s="374">
        <f>CF!BD19</f>
        <v>36</v>
      </c>
      <c r="BE102" s="496">
        <f>CF!BE19</f>
        <v>30</v>
      </c>
      <c r="BF102" s="374">
        <f>CF!BF19</f>
        <v>42</v>
      </c>
      <c r="BG102" s="374">
        <f>CF!BG19</f>
        <v>42</v>
      </c>
      <c r="BH102" s="374">
        <f>CF!BH19</f>
        <v>41</v>
      </c>
      <c r="BI102" s="496">
        <f>CF!BI19</f>
        <v>31</v>
      </c>
      <c r="BJ102" s="57">
        <f>CF!BJ19</f>
        <v>39</v>
      </c>
      <c r="BK102" s="29">
        <f>CF!BK19</f>
        <v>41</v>
      </c>
      <c r="BL102" s="374">
        <f>CF!BL19</f>
        <v>37</v>
      </c>
      <c r="BM102" s="496">
        <f>CF!BM19</f>
        <v>45</v>
      </c>
      <c r="BN102" s="57">
        <f>CF!BN19</f>
        <v>42</v>
      </c>
      <c r="BO102" s="29">
        <f>CF!BO19</f>
        <v>37</v>
      </c>
      <c r="BP102" s="29">
        <f>CF!BP19</f>
        <v>42</v>
      </c>
      <c r="BQ102" s="496">
        <f>CF!BQ19</f>
        <v>70</v>
      </c>
      <c r="BR102" s="57">
        <f>CF!BR19</f>
        <v>99</v>
      </c>
      <c r="BS102" s="29">
        <f>CF!BS19</f>
        <v>102</v>
      </c>
      <c r="BT102" s="29">
        <f>CF!BT19</f>
        <v>102</v>
      </c>
      <c r="BU102" s="58">
        <f>CF!BU19</f>
        <v>91</v>
      </c>
      <c r="BV102" s="57">
        <f>CF!BV19</f>
        <v>97</v>
      </c>
      <c r="BW102" s="29">
        <f>CF!BW19</f>
        <v>99</v>
      </c>
      <c r="BX102" s="29">
        <f t="shared" ref="BX102:CC102" si="273">BX11*BX554</f>
        <v>91.079603888680637</v>
      </c>
      <c r="BY102" s="58">
        <f t="shared" si="273"/>
        <v>91.17093452899924</v>
      </c>
      <c r="BZ102" s="57">
        <f t="shared" si="273"/>
        <v>94.074329599891229</v>
      </c>
      <c r="CA102" s="29">
        <f t="shared" si="273"/>
        <v>92.582578970441517</v>
      </c>
      <c r="CB102" s="29">
        <f t="shared" si="273"/>
        <v>85.97368053023574</v>
      </c>
      <c r="CC102" s="58">
        <f t="shared" si="273"/>
        <v>81.376943416126394</v>
      </c>
      <c r="CD102" s="58"/>
      <c r="CE102" s="29">
        <f>SUM(F102:I102)</f>
        <v>0</v>
      </c>
      <c r="CF102" s="29">
        <f>SUM(J102:M102)</f>
        <v>0</v>
      </c>
      <c r="CG102" s="29">
        <f>SUM(N102:Q102)</f>
        <v>0</v>
      </c>
      <c r="CH102" s="29">
        <f>SUM(R102:U102)</f>
        <v>0</v>
      </c>
      <c r="CI102" s="29">
        <f>SUM(V102:Y102)</f>
        <v>0</v>
      </c>
      <c r="CJ102" s="29">
        <f>SUM(Z102:AC102)</f>
        <v>37</v>
      </c>
      <c r="CK102" s="29">
        <f>SUM(AD102:AG102)</f>
        <v>48</v>
      </c>
      <c r="CL102" s="29">
        <f>SUM(AH102:AK102)</f>
        <v>37</v>
      </c>
      <c r="CM102" s="29">
        <f>SUM(AL102:AO102)</f>
        <v>47</v>
      </c>
      <c r="CN102" s="29">
        <f>SUM(AP102:AS102)</f>
        <v>60</v>
      </c>
      <c r="CO102" s="487">
        <f>SUM(AT102:AW102)</f>
        <v>69</v>
      </c>
      <c r="CP102" s="487">
        <f>SUM(AX102:BA102)</f>
        <v>92</v>
      </c>
      <c r="CQ102" s="29">
        <f>SUM(BB102:BE102)</f>
        <v>137</v>
      </c>
      <c r="CR102" s="11">
        <f>SUM(BF102:BI102)</f>
        <v>156</v>
      </c>
      <c r="CS102" s="11">
        <f>SUM(BJ102:BM102)</f>
        <v>162</v>
      </c>
      <c r="CT102" s="11">
        <f>SUM(BN102:BQ102)</f>
        <v>191</v>
      </c>
      <c r="CU102" s="29">
        <f>SUM(BR102:BU102)</f>
        <v>394</v>
      </c>
      <c r="CV102" s="29">
        <f>SUM(BV102:BY102)</f>
        <v>378.25053841767988</v>
      </c>
      <c r="CW102" s="29">
        <f>SUM(BZ102:CC102)</f>
        <v>354.00753251669488</v>
      </c>
      <c r="CX102" s="29">
        <f t="shared" ref="CX102:DC102" si="274">CX11*CX554</f>
        <v>379.82319129474587</v>
      </c>
      <c r="CY102" s="29">
        <f t="shared" si="274"/>
        <v>393.5926426448118</v>
      </c>
      <c r="CZ102" s="29">
        <f t="shared" si="274"/>
        <v>408.57421980480962</v>
      </c>
      <c r="DA102" s="29">
        <f t="shared" si="274"/>
        <v>427.51060443833717</v>
      </c>
      <c r="DB102" s="29">
        <f t="shared" si="274"/>
        <v>448.97207018395602</v>
      </c>
      <c r="DC102" s="29">
        <f t="shared" si="274"/>
        <v>473.27816309047603</v>
      </c>
      <c r="DD102" s="1516"/>
      <c r="DE102" s="1559"/>
      <c r="DF102" s="24"/>
      <c r="DG102" s="23"/>
      <c r="DH102" s="24"/>
      <c r="DI102" s="24"/>
      <c r="DJ102" s="24"/>
      <c r="DK102" s="24"/>
      <c r="DL102" s="641">
        <f>SUM(AB102:AE102)</f>
        <v>42.2</v>
      </c>
      <c r="DM102" s="641">
        <f>SUM(AF102:AI102)</f>
        <v>44</v>
      </c>
      <c r="DN102" s="641">
        <f>SUM(AJ102:AM102)</f>
        <v>41</v>
      </c>
      <c r="DO102" s="641">
        <f>SUM(AN102:AQ102)</f>
        <v>53</v>
      </c>
      <c r="DP102" s="641">
        <f>SUM(AR102:AU102)</f>
        <v>70</v>
      </c>
      <c r="DQ102" s="641">
        <f>SUM(AV102:AY102)</f>
        <v>73</v>
      </c>
      <c r="DR102" s="641">
        <f>SUM(AZ102:BC102)</f>
        <v>122</v>
      </c>
      <c r="DS102" s="1102">
        <f>SUM(BD102:BG102)</f>
        <v>150</v>
      </c>
      <c r="DT102" s="29">
        <f>SUM(BH102:BK102)</f>
        <v>152</v>
      </c>
      <c r="DU102" s="641">
        <f>SUM(BL102:BO102)</f>
        <v>161</v>
      </c>
      <c r="DV102" s="641">
        <f>SUM(BP102:BS102)</f>
        <v>313</v>
      </c>
      <c r="DW102" s="641">
        <f>SUM(BT102:BW102)</f>
        <v>389</v>
      </c>
      <c r="DX102" s="2238">
        <f>SUM(BX102:CA102)</f>
        <v>368.90744698801268</v>
      </c>
      <c r="DY102" s="641"/>
      <c r="DZ102" s="1561"/>
    </row>
    <row r="103" spans="1:130" ht="11.25" hidden="1" customHeight="1" outlineLevel="1">
      <c r="A103" s="24"/>
      <c r="B103" s="208" t="s">
        <v>597</v>
      </c>
      <c r="C103" s="196"/>
      <c r="D103" s="196"/>
      <c r="E103" s="197"/>
      <c r="F103" s="1044">
        <f t="shared" ref="F103:Y103" si="275">F102*F82</f>
        <v>0</v>
      </c>
      <c r="G103" s="1044">
        <f t="shared" si="275"/>
        <v>0</v>
      </c>
      <c r="H103" s="29">
        <f t="shared" si="275"/>
        <v>0</v>
      </c>
      <c r="I103" s="58">
        <f t="shared" si="275"/>
        <v>0</v>
      </c>
      <c r="J103" s="1044">
        <f t="shared" si="275"/>
        <v>0</v>
      </c>
      <c r="K103" s="1044">
        <f t="shared" si="275"/>
        <v>0</v>
      </c>
      <c r="L103" s="29">
        <f t="shared" si="275"/>
        <v>0</v>
      </c>
      <c r="M103" s="58">
        <f t="shared" si="275"/>
        <v>0</v>
      </c>
      <c r="N103" s="1044">
        <f t="shared" si="275"/>
        <v>0</v>
      </c>
      <c r="O103" s="1044">
        <f t="shared" si="275"/>
        <v>0</v>
      </c>
      <c r="P103" s="29">
        <f t="shared" si="275"/>
        <v>0</v>
      </c>
      <c r="Q103" s="58">
        <f t="shared" si="275"/>
        <v>0</v>
      </c>
      <c r="R103" s="1044">
        <f t="shared" si="275"/>
        <v>0</v>
      </c>
      <c r="S103" s="1044">
        <f t="shared" si="275"/>
        <v>0</v>
      </c>
      <c r="T103" s="29">
        <f t="shared" si="275"/>
        <v>0</v>
      </c>
      <c r="U103" s="58">
        <f t="shared" si="275"/>
        <v>0</v>
      </c>
      <c r="V103" s="1044">
        <f t="shared" si="275"/>
        <v>0</v>
      </c>
      <c r="W103" s="1044">
        <f t="shared" si="275"/>
        <v>0</v>
      </c>
      <c r="X103" s="29">
        <f t="shared" si="275"/>
        <v>0</v>
      </c>
      <c r="Y103" s="58">
        <f t="shared" si="275"/>
        <v>0</v>
      </c>
      <c r="Z103" s="459">
        <f>Z102-4.6</f>
        <v>2.3000000000000007</v>
      </c>
      <c r="AA103" s="459">
        <f>AA102-4.2</f>
        <v>4.7</v>
      </c>
      <c r="AB103" s="39">
        <f>0.32*AB102</f>
        <v>2.7839999999999998</v>
      </c>
      <c r="AC103" s="39">
        <f t="shared" ref="AC103:AK103" si="276">0.32*AC102</f>
        <v>4</v>
      </c>
      <c r="AD103" s="38">
        <f t="shared" si="276"/>
        <v>2.88</v>
      </c>
      <c r="AE103" s="39">
        <f t="shared" si="276"/>
        <v>3.84</v>
      </c>
      <c r="AF103" s="39">
        <f t="shared" si="276"/>
        <v>4.16</v>
      </c>
      <c r="AG103" s="39">
        <f t="shared" si="276"/>
        <v>4.4800000000000004</v>
      </c>
      <c r="AH103" s="38">
        <f t="shared" si="276"/>
        <v>2.56</v>
      </c>
      <c r="AI103" s="39">
        <f t="shared" si="276"/>
        <v>2.88</v>
      </c>
      <c r="AJ103" s="39">
        <f t="shared" si="276"/>
        <v>3.2</v>
      </c>
      <c r="AK103" s="39">
        <f t="shared" si="276"/>
        <v>3.2</v>
      </c>
      <c r="AL103" s="38">
        <f>0.32*AL102</f>
        <v>3.2</v>
      </c>
      <c r="AM103" s="39">
        <f t="shared" ref="AM103:BA103" si="277">0.32*AM102</f>
        <v>3.52</v>
      </c>
      <c r="AN103" s="39">
        <f t="shared" si="277"/>
        <v>3.84</v>
      </c>
      <c r="AO103" s="39">
        <f t="shared" si="277"/>
        <v>4.4800000000000004</v>
      </c>
      <c r="AP103" s="38">
        <f t="shared" si="277"/>
        <v>4.16</v>
      </c>
      <c r="AQ103" s="39">
        <f t="shared" si="277"/>
        <v>4.4800000000000004</v>
      </c>
      <c r="AR103" s="39">
        <f t="shared" si="277"/>
        <v>5.12</v>
      </c>
      <c r="AS103" s="39">
        <f t="shared" si="277"/>
        <v>5.44</v>
      </c>
      <c r="AT103" s="38">
        <f t="shared" si="277"/>
        <v>6.08</v>
      </c>
      <c r="AU103" s="39">
        <f t="shared" si="277"/>
        <v>5.76</v>
      </c>
      <c r="AV103" s="39">
        <f t="shared" si="277"/>
        <v>5.44</v>
      </c>
      <c r="AW103" s="39">
        <f>0.32*AW102</f>
        <v>4.8</v>
      </c>
      <c r="AX103" s="38">
        <f t="shared" si="277"/>
        <v>5.44</v>
      </c>
      <c r="AY103" s="39">
        <f t="shared" si="277"/>
        <v>7.68</v>
      </c>
      <c r="AZ103" s="39">
        <f t="shared" si="277"/>
        <v>6.4</v>
      </c>
      <c r="BA103" s="39">
        <f t="shared" si="277"/>
        <v>9.92</v>
      </c>
      <c r="BB103" s="38">
        <f t="shared" ref="BB103:BI103" si="278">0.32*BB102</f>
        <v>12.48</v>
      </c>
      <c r="BC103" s="39">
        <f t="shared" si="278"/>
        <v>10.24</v>
      </c>
      <c r="BD103" s="39">
        <f t="shared" si="278"/>
        <v>11.52</v>
      </c>
      <c r="BE103" s="59">
        <f>0.32*BE102</f>
        <v>9.6</v>
      </c>
      <c r="BF103" s="39">
        <f t="shared" si="278"/>
        <v>13.44</v>
      </c>
      <c r="BG103" s="39">
        <f t="shared" si="278"/>
        <v>13.44</v>
      </c>
      <c r="BH103" s="39">
        <f t="shared" si="278"/>
        <v>13.120000000000001</v>
      </c>
      <c r="BI103" s="59">
        <f t="shared" si="278"/>
        <v>9.92</v>
      </c>
      <c r="BJ103" s="38">
        <f t="shared" ref="BJ103:BQ103" si="279">0.32*BJ102</f>
        <v>12.48</v>
      </c>
      <c r="BK103" s="39">
        <f t="shared" si="279"/>
        <v>13.120000000000001</v>
      </c>
      <c r="BL103" s="39">
        <f t="shared" si="279"/>
        <v>11.84</v>
      </c>
      <c r="BM103" s="59">
        <f t="shared" si="279"/>
        <v>14.4</v>
      </c>
      <c r="BN103" s="38">
        <f>0.32*BN102</f>
        <v>13.44</v>
      </c>
      <c r="BO103" s="39">
        <f>0.32*BO102</f>
        <v>11.84</v>
      </c>
      <c r="BP103" s="39">
        <f t="shared" si="279"/>
        <v>13.44</v>
      </c>
      <c r="BQ103" s="59">
        <f t="shared" si="279"/>
        <v>22.400000000000002</v>
      </c>
      <c r="BR103" s="38">
        <f t="shared" ref="BR103:BY103" si="280">0.32*BR102</f>
        <v>31.68</v>
      </c>
      <c r="BS103" s="39">
        <f t="shared" si="280"/>
        <v>32.64</v>
      </c>
      <c r="BT103" s="39">
        <f t="shared" si="280"/>
        <v>32.64</v>
      </c>
      <c r="BU103" s="59">
        <f t="shared" si="280"/>
        <v>29.12</v>
      </c>
      <c r="BV103" s="38">
        <f>0.32*BV102</f>
        <v>31.04</v>
      </c>
      <c r="BW103" s="39">
        <f t="shared" si="280"/>
        <v>31.68</v>
      </c>
      <c r="BX103" s="39">
        <f t="shared" si="280"/>
        <v>29.145473244377804</v>
      </c>
      <c r="BY103" s="59">
        <f t="shared" si="280"/>
        <v>29.174699049279756</v>
      </c>
      <c r="BZ103" s="38">
        <f>0.32*BZ102</f>
        <v>30.103785471965192</v>
      </c>
      <c r="CA103" s="39">
        <f>0.32*CA102</f>
        <v>29.626425270541286</v>
      </c>
      <c r="CB103" s="39">
        <f>0.32*CB102</f>
        <v>27.511577769675437</v>
      </c>
      <c r="CC103" s="59">
        <f>0.32*CC102</f>
        <v>26.040621893160449</v>
      </c>
      <c r="CD103" s="58"/>
      <c r="CE103" s="29">
        <f>SUM(F103:I103)</f>
        <v>0</v>
      </c>
      <c r="CF103" s="29">
        <f>SUM(J103:M103)</f>
        <v>0</v>
      </c>
      <c r="CG103" s="29">
        <f>SUM(N103:Q103)</f>
        <v>0</v>
      </c>
      <c r="CH103" s="29">
        <f>SUM(R103:U103)</f>
        <v>0</v>
      </c>
      <c r="CI103" s="29">
        <f>SUM(V103:Y103)</f>
        <v>0</v>
      </c>
      <c r="CJ103" s="29">
        <f>SUM(Z103:AC103)</f>
        <v>13.784000000000001</v>
      </c>
      <c r="CK103" s="29">
        <f>SUM(AD103:AG103)</f>
        <v>15.36</v>
      </c>
      <c r="CL103" s="29">
        <f>SUM(AH103:AK103)</f>
        <v>11.84</v>
      </c>
      <c r="CM103" s="29">
        <f>SUM(AL103:AO103)</f>
        <v>15.040000000000001</v>
      </c>
      <c r="CN103" s="29">
        <f>SUM(AP103:AS103)</f>
        <v>19.200000000000003</v>
      </c>
      <c r="CO103" s="487">
        <f>SUM(AT103:AW103)</f>
        <v>22.080000000000002</v>
      </c>
      <c r="CP103" s="487">
        <f>SUM(AX103:BA103)</f>
        <v>29.440000000000005</v>
      </c>
      <c r="CQ103" s="29">
        <f>SUM(BB103:BE103)</f>
        <v>43.839999999999996</v>
      </c>
      <c r="CR103" s="11">
        <f>SUM(BF103:BI103)</f>
        <v>49.92</v>
      </c>
      <c r="CS103" s="11">
        <f>SUM(BJ103:BM103)</f>
        <v>51.839999999999996</v>
      </c>
      <c r="CT103" s="11">
        <f>SUM(BN103:BQ103)</f>
        <v>61.120000000000005</v>
      </c>
      <c r="CU103" s="29">
        <f>SUM(BR103:BU103)</f>
        <v>126.08</v>
      </c>
      <c r="CV103" s="29">
        <f>SUM(BV103:BY103)</f>
        <v>121.04017229365755</v>
      </c>
      <c r="CW103" s="29">
        <f>SUM(BZ103:CC103)</f>
        <v>113.28241040534236</v>
      </c>
      <c r="CX103" s="39">
        <f t="shared" ref="CX103:DC103" si="281">0.32*CX102</f>
        <v>121.54342121431868</v>
      </c>
      <c r="CY103" s="39">
        <f t="shared" si="281"/>
        <v>125.94964564633977</v>
      </c>
      <c r="CZ103" s="39">
        <f t="shared" si="281"/>
        <v>130.74375033753907</v>
      </c>
      <c r="DA103" s="39">
        <f t="shared" si="281"/>
        <v>136.80339342026789</v>
      </c>
      <c r="DB103" s="39">
        <f t="shared" si="281"/>
        <v>143.67106245886592</v>
      </c>
      <c r="DC103" s="39">
        <f t="shared" si="281"/>
        <v>151.44901218895234</v>
      </c>
      <c r="DD103" s="1516"/>
      <c r="DE103" s="1559"/>
      <c r="DF103" s="24"/>
      <c r="DG103" s="23"/>
      <c r="DH103" s="24"/>
      <c r="DI103" s="24"/>
      <c r="DJ103" s="24"/>
      <c r="DK103" s="24"/>
      <c r="DL103" s="641">
        <f>SUM(AB103:AE103)</f>
        <v>13.504</v>
      </c>
      <c r="DM103" s="641">
        <f>SUM(AF103:AI103)</f>
        <v>14.080000000000002</v>
      </c>
      <c r="DN103" s="641">
        <f>SUM(AJ103:AM103)</f>
        <v>13.120000000000001</v>
      </c>
      <c r="DO103" s="641">
        <f>SUM(AN103:AQ103)</f>
        <v>16.96</v>
      </c>
      <c r="DP103" s="641">
        <f>SUM(AR103:AU103)</f>
        <v>22.4</v>
      </c>
      <c r="DQ103" s="641">
        <f>SUM(AV103:AY103)</f>
        <v>23.36</v>
      </c>
      <c r="DR103" s="641">
        <f>SUM(AZ103:BC103)</f>
        <v>39.04</v>
      </c>
      <c r="DS103" s="1102">
        <f>SUM(BD103:BG103)</f>
        <v>47.999999999999993</v>
      </c>
      <c r="DT103" s="29">
        <f>SUM(BH103:BK103)</f>
        <v>48.64</v>
      </c>
      <c r="DU103" s="641">
        <f>SUM(BL103:BO103)</f>
        <v>51.519999999999996</v>
      </c>
      <c r="DV103" s="641">
        <f>SUM(BP103:BS103)</f>
        <v>100.16000000000001</v>
      </c>
      <c r="DW103" s="641">
        <f>SUM(BT103:BW103)</f>
        <v>124.48000000000002</v>
      </c>
      <c r="DX103" s="2238">
        <f>SUM(BX103:CA103)</f>
        <v>118.05038303616405</v>
      </c>
      <c r="DY103" s="641"/>
      <c r="DZ103" s="1561"/>
    </row>
    <row r="104" spans="1:130" ht="11.25" hidden="1" customHeight="1" outlineLevel="1">
      <c r="A104" s="3"/>
      <c r="B104" s="207" t="s">
        <v>652</v>
      </c>
      <c r="C104" s="201"/>
      <c r="D104" s="201"/>
      <c r="E104" s="202"/>
      <c r="F104" s="68">
        <f t="shared" ref="F104:Y104" si="282">F116-F114</f>
        <v>0</v>
      </c>
      <c r="G104" s="68">
        <f t="shared" si="282"/>
        <v>0</v>
      </c>
      <c r="H104" s="68">
        <f t="shared" si="282"/>
        <v>0</v>
      </c>
      <c r="I104" s="69">
        <f t="shared" si="282"/>
        <v>0</v>
      </c>
      <c r="J104" s="68">
        <f t="shared" si="282"/>
        <v>0</v>
      </c>
      <c r="K104" s="68">
        <f t="shared" si="282"/>
        <v>0</v>
      </c>
      <c r="L104" s="68">
        <f t="shared" si="282"/>
        <v>0</v>
      </c>
      <c r="M104" s="69">
        <f t="shared" si="282"/>
        <v>0</v>
      </c>
      <c r="N104" s="68">
        <f t="shared" si="282"/>
        <v>0</v>
      </c>
      <c r="O104" s="68">
        <f t="shared" si="282"/>
        <v>0</v>
      </c>
      <c r="P104" s="68">
        <f t="shared" si="282"/>
        <v>0</v>
      </c>
      <c r="Q104" s="69">
        <f t="shared" si="282"/>
        <v>0</v>
      </c>
      <c r="R104" s="68">
        <f t="shared" si="282"/>
        <v>0</v>
      </c>
      <c r="S104" s="68">
        <f t="shared" si="282"/>
        <v>0</v>
      </c>
      <c r="T104" s="68">
        <f t="shared" si="282"/>
        <v>0</v>
      </c>
      <c r="U104" s="69">
        <f t="shared" si="282"/>
        <v>0</v>
      </c>
      <c r="V104" s="68">
        <f t="shared" si="282"/>
        <v>0</v>
      </c>
      <c r="W104" s="68">
        <f t="shared" si="282"/>
        <v>0</v>
      </c>
      <c r="X104" s="68">
        <f t="shared" si="282"/>
        <v>0</v>
      </c>
      <c r="Y104" s="69">
        <f t="shared" si="282"/>
        <v>0</v>
      </c>
      <c r="Z104" s="68">
        <f>Z116-Z114</f>
        <v>2.0805065581185E-2</v>
      </c>
      <c r="AA104" s="68">
        <f>AA116-AA114</f>
        <v>1.8961625282167049E-2</v>
      </c>
      <c r="AB104" s="68">
        <f>AB116-AB114</f>
        <v>2.6084656084656044E-2</v>
      </c>
      <c r="AC104" s="69">
        <f>AC116-AC114</f>
        <v>3.7760995113283014E-2</v>
      </c>
      <c r="AD104" s="68">
        <f t="shared" ref="AD104:AS104" si="283">AD116-AD114</f>
        <v>2.7200000000000057E-2</v>
      </c>
      <c r="AE104" s="68">
        <f>AE116-AE114</f>
        <v>3.6106194690265436E-2</v>
      </c>
      <c r="AF104" s="68">
        <f t="shared" si="283"/>
        <v>3.9115044247787556E-2</v>
      </c>
      <c r="AG104" s="68">
        <f t="shared" si="283"/>
        <v>4.2311111111111077E-2</v>
      </c>
      <c r="AH104" s="67">
        <f t="shared" si="283"/>
        <v>2.4285714285714244E-2</v>
      </c>
      <c r="AI104" s="68">
        <f t="shared" si="283"/>
        <v>2.7079646017699188E-2</v>
      </c>
      <c r="AJ104" s="68">
        <f t="shared" si="283"/>
        <v>2.9955947136564021E-2</v>
      </c>
      <c r="AK104" s="69">
        <f t="shared" si="283"/>
        <v>2.9955947136563799E-2</v>
      </c>
      <c r="AL104" s="68">
        <f t="shared" si="283"/>
        <v>3.0088495575221308E-2</v>
      </c>
      <c r="AM104" s="68">
        <f t="shared" si="283"/>
        <v>3.3392857142857169E-2</v>
      </c>
      <c r="AN104" s="68">
        <f t="shared" si="283"/>
        <v>3.6106194690265492E-2</v>
      </c>
      <c r="AO104" s="69">
        <f t="shared" si="283"/>
        <v>4.1938325991189518E-2</v>
      </c>
      <c r="AP104" s="68">
        <f t="shared" si="283"/>
        <v>3.8434782608695484E-2</v>
      </c>
      <c r="AQ104" s="68">
        <f t="shared" si="283"/>
        <v>4.103448275862065E-2</v>
      </c>
      <c r="AR104" s="68">
        <f t="shared" si="283"/>
        <v>4.6495726495726419E-2</v>
      </c>
      <c r="AS104" s="68">
        <f t="shared" si="283"/>
        <v>4.9191489361702256E-2</v>
      </c>
      <c r="AT104" s="67">
        <f t="shared" ref="AT104:BA104" si="284">AT116-AT114</f>
        <v>5.5213675213675151E-2</v>
      </c>
      <c r="AU104" s="68">
        <f t="shared" si="284"/>
        <v>5.2085106382978807E-2</v>
      </c>
      <c r="AV104" s="68">
        <f t="shared" si="284"/>
        <v>4.8983050847457688E-2</v>
      </c>
      <c r="AW104" s="68">
        <f t="shared" si="284"/>
        <v>4.3037974683544311E-2</v>
      </c>
      <c r="AX104" s="67">
        <f t="shared" si="284"/>
        <v>4.877637130801693E-2</v>
      </c>
      <c r="AY104" s="68">
        <f t="shared" si="284"/>
        <v>6.8860759493670987E-2</v>
      </c>
      <c r="AZ104" s="68">
        <f t="shared" si="284"/>
        <v>5.52845528455288E-2</v>
      </c>
      <c r="BA104" s="69">
        <f t="shared" si="284"/>
        <v>8.1076923076923268E-2</v>
      </c>
      <c r="BB104" s="67">
        <f t="shared" ref="BB104:BH104" si="285">BB116-BB114</f>
        <v>0.10523809523809513</v>
      </c>
      <c r="BC104" s="68">
        <f t="shared" si="285"/>
        <v>8.8455284552845459E-2</v>
      </c>
      <c r="BD104" s="68">
        <f t="shared" si="285"/>
        <v>9.9918367346938819E-2</v>
      </c>
      <c r="BE104" s="69">
        <f>BE116-BE114</f>
        <v>8.395061728395059E-2</v>
      </c>
      <c r="BF104" s="68">
        <f t="shared" si="285"/>
        <v>0.11801652892561965</v>
      </c>
      <c r="BG104" s="68">
        <f t="shared" si="285"/>
        <v>0.11753086419753034</v>
      </c>
      <c r="BH104" s="68">
        <f t="shared" si="285"/>
        <v>0.11520661157024814</v>
      </c>
      <c r="BI104" s="69">
        <f>BI116-BI114</f>
        <v>8.7468879668049837E-2</v>
      </c>
      <c r="BJ104" s="67">
        <f t="shared" ref="BJ104:BQ104" si="286">BJ116-BJ114</f>
        <v>0.11050000000000004</v>
      </c>
      <c r="BK104" s="68">
        <f t="shared" si="286"/>
        <v>0.11714285714285699</v>
      </c>
      <c r="BL104" s="68">
        <f t="shared" si="286"/>
        <v>0.10661016949152557</v>
      </c>
      <c r="BM104" s="69">
        <f>BM116-BM114</f>
        <v>0.13021276595744702</v>
      </c>
      <c r="BN104" s="67">
        <f>BN116-BN114</f>
        <v>0.12205128205128224</v>
      </c>
      <c r="BO104" s="68">
        <f>BO116-BO114</f>
        <v>0.10752136752136754</v>
      </c>
      <c r="BP104" s="68">
        <f t="shared" si="286"/>
        <v>0.12205128205128202</v>
      </c>
      <c r="BQ104" s="69">
        <f t="shared" si="286"/>
        <v>0.18098859315589366</v>
      </c>
      <c r="BR104" s="68">
        <f t="shared" ref="BR104:BY104" si="287">BR116-BR114</f>
        <v>0.23213793103448288</v>
      </c>
      <c r="BS104" s="68">
        <f t="shared" si="287"/>
        <v>0.2359183673469385</v>
      </c>
      <c r="BT104" s="68">
        <f t="shared" si="287"/>
        <v>0.23197324414715714</v>
      </c>
      <c r="BU104" s="69">
        <f t="shared" si="287"/>
        <v>0.20558139534883724</v>
      </c>
      <c r="BV104" s="68">
        <f>BV116-BV114</f>
        <v>0.2155555555555555</v>
      </c>
      <c r="BW104" s="68">
        <f t="shared" si="287"/>
        <v>0.2200000000000002</v>
      </c>
      <c r="BX104" s="68">
        <f t="shared" si="287"/>
        <v>0.20090492987194253</v>
      </c>
      <c r="BY104" s="69">
        <f t="shared" si="287"/>
        <v>0.2016021226691409</v>
      </c>
      <c r="BZ104" s="68">
        <f>BZ116-BZ114</f>
        <v>0.20698118789171582</v>
      </c>
      <c r="CA104" s="68">
        <f>CA116-CA114</f>
        <v>0.20283463892602471</v>
      </c>
      <c r="CB104" s="68">
        <f>CB116-CB114</f>
        <v>0.18724151214413354</v>
      </c>
      <c r="CC104" s="69">
        <f>CC116-CC114</f>
        <v>0.17588277791880724</v>
      </c>
      <c r="CD104" s="12"/>
      <c r="CE104" s="68">
        <f t="shared" ref="CE104:CJ104" si="288">CE116-CE114</f>
        <v>0</v>
      </c>
      <c r="CF104" s="68">
        <f t="shared" si="288"/>
        <v>0</v>
      </c>
      <c r="CG104" s="68">
        <f t="shared" si="288"/>
        <v>0</v>
      </c>
      <c r="CH104" s="68">
        <f t="shared" si="288"/>
        <v>0</v>
      </c>
      <c r="CI104" s="68">
        <f t="shared" si="288"/>
        <v>0</v>
      </c>
      <c r="CJ104" s="68">
        <f t="shared" si="288"/>
        <v>0.10364285714285715</v>
      </c>
      <c r="CK104" s="68">
        <f t="shared" ref="CK104:CQ104" si="289">CK116-CK114</f>
        <v>0.14442477876106197</v>
      </c>
      <c r="CL104" s="68">
        <f t="shared" si="289"/>
        <v>0.11132743362831832</v>
      </c>
      <c r="CM104" s="68">
        <f t="shared" si="289"/>
        <v>0.14141592920353974</v>
      </c>
      <c r="CN104" s="1343">
        <f t="shared" si="289"/>
        <v>0.17510729613733922</v>
      </c>
      <c r="CO104" s="68">
        <f t="shared" si="289"/>
        <v>0.19965957446808469</v>
      </c>
      <c r="CP104" s="68">
        <f t="shared" si="289"/>
        <v>0.25534693877551007</v>
      </c>
      <c r="CQ104" s="68">
        <f t="shared" si="289"/>
        <v>0.37869918699187011</v>
      </c>
      <c r="CR104" s="68">
        <f t="shared" ref="CR104:DA104" si="290">CR116-CR114</f>
        <v>0.43834710743801608</v>
      </c>
      <c r="CS104" s="68">
        <f t="shared" si="290"/>
        <v>0.46481012658227883</v>
      </c>
      <c r="CT104" s="68">
        <f t="shared" si="290"/>
        <v>0.54425075427422165</v>
      </c>
      <c r="CU104" s="68">
        <f t="shared" si="290"/>
        <v>0.90513513513513644</v>
      </c>
      <c r="CV104" s="68">
        <f t="shared" si="290"/>
        <v>0.83867360595092677</v>
      </c>
      <c r="CW104" s="68">
        <f>CW116-CW114</f>
        <v>0.76904703947032971</v>
      </c>
      <c r="CX104" s="68">
        <f t="shared" si="290"/>
        <v>0.80477260518960669</v>
      </c>
      <c r="CY104" s="68">
        <f t="shared" si="290"/>
        <v>0.81210291953173019</v>
      </c>
      <c r="CZ104" s="68">
        <f t="shared" si="290"/>
        <v>0.82025227766169628</v>
      </c>
      <c r="DA104" s="68">
        <f t="shared" si="290"/>
        <v>0.83750439570622248</v>
      </c>
      <c r="DB104" s="68">
        <f>DB116-DB114</f>
        <v>0.85806103866041106</v>
      </c>
      <c r="DC104" s="68">
        <f>DC116-DC114</f>
        <v>0.88280268952871843</v>
      </c>
      <c r="DD104" s="1509"/>
      <c r="DE104" s="1521"/>
      <c r="DF104" s="24"/>
      <c r="DG104" s="23"/>
      <c r="DH104" s="24"/>
      <c r="DI104" s="24"/>
      <c r="DJ104" s="24"/>
      <c r="DK104" s="24"/>
      <c r="DL104" s="641">
        <f>SUM(AB104:AE104)</f>
        <v>0.12715184588820455</v>
      </c>
      <c r="DM104" s="641">
        <f>SUM(AF104:AI104)</f>
        <v>0.13279151566231207</v>
      </c>
      <c r="DN104" s="641">
        <f>SUM(AJ104:AM104)</f>
        <v>0.1233932469912063</v>
      </c>
      <c r="DO104" s="641">
        <f>SUM(AN104:AQ104)</f>
        <v>0.15751378604877114</v>
      </c>
      <c r="DP104" s="641">
        <f>SUM(AR104:AU104)</f>
        <v>0.20298599745408263</v>
      </c>
      <c r="DQ104" s="641">
        <f>SUM(AV104:AY104)</f>
        <v>0.20965815633268992</v>
      </c>
      <c r="DR104" s="641">
        <f>SUM(AZ104:BC104)</f>
        <v>0.33005485571339266</v>
      </c>
      <c r="DS104" s="1102">
        <f>SUM(BD104:BG104)</f>
        <v>0.41941637775403939</v>
      </c>
      <c r="DT104" s="366">
        <f>SUM(BH104:BK104)</f>
        <v>0.43031834838115501</v>
      </c>
      <c r="DU104" s="641">
        <f>SUM(BL104:BO104)</f>
        <v>0.46639558502162237</v>
      </c>
      <c r="DV104" s="641">
        <f>SUM(BP104:BS104)</f>
        <v>0.77109617358859706</v>
      </c>
      <c r="DW104" s="641">
        <f>SUM(BT104:BW104)</f>
        <v>0.87311019505155008</v>
      </c>
      <c r="DX104" s="2238">
        <f>SUM(BX104:CA104)</f>
        <v>0.81232287935882397</v>
      </c>
      <c r="DY104" s="641"/>
      <c r="DZ104" s="1561"/>
    </row>
    <row r="105" spans="1:130" ht="11.25" hidden="1" customHeight="1" outlineLevel="1">
      <c r="A105" s="3"/>
      <c r="B105" s="207"/>
      <c r="C105" s="201"/>
      <c r="D105" s="201"/>
      <c r="E105" s="202"/>
      <c r="F105" s="68"/>
      <c r="G105" s="68"/>
      <c r="H105" s="68"/>
      <c r="I105" s="69"/>
      <c r="J105" s="68"/>
      <c r="K105" s="68"/>
      <c r="L105" s="68"/>
      <c r="M105" s="69"/>
      <c r="N105" s="68"/>
      <c r="O105" s="68"/>
      <c r="P105" s="68"/>
      <c r="Q105" s="69"/>
      <c r="R105" s="68"/>
      <c r="S105" s="68"/>
      <c r="T105" s="68"/>
      <c r="U105" s="69"/>
      <c r="V105" s="68"/>
      <c r="W105" s="68"/>
      <c r="X105" s="68"/>
      <c r="Y105" s="69"/>
      <c r="Z105" s="68"/>
      <c r="AA105" s="68"/>
      <c r="AB105" s="68"/>
      <c r="AC105" s="69"/>
      <c r="AD105" s="68"/>
      <c r="AE105" s="68"/>
      <c r="AF105" s="68"/>
      <c r="AG105" s="68"/>
      <c r="AH105" s="67"/>
      <c r="AI105" s="68"/>
      <c r="AJ105" s="68"/>
      <c r="AK105" s="69"/>
      <c r="AL105" s="68"/>
      <c r="AM105" s="68"/>
      <c r="AN105" s="68"/>
      <c r="AO105" s="69"/>
      <c r="AP105" s="68"/>
      <c r="AQ105" s="68"/>
      <c r="AR105" s="68"/>
      <c r="AS105" s="68"/>
      <c r="AT105" s="67"/>
      <c r="AU105" s="68"/>
      <c r="AV105" s="68"/>
      <c r="AW105" s="68"/>
      <c r="AX105" s="67"/>
      <c r="AY105" s="68"/>
      <c r="AZ105" s="68"/>
      <c r="BA105" s="69"/>
      <c r="BB105" s="67"/>
      <c r="BC105" s="68"/>
      <c r="BD105" s="68"/>
      <c r="BE105" s="69"/>
      <c r="BF105" s="68"/>
      <c r="BG105" s="68"/>
      <c r="BH105" s="68"/>
      <c r="BI105" s="69"/>
      <c r="BJ105" s="67"/>
      <c r="BK105" s="68"/>
      <c r="BL105" s="68"/>
      <c r="BM105" s="69"/>
      <c r="BN105" s="68"/>
      <c r="BO105" s="68"/>
      <c r="BP105" s="68"/>
      <c r="BQ105" s="69"/>
      <c r="BR105" s="68"/>
      <c r="BS105" s="68"/>
      <c r="BT105" s="68"/>
      <c r="BU105" s="69"/>
      <c r="BV105" s="68"/>
      <c r="BW105" s="68"/>
      <c r="BX105" s="68"/>
      <c r="BY105" s="69"/>
      <c r="BZ105" s="68"/>
      <c r="CA105" s="68"/>
      <c r="CB105" s="68"/>
      <c r="CC105" s="69"/>
      <c r="CD105" s="12"/>
      <c r="CE105" s="68"/>
      <c r="CF105" s="68"/>
      <c r="CG105" s="68"/>
      <c r="CH105" s="68"/>
      <c r="CI105" s="68"/>
      <c r="CJ105" s="68"/>
      <c r="CK105" s="68"/>
      <c r="CL105" s="68"/>
      <c r="CM105" s="68"/>
      <c r="CN105" s="1343"/>
      <c r="CO105" s="68"/>
      <c r="CP105" s="68"/>
      <c r="CQ105" s="68"/>
      <c r="CR105" s="68"/>
      <c r="CS105" s="1479"/>
      <c r="CT105" s="1479"/>
      <c r="CU105" s="68"/>
      <c r="CV105" s="68"/>
      <c r="CW105" s="68"/>
      <c r="CX105" s="68"/>
      <c r="CY105" s="68"/>
      <c r="CZ105" s="68"/>
      <c r="DA105" s="68"/>
      <c r="DB105" s="68"/>
      <c r="DC105" s="68"/>
      <c r="DD105" s="1509"/>
      <c r="DE105" s="1521"/>
      <c r="DF105" s="24"/>
      <c r="DG105" s="23"/>
      <c r="DH105" s="24"/>
      <c r="DI105" s="24"/>
      <c r="DJ105" s="24"/>
      <c r="DK105" s="24"/>
      <c r="DL105" s="641"/>
      <c r="DM105" s="641"/>
      <c r="DN105" s="641"/>
      <c r="DO105" s="641"/>
      <c r="DP105" s="24"/>
      <c r="DQ105" s="24"/>
      <c r="DR105" s="24"/>
      <c r="DS105" s="23"/>
      <c r="DT105" s="366"/>
      <c r="DU105" s="366"/>
      <c r="DV105" s="366"/>
      <c r="DW105" s="366"/>
      <c r="DX105" s="2259"/>
      <c r="DY105" s="366"/>
      <c r="DZ105" s="1561"/>
    </row>
    <row r="106" spans="1:130" ht="11.25" hidden="1" customHeight="1" outlineLevel="1">
      <c r="A106" s="11"/>
      <c r="B106" s="209" t="s">
        <v>311</v>
      </c>
      <c r="C106" s="188"/>
      <c r="D106" s="188"/>
      <c r="E106" s="202"/>
      <c r="F106" s="49">
        <f t="shared" ref="F106:BA106" si="291">F85+F102-F103</f>
        <v>-37.22000000000002</v>
      </c>
      <c r="G106" s="49">
        <f t="shared" si="291"/>
        <v>2.838000000000052</v>
      </c>
      <c r="H106" s="49">
        <f t="shared" si="291"/>
        <v>1.0369999999999568</v>
      </c>
      <c r="I106" s="50">
        <f t="shared" si="291"/>
        <v>-41.325999999999986</v>
      </c>
      <c r="J106" s="49">
        <f t="shared" si="291"/>
        <v>-0.55699999999998884</v>
      </c>
      <c r="K106" s="49">
        <f t="shared" si="291"/>
        <v>15.444999999999933</v>
      </c>
      <c r="L106" s="49">
        <f t="shared" si="291"/>
        <v>17.559714340718148</v>
      </c>
      <c r="M106" s="50">
        <f t="shared" si="291"/>
        <v>16.20799999999997</v>
      </c>
      <c r="N106" s="49">
        <f t="shared" si="291"/>
        <v>22.215278737041611</v>
      </c>
      <c r="O106" s="49">
        <f t="shared" si="291"/>
        <v>73.038401891764636</v>
      </c>
      <c r="P106" s="49">
        <f t="shared" si="291"/>
        <v>54.501534776115619</v>
      </c>
      <c r="Q106" s="50">
        <f t="shared" si="291"/>
        <v>45.071365616533512</v>
      </c>
      <c r="R106" s="49">
        <f t="shared" si="291"/>
        <v>5.0248834503210329</v>
      </c>
      <c r="S106" s="49">
        <f t="shared" si="291"/>
        <v>68.800000000000068</v>
      </c>
      <c r="T106" s="49">
        <f t="shared" si="291"/>
        <v>47.89097677325644</v>
      </c>
      <c r="U106" s="50">
        <f t="shared" si="291"/>
        <v>29.600184742957552</v>
      </c>
      <c r="V106" s="49">
        <f t="shared" si="291"/>
        <v>30.400000000000016</v>
      </c>
      <c r="W106" s="49">
        <f t="shared" si="291"/>
        <v>56.025081087970925</v>
      </c>
      <c r="X106" s="49">
        <f t="shared" si="291"/>
        <v>70.795537108473852</v>
      </c>
      <c r="Y106" s="50">
        <f t="shared" si="291"/>
        <v>60.067057114279791</v>
      </c>
      <c r="Z106" s="49">
        <f>Z85+Z102-Z103</f>
        <v>73.404952461412208</v>
      </c>
      <c r="AA106" s="1007">
        <f t="shared" si="291"/>
        <v>108.46742626372698</v>
      </c>
      <c r="AB106" s="49">
        <f t="shared" si="291"/>
        <v>108.78598165864213</v>
      </c>
      <c r="AC106" s="50">
        <f t="shared" si="291"/>
        <v>93.420633982265954</v>
      </c>
      <c r="AD106" s="49">
        <f t="shared" si="291"/>
        <v>109.11883343612146</v>
      </c>
      <c r="AE106" s="49">
        <f t="shared" si="291"/>
        <v>140.13001149535685</v>
      </c>
      <c r="AF106" s="49">
        <f t="shared" si="291"/>
        <v>131.86977342464601</v>
      </c>
      <c r="AG106" s="49">
        <f t="shared" si="291"/>
        <v>97.358009966311286</v>
      </c>
      <c r="AH106" s="48">
        <f t="shared" si="291"/>
        <v>183.08826084091453</v>
      </c>
      <c r="AI106" s="49">
        <f t="shared" si="291"/>
        <v>311.42360848767646</v>
      </c>
      <c r="AJ106" s="49">
        <f t="shared" si="291"/>
        <v>286.40684184863977</v>
      </c>
      <c r="AK106" s="50">
        <f t="shared" si="291"/>
        <v>234.86491972517871</v>
      </c>
      <c r="AL106" s="49">
        <f t="shared" si="291"/>
        <v>217.78976037078138</v>
      </c>
      <c r="AM106" s="49">
        <f t="shared" si="291"/>
        <v>99.267725256349863</v>
      </c>
      <c r="AN106" s="49">
        <f t="shared" si="291"/>
        <v>76.052006935091555</v>
      </c>
      <c r="AO106" s="50">
        <f t="shared" si="291"/>
        <v>182.70657194384242</v>
      </c>
      <c r="AP106" s="48">
        <f t="shared" si="291"/>
        <v>297.78885115999975</v>
      </c>
      <c r="AQ106" s="49">
        <f t="shared" si="291"/>
        <v>439.46007525000005</v>
      </c>
      <c r="AR106" s="49">
        <f t="shared" si="291"/>
        <v>411.71925150000004</v>
      </c>
      <c r="AS106" s="49">
        <f t="shared" si="291"/>
        <v>305.32533969848873</v>
      </c>
      <c r="AT106" s="48">
        <f t="shared" si="291"/>
        <v>219.8913288429998</v>
      </c>
      <c r="AU106" s="49">
        <f t="shared" si="291"/>
        <v>237.82216772499964</v>
      </c>
      <c r="AV106" s="49">
        <f t="shared" si="291"/>
        <v>167.61312178269969</v>
      </c>
      <c r="AW106" s="49">
        <f t="shared" si="291"/>
        <v>204.51393374718754</v>
      </c>
      <c r="AX106" s="48">
        <f t="shared" si="291"/>
        <v>271.99461406480401</v>
      </c>
      <c r="AY106" s="49">
        <f t="shared" si="291"/>
        <v>374.69867133650047</v>
      </c>
      <c r="AZ106" s="49">
        <f t="shared" si="291"/>
        <v>632.77196134369035</v>
      </c>
      <c r="BA106" s="50">
        <f t="shared" si="291"/>
        <v>893.18029102005687</v>
      </c>
      <c r="BB106" s="48">
        <f t="shared" ref="BB106:BH106" si="292">BB85+BB102-BB103</f>
        <v>620.42000000000007</v>
      </c>
      <c r="BC106" s="49">
        <f t="shared" si="292"/>
        <v>534.81549999999993</v>
      </c>
      <c r="BD106" s="49">
        <f t="shared" si="292"/>
        <v>538.20000000000027</v>
      </c>
      <c r="BE106" s="50">
        <f>BE85+BE102-BE103</f>
        <v>497.63799999999981</v>
      </c>
      <c r="BF106" s="49">
        <f t="shared" si="292"/>
        <v>542.63020000000006</v>
      </c>
      <c r="BG106" s="49">
        <f t="shared" si="292"/>
        <v>560.38400000000001</v>
      </c>
      <c r="BH106" s="49">
        <f t="shared" si="292"/>
        <v>497.88799999999981</v>
      </c>
      <c r="BI106" s="50">
        <f>BI85+BI102-BI103</f>
        <v>466.38999999999993</v>
      </c>
      <c r="BJ106" s="48">
        <f t="shared" ref="BJ106:BQ106" si="293">BJ85+BJ102-BJ103</f>
        <v>575.71399999999994</v>
      </c>
      <c r="BK106" s="49">
        <f t="shared" si="293"/>
        <v>618.78399999999999</v>
      </c>
      <c r="BL106" s="49">
        <f>BL85+BL102-BL103</f>
        <v>496.05599999999998</v>
      </c>
      <c r="BM106" s="50">
        <f>BM85+BM102-BM103</f>
        <v>422.58249999999987</v>
      </c>
      <c r="BN106" s="48">
        <f>BN85+BN102-BN103</f>
        <v>440.78499999999991</v>
      </c>
      <c r="BO106" s="49">
        <f>BO85+BO102-BO103</f>
        <v>428.3725</v>
      </c>
      <c r="BP106" s="49">
        <f t="shared" si="293"/>
        <v>345.81999999999988</v>
      </c>
      <c r="BQ106" s="50">
        <f t="shared" si="293"/>
        <v>316.33000000000004</v>
      </c>
      <c r="BR106" s="49">
        <f t="shared" ref="BR106:BY106" si="294">BR85+BR102-BR103</f>
        <v>514.87600000000009</v>
      </c>
      <c r="BS106" s="49">
        <f t="shared" si="294"/>
        <v>744.21299999999985</v>
      </c>
      <c r="BT106" s="49">
        <f t="shared" si="294"/>
        <v>785.43600000000004</v>
      </c>
      <c r="BU106" s="50">
        <f t="shared" si="294"/>
        <v>942.95699999999977</v>
      </c>
      <c r="BV106" s="49">
        <f t="shared" si="294"/>
        <v>1154.8249999999998</v>
      </c>
      <c r="BW106" s="49">
        <f t="shared" si="294"/>
        <v>1275.68</v>
      </c>
      <c r="BX106" s="49">
        <f t="shared" si="294"/>
        <v>1064.7759970133025</v>
      </c>
      <c r="BY106" s="50">
        <f t="shared" si="294"/>
        <v>963.02964615356439</v>
      </c>
      <c r="BZ106" s="49">
        <f>BZ85+BZ102-BZ103</f>
        <v>1021.1620477919189</v>
      </c>
      <c r="CA106" s="49">
        <f>CA85+CA102-CA103</f>
        <v>939.77869985025495</v>
      </c>
      <c r="CB106" s="49">
        <f>CB85+CB102-CB103</f>
        <v>770.6561443510725</v>
      </c>
      <c r="CC106" s="50">
        <f>CC85+CC102-CC103</f>
        <v>719.2244516426249</v>
      </c>
      <c r="CD106" s="50"/>
      <c r="CE106" s="49">
        <f t="shared" ref="CE106:CO106" si="295">CE85+CE102-CE103</f>
        <v>-74.671000000000163</v>
      </c>
      <c r="CF106" s="49">
        <f t="shared" si="295"/>
        <v>48.655714340718234</v>
      </c>
      <c r="CG106" s="49">
        <f t="shared" si="295"/>
        <v>194.82658102145598</v>
      </c>
      <c r="CH106" s="49">
        <f t="shared" si="295"/>
        <v>151.31604496653452</v>
      </c>
      <c r="CI106" s="49">
        <f t="shared" si="295"/>
        <v>217.28767531072438</v>
      </c>
      <c r="CJ106" s="49">
        <f t="shared" si="295"/>
        <v>384.0789943660476</v>
      </c>
      <c r="CK106" s="49">
        <f t="shared" si="295"/>
        <v>478.47662832243537</v>
      </c>
      <c r="CL106" s="49">
        <f t="shared" si="295"/>
        <v>1015.7836309024098</v>
      </c>
      <c r="CM106" s="49">
        <f t="shared" si="295"/>
        <v>575.81606450606614</v>
      </c>
      <c r="CN106" s="49">
        <f t="shared" si="295"/>
        <v>1454.2935176084884</v>
      </c>
      <c r="CO106" s="49">
        <f t="shared" si="295"/>
        <v>829.84055209788664</v>
      </c>
      <c r="CP106" s="49">
        <f t="shared" ref="CP106:CV106" si="296">CP85+CP102-CP103</f>
        <v>2172.6455377650514</v>
      </c>
      <c r="CQ106" s="49">
        <f t="shared" si="296"/>
        <v>2191.0735000000004</v>
      </c>
      <c r="CR106" s="49">
        <f>CR85+CR102-CR103</f>
        <v>2067.2921999999999</v>
      </c>
      <c r="CS106" s="49">
        <f>CS85+CS102-CS103</f>
        <v>2113.1364999999996</v>
      </c>
      <c r="CT106" s="49">
        <f t="shared" si="296"/>
        <v>1531.3074999999999</v>
      </c>
      <c r="CU106" s="49">
        <f t="shared" si="296"/>
        <v>2987.482</v>
      </c>
      <c r="CV106" s="49">
        <f t="shared" si="296"/>
        <v>4458.3106431668666</v>
      </c>
      <c r="CW106" s="49">
        <f t="shared" ref="CW106:DC106" si="297">CW85+CW102-CW103</f>
        <v>3450.8213436358692</v>
      </c>
      <c r="CX106" s="49">
        <f t="shared" si="297"/>
        <v>3798.2318641450761</v>
      </c>
      <c r="CY106" s="49">
        <f t="shared" si="297"/>
        <v>3953.6893603340995</v>
      </c>
      <c r="CZ106" s="49">
        <f t="shared" si="297"/>
        <v>4191.1908917425235</v>
      </c>
      <c r="DA106" s="49">
        <f t="shared" si="297"/>
        <v>4225.7912490671024</v>
      </c>
      <c r="DB106" s="49">
        <f t="shared" si="297"/>
        <v>4451.3641930938102</v>
      </c>
      <c r="DC106" s="49">
        <f t="shared" si="297"/>
        <v>4704.3157019571227</v>
      </c>
      <c r="DD106" s="1508"/>
      <c r="DE106" s="1553"/>
      <c r="DF106" s="29"/>
      <c r="DG106" s="57"/>
      <c r="DH106" s="29"/>
      <c r="DI106" s="29"/>
      <c r="DJ106" s="29"/>
      <c r="DK106" s="29"/>
      <c r="DL106" s="1116">
        <f>SUM(AB106:AE106)</f>
        <v>451.45546057238641</v>
      </c>
      <c r="DM106" s="1116">
        <f>SUM(AF106:AI106)</f>
        <v>723.7396527195483</v>
      </c>
      <c r="DN106" s="1116">
        <f>SUM(AJ106:AM106)</f>
        <v>838.32924720094979</v>
      </c>
      <c r="DO106" s="1116">
        <f>SUM(AN106:AQ106)</f>
        <v>996.00750528893377</v>
      </c>
      <c r="DP106" s="1116">
        <f>SUM(AR106:AU106)</f>
        <v>1174.7580877664882</v>
      </c>
      <c r="DQ106" s="1116">
        <f>SUM(AV106:AY106)</f>
        <v>1018.8203409311916</v>
      </c>
      <c r="DR106" s="1116">
        <f>SUM(AZ106:BC106)</f>
        <v>2681.1877523637468</v>
      </c>
      <c r="DS106" s="1243">
        <f>SUM(BD106:BG106)</f>
        <v>2138.8522000000003</v>
      </c>
      <c r="DT106" s="30">
        <f>SUM(BH106:BK106)</f>
        <v>2158.7759999999998</v>
      </c>
      <c r="DU106" s="1116">
        <f>SUM(BL106:BO106)</f>
        <v>1787.7959999999996</v>
      </c>
      <c r="DV106" s="1116">
        <f>DV85+DV102-DV103</f>
        <v>1921.2389999999996</v>
      </c>
      <c r="DW106" s="1116">
        <f>DW85+DW102-DW103</f>
        <v>4158.8979999999992</v>
      </c>
      <c r="DX106" s="2242">
        <f>DX85+DX102-DX103</f>
        <v>3988.7463908090413</v>
      </c>
      <c r="DY106" s="1116"/>
      <c r="DZ106" s="1559"/>
    </row>
    <row r="107" spans="1:130" ht="11.25" hidden="1" customHeight="1" outlineLevel="2" collapsed="1">
      <c r="A107" s="145"/>
      <c r="B107" s="227"/>
      <c r="C107" s="145"/>
      <c r="D107" s="145"/>
      <c r="E107" s="228"/>
      <c r="F107" s="145"/>
      <c r="G107" s="145"/>
      <c r="H107" s="145"/>
      <c r="I107" s="228"/>
      <c r="J107" s="145"/>
      <c r="K107" s="145"/>
      <c r="L107" s="145"/>
      <c r="M107" s="228"/>
      <c r="N107" s="145"/>
      <c r="O107" s="145"/>
      <c r="P107" s="145"/>
      <c r="Q107" s="228"/>
      <c r="R107" s="145"/>
      <c r="S107" s="145"/>
      <c r="T107" s="145"/>
      <c r="U107" s="228"/>
      <c r="V107" s="145"/>
      <c r="W107" s="145"/>
      <c r="X107" s="145"/>
      <c r="Y107" s="228"/>
      <c r="Z107" s="145"/>
      <c r="AA107" s="145"/>
      <c r="AB107" s="145"/>
      <c r="AC107" s="228"/>
      <c r="AD107" s="145"/>
      <c r="AE107" s="145"/>
      <c r="AF107" s="145"/>
      <c r="AG107" s="145"/>
      <c r="AH107" s="227"/>
      <c r="AI107" s="145"/>
      <c r="AJ107" s="145"/>
      <c r="AK107" s="228"/>
      <c r="AL107" s="227"/>
      <c r="AM107" s="145"/>
      <c r="AN107" s="145"/>
      <c r="AO107" s="228"/>
      <c r="AP107" s="227"/>
      <c r="AQ107" s="145"/>
      <c r="AR107" s="145"/>
      <c r="AS107" s="145"/>
      <c r="AT107" s="227"/>
      <c r="AU107" s="145"/>
      <c r="AV107" s="145"/>
      <c r="AW107" s="145"/>
      <c r="AX107" s="227"/>
      <c r="AY107" s="145"/>
      <c r="AZ107" s="145"/>
      <c r="BA107" s="228"/>
      <c r="BB107" s="227"/>
      <c r="BC107" s="145"/>
      <c r="BD107" s="145"/>
      <c r="BE107" s="228"/>
      <c r="BF107" s="201"/>
      <c r="BG107" s="201"/>
      <c r="BH107" s="201"/>
      <c r="BI107" s="228"/>
      <c r="BJ107" s="207"/>
      <c r="BK107" s="201"/>
      <c r="BL107" s="201"/>
      <c r="BM107" s="228"/>
      <c r="BN107" s="207"/>
      <c r="BO107" s="201"/>
      <c r="BP107" s="201"/>
      <c r="BQ107" s="202"/>
      <c r="BR107" s="201"/>
      <c r="BS107" s="201"/>
      <c r="BT107" s="201"/>
      <c r="BU107" s="202"/>
      <c r="BV107" s="201"/>
      <c r="BW107" s="201"/>
      <c r="BX107" s="201"/>
      <c r="BY107" s="202"/>
      <c r="BZ107" s="201"/>
      <c r="CA107" s="201"/>
      <c r="CB107" s="201"/>
      <c r="CC107" s="202"/>
      <c r="CD107" s="228"/>
      <c r="CE107" s="145"/>
      <c r="CF107" s="145"/>
      <c r="CG107" s="145"/>
      <c r="CH107" s="145"/>
      <c r="CI107" s="145"/>
      <c r="CJ107" s="145"/>
      <c r="CK107" s="145"/>
      <c r="CL107" s="145"/>
      <c r="CM107" s="145"/>
      <c r="CN107" s="145"/>
      <c r="CO107" s="145"/>
      <c r="CP107" s="145"/>
      <c r="CQ107" s="145"/>
      <c r="CR107" s="145"/>
      <c r="CS107" s="201"/>
      <c r="CT107" s="201"/>
      <c r="CU107" s="201"/>
      <c r="CV107" s="201"/>
      <c r="CW107" s="201"/>
      <c r="CX107" s="201"/>
      <c r="CY107" s="201"/>
      <c r="CZ107" s="201"/>
      <c r="DA107" s="201"/>
      <c r="DB107" s="201"/>
      <c r="DC107" s="201"/>
      <c r="DD107" s="1505"/>
      <c r="DE107" s="1551"/>
      <c r="DF107" s="141"/>
      <c r="DG107" s="215"/>
      <c r="DH107" s="141"/>
      <c r="DI107" s="141"/>
      <c r="DJ107" s="141"/>
      <c r="DK107" s="141"/>
      <c r="DL107" s="641"/>
      <c r="DM107" s="641"/>
      <c r="DN107" s="641"/>
      <c r="DO107" s="641"/>
      <c r="DP107" s="141"/>
      <c r="DQ107" s="141"/>
      <c r="DR107" s="141"/>
      <c r="DS107" s="215"/>
      <c r="DT107" s="141"/>
      <c r="DU107" s="141"/>
      <c r="DV107" s="141"/>
      <c r="DW107" s="641"/>
      <c r="DX107" s="2238"/>
      <c r="DY107" s="141"/>
      <c r="DZ107" s="1676"/>
    </row>
    <row r="108" spans="1:130" ht="11.25" hidden="1" customHeight="1" outlineLevel="2">
      <c r="A108" s="3"/>
      <c r="B108" s="233" t="s">
        <v>890</v>
      </c>
      <c r="C108" s="203"/>
      <c r="D108" s="203"/>
      <c r="E108" s="204"/>
      <c r="F108" s="128"/>
      <c r="G108" s="128"/>
      <c r="H108" s="128"/>
      <c r="I108" s="289"/>
      <c r="J108" s="128"/>
      <c r="K108" s="128"/>
      <c r="L108" s="128"/>
      <c r="M108" s="289"/>
      <c r="N108" s="128"/>
      <c r="O108" s="128"/>
      <c r="P108" s="128"/>
      <c r="Q108" s="289"/>
      <c r="R108" s="128"/>
      <c r="S108" s="128"/>
      <c r="T108" s="128"/>
      <c r="U108" s="289"/>
      <c r="V108" s="128"/>
      <c r="W108" s="128"/>
      <c r="X108" s="128"/>
      <c r="Y108" s="289"/>
      <c r="Z108" s="128"/>
      <c r="AA108" s="128"/>
      <c r="AB108" s="128"/>
      <c r="AC108" s="289"/>
      <c r="AD108" s="128"/>
      <c r="AE108" s="128"/>
      <c r="AF108" s="128"/>
      <c r="AG108" s="128"/>
      <c r="AH108" s="375"/>
      <c r="AI108" s="736"/>
      <c r="AJ108" s="736"/>
      <c r="AK108" s="737"/>
      <c r="AL108" s="735"/>
      <c r="AM108" s="736"/>
      <c r="AN108" s="736"/>
      <c r="AO108" s="734"/>
      <c r="AP108" s="375"/>
      <c r="AQ108" s="128"/>
      <c r="AR108" s="128"/>
      <c r="AS108" s="128"/>
      <c r="AT108" s="375"/>
      <c r="AU108" s="128"/>
      <c r="AV108" s="128"/>
      <c r="AW108" s="128"/>
      <c r="AX108" s="375"/>
      <c r="AY108" s="128"/>
      <c r="AZ108" s="128"/>
      <c r="BA108" s="289"/>
      <c r="BB108" s="375"/>
      <c r="BC108" s="128"/>
      <c r="BD108" s="128"/>
      <c r="BE108" s="289"/>
      <c r="BF108" s="128"/>
      <c r="BG108" s="128"/>
      <c r="BH108" s="128"/>
      <c r="BI108" s="289"/>
      <c r="BJ108" s="375"/>
      <c r="BK108" s="128"/>
      <c r="BL108" s="128"/>
      <c r="BM108" s="289"/>
      <c r="BN108" s="375"/>
      <c r="BO108" s="1378"/>
      <c r="BP108" s="1378"/>
      <c r="BQ108" s="202"/>
      <c r="BR108" s="128"/>
      <c r="BS108" s="1378"/>
      <c r="BT108" s="1378"/>
      <c r="BU108" s="202"/>
      <c r="BV108" s="128"/>
      <c r="BW108" s="1378"/>
      <c r="BX108" s="1378"/>
      <c r="BY108" s="202"/>
      <c r="BZ108" s="128"/>
      <c r="CA108" s="1378"/>
      <c r="CB108" s="1378"/>
      <c r="CC108" s="202"/>
      <c r="CD108" s="12"/>
      <c r="CE108" s="3"/>
      <c r="CF108" s="3"/>
      <c r="CG108" s="3"/>
      <c r="CH108" s="3"/>
      <c r="CI108" s="3"/>
      <c r="CJ108" s="3"/>
      <c r="CK108" s="3"/>
      <c r="CL108" s="11"/>
      <c r="CM108" s="11"/>
      <c r="CN108" s="11"/>
      <c r="CO108" s="11"/>
      <c r="CP108" s="11"/>
      <c r="CQ108" s="11"/>
      <c r="CR108" s="11"/>
      <c r="CS108" s="128"/>
      <c r="CT108" s="128"/>
      <c r="CU108" s="1378"/>
      <c r="CV108" s="1378"/>
      <c r="CW108" s="1378"/>
      <c r="CX108" s="1378"/>
      <c r="CY108" s="1378"/>
      <c r="CZ108" s="1378"/>
      <c r="DA108" s="1378"/>
      <c r="DB108" s="1378"/>
      <c r="DC108" s="1378"/>
      <c r="DD108" s="1509"/>
      <c r="DE108" s="1521"/>
      <c r="DF108" s="24"/>
      <c r="DG108" s="23"/>
      <c r="DH108" s="24"/>
      <c r="DI108" s="24"/>
      <c r="DJ108" s="24"/>
      <c r="DK108" s="24"/>
      <c r="DL108" s="641"/>
      <c r="DM108" s="641"/>
      <c r="DN108" s="641"/>
      <c r="DO108" s="641"/>
      <c r="DP108" s="24"/>
      <c r="DQ108" s="24"/>
      <c r="DR108" s="24"/>
      <c r="DS108" s="23"/>
      <c r="DT108" s="29"/>
      <c r="DU108" s="29"/>
      <c r="DV108" s="29"/>
      <c r="DW108" s="29"/>
      <c r="DX108" s="2243"/>
      <c r="DY108" s="29"/>
      <c r="DZ108" s="1561"/>
    </row>
    <row r="109" spans="1:130" ht="11.25" hidden="1" customHeight="1" outlineLevel="2">
      <c r="A109" s="3"/>
      <c r="B109" s="207"/>
      <c r="C109" s="201" t="s">
        <v>897</v>
      </c>
      <c r="D109" s="201"/>
      <c r="E109" s="202"/>
      <c r="F109" s="68">
        <f t="shared" ref="F109:BA109" si="298">F85/F122</f>
        <v>-0.25141174245494596</v>
      </c>
      <c r="G109" s="68">
        <f t="shared" si="298"/>
        <v>1.6579523879071429E-2</v>
      </c>
      <c r="H109" s="68">
        <f t="shared" si="298"/>
        <v>5.8836879432621666E-3</v>
      </c>
      <c r="I109" s="69">
        <f t="shared" si="298"/>
        <v>-0.23036830164278027</v>
      </c>
      <c r="J109" s="68">
        <f t="shared" si="298"/>
        <v>-2.9844348594850315E-3</v>
      </c>
      <c r="K109" s="68">
        <f t="shared" si="298"/>
        <v>8.2289507754766789E-2</v>
      </c>
      <c r="L109" s="68">
        <f t="shared" si="298"/>
        <v>9.2375306251838055E-2</v>
      </c>
      <c r="M109" s="69">
        <f t="shared" si="298"/>
        <v>8.4600408178178502E-2</v>
      </c>
      <c r="N109" s="68">
        <f t="shared" si="298"/>
        <v>0.11542563147934996</v>
      </c>
      <c r="O109" s="68">
        <f t="shared" si="298"/>
        <v>0.37702104473746101</v>
      </c>
      <c r="P109" s="68">
        <f t="shared" si="298"/>
        <v>0.27770350648694891</v>
      </c>
      <c r="Q109" s="69">
        <f t="shared" si="298"/>
        <v>0.22540979938552319</v>
      </c>
      <c r="R109" s="68">
        <f t="shared" si="298"/>
        <v>2.4619713132391148E-2</v>
      </c>
      <c r="S109" s="68">
        <f t="shared" si="298"/>
        <v>0.33495618305744923</v>
      </c>
      <c r="T109" s="68">
        <f t="shared" si="298"/>
        <v>0.23169316290883621</v>
      </c>
      <c r="U109" s="69">
        <f t="shared" si="298"/>
        <v>0.14334229899737314</v>
      </c>
      <c r="V109" s="68">
        <f t="shared" si="298"/>
        <v>0.14814814814814822</v>
      </c>
      <c r="W109" s="68">
        <f t="shared" si="298"/>
        <v>0.27315982978045306</v>
      </c>
      <c r="X109" s="68">
        <f t="shared" si="298"/>
        <v>0.33905908576855293</v>
      </c>
      <c r="Y109" s="69">
        <f t="shared" si="298"/>
        <v>0.28413934301929888</v>
      </c>
      <c r="Z109" s="68">
        <f t="shared" si="298"/>
        <v>0.32317967337441145</v>
      </c>
      <c r="AA109" s="68">
        <f t="shared" si="298"/>
        <v>0.48997850687841621</v>
      </c>
      <c r="AB109" s="68">
        <f t="shared" si="298"/>
        <v>0.47471149819401076</v>
      </c>
      <c r="AC109" s="69">
        <f t="shared" si="298"/>
        <v>0.3902602664626193</v>
      </c>
      <c r="AD109" s="68">
        <f t="shared" si="298"/>
        <v>0.47031430792749523</v>
      </c>
      <c r="AE109" s="68">
        <f t="shared" si="298"/>
        <v>0.59986368861525841</v>
      </c>
      <c r="AF109" s="68">
        <f t="shared" si="298"/>
        <v>0.5592262428393</v>
      </c>
      <c r="AG109" s="68">
        <f t="shared" si="298"/>
        <v>0.40108680349913833</v>
      </c>
      <c r="AH109" s="67">
        <f t="shared" si="298"/>
        <v>0.81117927324618511</v>
      </c>
      <c r="AI109" s="68">
        <f t="shared" si="298"/>
        <v>1.387743674943984</v>
      </c>
      <c r="AJ109" s="68">
        <f t="shared" si="298"/>
        <v>1.2594902785974764</v>
      </c>
      <c r="AK109" s="69">
        <f t="shared" si="298"/>
        <v>1.0273194582215257</v>
      </c>
      <c r="AL109" s="67">
        <f t="shared" si="298"/>
        <v>0.95040432599451063</v>
      </c>
      <c r="AM109" s="68">
        <f t="shared" si="298"/>
        <v>0.41345822187544984</v>
      </c>
      <c r="AN109" s="68">
        <f t="shared" si="298"/>
        <v>0.30444846159233885</v>
      </c>
      <c r="AO109" s="69">
        <f t="shared" si="298"/>
        <v>0.77662139885131121</v>
      </c>
      <c r="AP109" s="67">
        <f t="shared" si="298"/>
        <v>1.2842171162666656</v>
      </c>
      <c r="AQ109" s="68">
        <f t="shared" si="298"/>
        <v>1.8940091420704848</v>
      </c>
      <c r="AR109" s="68">
        <f t="shared" si="298"/>
        <v>1.7503897445414849</v>
      </c>
      <c r="AS109" s="68">
        <f t="shared" si="298"/>
        <v>1.2772406073847336</v>
      </c>
      <c r="AT109" s="67">
        <f t="shared" si="298"/>
        <v>0.8998753427956514</v>
      </c>
      <c r="AU109" s="68">
        <f t="shared" si="298"/>
        <v>0.98079203358695499</v>
      </c>
      <c r="AV109" s="68">
        <f t="shared" si="298"/>
        <v>0.67264276630474007</v>
      </c>
      <c r="AW109" s="68">
        <f t="shared" si="298"/>
        <v>0.8339653808892169</v>
      </c>
      <c r="AX109" s="67">
        <f t="shared" si="298"/>
        <v>1.1177451247416481</v>
      </c>
      <c r="AY109" s="68">
        <f t="shared" si="298"/>
        <v>1.5315327834893182</v>
      </c>
      <c r="AZ109" s="68">
        <f t="shared" si="298"/>
        <v>2.5691782628368891</v>
      </c>
      <c r="BA109" s="69">
        <f t="shared" si="298"/>
        <v>3.4334657126773891</v>
      </c>
      <c r="BB109" s="67">
        <f t="shared" ref="BB109:BH109" si="299">BB85/BB122</f>
        <v>2.4142276422764231</v>
      </c>
      <c r="BC109" s="68">
        <f t="shared" si="299"/>
        <v>2.1200640495867766</v>
      </c>
      <c r="BD109" s="68">
        <f t="shared" si="299"/>
        <v>2.149456066945608</v>
      </c>
      <c r="BE109" s="69">
        <f>BE85/BE122</f>
        <v>2.0221949152542367</v>
      </c>
      <c r="BF109" s="68">
        <f t="shared" si="299"/>
        <v>2.1782635593220343</v>
      </c>
      <c r="BG109" s="68">
        <f t="shared" si="299"/>
        <v>2.2534915254237293</v>
      </c>
      <c r="BH109" s="68">
        <f t="shared" si="299"/>
        <v>2.0000340425531906</v>
      </c>
      <c r="BI109" s="69">
        <f>BI85/BI122</f>
        <v>1.9030341880341879</v>
      </c>
      <c r="BJ109" s="67">
        <f t="shared" ref="BJ109:BQ109" si="300">BJ85/BJ122</f>
        <v>2.3469829059829057</v>
      </c>
      <c r="BK109" s="68">
        <f t="shared" si="300"/>
        <v>2.5360686695278969</v>
      </c>
      <c r="BL109" s="68">
        <f>BL85/BL122</f>
        <v>2.0385108225108222</v>
      </c>
      <c r="BM109" s="69">
        <f>BM85/BM122</f>
        <v>1.6968939393939386</v>
      </c>
      <c r="BN109" s="67">
        <f>BN85/BN122</f>
        <v>1.7845238095238092</v>
      </c>
      <c r="BO109" s="68">
        <f>BO85/BO122</f>
        <v>1.7379849137931034</v>
      </c>
      <c r="BP109" s="68">
        <f t="shared" si="300"/>
        <v>1.3616309012875532</v>
      </c>
      <c r="BQ109" s="69">
        <f t="shared" si="300"/>
        <v>1.029616858237548</v>
      </c>
      <c r="BR109" s="68">
        <f t="shared" ref="BR109:BY109" si="301">BR85/BR122</f>
        <v>1.5703719298245615</v>
      </c>
      <c r="BS109" s="68">
        <f t="shared" si="301"/>
        <v>2.3596258741258738</v>
      </c>
      <c r="BT109" s="68">
        <f t="shared" si="301"/>
        <v>2.477771626297578</v>
      </c>
      <c r="BU109" s="69">
        <f t="shared" si="301"/>
        <v>3.0173869863013691</v>
      </c>
      <c r="BV109" s="68">
        <f t="shared" si="301"/>
        <v>3.6910677966101688</v>
      </c>
      <c r="BW109" s="68">
        <f t="shared" si="301"/>
        <v>4.0822972972972975</v>
      </c>
      <c r="BX109" s="68">
        <f t="shared" si="301"/>
        <v>3.3409104383063344</v>
      </c>
      <c r="BY109" s="69">
        <f t="shared" si="301"/>
        <v>2.992613930331514</v>
      </c>
      <c r="BZ109" s="68">
        <f>BZ85/BZ122</f>
        <v>3.1753476318911957</v>
      </c>
      <c r="CA109" s="68">
        <f>CA85/CA122</f>
        <v>2.9063246352444385</v>
      </c>
      <c r="CB109" s="68">
        <f>CB85/CB122</f>
        <v>2.3567395388395602</v>
      </c>
      <c r="CC109" s="69">
        <f>CC85/CC122</f>
        <v>2.1811911330061382</v>
      </c>
      <c r="CD109" s="12"/>
      <c r="CE109" s="68">
        <f t="shared" ref="CE109:CP109" si="302">CE85/CE122</f>
        <v>-0.44258661055626447</v>
      </c>
      <c r="CF109" s="68">
        <f t="shared" si="302"/>
        <v>0.25745398829935356</v>
      </c>
      <c r="CG109" s="68">
        <f t="shared" si="302"/>
        <v>0.99604591524261754</v>
      </c>
      <c r="CH109" s="68">
        <f t="shared" si="302"/>
        <v>0.73561519186453339</v>
      </c>
      <c r="CI109" s="68">
        <f t="shared" si="302"/>
        <v>1.0446522851477134</v>
      </c>
      <c r="CJ109" s="68">
        <f t="shared" si="302"/>
        <v>1.678432531935105</v>
      </c>
      <c r="CK109" s="68">
        <f t="shared" si="302"/>
        <v>2.0357836909700247</v>
      </c>
      <c r="CL109" s="68">
        <f t="shared" si="302"/>
        <v>4.4824598683366954</v>
      </c>
      <c r="CM109" s="68">
        <f t="shared" si="302"/>
        <v>2.4498020923696671</v>
      </c>
      <c r="CN109" s="68">
        <f>CN85/CN122</f>
        <v>6.1995329719670549</v>
      </c>
      <c r="CO109" s="68">
        <f t="shared" si="302"/>
        <v>3.3892664592982107</v>
      </c>
      <c r="CP109" s="68">
        <f t="shared" si="302"/>
        <v>8.755541650477392</v>
      </c>
      <c r="CQ109" s="68">
        <f t="shared" ref="CQ109:CV109" si="303">CQ85/CQ122</f>
        <v>8.7050352697095459</v>
      </c>
      <c r="CR109" s="68">
        <f t="shared" si="303"/>
        <v>8.345583829787234</v>
      </c>
      <c r="CS109" s="68">
        <f t="shared" si="303"/>
        <v>8.6335193965517227</v>
      </c>
      <c r="CT109" s="68">
        <f t="shared" si="303"/>
        <v>5.857586206896551</v>
      </c>
      <c r="CU109" s="68">
        <f t="shared" si="303"/>
        <v>9.4429236111111106</v>
      </c>
      <c r="CV109" s="68">
        <f t="shared" si="303"/>
        <v>14.110800700859912</v>
      </c>
      <c r="CW109" s="68">
        <f t="shared" ref="CW109:DC109" si="304">CW85/CW122</f>
        <v>10.564060741726012</v>
      </c>
      <c r="CX109" s="68">
        <f t="shared" si="304"/>
        <v>11.441160701574127</v>
      </c>
      <c r="CY109" s="68">
        <f t="shared" si="304"/>
        <v>11.666250066285507</v>
      </c>
      <c r="CZ109" s="68">
        <f t="shared" si="304"/>
        <v>12.11122501288383</v>
      </c>
      <c r="DA109" s="68">
        <f t="shared" si="304"/>
        <v>11.896143910225492</v>
      </c>
      <c r="DB109" s="68">
        <f t="shared" si="304"/>
        <v>12.24199776592854</v>
      </c>
      <c r="DC109" s="68">
        <f t="shared" si="304"/>
        <v>12.645724718057</v>
      </c>
      <c r="DD109" s="1509"/>
      <c r="DE109" s="1521"/>
      <c r="DF109" s="24"/>
      <c r="DG109" s="23"/>
      <c r="DH109" s="24"/>
      <c r="DI109" s="24"/>
      <c r="DJ109" s="24"/>
      <c r="DK109" s="24"/>
      <c r="DL109" s="1114">
        <f>SUM(AB109:AE109)</f>
        <v>1.9351497611993838</v>
      </c>
      <c r="DM109" s="1114">
        <f>SUM(AF109:AI109)</f>
        <v>3.1592359945286077</v>
      </c>
      <c r="DN109" s="1114">
        <f>SUM(AJ109:AM109)</f>
        <v>3.6506722846889628</v>
      </c>
      <c r="DO109" s="1114">
        <f>SUM(AN109:AQ109)</f>
        <v>4.2592961187808003</v>
      </c>
      <c r="DP109" s="24">
        <f>SUM(AR109:AU109)</f>
        <v>4.908297728308824</v>
      </c>
      <c r="DQ109" s="24"/>
      <c r="DR109" s="24"/>
      <c r="DS109" s="23"/>
      <c r="DT109" s="29"/>
      <c r="DU109" s="29"/>
      <c r="DV109" s="29"/>
      <c r="DW109" s="29"/>
      <c r="DX109" s="2243"/>
      <c r="DY109" s="29"/>
      <c r="DZ109" s="1561"/>
    </row>
    <row r="110" spans="1:130" ht="11.25" hidden="1" customHeight="1" outlineLevel="2">
      <c r="A110" s="3"/>
      <c r="B110" s="207"/>
      <c r="C110" s="201" t="s">
        <v>891</v>
      </c>
      <c r="D110" s="201"/>
      <c r="E110" s="202"/>
      <c r="F110" s="68">
        <f t="shared" ref="F110:BA110" si="305">F100/F122</f>
        <v>-0.25141174245494596</v>
      </c>
      <c r="G110" s="68">
        <f t="shared" si="305"/>
        <v>2.0955162845041928E-2</v>
      </c>
      <c r="H110" s="68">
        <f t="shared" si="305"/>
        <v>-3.2612765957447054E-2</v>
      </c>
      <c r="I110" s="69">
        <f t="shared" si="305"/>
        <v>-0.32578000011148828</v>
      </c>
      <c r="J110" s="68">
        <f t="shared" si="305"/>
        <v>0.10993650708602359</v>
      </c>
      <c r="K110" s="68">
        <f t="shared" si="305"/>
        <v>6.7099647825414818E-2</v>
      </c>
      <c r="L110" s="68">
        <f t="shared" si="305"/>
        <v>0.10099223182958766</v>
      </c>
      <c r="M110" s="69">
        <f t="shared" si="305"/>
        <v>6.8471628484781902E-2</v>
      </c>
      <c r="N110" s="68">
        <f t="shared" si="305"/>
        <v>0.11542563147934996</v>
      </c>
      <c r="O110" s="68">
        <f t="shared" si="305"/>
        <v>0.38383482716099954</v>
      </c>
      <c r="P110" s="68">
        <f t="shared" si="305"/>
        <v>0.27770350648694891</v>
      </c>
      <c r="Q110" s="69">
        <f t="shared" si="305"/>
        <v>0.15514328675505504</v>
      </c>
      <c r="R110" s="68">
        <f t="shared" si="305"/>
        <v>2.4619713132391148E-2</v>
      </c>
      <c r="S110" s="68">
        <f t="shared" si="305"/>
        <v>0.33495618305744923</v>
      </c>
      <c r="T110" s="68">
        <f t="shared" si="305"/>
        <v>0.23169316290883621</v>
      </c>
      <c r="U110" s="69">
        <f t="shared" si="305"/>
        <v>0.14334229899737314</v>
      </c>
      <c r="V110" s="68">
        <f t="shared" si="305"/>
        <v>0.14814814814814822</v>
      </c>
      <c r="W110" s="68">
        <f t="shared" si="305"/>
        <v>0.27315982978045306</v>
      </c>
      <c r="X110" s="68">
        <f t="shared" si="305"/>
        <v>0.33905908576855293</v>
      </c>
      <c r="Y110" s="69">
        <f t="shared" si="305"/>
        <v>0.19426233261248718</v>
      </c>
      <c r="Z110" s="68">
        <f t="shared" si="305"/>
        <v>0.32317967337441145</v>
      </c>
      <c r="AA110" s="68">
        <f t="shared" si="305"/>
        <v>0.48997850687841621</v>
      </c>
      <c r="AB110" s="68">
        <f t="shared" si="305"/>
        <v>0.47471149819401076</v>
      </c>
      <c r="AC110" s="69">
        <f t="shared" si="305"/>
        <v>0.5511058546979134</v>
      </c>
      <c r="AD110" s="68">
        <f t="shared" si="305"/>
        <v>0.47031430792749523</v>
      </c>
      <c r="AE110" s="68">
        <f t="shared" si="305"/>
        <v>0.59986368861525841</v>
      </c>
      <c r="AF110" s="68">
        <f t="shared" si="305"/>
        <v>0.5592262428393</v>
      </c>
      <c r="AG110" s="68">
        <f t="shared" si="305"/>
        <v>1.0717249968607516</v>
      </c>
      <c r="AH110" s="67">
        <f t="shared" si="305"/>
        <v>0.31501631284494513</v>
      </c>
      <c r="AI110" s="68">
        <f t="shared" si="305"/>
        <v>1.387743674943984</v>
      </c>
      <c r="AJ110" s="68">
        <f t="shared" si="305"/>
        <v>1.2594902785974764</v>
      </c>
      <c r="AK110" s="69">
        <f t="shared" si="305"/>
        <v>0.95975189065395805</v>
      </c>
      <c r="AL110" s="67">
        <f t="shared" si="305"/>
        <v>0.95040432599451063</v>
      </c>
      <c r="AM110" s="68">
        <f t="shared" si="305"/>
        <v>6.2106870524098461E-2</v>
      </c>
      <c r="AN110" s="68">
        <f t="shared" si="305"/>
        <v>0.22373097280310117</v>
      </c>
      <c r="AO110" s="69">
        <f t="shared" si="305"/>
        <v>0.87976041230422608</v>
      </c>
      <c r="AP110" s="67">
        <f t="shared" si="305"/>
        <v>1.2842171162666656</v>
      </c>
      <c r="AQ110" s="68">
        <f t="shared" si="305"/>
        <v>1.8940091420704848</v>
      </c>
      <c r="AR110" s="68">
        <f t="shared" si="305"/>
        <v>1.7503897445414849</v>
      </c>
      <c r="AS110" s="68">
        <f t="shared" si="305"/>
        <v>1.1598493030369075</v>
      </c>
      <c r="AT110" s="67">
        <f t="shared" si="305"/>
        <v>0.8998753427956514</v>
      </c>
      <c r="AU110" s="68">
        <f t="shared" si="305"/>
        <v>0.98079203358695499</v>
      </c>
      <c r="AV110" s="68">
        <f t="shared" si="305"/>
        <v>0.62953931802887797</v>
      </c>
      <c r="AW110" s="68">
        <f t="shared" si="305"/>
        <v>0.68375078861453886</v>
      </c>
      <c r="AX110" s="67">
        <f t="shared" si="305"/>
        <v>1.0276163693768412</v>
      </c>
      <c r="AY110" s="68">
        <f t="shared" si="305"/>
        <v>0.62127637323290796</v>
      </c>
      <c r="AZ110" s="68">
        <f t="shared" si="305"/>
        <v>2.0048629101397939</v>
      </c>
      <c r="BA110" s="69">
        <f t="shared" si="305"/>
        <v>2.9334657126773891</v>
      </c>
      <c r="BB110" s="67">
        <f t="shared" ref="BB110:BH110" si="306">BB100/BB122</f>
        <v>2.1093495934959354</v>
      </c>
      <c r="BC110" s="68">
        <f t="shared" si="306"/>
        <v>1.384526859504132</v>
      </c>
      <c r="BD110" s="68">
        <f t="shared" si="306"/>
        <v>1.6348117154811725</v>
      </c>
      <c r="BE110" s="69">
        <f>BE100/BE122</f>
        <v>-1.1218728813559329</v>
      </c>
      <c r="BF110" s="68">
        <f t="shared" si="306"/>
        <v>2.0977550847457631</v>
      </c>
      <c r="BG110" s="68">
        <f t="shared" si="306"/>
        <v>1.8212881355932207</v>
      </c>
      <c r="BH110" s="68">
        <f t="shared" si="306"/>
        <v>1.5957787234042544</v>
      </c>
      <c r="BI110" s="69">
        <f>BI100/BI122</f>
        <v>1.3560256410256408</v>
      </c>
      <c r="BJ110" s="67">
        <f t="shared" ref="BJ110:BQ110" si="307">BJ100/BJ122</f>
        <v>1.8256153846153844</v>
      </c>
      <c r="BK110" s="68">
        <f t="shared" si="307"/>
        <v>1.9180429184549357</v>
      </c>
      <c r="BL110" s="68">
        <f>BL100/BL122</f>
        <v>1.6229264069264067</v>
      </c>
      <c r="BM110" s="69">
        <f>BM100/BM122</f>
        <v>0.92416666666666603</v>
      </c>
      <c r="BN110" s="67">
        <f>BN100/BN122</f>
        <v>1.2260822510822507</v>
      </c>
      <c r="BO110" s="68">
        <f>BO100/BO122</f>
        <v>1.0397090517241379</v>
      </c>
      <c r="BP110" s="68">
        <f t="shared" si="307"/>
        <v>0.29296137339055739</v>
      </c>
      <c r="BQ110" s="69">
        <f t="shared" si="307"/>
        <v>-1.4067816091954022</v>
      </c>
      <c r="BR110" s="68">
        <f t="shared" ref="BR110:BY110" si="308">BR100/BR122</f>
        <v>-1.2857684210526314</v>
      </c>
      <c r="BS110" s="68">
        <f t="shared" si="308"/>
        <v>0.82116433566433511</v>
      </c>
      <c r="BT110" s="68">
        <f t="shared" si="308"/>
        <v>0.85839446366782013</v>
      </c>
      <c r="BU110" s="69">
        <f t="shared" si="308"/>
        <v>0.95916780821917724</v>
      </c>
      <c r="BV110" s="68">
        <f t="shared" si="308"/>
        <v>2.3080169491525417</v>
      </c>
      <c r="BW110" s="68">
        <f t="shared" si="308"/>
        <v>-2.7791891891891889</v>
      </c>
      <c r="BX110" s="68">
        <f t="shared" si="308"/>
        <v>1.9017270956981807</v>
      </c>
      <c r="BY110" s="69">
        <f t="shared" si="308"/>
        <v>1.6059657759872468</v>
      </c>
      <c r="BZ110" s="68">
        <f>BZ100/BZ122</f>
        <v>2.117110183380718</v>
      </c>
      <c r="CA110" s="68">
        <f>CA100/CA122</f>
        <v>1.8622225371387033</v>
      </c>
      <c r="CB110" s="68">
        <f>CB100/CB122</f>
        <v>1.3176740988325424</v>
      </c>
      <c r="CC110" s="69">
        <f>CC100/CC122</f>
        <v>1.1405153624434561</v>
      </c>
      <c r="CD110" s="12"/>
      <c r="CE110" s="68">
        <f t="shared" ref="CE110:CJ110" si="309">CE100/CE122</f>
        <v>-0.57981210917820092</v>
      </c>
      <c r="CF110" s="68">
        <f t="shared" si="309"/>
        <v>0.34620036373059793</v>
      </c>
      <c r="CG110" s="68">
        <f t="shared" si="309"/>
        <v>0.93096411565161552</v>
      </c>
      <c r="CH110" s="68">
        <f t="shared" si="309"/>
        <v>0.73561519186453339</v>
      </c>
      <c r="CI110" s="68">
        <f t="shared" si="309"/>
        <v>0.9533061313015595</v>
      </c>
      <c r="CJ110" s="68">
        <f t="shared" si="309"/>
        <v>1.8412232296095237</v>
      </c>
      <c r="CK110" s="68">
        <f t="shared" ref="CK110:CS110" si="310">CK100/CK122</f>
        <v>2.7064218843316379</v>
      </c>
      <c r="CL110" s="68">
        <f t="shared" si="310"/>
        <v>3.9229137673056025</v>
      </c>
      <c r="CM110" s="68">
        <f t="shared" si="310"/>
        <v>2.1209732635408383</v>
      </c>
      <c r="CN110" s="68">
        <f t="shared" si="310"/>
        <v>6.0811119193354752</v>
      </c>
      <c r="CO110" s="68">
        <f t="shared" si="310"/>
        <v>3.1944612644930159</v>
      </c>
      <c r="CP110" s="68">
        <f t="shared" si="310"/>
        <v>6.6933009865769773</v>
      </c>
      <c r="CQ110" s="68">
        <f t="shared" si="310"/>
        <v>4.0660311203319521</v>
      </c>
      <c r="CR110" s="68">
        <f t="shared" si="310"/>
        <v>6.8817540425531911</v>
      </c>
      <c r="CS110" s="68">
        <f t="shared" si="310"/>
        <v>6.3037780172413784</v>
      </c>
      <c r="CT110" s="68">
        <f t="shared" ref="CT110:DA110" si="311">CT100/CT122</f>
        <v>0.94264367816091821</v>
      </c>
      <c r="CU110" s="68">
        <f t="shared" si="311"/>
        <v>1.3769513888888885</v>
      </c>
      <c r="CV110" s="68">
        <f t="shared" si="311"/>
        <v>3.0652733283399756</v>
      </c>
      <c r="CW110" s="68">
        <f>CW100/CW122</f>
        <v>6.4019126623289679</v>
      </c>
      <c r="CX110" s="68">
        <f t="shared" si="311"/>
        <v>7.3534760061858124</v>
      </c>
      <c r="CY110" s="68">
        <f t="shared" si="311"/>
        <v>7.6633460556093098</v>
      </c>
      <c r="CZ110" s="68">
        <f t="shared" si="311"/>
        <v>8.1970259148771536</v>
      </c>
      <c r="DA110" s="68">
        <f t="shared" si="311"/>
        <v>8.0726809638236805</v>
      </c>
      <c r="DB110" s="68">
        <f>DB100/DB122</f>
        <v>8.5075957604074475</v>
      </c>
      <c r="DC110" s="68">
        <f>DC100/DC122</f>
        <v>8.9962713424818421</v>
      </c>
      <c r="DD110" s="1509"/>
      <c r="DE110" s="1521"/>
      <c r="DF110" s="24"/>
      <c r="DG110" s="23"/>
      <c r="DH110" s="24"/>
      <c r="DI110" s="24"/>
      <c r="DJ110" s="24"/>
      <c r="DK110" s="24"/>
      <c r="DL110" s="1114">
        <f>SUM(AB110:AE110)</f>
        <v>2.0959953494346779</v>
      </c>
      <c r="DM110" s="1114">
        <f>SUM(AF110:AI110)</f>
        <v>3.3337112274889806</v>
      </c>
      <c r="DN110" s="1114">
        <f>SUM(AJ110:AM110)</f>
        <v>3.2317533657700439</v>
      </c>
      <c r="DO110" s="1114">
        <f>SUM(AN110:AQ110)</f>
        <v>4.2817176434444777</v>
      </c>
      <c r="DP110" s="24">
        <f>SUM(AR110:AU110)</f>
        <v>4.7909064239609984</v>
      </c>
      <c r="DQ110" s="24"/>
      <c r="DR110" s="24"/>
      <c r="DS110" s="23"/>
      <c r="DT110" s="29"/>
      <c r="DU110" s="29"/>
      <c r="DV110" s="29"/>
      <c r="DW110" s="29"/>
      <c r="DX110" s="2243"/>
      <c r="DY110" s="29"/>
      <c r="DZ110" s="1561"/>
    </row>
    <row r="111" spans="1:130" ht="11.25" hidden="1" customHeight="1" outlineLevel="2">
      <c r="A111" s="3"/>
      <c r="B111" s="207"/>
      <c r="C111" s="201" t="s">
        <v>883</v>
      </c>
      <c r="D111" s="201"/>
      <c r="E111" s="202"/>
      <c r="F111" s="68">
        <f t="shared" ref="F111:BA111" si="312">F106/F122</f>
        <v>-0.25141174245494596</v>
      </c>
      <c r="G111" s="68">
        <f t="shared" si="312"/>
        <v>1.6579523879071429E-2</v>
      </c>
      <c r="H111" s="68">
        <f t="shared" si="312"/>
        <v>5.8836879432621666E-3</v>
      </c>
      <c r="I111" s="69">
        <f t="shared" si="312"/>
        <v>-0.23036830164278027</v>
      </c>
      <c r="J111" s="68">
        <f t="shared" si="312"/>
        <v>-2.9844348594850315E-3</v>
      </c>
      <c r="K111" s="68">
        <f t="shared" si="312"/>
        <v>8.2289507754766789E-2</v>
      </c>
      <c r="L111" s="68">
        <f t="shared" si="312"/>
        <v>9.2375306251838055E-2</v>
      </c>
      <c r="M111" s="69">
        <f t="shared" si="312"/>
        <v>8.4600408178178502E-2</v>
      </c>
      <c r="N111" s="68">
        <f t="shared" si="312"/>
        <v>0.11542563147934996</v>
      </c>
      <c r="O111" s="68">
        <f t="shared" si="312"/>
        <v>0.37702104473746101</v>
      </c>
      <c r="P111" s="68">
        <f t="shared" si="312"/>
        <v>0.27770350648694891</v>
      </c>
      <c r="Q111" s="69">
        <f t="shared" si="312"/>
        <v>0.22540979938552319</v>
      </c>
      <c r="R111" s="68">
        <f t="shared" si="312"/>
        <v>2.4619713132391148E-2</v>
      </c>
      <c r="S111" s="68">
        <f t="shared" si="312"/>
        <v>0.33495618305744923</v>
      </c>
      <c r="T111" s="68">
        <f t="shared" si="312"/>
        <v>0.23169316290883621</v>
      </c>
      <c r="U111" s="69">
        <f t="shared" si="312"/>
        <v>0.14334229899737314</v>
      </c>
      <c r="V111" s="68">
        <f t="shared" si="312"/>
        <v>0.14814814814814822</v>
      </c>
      <c r="W111" s="68">
        <f t="shared" si="312"/>
        <v>0.27315982978045306</v>
      </c>
      <c r="X111" s="68">
        <f t="shared" si="312"/>
        <v>0.33905908576855293</v>
      </c>
      <c r="Y111" s="69">
        <f t="shared" si="312"/>
        <v>0.28413934301929888</v>
      </c>
      <c r="Z111" s="68">
        <f t="shared" si="312"/>
        <v>0.34478606134998685</v>
      </c>
      <c r="AA111" s="68">
        <f t="shared" si="312"/>
        <v>0.50971534898367943</v>
      </c>
      <c r="AB111" s="68">
        <f t="shared" si="312"/>
        <v>0.50201191351473062</v>
      </c>
      <c r="AC111" s="69">
        <f t="shared" si="312"/>
        <v>0.4293227664626193</v>
      </c>
      <c r="AD111" s="68">
        <f t="shared" si="312"/>
        <v>0.4982595134069473</v>
      </c>
      <c r="AE111" s="68">
        <f>AE106/AE122</f>
        <v>0.63695459770616747</v>
      </c>
      <c r="AF111" s="68">
        <f t="shared" si="312"/>
        <v>0.59940806102111821</v>
      </c>
      <c r="AG111" s="68">
        <f t="shared" si="312"/>
        <v>0.44455712313384149</v>
      </c>
      <c r="AH111" s="67">
        <f t="shared" si="312"/>
        <v>0.83601945589458693</v>
      </c>
      <c r="AI111" s="68">
        <f t="shared" si="312"/>
        <v>1.4155618567621657</v>
      </c>
      <c r="AJ111" s="68">
        <f t="shared" si="312"/>
        <v>1.2901209092281072</v>
      </c>
      <c r="AK111" s="69">
        <f t="shared" si="312"/>
        <v>1.0579500888521562</v>
      </c>
      <c r="AL111" s="67">
        <f t="shared" si="312"/>
        <v>0.9810349566251414</v>
      </c>
      <c r="AM111" s="68">
        <f t="shared" si="312"/>
        <v>0.44715191556914352</v>
      </c>
      <c r="AN111" s="68">
        <f t="shared" si="312"/>
        <v>0.34104038984345991</v>
      </c>
      <c r="AO111" s="69">
        <f t="shared" si="312"/>
        <v>0.81931198181095255</v>
      </c>
      <c r="AP111" s="67">
        <f t="shared" si="312"/>
        <v>1.3235060051555545</v>
      </c>
      <c r="AQ111" s="68">
        <f t="shared" si="312"/>
        <v>1.9359474680616742</v>
      </c>
      <c r="AR111" s="68">
        <f t="shared" si="312"/>
        <v>1.7979006615720525</v>
      </c>
      <c r="AS111" s="69">
        <f t="shared" si="312"/>
        <v>1.3275014769499509</v>
      </c>
      <c r="AT111" s="67">
        <f t="shared" si="312"/>
        <v>0.95604925583912959</v>
      </c>
      <c r="AU111" s="68">
        <f t="shared" si="312"/>
        <v>1.0340094248913028</v>
      </c>
      <c r="AV111" s="68">
        <f t="shared" si="312"/>
        <v>0.7224703525116366</v>
      </c>
      <c r="AW111" s="68">
        <f t="shared" si="312"/>
        <v>0.87774220492355171</v>
      </c>
      <c r="AX111" s="67">
        <f t="shared" si="312"/>
        <v>1.1673588586472274</v>
      </c>
      <c r="AY111" s="68">
        <f t="shared" si="312"/>
        <v>1.6012763732329081</v>
      </c>
      <c r="AZ111" s="68">
        <f t="shared" si="312"/>
        <v>2.6256097981065989</v>
      </c>
      <c r="BA111" s="69">
        <f t="shared" si="312"/>
        <v>3.5164578386616414</v>
      </c>
      <c r="BB111" s="67">
        <f t="shared" ref="BB111:BH111" si="313">BB106/BB122</f>
        <v>2.5220325203252036</v>
      </c>
      <c r="BC111" s="68">
        <f t="shared" si="313"/>
        <v>2.2099814049586772</v>
      </c>
      <c r="BD111" s="68">
        <f t="shared" si="313"/>
        <v>2.2518828451882857</v>
      </c>
      <c r="BE111" s="69">
        <f>BE106/BE122</f>
        <v>2.1086355932203382</v>
      </c>
      <c r="BF111" s="68">
        <f t="shared" si="313"/>
        <v>2.2992805084745767</v>
      </c>
      <c r="BG111" s="68">
        <f t="shared" si="313"/>
        <v>2.3745084745762712</v>
      </c>
      <c r="BH111" s="68">
        <f t="shared" si="313"/>
        <v>2.118672340425531</v>
      </c>
      <c r="BI111" s="69">
        <f>BI106/BI122</f>
        <v>1.9931196581196577</v>
      </c>
      <c r="BJ111" s="67">
        <f t="shared" ref="BJ111:BQ111" si="314">BJ106/BJ122</f>
        <v>2.460316239316239</v>
      </c>
      <c r="BK111" s="68">
        <f t="shared" si="314"/>
        <v>2.6557253218884118</v>
      </c>
      <c r="BL111" s="68">
        <f>BL106/BL122</f>
        <v>2.1474285714285712</v>
      </c>
      <c r="BM111" s="69">
        <f>BM106/BM122</f>
        <v>1.8293614718614712</v>
      </c>
      <c r="BN111" s="67">
        <f>BN106/BN122</f>
        <v>1.9081601731601727</v>
      </c>
      <c r="BO111" s="68">
        <f>BO106/BO122</f>
        <v>1.8464331896551724</v>
      </c>
      <c r="BP111" s="68">
        <f t="shared" si="314"/>
        <v>1.4842060085836906</v>
      </c>
      <c r="BQ111" s="69">
        <f t="shared" si="314"/>
        <v>1.2119923371647512</v>
      </c>
      <c r="BR111" s="68">
        <f t="shared" ref="BR111:BY111" si="315">BR106/BR122</f>
        <v>1.8065824561403512</v>
      </c>
      <c r="BS111" s="68">
        <f t="shared" si="315"/>
        <v>2.6021433566433561</v>
      </c>
      <c r="BT111" s="68">
        <f t="shared" si="315"/>
        <v>2.7177716262975782</v>
      </c>
      <c r="BU111" s="69">
        <f t="shared" si="315"/>
        <v>3.2293047945205471</v>
      </c>
      <c r="BV111" s="68">
        <f t="shared" si="315"/>
        <v>3.914661016949152</v>
      </c>
      <c r="BW111" s="68">
        <f t="shared" si="315"/>
        <v>4.3097297297297299</v>
      </c>
      <c r="BX111" s="68">
        <f t="shared" si="315"/>
        <v>3.5472404595151255</v>
      </c>
      <c r="BY111" s="69">
        <f t="shared" si="315"/>
        <v>3.1985228297428807</v>
      </c>
      <c r="BZ111" s="68">
        <f>BZ106/BZ122</f>
        <v>3.3875608776522093</v>
      </c>
      <c r="CA111" s="68">
        <f>CA106/CA122</f>
        <v>3.1149997214880352</v>
      </c>
      <c r="CB111" s="68">
        <f>CB106/CB122</f>
        <v>2.5501979800135635</v>
      </c>
      <c r="CC111" s="69">
        <f>CC106/CC122</f>
        <v>2.362997507247707</v>
      </c>
      <c r="CD111" s="12"/>
      <c r="CE111" s="68">
        <f t="shared" ref="CE111:CP111" si="316">CE106/CE122</f>
        <v>-0.44258661055626447</v>
      </c>
      <c r="CF111" s="68">
        <f t="shared" si="316"/>
        <v>0.25745398829935356</v>
      </c>
      <c r="CG111" s="68">
        <f t="shared" si="316"/>
        <v>0.99604591524261754</v>
      </c>
      <c r="CH111" s="68">
        <f t="shared" si="316"/>
        <v>0.73561519186453339</v>
      </c>
      <c r="CI111" s="68">
        <f t="shared" si="316"/>
        <v>1.0446522851477134</v>
      </c>
      <c r="CJ111" s="68">
        <f t="shared" si="316"/>
        <v>1.7864139272839423</v>
      </c>
      <c r="CK111" s="68">
        <f t="shared" si="316"/>
        <v>2.1848247868604354</v>
      </c>
      <c r="CL111" s="68">
        <f t="shared" si="316"/>
        <v>4.5963060221828496</v>
      </c>
      <c r="CM111" s="68">
        <f t="shared" si="316"/>
        <v>2.5937660563336311</v>
      </c>
      <c r="CN111" s="68">
        <f t="shared" si="316"/>
        <v>6.3784803403881067</v>
      </c>
      <c r="CO111" s="68">
        <f t="shared" si="316"/>
        <v>3.5923833424150935</v>
      </c>
      <c r="CP111" s="68">
        <f t="shared" si="316"/>
        <v>9.0151267127180557</v>
      </c>
      <c r="CQ111" s="68">
        <f t="shared" ref="CQ111:CV111" si="317">CQ106/CQ122</f>
        <v>9.0915912863070556</v>
      </c>
      <c r="CR111" s="68">
        <f t="shared" si="317"/>
        <v>8.7969880851063831</v>
      </c>
      <c r="CS111" s="68">
        <f t="shared" si="317"/>
        <v>9.1083469827586185</v>
      </c>
      <c r="CT111" s="68">
        <f t="shared" si="317"/>
        <v>6.4004493207941477</v>
      </c>
      <c r="CU111" s="68">
        <f t="shared" si="317"/>
        <v>10.373201388888889</v>
      </c>
      <c r="CV111" s="68">
        <f t="shared" si="317"/>
        <v>14.974727761683619</v>
      </c>
      <c r="CW111" s="68">
        <f t="shared" ref="CW111:DC111" si="318">CW106/CW122</f>
        <v>11.356259678004632</v>
      </c>
      <c r="CX111" s="68">
        <f t="shared" si="318"/>
        <v>12.275923511051236</v>
      </c>
      <c r="CY111" s="68">
        <f t="shared" si="318"/>
        <v>12.513333858429869</v>
      </c>
      <c r="CZ111" s="68">
        <f t="shared" si="318"/>
        <v>12.97106590870321</v>
      </c>
      <c r="DA111" s="68">
        <f t="shared" si="318"/>
        <v>12.774980241183707</v>
      </c>
      <c r="DB111" s="68">
        <f t="shared" si="318"/>
        <v>13.143453939509238</v>
      </c>
      <c r="DC111" s="68">
        <f t="shared" si="318"/>
        <v>13.574367122576511</v>
      </c>
      <c r="DD111" s="1509"/>
      <c r="DE111" s="1521"/>
      <c r="DF111" s="24"/>
      <c r="DG111" s="23"/>
      <c r="DH111" s="24"/>
      <c r="DI111" s="24"/>
      <c r="DJ111" s="24"/>
      <c r="DK111" s="24"/>
      <c r="DL111" s="1114">
        <f>SUM(AB111:AE111)</f>
        <v>2.0665487910904647</v>
      </c>
      <c r="DM111" s="1114">
        <f>SUM(AF111:AI111)</f>
        <v>3.2955464968117125</v>
      </c>
      <c r="DN111" s="1114">
        <f>SUM(AJ111:AM111)</f>
        <v>3.7762578702745486</v>
      </c>
      <c r="DO111" s="1114">
        <f>SUM(AN111:AQ111)</f>
        <v>4.4198058448716413</v>
      </c>
      <c r="DP111" s="24">
        <f>SUM(AR111:AU111)</f>
        <v>5.1154608192524362</v>
      </c>
      <c r="DQ111" s="24"/>
      <c r="DR111" s="24"/>
      <c r="DS111" s="23"/>
      <c r="DT111" s="29"/>
      <c r="DU111" s="29"/>
      <c r="DV111" s="29"/>
      <c r="DW111" s="29"/>
      <c r="DX111" s="2243"/>
      <c r="DY111" s="29"/>
      <c r="DZ111" s="1561"/>
    </row>
    <row r="112" spans="1:130" ht="11.25" hidden="1" customHeight="1" outlineLevel="1" collapsed="1">
      <c r="A112" s="145"/>
      <c r="B112" s="227"/>
      <c r="C112" s="145"/>
      <c r="D112" s="145"/>
      <c r="E112" s="228"/>
      <c r="F112" s="145"/>
      <c r="G112" s="145"/>
      <c r="H112" s="145"/>
      <c r="I112" s="228"/>
      <c r="J112" s="145"/>
      <c r="K112" s="145"/>
      <c r="L112" s="145"/>
      <c r="M112" s="228"/>
      <c r="N112" s="145"/>
      <c r="O112" s="145"/>
      <c r="P112" s="145"/>
      <c r="Q112" s="228"/>
      <c r="R112" s="145"/>
      <c r="S112" s="145"/>
      <c r="T112" s="145"/>
      <c r="U112" s="228"/>
      <c r="V112" s="145"/>
      <c r="W112" s="145"/>
      <c r="X112" s="145"/>
      <c r="Y112" s="228"/>
      <c r="Z112" s="145"/>
      <c r="AA112" s="145"/>
      <c r="AB112" s="145"/>
      <c r="AC112" s="228"/>
      <c r="AD112" s="145"/>
      <c r="AE112" s="145"/>
      <c r="AF112" s="145"/>
      <c r="AG112" s="145"/>
      <c r="AH112" s="227"/>
      <c r="AI112" s="145"/>
      <c r="AJ112" s="145"/>
      <c r="AK112" s="228"/>
      <c r="AL112" s="227"/>
      <c r="AM112" s="145"/>
      <c r="AN112" s="145"/>
      <c r="AO112" s="228"/>
      <c r="AP112" s="227"/>
      <c r="AQ112" s="145"/>
      <c r="AR112" s="145"/>
      <c r="AS112" s="228"/>
      <c r="AT112" s="227"/>
      <c r="AU112" s="145"/>
      <c r="AV112" s="145"/>
      <c r="AW112" s="228"/>
      <c r="AX112" s="227"/>
      <c r="AY112" s="145"/>
      <c r="AZ112" s="145"/>
      <c r="BA112" s="228"/>
      <c r="BB112" s="227"/>
      <c r="BC112" s="145"/>
      <c r="BD112" s="145"/>
      <c r="BE112" s="228"/>
      <c r="BF112" s="201"/>
      <c r="BG112" s="201"/>
      <c r="BH112" s="201"/>
      <c r="BI112" s="202"/>
      <c r="BJ112" s="207"/>
      <c r="BK112" s="201"/>
      <c r="BL112" s="201"/>
      <c r="BM112" s="202"/>
      <c r="BN112" s="201"/>
      <c r="BO112" s="201"/>
      <c r="BP112" s="201"/>
      <c r="BQ112" s="202"/>
      <c r="BR112" s="1655"/>
      <c r="BS112" s="1655"/>
      <c r="BT112" s="1655"/>
      <c r="BU112" s="1649"/>
      <c r="BV112" s="2202"/>
      <c r="BW112" s="2202"/>
      <c r="BX112" s="2202"/>
      <c r="BY112" s="2203"/>
      <c r="BZ112" s="2202"/>
      <c r="CA112" s="2202"/>
      <c r="CB112" s="2202"/>
      <c r="CC112" s="2203"/>
      <c r="CD112" s="228"/>
      <c r="CE112" s="145"/>
      <c r="CF112" s="145"/>
      <c r="CG112" s="145"/>
      <c r="CH112" s="145"/>
      <c r="CI112" s="145"/>
      <c r="CJ112" s="145"/>
      <c r="CK112" s="145"/>
      <c r="CL112" s="145"/>
      <c r="CM112" s="145"/>
      <c r="CN112" s="145"/>
      <c r="CO112" s="145"/>
      <c r="CP112" s="145"/>
      <c r="CQ112" s="145"/>
      <c r="CR112" s="145"/>
      <c r="CS112" s="201"/>
      <c r="CU112" s="1606"/>
      <c r="CV112" s="1627"/>
      <c r="CW112" s="1627"/>
      <c r="CX112" s="1627"/>
      <c r="CY112" s="201"/>
      <c r="CZ112" s="201"/>
      <c r="DA112" s="201"/>
      <c r="DB112" s="201"/>
      <c r="DC112" s="201"/>
      <c r="DD112" s="1505"/>
      <c r="DE112" s="1551"/>
      <c r="DF112" s="141"/>
      <c r="DG112" s="215"/>
      <c r="DH112" s="141"/>
      <c r="DI112" s="141"/>
      <c r="DJ112" s="141"/>
      <c r="DK112" s="141"/>
      <c r="DL112" s="641"/>
      <c r="DM112" s="641"/>
      <c r="DN112" s="641"/>
      <c r="DO112" s="641"/>
      <c r="DP112" s="141"/>
      <c r="DQ112" s="141"/>
      <c r="DR112" s="141"/>
      <c r="DS112" s="215"/>
      <c r="DT112" s="141"/>
      <c r="DU112" s="141"/>
      <c r="DV112" s="141"/>
      <c r="DW112" s="141"/>
      <c r="DX112" s="2241"/>
      <c r="DY112" s="141"/>
      <c r="DZ112" s="1676"/>
    </row>
    <row r="113" spans="1:130" ht="11.25" hidden="1" customHeight="1" outlineLevel="1">
      <c r="A113" s="3"/>
      <c r="B113" s="233" t="s">
        <v>892</v>
      </c>
      <c r="C113" s="203"/>
      <c r="D113" s="203"/>
      <c r="E113" s="204"/>
      <c r="F113" s="3"/>
      <c r="G113" s="3"/>
      <c r="H113" s="3"/>
      <c r="I113" s="9"/>
      <c r="J113" s="3"/>
      <c r="K113" s="3"/>
      <c r="L113" s="3"/>
      <c r="M113" s="9"/>
      <c r="N113" s="3"/>
      <c r="O113" s="3"/>
      <c r="P113" s="3"/>
      <c r="Q113" s="9"/>
      <c r="R113" s="3"/>
      <c r="S113" s="3"/>
      <c r="T113" s="3"/>
      <c r="U113" s="9"/>
      <c r="V113" s="3"/>
      <c r="W113" s="3"/>
      <c r="X113" s="3"/>
      <c r="Y113" s="9"/>
      <c r="Z113" s="3"/>
      <c r="AA113" s="3"/>
      <c r="AB113" s="3"/>
      <c r="AC113" s="9"/>
      <c r="AD113" s="3"/>
      <c r="AE113" s="3"/>
      <c r="AF113" s="3"/>
      <c r="AG113" s="3"/>
      <c r="AH113" s="8"/>
      <c r="AI113" s="3"/>
      <c r="AJ113" s="3"/>
      <c r="AK113" s="9"/>
      <c r="AL113" s="8"/>
      <c r="AM113" s="3"/>
      <c r="AN113" s="3"/>
      <c r="AO113" s="9"/>
      <c r="AP113" s="8"/>
      <c r="AQ113" s="3"/>
      <c r="AR113" s="3"/>
      <c r="AS113" s="9"/>
      <c r="AT113" s="8"/>
      <c r="AU113" s="3"/>
      <c r="AV113" s="3"/>
      <c r="AW113" s="9"/>
      <c r="AX113" s="8"/>
      <c r="AY113" s="3"/>
      <c r="AZ113" s="3"/>
      <c r="BA113" s="9"/>
      <c r="BB113" s="2082"/>
      <c r="BC113" s="2082"/>
      <c r="BD113" s="2082"/>
      <c r="BE113" s="2083"/>
      <c r="BF113" s="2082"/>
      <c r="BG113" s="2082"/>
      <c r="BH113" s="2082"/>
      <c r="BI113" s="2083"/>
      <c r="BJ113" s="2082"/>
      <c r="BK113" s="2082"/>
      <c r="BL113" s="2082"/>
      <c r="BM113" s="2083"/>
      <c r="BN113" s="2082"/>
      <c r="BO113" s="2082"/>
      <c r="BP113" s="2082"/>
      <c r="BQ113" s="2083"/>
      <c r="BR113" s="2082"/>
      <c r="BS113" s="2082"/>
      <c r="BT113" s="2082"/>
      <c r="BU113" s="2083"/>
      <c r="BV113" s="2202"/>
      <c r="BW113" s="2263"/>
      <c r="BX113" s="2263"/>
      <c r="BY113" s="2264"/>
      <c r="BZ113" s="2263"/>
      <c r="CA113" s="2263"/>
      <c r="CB113" s="2263"/>
      <c r="CC113" s="2264"/>
      <c r="CD113" s="9"/>
      <c r="CE113" s="3"/>
      <c r="CF113" s="3"/>
      <c r="CG113" s="3"/>
      <c r="CH113" s="3"/>
      <c r="CI113" s="3"/>
      <c r="CJ113" s="3"/>
      <c r="CK113" s="68"/>
      <c r="CL113" s="68"/>
      <c r="CM113" s="3"/>
      <c r="CN113" s="3"/>
      <c r="CO113" s="3"/>
      <c r="CP113" s="3"/>
      <c r="CQ113" s="1606"/>
      <c r="CR113" s="1606"/>
      <c r="CS113" s="1606"/>
      <c r="CT113" s="2082"/>
      <c r="CU113" s="1590"/>
      <c r="CV113" s="2263"/>
      <c r="CW113" s="2263"/>
      <c r="CX113" s="2263"/>
      <c r="CY113" s="201"/>
      <c r="CZ113" s="1590"/>
      <c r="DA113" s="1590"/>
      <c r="DB113" s="1590"/>
      <c r="DC113" s="1590"/>
      <c r="DD113" s="1517"/>
      <c r="DE113" s="1483"/>
      <c r="DF113" s="24"/>
      <c r="DG113" s="23"/>
      <c r="DH113" s="24"/>
      <c r="DI113" s="24"/>
      <c r="DJ113" s="24"/>
      <c r="DK113" s="24"/>
      <c r="DL113" s="641"/>
      <c r="DM113" s="641"/>
      <c r="DN113" s="641"/>
      <c r="DO113" s="641"/>
      <c r="DP113" s="24"/>
      <c r="DQ113" s="24"/>
      <c r="DR113" s="24"/>
      <c r="DS113" s="23"/>
      <c r="DT113" s="29"/>
      <c r="DU113" s="132"/>
      <c r="DV113" s="2126"/>
      <c r="DW113" s="2263"/>
      <c r="DX113" s="2241"/>
      <c r="DY113" s="2156"/>
      <c r="DZ113" s="1561"/>
    </row>
    <row r="114" spans="1:130" ht="11.25" hidden="1" customHeight="1" outlineLevel="1">
      <c r="A114" s="4"/>
      <c r="B114" s="232"/>
      <c r="C114" s="193" t="s">
        <v>897</v>
      </c>
      <c r="D114" s="316"/>
      <c r="E114" s="194"/>
      <c r="F114" s="404">
        <f t="shared" ref="F114:AK114" si="319">(F85)/F124</f>
        <v>-0.25141174245494596</v>
      </c>
      <c r="G114" s="405">
        <f t="shared" si="319"/>
        <v>1.6579523879071429E-2</v>
      </c>
      <c r="H114" s="405">
        <f t="shared" si="319"/>
        <v>5.8383722370478038E-3</v>
      </c>
      <c r="I114" s="406">
        <f t="shared" si="319"/>
        <v>-0.23213854389601341</v>
      </c>
      <c r="J114" s="404">
        <f t="shared" si="319"/>
        <v>-2.9844348594850315E-3</v>
      </c>
      <c r="K114" s="405">
        <f t="shared" si="319"/>
        <v>8.0600551079196406E-2</v>
      </c>
      <c r="L114" s="405">
        <f t="shared" si="319"/>
        <v>8.8526703842696924E-2</v>
      </c>
      <c r="M114" s="406">
        <f t="shared" si="319"/>
        <v>8.197699707658522E-2</v>
      </c>
      <c r="N114" s="404">
        <f t="shared" si="319"/>
        <v>0.11286932287914324</v>
      </c>
      <c r="O114" s="405">
        <f t="shared" si="319"/>
        <v>0.35781564003941074</v>
      </c>
      <c r="P114" s="405">
        <f t="shared" si="319"/>
        <v>0.26237476062523168</v>
      </c>
      <c r="Q114" s="406">
        <f t="shared" si="319"/>
        <v>0.21127532750449307</v>
      </c>
      <c r="R114" s="404">
        <f t="shared" si="319"/>
        <v>2.327412436461803E-2</v>
      </c>
      <c r="S114" s="405">
        <f t="shared" si="319"/>
        <v>0.31574116567232707</v>
      </c>
      <c r="T114" s="405">
        <f t="shared" si="319"/>
        <v>0.22018839895750086</v>
      </c>
      <c r="U114" s="406">
        <f t="shared" si="319"/>
        <v>0.13735584567497705</v>
      </c>
      <c r="V114" s="404">
        <f t="shared" si="319"/>
        <v>0.142991533396049</v>
      </c>
      <c r="W114" s="405">
        <f t="shared" si="319"/>
        <v>0.26228970546802866</v>
      </c>
      <c r="X114" s="405">
        <f t="shared" si="319"/>
        <v>0.32371073209178719</v>
      </c>
      <c r="Y114" s="406">
        <f t="shared" si="319"/>
        <v>0.26984302387367382</v>
      </c>
      <c r="Z114" s="404">
        <f t="shared" si="319"/>
        <v>0.31119381484130348</v>
      </c>
      <c r="AA114" s="405">
        <f t="shared" si="319"/>
        <v>0.47073330141637459</v>
      </c>
      <c r="AB114" s="405">
        <f t="shared" si="319"/>
        <v>0.45357134770124397</v>
      </c>
      <c r="AC114" s="406">
        <f t="shared" si="319"/>
        <v>0.37725736997896914</v>
      </c>
      <c r="AD114" s="404">
        <f t="shared" si="319"/>
        <v>0.45777259304942869</v>
      </c>
      <c r="AE114" s="405">
        <f t="shared" si="319"/>
        <v>0.58393810396175605</v>
      </c>
      <c r="AF114" s="405">
        <f t="shared" si="319"/>
        <v>0.54437952842763726</v>
      </c>
      <c r="AG114" s="405">
        <f t="shared" si="319"/>
        <v>0.39039115540582797</v>
      </c>
      <c r="AH114" s="404">
        <f t="shared" si="319"/>
        <v>0.79307259303979705</v>
      </c>
      <c r="AI114" s="405">
        <f t="shared" si="319"/>
        <v>1.3509009225118427</v>
      </c>
      <c r="AJ114" s="405">
        <f t="shared" si="319"/>
        <v>1.2317482019763866</v>
      </c>
      <c r="AK114" s="406">
        <f t="shared" si="319"/>
        <v>1.0046912763223732</v>
      </c>
      <c r="AL114" s="404">
        <f t="shared" ref="AL114:BD114" si="320">(AL85)/AL124</f>
        <v>0.933583010490183</v>
      </c>
      <c r="AM114" s="405">
        <f t="shared" si="320"/>
        <v>0.40976663060870472</v>
      </c>
      <c r="AN114" s="405">
        <f t="shared" si="320"/>
        <v>0.30040711033226353</v>
      </c>
      <c r="AO114" s="406">
        <f t="shared" si="320"/>
        <v>0.76293644028124408</v>
      </c>
      <c r="AP114" s="404">
        <f t="shared" si="320"/>
        <v>1.2562993528695643</v>
      </c>
      <c r="AQ114" s="405">
        <f t="shared" si="320"/>
        <v>1.8531899795258624</v>
      </c>
      <c r="AR114" s="405">
        <f t="shared" si="320"/>
        <v>1.7129882542735044</v>
      </c>
      <c r="AS114" s="406">
        <f t="shared" si="320"/>
        <v>1.2500652753127179</v>
      </c>
      <c r="AT114" s="404">
        <f t="shared" si="320"/>
        <v>0.88449285830341795</v>
      </c>
      <c r="AU114" s="405">
        <f t="shared" si="320"/>
        <v>0.9599241179787219</v>
      </c>
      <c r="AV114" s="405">
        <f t="shared" si="320"/>
        <v>0.66124204145211729</v>
      </c>
      <c r="AW114" s="406">
        <f t="shared" si="320"/>
        <v>0.81989001581091792</v>
      </c>
      <c r="AX114" s="404">
        <f t="shared" si="320"/>
        <v>1.098880228121536</v>
      </c>
      <c r="AY114" s="405">
        <f>(AY85)/AY124</f>
        <v>1.5121462925590736</v>
      </c>
      <c r="AZ114" s="405">
        <f t="shared" si="320"/>
        <v>2.5169591924540256</v>
      </c>
      <c r="BA114" s="406">
        <f t="shared" si="320"/>
        <v>3.3542318885386799</v>
      </c>
      <c r="BB114" s="404">
        <f>(BB85)/BB124</f>
        <v>2.3567460317460323</v>
      </c>
      <c r="BC114" s="405">
        <f>(BC85)/BC124</f>
        <v>2.0855914634146338</v>
      </c>
      <c r="BD114" s="405">
        <f t="shared" si="320"/>
        <v>2.0968163265306132</v>
      </c>
      <c r="BE114" s="406">
        <f t="shared" ref="BE114:BJ114" si="321">(BE85)/BE124</f>
        <v>1.9639423868312751</v>
      </c>
      <c r="BF114" s="405">
        <f t="shared" si="321"/>
        <v>2.1242570247933887</v>
      </c>
      <c r="BG114" s="405">
        <f>(BG85)/BG124</f>
        <v>2.1885761316872432</v>
      </c>
      <c r="BH114" s="405">
        <f>(BH85)/BH124</f>
        <v>1.9421818181818173</v>
      </c>
      <c r="BI114" s="406">
        <f>(BI85)/BI124</f>
        <v>1.8477593360995848</v>
      </c>
      <c r="BJ114" s="404">
        <f t="shared" si="321"/>
        <v>2.2883083333333332</v>
      </c>
      <c r="BK114" s="405">
        <f t="shared" ref="BK114:BY114" si="322">(BK85)/BK124</f>
        <v>2.4827899159663867</v>
      </c>
      <c r="BL114" s="405">
        <f t="shared" si="322"/>
        <v>1.9953220338983049</v>
      </c>
      <c r="BM114" s="406">
        <f t="shared" si="322"/>
        <v>1.6680106382978717</v>
      </c>
      <c r="BN114" s="405">
        <f t="shared" si="322"/>
        <v>1.7616452991452987</v>
      </c>
      <c r="BO114" s="405">
        <f t="shared" si="322"/>
        <v>1.7231303418803419</v>
      </c>
      <c r="BP114" s="405">
        <f t="shared" si="322"/>
        <v>1.3558119658119654</v>
      </c>
      <c r="BQ114" s="406">
        <f t="shared" si="322"/>
        <v>1.021787072243346</v>
      </c>
      <c r="BR114" s="405">
        <f t="shared" si="322"/>
        <v>1.5432965517241382</v>
      </c>
      <c r="BS114" s="405">
        <f>(BS85)/BS124</f>
        <v>2.2954183673469384</v>
      </c>
      <c r="BT114" s="405">
        <f>(BT85)/BT124</f>
        <v>2.394903010033445</v>
      </c>
      <c r="BU114" s="406">
        <f t="shared" si="322"/>
        <v>2.9271661129568098</v>
      </c>
      <c r="BV114" s="405">
        <f>(BV85)/BV124</f>
        <v>3.5583823529411758</v>
      </c>
      <c r="BW114" s="405">
        <f>(BW85)/BW124</f>
        <v>3.9488888888888893</v>
      </c>
      <c r="BX114" s="405">
        <f t="shared" si="322"/>
        <v>3.2530669719515242</v>
      </c>
      <c r="BY114" s="406">
        <f t="shared" si="322"/>
        <v>2.9300206178984087</v>
      </c>
      <c r="BZ114" s="405">
        <f>(BZ85)/BZ124</f>
        <v>3.0970603293921801</v>
      </c>
      <c r="CA114" s="405">
        <f>(CA85)/CA124</f>
        <v>2.8249817388524239</v>
      </c>
      <c r="CB114" s="405">
        <f>(CB85)/CB124</f>
        <v>2.2810039836167437</v>
      </c>
      <c r="CC114" s="406">
        <f>(CC85)/CC124</f>
        <v>2.1101237910132378</v>
      </c>
      <c r="CD114" s="109"/>
      <c r="CE114" s="404">
        <f t="shared" ref="CE114:CP114" si="323">(CE85)/CE124</f>
        <v>-0.44258661055626447</v>
      </c>
      <c r="CF114" s="405">
        <f t="shared" si="323"/>
        <v>0.25118071706237344</v>
      </c>
      <c r="CG114" s="405">
        <f t="shared" si="323"/>
        <v>0.9480612215156009</v>
      </c>
      <c r="CH114" s="405">
        <f t="shared" si="323"/>
        <v>0.69827431918105454</v>
      </c>
      <c r="CI114" s="405">
        <f t="shared" si="323"/>
        <v>1.0013256926761491</v>
      </c>
      <c r="CJ114" s="405">
        <f t="shared" si="323"/>
        <v>1.6109955105627125</v>
      </c>
      <c r="CK114" s="405">
        <f t="shared" si="323"/>
        <v>1.9727284439045814</v>
      </c>
      <c r="CL114" s="405">
        <f t="shared" si="323"/>
        <v>4.3832904022230519</v>
      </c>
      <c r="CM114" s="405">
        <f t="shared" si="323"/>
        <v>2.4064427633011776</v>
      </c>
      <c r="CN114" s="405">
        <f t="shared" si="323"/>
        <v>6.0664957837274178</v>
      </c>
      <c r="CO114" s="405">
        <f t="shared" si="323"/>
        <v>3.3315768174378158</v>
      </c>
      <c r="CP114" s="405">
        <f t="shared" si="323"/>
        <v>8.612594031694087</v>
      </c>
      <c r="CQ114" s="405">
        <f t="shared" ref="CQ114:CV114" si="324">(CQ85)/CQ124</f>
        <v>8.5281036585365868</v>
      </c>
      <c r="CR114" s="405">
        <f t="shared" si="324"/>
        <v>8.1041826446280982</v>
      </c>
      <c r="CS114" s="405">
        <f t="shared" si="324"/>
        <v>8.4513776371308005</v>
      </c>
      <c r="CT114" s="405">
        <f>(CT85)/CT124</f>
        <v>5.8725590848139433</v>
      </c>
      <c r="CU114" s="405">
        <f t="shared" si="324"/>
        <v>9.1877094594594588</v>
      </c>
      <c r="CV114" s="405">
        <f t="shared" si="324"/>
        <v>13.698327837261642</v>
      </c>
      <c r="CW114" s="405">
        <f t="shared" ref="CW114:DC114" si="325">(CW85)/CW124</f>
        <v>10.255327628149955</v>
      </c>
      <c r="CX114" s="405">
        <f t="shared" si="325"/>
        <v>11.030118495535634</v>
      </c>
      <c r="CY114" s="405">
        <f t="shared" si="325"/>
        <v>11.184484730647638</v>
      </c>
      <c r="CZ114" s="405">
        <f t="shared" si="325"/>
        <v>11.553602475053802</v>
      </c>
      <c r="DA114" s="405">
        <f t="shared" si="325"/>
        <v>11.336664707414522</v>
      </c>
      <c r="DB114" s="405">
        <f t="shared" si="325"/>
        <v>11.652681102162001</v>
      </c>
      <c r="DC114" s="405">
        <f t="shared" si="325"/>
        <v>12.02150552011107</v>
      </c>
      <c r="DD114" s="1518"/>
      <c r="DE114" s="1560"/>
      <c r="DF114" s="1085"/>
      <c r="DG114" s="92"/>
      <c r="DH114" s="31"/>
      <c r="DI114" s="31"/>
      <c r="DJ114" s="31"/>
      <c r="DK114" s="31"/>
      <c r="DL114" s="1117">
        <f>SUM(AB114:AE114)</f>
        <v>1.8725394146913978</v>
      </c>
      <c r="DM114" s="1117">
        <f>SUM(AF114:AI114)</f>
        <v>3.0787441993851052</v>
      </c>
      <c r="DN114" s="1117">
        <f>SUM(AJ114:AM114)</f>
        <v>3.5797891193976472</v>
      </c>
      <c r="DO114" s="1117">
        <f>SUM(AN114:AQ114)</f>
        <v>4.1728328830089341</v>
      </c>
      <c r="DP114" s="1119">
        <f>SUM(AR114:AU114)</f>
        <v>4.8074705058683627</v>
      </c>
      <c r="DQ114" s="1119">
        <f>SUM(AV114:AY114)</f>
        <v>4.0921585779436445</v>
      </c>
      <c r="DR114" s="1119">
        <f>SUM(AZ114:BC114)</f>
        <v>10.313528576153372</v>
      </c>
      <c r="DS114" s="1571">
        <f>SUM(BD114:BG114)</f>
        <v>8.3735918698425209</v>
      </c>
      <c r="DT114" s="1119">
        <f>SUM(BH114:BK114)</f>
        <v>8.5610394035811233</v>
      </c>
      <c r="DU114" s="1119">
        <f>(DU85)/DU124</f>
        <v>7.1493759318423846</v>
      </c>
      <c r="DV114" s="1119">
        <f>(DV85)/DV124</f>
        <v>6.3215504162812195</v>
      </c>
      <c r="DW114" s="1119">
        <f>(DW85)/DW124</f>
        <v>12.852732673267326</v>
      </c>
      <c r="DX114" s="2260">
        <f>(DX85)/DX124</f>
        <v>12.104174003214656</v>
      </c>
      <c r="DY114" s="2188"/>
      <c r="DZ114" s="1680">
        <f>(DZ85)/DZ124</f>
        <v>-7.1249813322995585</v>
      </c>
    </row>
    <row r="115" spans="1:130" ht="11.25" hidden="1" customHeight="1" outlineLevel="1">
      <c r="A115" s="3"/>
      <c r="B115" s="207"/>
      <c r="C115" s="201" t="s">
        <v>891</v>
      </c>
      <c r="D115" s="201"/>
      <c r="E115" s="202"/>
      <c r="F115" s="67">
        <f t="shared" ref="F115:AK115" si="326">F100/F124</f>
        <v>-0.25141174245494596</v>
      </c>
      <c r="G115" s="68">
        <f t="shared" si="326"/>
        <v>2.0955162845041928E-2</v>
      </c>
      <c r="H115" s="68">
        <f t="shared" si="326"/>
        <v>-3.2361584974496073E-2</v>
      </c>
      <c r="I115" s="69">
        <f t="shared" si="326"/>
        <v>-0.32828342405194832</v>
      </c>
      <c r="J115" s="67">
        <f t="shared" si="326"/>
        <v>0.10993650708602359</v>
      </c>
      <c r="K115" s="68">
        <f t="shared" si="326"/>
        <v>6.5722456477267641E-2</v>
      </c>
      <c r="L115" s="68">
        <f t="shared" si="326"/>
        <v>9.6784625246241082E-2</v>
      </c>
      <c r="M115" s="69">
        <f t="shared" si="326"/>
        <v>6.6348361775089126E-2</v>
      </c>
      <c r="N115" s="67">
        <f t="shared" si="326"/>
        <v>0.11286932287914324</v>
      </c>
      <c r="O115" s="68">
        <f t="shared" si="326"/>
        <v>0.36428232924150944</v>
      </c>
      <c r="P115" s="68">
        <f t="shared" si="326"/>
        <v>0.26237476062523168</v>
      </c>
      <c r="Q115" s="69">
        <f t="shared" si="326"/>
        <v>0.14541492343567952</v>
      </c>
      <c r="R115" s="67">
        <f t="shared" si="326"/>
        <v>2.327412436461803E-2</v>
      </c>
      <c r="S115" s="68">
        <f t="shared" si="326"/>
        <v>0.31574116567232707</v>
      </c>
      <c r="T115" s="68">
        <f t="shared" si="326"/>
        <v>0.22018839895750086</v>
      </c>
      <c r="U115" s="69">
        <f t="shared" si="326"/>
        <v>0.13735584567497705</v>
      </c>
      <c r="V115" s="67">
        <f t="shared" si="326"/>
        <v>0.142991533396049</v>
      </c>
      <c r="W115" s="68">
        <f t="shared" si="326"/>
        <v>0.26228970546802866</v>
      </c>
      <c r="X115" s="68">
        <f t="shared" si="326"/>
        <v>0.32371073209178719</v>
      </c>
      <c r="Y115" s="69">
        <f t="shared" si="326"/>
        <v>0.18448812719802243</v>
      </c>
      <c r="Z115" s="67">
        <f t="shared" si="326"/>
        <v>0.31119381484130348</v>
      </c>
      <c r="AA115" s="68">
        <f t="shared" si="326"/>
        <v>0.47073330141637459</v>
      </c>
      <c r="AB115" s="68">
        <f t="shared" si="326"/>
        <v>0.45357134770124397</v>
      </c>
      <c r="AC115" s="69">
        <f t="shared" si="326"/>
        <v>0.53274382044542856</v>
      </c>
      <c r="AD115" s="67">
        <f t="shared" si="326"/>
        <v>0.45777259304942869</v>
      </c>
      <c r="AE115" s="68">
        <f t="shared" si="326"/>
        <v>0.58393810396175605</v>
      </c>
      <c r="AF115" s="68">
        <f t="shared" si="326"/>
        <v>0.54437952842763726</v>
      </c>
      <c r="AG115" s="68">
        <f t="shared" si="326"/>
        <v>1.0431456636111316</v>
      </c>
      <c r="AH115" s="67">
        <f t="shared" si="326"/>
        <v>0.30798469871894191</v>
      </c>
      <c r="AI115" s="68">
        <f t="shared" si="326"/>
        <v>1.3509009225118427</v>
      </c>
      <c r="AJ115" s="68">
        <f t="shared" si="326"/>
        <v>1.2317482019763866</v>
      </c>
      <c r="AK115" s="69">
        <f t="shared" si="326"/>
        <v>0.93861198116818811</v>
      </c>
      <c r="AL115" s="67">
        <f t="shared" ref="AL115:BD115" si="327">AL100/AL124</f>
        <v>0.933583010490183</v>
      </c>
      <c r="AM115" s="68">
        <f t="shared" si="327"/>
        <v>6.1552344894419013E-2</v>
      </c>
      <c r="AN115" s="68">
        <f t="shared" si="327"/>
        <v>0.2207610926331485</v>
      </c>
      <c r="AO115" s="69">
        <f t="shared" si="327"/>
        <v>0.86425802618432779</v>
      </c>
      <c r="AP115" s="67">
        <f t="shared" si="327"/>
        <v>1.2562993528695643</v>
      </c>
      <c r="AQ115" s="68">
        <f t="shared" si="327"/>
        <v>1.8531899795258624</v>
      </c>
      <c r="AR115" s="68">
        <f t="shared" si="327"/>
        <v>1.7129882542735044</v>
      </c>
      <c r="AS115" s="69">
        <f t="shared" si="327"/>
        <v>1.1351716582914415</v>
      </c>
      <c r="AT115" s="67">
        <f t="shared" si="327"/>
        <v>0.88449285830341795</v>
      </c>
      <c r="AU115" s="68">
        <f t="shared" si="327"/>
        <v>0.9599241179787219</v>
      </c>
      <c r="AV115" s="68">
        <f t="shared" si="327"/>
        <v>0.61886916009618509</v>
      </c>
      <c r="AW115" s="69">
        <f t="shared" si="327"/>
        <v>0.67221069091640318</v>
      </c>
      <c r="AX115" s="67">
        <f t="shared" si="327"/>
        <v>1.0102726331848271</v>
      </c>
      <c r="AY115" s="68">
        <f t="shared" si="327"/>
        <v>0.61341211534388385</v>
      </c>
      <c r="AZ115" s="68">
        <f t="shared" si="327"/>
        <v>1.9641136639987411</v>
      </c>
      <c r="BA115" s="69">
        <f t="shared" si="327"/>
        <v>2.8657703500771419</v>
      </c>
      <c r="BB115" s="67">
        <f>BB100/BB124</f>
        <v>2.0591269841269844</v>
      </c>
      <c r="BC115" s="68">
        <f t="shared" si="327"/>
        <v>1.3620142276422762</v>
      </c>
      <c r="BD115" s="68">
        <f t="shared" si="327"/>
        <v>1.5947755102040826</v>
      </c>
      <c r="BE115" s="69">
        <f t="shared" ref="BE115:BM115" si="328">BE100/BE124</f>
        <v>-1.0895555555555563</v>
      </c>
      <c r="BF115" s="68">
        <f t="shared" si="328"/>
        <v>2.045744628099174</v>
      </c>
      <c r="BG115" s="68">
        <f t="shared" si="328"/>
        <v>1.76882304526749</v>
      </c>
      <c r="BH115" s="68">
        <f t="shared" si="328"/>
        <v>1.549619834710743</v>
      </c>
      <c r="BI115" s="69">
        <f>BI100/BI124</f>
        <v>1.3166390041493774</v>
      </c>
      <c r="BJ115" s="67">
        <f t="shared" si="328"/>
        <v>1.7799749999999999</v>
      </c>
      <c r="BK115" s="68">
        <f>BK100/BK124</f>
        <v>1.8777478991596639</v>
      </c>
      <c r="BL115" s="68">
        <f>BL100/BL124</f>
        <v>1.5885423728813557</v>
      </c>
      <c r="BM115" s="69">
        <f t="shared" si="328"/>
        <v>0.90843617021276535</v>
      </c>
      <c r="BN115" s="68">
        <f t="shared" ref="BN115:BY115" si="329">BN100/BN124</f>
        <v>1.2103632478632476</v>
      </c>
      <c r="BO115" s="68">
        <f t="shared" si="329"/>
        <v>1.0308226495726496</v>
      </c>
      <c r="BP115" s="68">
        <f t="shared" si="329"/>
        <v>0.29170940170940118</v>
      </c>
      <c r="BQ115" s="69">
        <f t="shared" si="329"/>
        <v>-1.3960836501901139</v>
      </c>
      <c r="BR115" s="68">
        <f t="shared" si="329"/>
        <v>-1.2635999999999998</v>
      </c>
      <c r="BS115" s="68">
        <f t="shared" si="329"/>
        <v>0.79881972789115596</v>
      </c>
      <c r="BT115" s="68">
        <f t="shared" si="329"/>
        <v>0.82968561872909707</v>
      </c>
      <c r="BU115" s="69">
        <f t="shared" si="329"/>
        <v>0.93048837209302249</v>
      </c>
      <c r="BV115" s="68">
        <f t="shared" si="329"/>
        <v>2.2250490196078423</v>
      </c>
      <c r="BW115" s="68">
        <f>BW100/BW123</f>
        <v>-2.7791891891891889</v>
      </c>
      <c r="BX115" s="68">
        <f t="shared" si="329"/>
        <v>1.8517244682013234</v>
      </c>
      <c r="BY115" s="69">
        <f t="shared" si="329"/>
        <v>1.5723755034317393</v>
      </c>
      <c r="BZ115" s="68">
        <f>BZ100/BZ124</f>
        <v>2.0649134274458856</v>
      </c>
      <c r="CA115" s="68">
        <f>CA100/CA124</f>
        <v>1.8101022154580499</v>
      </c>
      <c r="CB115" s="68">
        <f>CB100/CB124</f>
        <v>1.2753296743286175</v>
      </c>
      <c r="CC115" s="69">
        <f>CC100/CC124</f>
        <v>1.1033552098624133</v>
      </c>
      <c r="CD115" s="9"/>
      <c r="CE115" s="67">
        <f t="shared" ref="CE115:CP115" si="330">CE100/CE124</f>
        <v>-0.57981210917820092</v>
      </c>
      <c r="CF115" s="68">
        <f t="shared" si="330"/>
        <v>0.33776464751439406</v>
      </c>
      <c r="CG115" s="68">
        <f t="shared" si="330"/>
        <v>0.88611474949613622</v>
      </c>
      <c r="CH115" s="68">
        <f t="shared" si="330"/>
        <v>0.69827431918105454</v>
      </c>
      <c r="CI115" s="366">
        <f t="shared" si="330"/>
        <v>0.91376808898951323</v>
      </c>
      <c r="CJ115" s="366">
        <f t="shared" si="330"/>
        <v>1.7672455105627125</v>
      </c>
      <c r="CK115" s="366">
        <f t="shared" si="330"/>
        <v>2.6225946578257906</v>
      </c>
      <c r="CL115" s="68">
        <f t="shared" si="330"/>
        <v>3.8361236397103458</v>
      </c>
      <c r="CM115" s="68">
        <f t="shared" si="330"/>
        <v>2.0834339137436553</v>
      </c>
      <c r="CN115" s="68">
        <f t="shared" si="330"/>
        <v>5.9506159554012381</v>
      </c>
      <c r="CO115" s="68">
        <f t="shared" si="330"/>
        <v>3.1400874557356881</v>
      </c>
      <c r="CP115" s="68">
        <f t="shared" si="330"/>
        <v>6.5840226031226585</v>
      </c>
      <c r="CQ115" s="68">
        <f t="shared" ref="CQ115:CV115" si="331">CQ100/CQ124</f>
        <v>3.983388211382116</v>
      </c>
      <c r="CR115" s="68">
        <f t="shared" si="331"/>
        <v>6.6826950413223134</v>
      </c>
      <c r="CS115" s="68">
        <f t="shared" si="331"/>
        <v>6.1707869198312224</v>
      </c>
      <c r="CT115" s="68">
        <f t="shared" si="331"/>
        <v>0.94505321823667299</v>
      </c>
      <c r="CU115" s="68">
        <f t="shared" si="331"/>
        <v>1.3397364864864862</v>
      </c>
      <c r="CV115" s="68">
        <f t="shared" si="331"/>
        <v>2.9756723131846319</v>
      </c>
      <c r="CW115" s="68">
        <f t="shared" ref="CW115:DC115" si="332">CW100/CW124</f>
        <v>6.2148177111161189</v>
      </c>
      <c r="CX115" s="68">
        <f t="shared" si="332"/>
        <v>7.0892904852868828</v>
      </c>
      <c r="CY115" s="68">
        <f t="shared" si="332"/>
        <v>7.3468832279129321</v>
      </c>
      <c r="CZ115" s="68">
        <f t="shared" si="332"/>
        <v>7.8196201290503797</v>
      </c>
      <c r="DA115" s="68">
        <f t="shared" si="332"/>
        <v>7.6930203658794056</v>
      </c>
      <c r="DB115" s="68">
        <f t="shared" si="332"/>
        <v>8.0980492104030422</v>
      </c>
      <c r="DC115" s="68">
        <f t="shared" si="332"/>
        <v>8.5521967317251075</v>
      </c>
      <c r="DD115" s="1517"/>
      <c r="DE115" s="1483"/>
      <c r="DF115" s="366"/>
      <c r="DG115" s="23"/>
      <c r="DH115" s="24"/>
      <c r="DI115" s="24"/>
      <c r="DJ115" s="24"/>
      <c r="DK115" s="24"/>
      <c r="DL115" s="1115">
        <f>SUM(AB115:AE115)</f>
        <v>2.0280258651578573</v>
      </c>
      <c r="DM115" s="1115">
        <f>SUM(AF115:AI115)</f>
        <v>3.2464108132695531</v>
      </c>
      <c r="DN115" s="1115">
        <f>SUM(AJ115:AM115)</f>
        <v>3.1654955385291768</v>
      </c>
      <c r="DO115" s="1115">
        <f>SUM(AN115:AQ115)</f>
        <v>4.1945084512129034</v>
      </c>
      <c r="DP115" s="161">
        <f>SUM(AR115:AU115)</f>
        <v>4.6925768888470856</v>
      </c>
      <c r="DQ115" s="161">
        <f>SUM(AV115:AY115)</f>
        <v>2.9147645995412992</v>
      </c>
      <c r="DR115" s="161">
        <f>SUM(AZ115:BC115)</f>
        <v>8.2510252258451438</v>
      </c>
      <c r="DS115" s="894">
        <f>SUM(BD115:BG115)</f>
        <v>4.3197876280151899</v>
      </c>
      <c r="DT115" s="366">
        <f>SUM(BH115:BK115)</f>
        <v>6.5239817380197831</v>
      </c>
      <c r="DU115" s="366">
        <f>DU100/DU124</f>
        <v>4.7404302449414262</v>
      </c>
      <c r="DV115" s="366">
        <f>DV100/DV124</f>
        <v>-1.5929731729879748</v>
      </c>
      <c r="DW115" s="366">
        <f>DW100/DW124</f>
        <v>1.2751749174917482</v>
      </c>
      <c r="DX115" s="2259">
        <f>DX100/DX124</f>
        <v>7.3002484282253191</v>
      </c>
      <c r="DY115" s="2126"/>
      <c r="DZ115" s="1681">
        <f>+DZ114*13</f>
        <v>-92.624757319894258</v>
      </c>
    </row>
    <row r="116" spans="1:130" ht="11.25" hidden="1" customHeight="1" outlineLevel="1">
      <c r="A116" s="4"/>
      <c r="B116" s="207"/>
      <c r="C116" s="201" t="s">
        <v>883</v>
      </c>
      <c r="D116" s="201"/>
      <c r="E116" s="202"/>
      <c r="F116" s="67">
        <f t="shared" ref="F116:AK116" si="333">(F106)/F124</f>
        <v>-0.25141174245494596</v>
      </c>
      <c r="G116" s="68">
        <f t="shared" si="333"/>
        <v>1.6579523879071429E-2</v>
      </c>
      <c r="H116" s="68">
        <f t="shared" si="333"/>
        <v>5.8383722370478038E-3</v>
      </c>
      <c r="I116" s="69">
        <f t="shared" si="333"/>
        <v>-0.23213854389601341</v>
      </c>
      <c r="J116" s="67">
        <f t="shared" si="333"/>
        <v>-2.9844348594850315E-3</v>
      </c>
      <c r="K116" s="68">
        <f t="shared" si="333"/>
        <v>8.0600551079196406E-2</v>
      </c>
      <c r="L116" s="68">
        <f t="shared" si="333"/>
        <v>8.8526703842696924E-2</v>
      </c>
      <c r="M116" s="69">
        <f t="shared" si="333"/>
        <v>8.197699707658522E-2</v>
      </c>
      <c r="N116" s="67">
        <f t="shared" si="333"/>
        <v>0.11286932287914324</v>
      </c>
      <c r="O116" s="68">
        <f t="shared" si="333"/>
        <v>0.35781564003941074</v>
      </c>
      <c r="P116" s="68">
        <f t="shared" si="333"/>
        <v>0.26237476062523168</v>
      </c>
      <c r="Q116" s="69">
        <f t="shared" si="333"/>
        <v>0.21127532750449307</v>
      </c>
      <c r="R116" s="67">
        <f t="shared" si="333"/>
        <v>2.327412436461803E-2</v>
      </c>
      <c r="S116" s="68">
        <f t="shared" si="333"/>
        <v>0.31574116567232707</v>
      </c>
      <c r="T116" s="68">
        <f t="shared" si="333"/>
        <v>0.22018839895750086</v>
      </c>
      <c r="U116" s="69">
        <f t="shared" si="333"/>
        <v>0.13735584567497705</v>
      </c>
      <c r="V116" s="67">
        <f t="shared" si="333"/>
        <v>0.142991533396049</v>
      </c>
      <c r="W116" s="68">
        <f t="shared" si="333"/>
        <v>0.26228970546802866</v>
      </c>
      <c r="X116" s="68">
        <f t="shared" si="333"/>
        <v>0.32371073209178719</v>
      </c>
      <c r="Y116" s="69">
        <f t="shared" si="333"/>
        <v>0.26984302387367382</v>
      </c>
      <c r="Z116" s="67">
        <f t="shared" si="333"/>
        <v>0.33199888042248848</v>
      </c>
      <c r="AA116" s="68">
        <f t="shared" si="333"/>
        <v>0.48969492669854164</v>
      </c>
      <c r="AB116" s="68">
        <f t="shared" si="333"/>
        <v>0.47965600378590001</v>
      </c>
      <c r="AC116" s="69">
        <f t="shared" si="333"/>
        <v>0.41501836509225215</v>
      </c>
      <c r="AD116" s="67">
        <f t="shared" si="333"/>
        <v>0.48497259304942875</v>
      </c>
      <c r="AE116" s="68">
        <f t="shared" si="333"/>
        <v>0.62004429865202149</v>
      </c>
      <c r="AF116" s="68">
        <f t="shared" si="333"/>
        <v>0.58349457267542482</v>
      </c>
      <c r="AG116" s="68">
        <f t="shared" si="333"/>
        <v>0.43270226651693905</v>
      </c>
      <c r="AH116" s="67">
        <f t="shared" si="333"/>
        <v>0.81735830732551129</v>
      </c>
      <c r="AI116" s="68">
        <f t="shared" si="333"/>
        <v>1.3779805685295419</v>
      </c>
      <c r="AJ116" s="68">
        <f t="shared" si="333"/>
        <v>1.2617041491129506</v>
      </c>
      <c r="AK116" s="69">
        <f t="shared" si="333"/>
        <v>1.034647223458937</v>
      </c>
      <c r="AL116" s="67">
        <f t="shared" ref="AL116:BD116" si="334">(AL106)/AL124</f>
        <v>0.9636715060654043</v>
      </c>
      <c r="AM116" s="68">
        <f t="shared" si="334"/>
        <v>0.44315948775156189</v>
      </c>
      <c r="AN116" s="68">
        <f t="shared" si="334"/>
        <v>0.33651330502252902</v>
      </c>
      <c r="AO116" s="69">
        <f t="shared" si="334"/>
        <v>0.80487476627243359</v>
      </c>
      <c r="AP116" s="67">
        <f t="shared" si="334"/>
        <v>1.2947341354782598</v>
      </c>
      <c r="AQ116" s="68">
        <f t="shared" si="334"/>
        <v>1.894224462284483</v>
      </c>
      <c r="AR116" s="68">
        <f t="shared" si="334"/>
        <v>1.7594839807692308</v>
      </c>
      <c r="AS116" s="69">
        <f t="shared" si="334"/>
        <v>1.2992567646744202</v>
      </c>
      <c r="AT116" s="67">
        <f t="shared" si="334"/>
        <v>0.9397065335170931</v>
      </c>
      <c r="AU116" s="68">
        <f t="shared" si="334"/>
        <v>1.0120092243617007</v>
      </c>
      <c r="AV116" s="68">
        <f t="shared" si="334"/>
        <v>0.71022509229957498</v>
      </c>
      <c r="AW116" s="69">
        <f t="shared" si="334"/>
        <v>0.86292799049446223</v>
      </c>
      <c r="AX116" s="67">
        <f t="shared" si="334"/>
        <v>1.1476565994295529</v>
      </c>
      <c r="AY116" s="68">
        <f t="shared" si="334"/>
        <v>1.5810070520527446</v>
      </c>
      <c r="AZ116" s="68">
        <f t="shared" si="334"/>
        <v>2.5722437452995544</v>
      </c>
      <c r="BA116" s="69">
        <f t="shared" si="334"/>
        <v>3.4353088116156032</v>
      </c>
      <c r="BB116" s="67">
        <f t="shared" si="334"/>
        <v>2.4619841269841274</v>
      </c>
      <c r="BC116" s="68">
        <f t="shared" si="334"/>
        <v>2.1740467479674792</v>
      </c>
      <c r="BD116" s="68">
        <f t="shared" si="334"/>
        <v>2.196734693877552</v>
      </c>
      <c r="BE116" s="69">
        <f t="shared" ref="BE116:BM116" si="335">(BE106)/BE124</f>
        <v>2.0478930041152257</v>
      </c>
      <c r="BF116" s="68">
        <f t="shared" si="335"/>
        <v>2.2422735537190084</v>
      </c>
      <c r="BG116" s="68">
        <f t="shared" si="335"/>
        <v>2.3061069958847735</v>
      </c>
      <c r="BH116" s="68">
        <f t="shared" si="335"/>
        <v>2.0573884297520655</v>
      </c>
      <c r="BI116" s="69">
        <f>(BI106)/BI124</f>
        <v>1.9352282157676346</v>
      </c>
      <c r="BJ116" s="67">
        <f t="shared" si="335"/>
        <v>2.3988083333333332</v>
      </c>
      <c r="BK116" s="68">
        <f>(BK106)/BK124</f>
        <v>2.5999327731092436</v>
      </c>
      <c r="BL116" s="68">
        <f>(BL106)/BL124</f>
        <v>2.1019322033898304</v>
      </c>
      <c r="BM116" s="69">
        <f t="shared" si="335"/>
        <v>1.7982234042553187</v>
      </c>
      <c r="BN116" s="68">
        <f t="shared" ref="BN116:BU116" si="336">(BN106)/BN124</f>
        <v>1.8836965811965809</v>
      </c>
      <c r="BO116" s="68">
        <f>(BO106)/BO124</f>
        <v>1.8306517094017094</v>
      </c>
      <c r="BP116" s="68">
        <f>(BP106)/BP124</f>
        <v>1.4778632478632474</v>
      </c>
      <c r="BQ116" s="69">
        <f t="shared" si="336"/>
        <v>1.2027756653992396</v>
      </c>
      <c r="BR116" s="68">
        <f t="shared" si="336"/>
        <v>1.775434482758621</v>
      </c>
      <c r="BS116" s="68">
        <f t="shared" si="336"/>
        <v>2.5313367346938769</v>
      </c>
      <c r="BT116" s="68">
        <f t="shared" si="336"/>
        <v>2.6268762541806021</v>
      </c>
      <c r="BU116" s="69">
        <f t="shared" si="336"/>
        <v>3.1327475083056471</v>
      </c>
      <c r="BV116" s="68">
        <f t="shared" ref="BV116:CC116" si="337">(BV106)/BV124</f>
        <v>3.7739379084967313</v>
      </c>
      <c r="BW116" s="68">
        <f t="shared" si="337"/>
        <v>4.1688888888888895</v>
      </c>
      <c r="BX116" s="68">
        <f t="shared" si="337"/>
        <v>3.4539719018234667</v>
      </c>
      <c r="BY116" s="69">
        <f t="shared" si="337"/>
        <v>3.1316227405675496</v>
      </c>
      <c r="BZ116" s="68">
        <f t="shared" si="337"/>
        <v>3.3040415172838959</v>
      </c>
      <c r="CA116" s="68">
        <f t="shared" si="337"/>
        <v>3.0278163777784486</v>
      </c>
      <c r="CB116" s="68">
        <f t="shared" si="337"/>
        <v>2.4682454957608773</v>
      </c>
      <c r="CC116" s="69">
        <f t="shared" si="337"/>
        <v>2.286006568932045</v>
      </c>
      <c r="CD116" s="109"/>
      <c r="CE116" s="67">
        <f t="shared" ref="CE116:CP116" si="338">(CE106)/CE124</f>
        <v>-0.44258661055626447</v>
      </c>
      <c r="CF116" s="68">
        <f t="shared" si="338"/>
        <v>0.25118071706237344</v>
      </c>
      <c r="CG116" s="68">
        <f t="shared" si="338"/>
        <v>0.9480612215156009</v>
      </c>
      <c r="CH116" s="68">
        <f t="shared" si="338"/>
        <v>0.69827431918105454</v>
      </c>
      <c r="CI116" s="68">
        <f t="shared" si="338"/>
        <v>1.0013256926761491</v>
      </c>
      <c r="CJ116" s="68">
        <f t="shared" si="338"/>
        <v>1.7146383677055697</v>
      </c>
      <c r="CK116" s="68">
        <f t="shared" si="338"/>
        <v>2.1171532226656433</v>
      </c>
      <c r="CL116" s="68">
        <f t="shared" si="338"/>
        <v>4.4946178358513702</v>
      </c>
      <c r="CM116" s="68">
        <f t="shared" si="338"/>
        <v>2.5478586925047173</v>
      </c>
      <c r="CN116" s="68">
        <f t="shared" si="338"/>
        <v>6.241603079864757</v>
      </c>
      <c r="CO116" s="68">
        <f t="shared" si="338"/>
        <v>3.5312363919059004</v>
      </c>
      <c r="CP116" s="68">
        <f t="shared" si="338"/>
        <v>8.8679409704695971</v>
      </c>
      <c r="CQ116" s="68">
        <f t="shared" ref="CQ116:CV116" si="339">(CQ106)/CQ124</f>
        <v>8.9068028455284569</v>
      </c>
      <c r="CR116" s="68">
        <f t="shared" si="339"/>
        <v>8.5425297520661143</v>
      </c>
      <c r="CS116" s="68">
        <f t="shared" si="339"/>
        <v>8.9161877637130793</v>
      </c>
      <c r="CT116" s="68">
        <f t="shared" si="339"/>
        <v>6.4168098390881649</v>
      </c>
      <c r="CU116" s="68">
        <f t="shared" si="339"/>
        <v>10.092844594594595</v>
      </c>
      <c r="CV116" s="68">
        <f t="shared" si="339"/>
        <v>14.537001443212569</v>
      </c>
      <c r="CW116" s="68">
        <f t="shared" ref="CW116:DC116" si="340">(CW106)/CW124</f>
        <v>11.024374667620284</v>
      </c>
      <c r="CX116" s="68">
        <f t="shared" si="340"/>
        <v>11.83489110072524</v>
      </c>
      <c r="CY116" s="68">
        <f t="shared" si="340"/>
        <v>11.996587650179368</v>
      </c>
      <c r="CZ116" s="68">
        <f t="shared" si="340"/>
        <v>12.373854752715499</v>
      </c>
      <c r="DA116" s="68">
        <f t="shared" si="340"/>
        <v>12.174169103120745</v>
      </c>
      <c r="DB116" s="68">
        <f t="shared" si="340"/>
        <v>12.510742140822412</v>
      </c>
      <c r="DC116" s="68">
        <f t="shared" si="340"/>
        <v>12.904308209639789</v>
      </c>
      <c r="DD116" s="1519"/>
      <c r="DE116" s="1502"/>
      <c r="DF116" s="1085"/>
      <c r="DG116" s="92"/>
      <c r="DH116" s="31"/>
      <c r="DI116" s="31"/>
      <c r="DJ116" s="31"/>
      <c r="DK116" s="31"/>
      <c r="DL116" s="1115">
        <f>SUM(AB116:AE116)</f>
        <v>1.9996912605796022</v>
      </c>
      <c r="DM116" s="1115">
        <f>SUM(AF116:AI116)</f>
        <v>3.2115357150474173</v>
      </c>
      <c r="DN116" s="1115">
        <f>SUM(AJ116:AM116)</f>
        <v>3.7031823663888539</v>
      </c>
      <c r="DO116" s="1115">
        <f>SUM(AN116:AQ116)</f>
        <v>4.3303466690577057</v>
      </c>
      <c r="DP116" s="161">
        <f>SUM(AR116:AU116)</f>
        <v>5.0104565033224446</v>
      </c>
      <c r="DQ116" s="161">
        <f>SUM(AV116:AY116)</f>
        <v>4.3018167342763345</v>
      </c>
      <c r="DR116" s="161">
        <f>SUM(AZ116:BC116)</f>
        <v>10.643583431866764</v>
      </c>
      <c r="DS116" s="894">
        <f>SUM(BD116:BG116)</f>
        <v>8.7930082475965605</v>
      </c>
      <c r="DT116" s="366">
        <f>SUM(BH116:BK116)</f>
        <v>8.9913577519622763</v>
      </c>
      <c r="DU116" s="366">
        <f>(DU106)/DU124</f>
        <v>7.6157444089456856</v>
      </c>
      <c r="DV116" s="366">
        <f>(DV106)/DV124</f>
        <v>7.1091174838112847</v>
      </c>
      <c r="DW116" s="366">
        <f>(DW106)/DW124</f>
        <v>13.725735973597358</v>
      </c>
      <c r="DX116" s="2259">
        <f>(DX106)/DX124</f>
        <v>12.916508796059293</v>
      </c>
      <c r="DY116" s="366"/>
      <c r="DZ116" s="1682"/>
    </row>
    <row r="117" spans="1:130" ht="12" hidden="1" customHeight="1" outlineLevel="1" collapsed="1">
      <c r="A117" s="145"/>
      <c r="B117" s="227"/>
      <c r="C117" s="145"/>
      <c r="D117" s="145"/>
      <c r="E117" s="228"/>
      <c r="F117" s="145"/>
      <c r="G117" s="145"/>
      <c r="H117" s="145"/>
      <c r="I117" s="228"/>
      <c r="J117" s="145"/>
      <c r="K117" s="145"/>
      <c r="L117" s="145"/>
      <c r="M117" s="228"/>
      <c r="N117" s="145"/>
      <c r="O117" s="145"/>
      <c r="P117" s="145"/>
      <c r="Q117" s="228"/>
      <c r="R117" s="145"/>
      <c r="S117" s="145"/>
      <c r="T117" s="145"/>
      <c r="U117" s="228"/>
      <c r="V117" s="145"/>
      <c r="W117" s="145"/>
      <c r="X117" s="145"/>
      <c r="Y117" s="228"/>
      <c r="Z117" s="145"/>
      <c r="AA117" s="145"/>
      <c r="AB117" s="145"/>
      <c r="AC117" s="228"/>
      <c r="AD117" s="145"/>
      <c r="AE117" s="145"/>
      <c r="AF117" s="145"/>
      <c r="AG117" s="145"/>
      <c r="AH117" s="227"/>
      <c r="AI117" s="145"/>
      <c r="AJ117" s="145"/>
      <c r="AK117" s="228"/>
      <c r="AL117" s="227"/>
      <c r="AM117" s="145"/>
      <c r="AN117" s="145"/>
      <c r="AO117" s="228"/>
      <c r="AP117" s="227"/>
      <c r="AQ117" s="145"/>
      <c r="AR117" s="145"/>
      <c r="AS117" s="228"/>
      <c r="AT117" s="227"/>
      <c r="AU117" s="145"/>
      <c r="AV117" s="145"/>
      <c r="AW117" s="228"/>
      <c r="AX117" s="227"/>
      <c r="AY117" s="145"/>
      <c r="AZ117" s="145"/>
      <c r="BA117" s="228"/>
      <c r="BB117" s="1333"/>
      <c r="BC117" s="1334"/>
      <c r="BD117" s="1329"/>
      <c r="BE117" s="1335"/>
      <c r="BF117" s="1334"/>
      <c r="BG117" s="1334"/>
      <c r="BH117" s="1334"/>
      <c r="BI117" s="1335"/>
      <c r="BJ117" s="1333"/>
      <c r="BK117" s="1645"/>
      <c r="BL117" s="1334"/>
      <c r="BM117" s="1646"/>
      <c r="BN117" s="1334"/>
      <c r="BO117" s="1334"/>
      <c r="BP117" s="1334"/>
      <c r="BQ117" s="1335"/>
      <c r="BR117" s="1334"/>
      <c r="BS117" s="1334"/>
      <c r="BT117" s="1334"/>
      <c r="BU117" s="1335"/>
      <c r="BV117" s="1334"/>
      <c r="BW117" s="1334"/>
      <c r="BX117" s="1334"/>
      <c r="BY117" s="1335"/>
      <c r="BZ117" s="1334"/>
      <c r="CA117" s="1334"/>
      <c r="CB117" s="1334"/>
      <c r="CC117" s="1335"/>
      <c r="CD117" s="228"/>
      <c r="CE117" s="145"/>
      <c r="CF117" s="145"/>
      <c r="CG117" s="145"/>
      <c r="CH117" s="145"/>
      <c r="CI117" s="145"/>
      <c r="CJ117" s="145"/>
      <c r="CK117" s="145"/>
      <c r="CL117" s="145"/>
      <c r="CM117" s="145"/>
      <c r="CN117" s="145"/>
      <c r="CO117" s="145"/>
      <c r="CP117" s="145"/>
      <c r="CQ117" s="145"/>
      <c r="CR117" s="145"/>
      <c r="CS117" s="1606"/>
      <c r="CT117" s="201"/>
      <c r="CU117" s="1334"/>
      <c r="CV117" s="1334"/>
      <c r="CW117" s="1334"/>
      <c r="CX117" s="1334"/>
      <c r="CY117" s="1334"/>
      <c r="CZ117" s="1334"/>
      <c r="DA117" s="1334"/>
      <c r="DB117" s="1334"/>
      <c r="DC117" s="1334"/>
      <c r="DD117" s="1505"/>
      <c r="DE117" s="1551"/>
      <c r="DF117" s="161"/>
      <c r="DG117" s="215"/>
      <c r="DH117" s="141"/>
      <c r="DI117" s="141"/>
      <c r="DJ117" s="141"/>
      <c r="DK117" s="141"/>
      <c r="DL117" s="641"/>
      <c r="DM117" s="641"/>
      <c r="DN117" s="641"/>
      <c r="DO117" s="641"/>
      <c r="DP117" s="141"/>
      <c r="DQ117" s="141"/>
      <c r="DR117" s="141"/>
      <c r="DS117" s="215"/>
      <c r="DT117" s="141"/>
      <c r="DU117" s="141"/>
      <c r="DV117" s="141"/>
      <c r="DW117" s="141"/>
      <c r="DX117" s="2241"/>
      <c r="DY117" s="141"/>
      <c r="DZ117" s="1676"/>
    </row>
    <row r="118" spans="1:130" ht="11.25" hidden="1" customHeight="1" outlineLevel="1">
      <c r="A118" s="24"/>
      <c r="B118" s="208" t="s">
        <v>814</v>
      </c>
      <c r="C118" s="196"/>
      <c r="D118" s="196"/>
      <c r="E118" s="197"/>
      <c r="F118" s="1044"/>
      <c r="G118" s="1044"/>
      <c r="H118" s="29"/>
      <c r="I118" s="58"/>
      <c r="J118" s="1044"/>
      <c r="K118" s="1044"/>
      <c r="L118" s="29"/>
      <c r="M118" s="58"/>
      <c r="N118" s="1044"/>
      <c r="O118" s="1044"/>
      <c r="P118" s="29"/>
      <c r="Q118" s="58"/>
      <c r="R118" s="1044"/>
      <c r="S118" s="1044"/>
      <c r="T118" s="29"/>
      <c r="U118" s="58"/>
      <c r="V118" s="1044"/>
      <c r="W118" s="1044"/>
      <c r="X118" s="29"/>
      <c r="Y118" s="58"/>
      <c r="Z118" s="459"/>
      <c r="AA118" s="459"/>
      <c r="AB118" s="39"/>
      <c r="AC118" s="39"/>
      <c r="AD118" s="38"/>
      <c r="AE118" s="39"/>
      <c r="AF118" s="39"/>
      <c r="AG118" s="39"/>
      <c r="AH118" s="38"/>
      <c r="AI118" s="39"/>
      <c r="AJ118" s="39"/>
      <c r="AK118" s="39"/>
      <c r="AL118" s="38"/>
      <c r="AM118" s="39"/>
      <c r="AN118" s="39"/>
      <c r="AO118" s="39"/>
      <c r="AP118" s="38"/>
      <c r="AQ118" s="39"/>
      <c r="AR118" s="39"/>
      <c r="AS118" s="39"/>
      <c r="AT118" s="38"/>
      <c r="AU118" s="39"/>
      <c r="AV118" s="39"/>
      <c r="AW118" s="39"/>
      <c r="AX118" s="38"/>
      <c r="AY118" s="39"/>
      <c r="AZ118" s="39"/>
      <c r="BA118" s="39"/>
      <c r="BB118" s="57">
        <f>CF!BB47</f>
        <v>0</v>
      </c>
      <c r="BC118" s="29">
        <f>CF!BC47</f>
        <v>-121</v>
      </c>
      <c r="BD118" s="29">
        <f>CF!BD47</f>
        <v>0</v>
      </c>
      <c r="BE118" s="58">
        <f>CF!BE47</f>
        <v>-60</v>
      </c>
      <c r="BF118" s="29">
        <f>CF!BF47</f>
        <v>-59</v>
      </c>
      <c r="BG118" s="29">
        <f>CF!BG47</f>
        <v>-59</v>
      </c>
      <c r="BH118" s="29">
        <f>CF!BH47</f>
        <v>-71</v>
      </c>
      <c r="BI118" s="58">
        <f>CF!BI47</f>
        <v>-70</v>
      </c>
      <c r="BJ118" s="29">
        <f>CF!BJ47</f>
        <v>-94</v>
      </c>
      <c r="BK118" s="29">
        <f>CF!BK47</f>
        <v>-93</v>
      </c>
      <c r="BL118" s="29">
        <f>CF!BL47</f>
        <v>-93</v>
      </c>
      <c r="BM118" s="58">
        <f>CF!BM47</f>
        <v>-116</v>
      </c>
      <c r="BN118" s="57">
        <f>CF!BN47</f>
        <v>-115</v>
      </c>
      <c r="BO118" s="29">
        <f>CF!BO47</f>
        <v>-116</v>
      </c>
      <c r="BP118" s="29">
        <f>CF!BP47</f>
        <v>-116</v>
      </c>
      <c r="BQ118" s="58">
        <f t="shared" ref="BQ118:BY118" si="341">-BQ119*BQ121</f>
        <v>-142</v>
      </c>
      <c r="BR118" s="57">
        <f t="shared" si="341"/>
        <v>-142.5</v>
      </c>
      <c r="BS118" s="29">
        <f t="shared" si="341"/>
        <v>-144</v>
      </c>
      <c r="BT118" s="29">
        <f t="shared" si="341"/>
        <v>-145.5</v>
      </c>
      <c r="BU118" s="58">
        <f t="shared" si="341"/>
        <v>-147</v>
      </c>
      <c r="BV118" s="57">
        <f t="shared" si="341"/>
        <v>-148.05500000000001</v>
      </c>
      <c r="BW118" s="29">
        <f t="shared" si="341"/>
        <v>-149.80680000000001</v>
      </c>
      <c r="BX118" s="29">
        <f t="shared" si="341"/>
        <v>-150.36343350000001</v>
      </c>
      <c r="BY118" s="58">
        <f t="shared" si="341"/>
        <v>-150.72231683400003</v>
      </c>
      <c r="BZ118" s="57">
        <f>-BZ119*BZ121</f>
        <v>-150.72231683400003</v>
      </c>
      <c r="CA118" s="29">
        <f>-CA119*CA121</f>
        <v>-150.97231683400003</v>
      </c>
      <c r="CB118" s="29">
        <f>-CB119*CB121</f>
        <v>-151.22231683400003</v>
      </c>
      <c r="CC118" s="58">
        <f>-CC119*CC121</f>
        <v>-153.14721780860697</v>
      </c>
      <c r="CD118" s="58"/>
      <c r="CE118" s="29"/>
      <c r="CF118" s="29"/>
      <c r="CG118" s="29"/>
      <c r="CH118" s="29"/>
      <c r="CI118" s="29"/>
      <c r="CJ118" s="29"/>
      <c r="CK118" s="29"/>
      <c r="CL118" s="29"/>
      <c r="CM118" s="29"/>
      <c r="CN118" s="29"/>
      <c r="CO118" s="487"/>
      <c r="CP118" s="487"/>
      <c r="CQ118" s="29">
        <f>SUM(BB118:BE118)</f>
        <v>-181</v>
      </c>
      <c r="CR118" s="11">
        <f>SUM(BF118:BI118)</f>
        <v>-259</v>
      </c>
      <c r="CS118" s="11">
        <f>SUM(BJ118:BM118)</f>
        <v>-396</v>
      </c>
      <c r="CT118" s="11">
        <f>SUM(BN118:BQ118)</f>
        <v>-489</v>
      </c>
      <c r="CU118" s="29">
        <f>SUM(BR118:BU118)</f>
        <v>-579</v>
      </c>
      <c r="CV118" s="29">
        <f>SUM(BV118:BY118)</f>
        <v>-598.94755033400008</v>
      </c>
      <c r="CW118" s="29">
        <f>SUM(BZ118:CC118)</f>
        <v>-606.0641683106071</v>
      </c>
      <c r="CX118" s="29">
        <f t="shared" ref="CX118:DC118" si="342">-CX119*CX121</f>
        <v>-625.03104737316812</v>
      </c>
      <c r="CY118" s="29">
        <f t="shared" si="342"/>
        <v>-638.8014068918045</v>
      </c>
      <c r="CZ118" s="29">
        <f t="shared" si="342"/>
        <v>-653.67244876268137</v>
      </c>
      <c r="DA118" s="29">
        <f t="shared" si="342"/>
        <v>-669.47362873780276</v>
      </c>
      <c r="DB118" s="29">
        <f t="shared" si="342"/>
        <v>-685.22787166857188</v>
      </c>
      <c r="DC118" s="29">
        <f t="shared" si="342"/>
        <v>-701.00712830664918</v>
      </c>
      <c r="DD118" s="1516"/>
      <c r="DE118" s="1559"/>
      <c r="DF118" s="24"/>
      <c r="DG118" s="23"/>
      <c r="DH118" s="24"/>
      <c r="DI118" s="24"/>
      <c r="DJ118" s="24"/>
      <c r="DK118" s="24"/>
      <c r="DL118" s="641">
        <f>SUM(AB118:AE118)</f>
        <v>0</v>
      </c>
      <c r="DM118" s="641">
        <f>SUM(AF118:AI118)</f>
        <v>0</v>
      </c>
      <c r="DN118" s="641">
        <f>SUM(AJ118:AM118)</f>
        <v>0</v>
      </c>
      <c r="DO118" s="641">
        <f>SUM(AN118:AQ118)</f>
        <v>0</v>
      </c>
      <c r="DP118" s="641">
        <f>SUM(AR118:AU118)</f>
        <v>0</v>
      </c>
      <c r="DQ118" s="641">
        <f>SUM(AV118:AY118)</f>
        <v>0</v>
      </c>
      <c r="DR118" s="641">
        <f>SUM(AZ118:BC118)</f>
        <v>-121</v>
      </c>
      <c r="DS118" s="1102">
        <f>SUM(BD118:BG118)</f>
        <v>-178</v>
      </c>
      <c r="DT118" s="29">
        <f>SUM(BH118:BK118)</f>
        <v>-328</v>
      </c>
      <c r="DU118" s="29">
        <f>SUM(BI118:BL118)</f>
        <v>-350</v>
      </c>
      <c r="DV118" s="29">
        <f>SUM(BM118:BP118)</f>
        <v>-463</v>
      </c>
      <c r="DW118" s="29">
        <f>SUM(BQ118:BT118)</f>
        <v>-574</v>
      </c>
      <c r="DX118" s="2243">
        <f>SUM(BU118:BX118)</f>
        <v>-595.22523350000006</v>
      </c>
      <c r="DY118" s="29"/>
      <c r="DZ118" s="1561"/>
    </row>
    <row r="119" spans="1:130" ht="11.25" hidden="1" customHeight="1" outlineLevel="1">
      <c r="A119" s="3"/>
      <c r="B119" s="207" t="s">
        <v>815</v>
      </c>
      <c r="C119" s="201"/>
      <c r="D119" s="201"/>
      <c r="E119" s="202"/>
      <c r="F119" s="68"/>
      <c r="G119" s="68"/>
      <c r="H119" s="68"/>
      <c r="I119" s="69"/>
      <c r="J119" s="68"/>
      <c r="K119" s="68"/>
      <c r="L119" s="68"/>
      <c r="M119" s="69"/>
      <c r="N119" s="68"/>
      <c r="O119" s="68"/>
      <c r="P119" s="68"/>
      <c r="Q119" s="69"/>
      <c r="R119" s="68"/>
      <c r="S119" s="68"/>
      <c r="T119" s="68"/>
      <c r="U119" s="69"/>
      <c r="V119" s="68"/>
      <c r="W119" s="68"/>
      <c r="X119" s="68"/>
      <c r="Y119" s="69"/>
      <c r="Z119" s="68"/>
      <c r="AA119" s="68"/>
      <c r="AB119" s="68"/>
      <c r="AC119" s="69"/>
      <c r="AD119" s="68"/>
      <c r="AE119" s="68"/>
      <c r="AF119" s="68"/>
      <c r="AG119" s="68"/>
      <c r="AH119" s="67"/>
      <c r="AI119" s="68"/>
      <c r="AJ119" s="68"/>
      <c r="AK119" s="69"/>
      <c r="AL119" s="68"/>
      <c r="AM119" s="68"/>
      <c r="AN119" s="68"/>
      <c r="AO119" s="69"/>
      <c r="AP119" s="68"/>
      <c r="AQ119" s="68"/>
      <c r="AR119" s="68"/>
      <c r="AS119" s="68"/>
      <c r="AT119" s="67"/>
      <c r="AU119" s="68"/>
      <c r="AV119" s="68"/>
      <c r="AW119" s="68"/>
      <c r="AX119" s="67"/>
      <c r="AY119" s="68"/>
      <c r="AZ119" s="68"/>
      <c r="BA119" s="69"/>
      <c r="BB119" s="1359">
        <v>0</v>
      </c>
      <c r="BC119" s="1360">
        <v>0.5</v>
      </c>
      <c r="BD119" s="1360">
        <v>0</v>
      </c>
      <c r="BE119" s="1361">
        <v>0.25</v>
      </c>
      <c r="BF119" s="1360">
        <v>0.25</v>
      </c>
      <c r="BG119" s="1360">
        <v>0.25</v>
      </c>
      <c r="BH119" s="1399">
        <v>0.3</v>
      </c>
      <c r="BI119" s="1452">
        <v>0.3</v>
      </c>
      <c r="BJ119" s="1366">
        <v>0.4</v>
      </c>
      <c r="BK119" s="1360">
        <v>0.4</v>
      </c>
      <c r="BL119" s="1360">
        <v>0.5</v>
      </c>
      <c r="BM119" s="1452">
        <v>0.5</v>
      </c>
      <c r="BN119" s="1366">
        <v>0.5</v>
      </c>
      <c r="BO119" s="1399">
        <v>0.5</v>
      </c>
      <c r="BP119" s="1399">
        <f>BO119</f>
        <v>0.5</v>
      </c>
      <c r="BQ119" s="1452">
        <v>0.5</v>
      </c>
      <c r="BR119" s="1366">
        <v>0.5</v>
      </c>
      <c r="BS119" s="1399">
        <v>0.5</v>
      </c>
      <c r="BT119" s="1399">
        <v>0.5</v>
      </c>
      <c r="BU119" s="1452">
        <v>0.5</v>
      </c>
      <c r="BV119" s="1357">
        <f t="shared" ref="BV119:CC119" si="343">BU119</f>
        <v>0.5</v>
      </c>
      <c r="BW119" s="1357">
        <f t="shared" si="343"/>
        <v>0.5</v>
      </c>
      <c r="BX119" s="1357">
        <f t="shared" si="343"/>
        <v>0.5</v>
      </c>
      <c r="BY119" s="1358">
        <f t="shared" si="343"/>
        <v>0.5</v>
      </c>
      <c r="BZ119" s="1357">
        <f t="shared" si="343"/>
        <v>0.5</v>
      </c>
      <c r="CA119" s="1357">
        <f t="shared" si="343"/>
        <v>0.5</v>
      </c>
      <c r="CB119" s="1357">
        <f t="shared" si="343"/>
        <v>0.5</v>
      </c>
      <c r="CC119" s="1358">
        <f t="shared" si="343"/>
        <v>0.5</v>
      </c>
      <c r="CD119" s="12"/>
      <c r="CE119" s="68"/>
      <c r="CF119" s="68"/>
      <c r="CG119" s="68"/>
      <c r="CH119" s="68"/>
      <c r="CI119" s="68"/>
      <c r="CJ119" s="68"/>
      <c r="CK119" s="68"/>
      <c r="CL119" s="68"/>
      <c r="CM119" s="68"/>
      <c r="CN119" s="1343"/>
      <c r="CO119" s="68"/>
      <c r="CP119" s="68"/>
      <c r="CQ119" s="68">
        <f>SUM(BB119:BE119)</f>
        <v>0.75</v>
      </c>
      <c r="CR119" s="68">
        <f>SUM(BF119:BI119)</f>
        <v>1.1000000000000001</v>
      </c>
      <c r="CS119" s="1362">
        <f>SUM(BJ119:BM119)</f>
        <v>1.8</v>
      </c>
      <c r="CT119" s="1362">
        <f>SUM(BN119:BQ119)</f>
        <v>2</v>
      </c>
      <c r="CU119" s="1362">
        <f>SUM(BR119:BU119)</f>
        <v>2</v>
      </c>
      <c r="CV119" s="1362">
        <f>SUM(BV119:BY119)</f>
        <v>2</v>
      </c>
      <c r="CW119" s="1362">
        <f>SUM(BZ119:CC119)</f>
        <v>2</v>
      </c>
      <c r="CX119" s="1357">
        <f t="shared" ref="CX119:DC119" si="344">CW119</f>
        <v>2</v>
      </c>
      <c r="CY119" s="1357">
        <f t="shared" si="344"/>
        <v>2</v>
      </c>
      <c r="CZ119" s="1357">
        <f t="shared" si="344"/>
        <v>2</v>
      </c>
      <c r="DA119" s="1357">
        <f t="shared" si="344"/>
        <v>2</v>
      </c>
      <c r="DB119" s="1357">
        <f t="shared" si="344"/>
        <v>2</v>
      </c>
      <c r="DC119" s="1357">
        <f t="shared" si="344"/>
        <v>2</v>
      </c>
      <c r="DD119" s="1509"/>
      <c r="DE119" s="1521"/>
      <c r="DF119" s="24"/>
      <c r="DG119" s="23"/>
      <c r="DH119" s="24"/>
      <c r="DI119" s="24"/>
      <c r="DJ119" s="24"/>
      <c r="DK119" s="24"/>
      <c r="DL119" s="641">
        <f>SUM(AB119:AE119)</f>
        <v>0</v>
      </c>
      <c r="DM119" s="641">
        <f>SUM(AF119:AI119)</f>
        <v>0</v>
      </c>
      <c r="DN119" s="641">
        <f>SUM(AJ119:AM119)</f>
        <v>0</v>
      </c>
      <c r="DO119" s="641">
        <f>SUM(AN119:AQ119)</f>
        <v>0</v>
      </c>
      <c r="DP119" s="641">
        <f>SUM(AR119:AU119)</f>
        <v>0</v>
      </c>
      <c r="DQ119" s="641">
        <f>SUM(AV119:AY119)</f>
        <v>0</v>
      </c>
      <c r="DR119" s="1115">
        <f>SUM(AZ119:BC119)</f>
        <v>0.5</v>
      </c>
      <c r="DS119" s="1572">
        <f>SUM(BD119:BG119)</f>
        <v>0.75</v>
      </c>
      <c r="DT119" s="366">
        <f>SUM(BH119:BK119)</f>
        <v>1.4</v>
      </c>
      <c r="DU119" s="366">
        <f>SUM(BI119:BL119)</f>
        <v>1.6</v>
      </c>
      <c r="DV119" s="366">
        <f>SUM(BM119:BP119)</f>
        <v>2</v>
      </c>
      <c r="DW119" s="366">
        <f>SUM(BQ119:BT119)</f>
        <v>2</v>
      </c>
      <c r="DX119" s="2259">
        <f>SUM(BU119:BX119)</f>
        <v>2</v>
      </c>
      <c r="DY119" s="366"/>
      <c r="DZ119" s="1561"/>
    </row>
    <row r="120" spans="1:130" ht="12" hidden="1" customHeight="1" outlineLevel="1">
      <c r="A120" s="145"/>
      <c r="B120" s="227"/>
      <c r="C120" s="145"/>
      <c r="D120" s="145"/>
      <c r="E120" s="228"/>
      <c r="F120" s="145"/>
      <c r="G120" s="145"/>
      <c r="H120" s="145"/>
      <c r="I120" s="228"/>
      <c r="J120" s="145"/>
      <c r="K120" s="145"/>
      <c r="L120" s="145"/>
      <c r="M120" s="228"/>
      <c r="N120" s="145"/>
      <c r="O120" s="145"/>
      <c r="P120" s="145"/>
      <c r="Q120" s="228"/>
      <c r="R120" s="145"/>
      <c r="S120" s="145"/>
      <c r="T120" s="145"/>
      <c r="U120" s="145"/>
      <c r="V120" s="145"/>
      <c r="W120" s="145"/>
      <c r="X120" s="145"/>
      <c r="Y120" s="228"/>
      <c r="Z120" s="145"/>
      <c r="AA120" s="145"/>
      <c r="AB120" s="145"/>
      <c r="AC120" s="228"/>
      <c r="AD120" s="145"/>
      <c r="AE120" s="145"/>
      <c r="AF120" s="145"/>
      <c r="AG120" s="145"/>
      <c r="AH120" s="227"/>
      <c r="AI120" s="145"/>
      <c r="AJ120" s="145"/>
      <c r="AK120" s="228"/>
      <c r="AL120" s="145"/>
      <c r="AM120" s="145"/>
      <c r="AN120" s="145"/>
      <c r="AO120" s="228"/>
      <c r="AP120" s="145"/>
      <c r="AQ120" s="145"/>
      <c r="AR120" s="145"/>
      <c r="AS120" s="228"/>
      <c r="AT120" s="145"/>
      <c r="AU120" s="145"/>
      <c r="AV120" s="145"/>
      <c r="AW120" s="228"/>
      <c r="AX120" s="145"/>
      <c r="AY120" s="145"/>
      <c r="AZ120" s="145"/>
      <c r="BA120" s="228"/>
      <c r="BB120" s="1334"/>
      <c r="BC120" s="1334"/>
      <c r="BD120" s="1329"/>
      <c r="BE120" s="1335"/>
      <c r="BF120" s="1334"/>
      <c r="BG120" s="1334"/>
      <c r="BH120" s="1334"/>
      <c r="BI120" s="1335"/>
      <c r="BJ120" s="1333"/>
      <c r="BK120" s="1334"/>
      <c r="BL120" s="1334"/>
      <c r="BM120" s="1335"/>
      <c r="BN120" s="1334"/>
      <c r="BO120" s="1334"/>
      <c r="BP120" s="1334"/>
      <c r="BQ120" s="1335"/>
      <c r="BR120" s="1334"/>
      <c r="BS120" s="1334"/>
      <c r="BT120" s="1334"/>
      <c r="BU120" s="1335"/>
      <c r="BV120" s="1334"/>
      <c r="BW120" s="1334"/>
      <c r="BX120" s="1334"/>
      <c r="BY120" s="1335"/>
      <c r="BZ120" s="1334"/>
      <c r="CA120" s="1334"/>
      <c r="CB120" s="1334"/>
      <c r="CC120" s="1335"/>
      <c r="CD120" s="228"/>
      <c r="CE120" s="145"/>
      <c r="CF120" s="145"/>
      <c r="CG120" s="145"/>
      <c r="CH120" s="145"/>
      <c r="CI120" s="145"/>
      <c r="CJ120" s="145"/>
      <c r="CK120" s="145"/>
      <c r="CL120" s="145"/>
      <c r="CM120" s="145"/>
      <c r="CN120" s="145"/>
      <c r="CO120" s="145"/>
      <c r="CP120" s="145"/>
      <c r="CQ120" s="145"/>
      <c r="CR120" s="145"/>
      <c r="CS120" s="201"/>
      <c r="CT120" s="201"/>
      <c r="CU120" s="1334"/>
      <c r="CV120" s="1334"/>
      <c r="CW120" s="1334"/>
      <c r="CX120" s="1334"/>
      <c r="CY120" s="1334"/>
      <c r="CZ120" s="1334"/>
      <c r="DA120" s="1334"/>
      <c r="DB120" s="1334"/>
      <c r="DC120" s="1334"/>
      <c r="DD120" s="1505"/>
      <c r="DE120" s="1551"/>
      <c r="DF120" s="161"/>
      <c r="DG120" s="215"/>
      <c r="DH120" s="141"/>
      <c r="DI120" s="141"/>
      <c r="DJ120" s="141"/>
      <c r="DK120" s="141"/>
      <c r="DL120" s="641"/>
      <c r="DM120" s="641"/>
      <c r="DN120" s="641"/>
      <c r="DO120" s="641"/>
      <c r="DP120" s="141"/>
      <c r="DQ120" s="141"/>
      <c r="DR120" s="141"/>
      <c r="DS120" s="215"/>
      <c r="DT120" s="141"/>
      <c r="DU120" s="141"/>
      <c r="DV120" s="141"/>
      <c r="DW120" s="141"/>
      <c r="DX120" s="2241"/>
      <c r="DY120" s="141"/>
      <c r="DZ120" s="1676"/>
    </row>
    <row r="121" spans="1:130" ht="11.25" hidden="1" customHeight="1" outlineLevel="1">
      <c r="A121" s="3"/>
      <c r="B121" s="207" t="s">
        <v>893</v>
      </c>
      <c r="C121" s="201"/>
      <c r="D121" s="201"/>
      <c r="E121" s="202"/>
      <c r="F121" s="601">
        <v>168.45500000000001</v>
      </c>
      <c r="G121" s="888">
        <v>183.191</v>
      </c>
      <c r="H121" s="888">
        <v>183.53200000000001</v>
      </c>
      <c r="I121" s="1000">
        <v>192.8</v>
      </c>
      <c r="J121" s="601">
        <v>192.8</v>
      </c>
      <c r="K121" s="888">
        <v>194.346</v>
      </c>
      <c r="L121" s="888">
        <v>195.43700000000001</v>
      </c>
      <c r="M121" s="1000">
        <v>195.43799999999999</v>
      </c>
      <c r="N121" s="888">
        <v>195.48699999999999</v>
      </c>
      <c r="O121" s="888">
        <v>195.505</v>
      </c>
      <c r="P121" s="888">
        <v>198.316</v>
      </c>
      <c r="Q121" s="1000">
        <v>203.6</v>
      </c>
      <c r="R121" s="888">
        <v>206.2</v>
      </c>
      <c r="S121" s="888">
        <v>206.9</v>
      </c>
      <c r="T121" s="888">
        <v>208.2</v>
      </c>
      <c r="U121" s="888">
        <v>208.8</v>
      </c>
      <c r="V121" s="601">
        <v>208.8</v>
      </c>
      <c r="W121" s="888">
        <v>208.8</v>
      </c>
      <c r="X121" s="888">
        <v>212.4</v>
      </c>
      <c r="Y121" s="1000">
        <v>214.6</v>
      </c>
      <c r="Z121" s="601">
        <v>215.7</v>
      </c>
      <c r="AA121" s="888">
        <v>217.5</v>
      </c>
      <c r="AB121" s="888">
        <v>220.6</v>
      </c>
      <c r="AC121" s="1000">
        <v>221.7</v>
      </c>
      <c r="AD121" s="39">
        <f>AD573</f>
        <v>221.7</v>
      </c>
      <c r="AE121" s="39">
        <f>AE573</f>
        <v>222</v>
      </c>
      <c r="AF121" s="39">
        <f>AF573</f>
        <v>221.9</v>
      </c>
      <c r="AG121" s="39">
        <f t="shared" ref="AG121:AL121" si="345">AG573</f>
        <v>219</v>
      </c>
      <c r="AH121" s="38">
        <f t="shared" si="345"/>
        <v>220.1</v>
      </c>
      <c r="AI121" s="39">
        <f t="shared" si="345"/>
        <v>222</v>
      </c>
      <c r="AJ121" s="39">
        <f t="shared" si="345"/>
        <v>221.396736</v>
      </c>
      <c r="AK121" s="59">
        <f t="shared" si="345"/>
        <v>221.48571000000001</v>
      </c>
      <c r="AL121" s="39">
        <f t="shared" si="345"/>
        <v>222</v>
      </c>
      <c r="AM121" s="39">
        <f>225-2</f>
        <v>223</v>
      </c>
      <c r="AN121" s="39">
        <f>225-1</f>
        <v>224</v>
      </c>
      <c r="AO121" s="59">
        <v>225</v>
      </c>
      <c r="AP121" s="39">
        <v>225</v>
      </c>
      <c r="AQ121" s="39">
        <v>228</v>
      </c>
      <c r="AR121" s="39">
        <v>229</v>
      </c>
      <c r="AS121" s="59">
        <v>231</v>
      </c>
      <c r="AT121" s="39">
        <v>230</v>
      </c>
      <c r="AU121" s="39">
        <v>232</v>
      </c>
      <c r="AV121" s="39">
        <v>232</v>
      </c>
      <c r="AW121" s="59">
        <f>233</f>
        <v>233</v>
      </c>
      <c r="AX121" s="39">
        <f>234</f>
        <v>234</v>
      </c>
      <c r="AY121" s="39">
        <v>235</v>
      </c>
      <c r="AZ121" s="39">
        <v>261</v>
      </c>
      <c r="BA121" s="59">
        <v>246</v>
      </c>
      <c r="BB121" s="39">
        <v>243</v>
      </c>
      <c r="BC121" s="39">
        <v>241</v>
      </c>
      <c r="BD121" s="39">
        <v>238</v>
      </c>
      <c r="BE121" s="59">
        <v>237</v>
      </c>
      <c r="BF121" s="1355">
        <v>236</v>
      </c>
      <c r="BG121" s="1380">
        <v>237</v>
      </c>
      <c r="BH121" s="1380">
        <f>235</f>
        <v>235</v>
      </c>
      <c r="BI121" s="59">
        <v>234</v>
      </c>
      <c r="BJ121" s="1457">
        <v>234</v>
      </c>
      <c r="BK121" s="1371">
        <v>232</v>
      </c>
      <c r="BL121" s="1371">
        <v>231</v>
      </c>
      <c r="BM121" s="59">
        <v>230</v>
      </c>
      <c r="BN121" s="1457">
        <v>231</v>
      </c>
      <c r="BO121" s="1371">
        <v>232</v>
      </c>
      <c r="BP121" s="1371">
        <v>233</v>
      </c>
      <c r="BQ121" s="1446">
        <v>284</v>
      </c>
      <c r="BR121" s="1371">
        <v>285</v>
      </c>
      <c r="BS121" s="1371">
        <v>288</v>
      </c>
      <c r="BT121" s="1371">
        <v>291</v>
      </c>
      <c r="BU121" s="1446">
        <v>294</v>
      </c>
      <c r="BV121" s="29">
        <f t="shared" ref="BV121:CC121" si="346">BV573</f>
        <v>296.11</v>
      </c>
      <c r="BW121" s="29">
        <f t="shared" ref="BW121" si="347">BW573</f>
        <v>299.61360000000002</v>
      </c>
      <c r="BX121" s="29">
        <f t="shared" si="346"/>
        <v>300.72686700000003</v>
      </c>
      <c r="BY121" s="58">
        <f t="shared" si="346"/>
        <v>301.44463366800005</v>
      </c>
      <c r="BZ121" s="29">
        <f t="shared" si="346"/>
        <v>301.44463366800005</v>
      </c>
      <c r="CA121" s="29">
        <f t="shared" si="346"/>
        <v>301.94463366800005</v>
      </c>
      <c r="CB121" s="29">
        <f t="shared" si="346"/>
        <v>302.44463366800005</v>
      </c>
      <c r="CC121" s="58">
        <f t="shared" si="346"/>
        <v>306.29443561721394</v>
      </c>
      <c r="CD121" s="9"/>
      <c r="CE121" s="11">
        <v>192.8</v>
      </c>
      <c r="CF121" s="11">
        <v>195.43799999999999</v>
      </c>
      <c r="CG121" s="11">
        <f>Q121</f>
        <v>203.6</v>
      </c>
      <c r="CH121" s="11">
        <f>U121</f>
        <v>208.8</v>
      </c>
      <c r="CI121" s="11">
        <f>Y121</f>
        <v>214.6</v>
      </c>
      <c r="CJ121" s="11">
        <f>AC121</f>
        <v>221.7</v>
      </c>
      <c r="CK121" s="11">
        <f>AG121</f>
        <v>219</v>
      </c>
      <c r="CL121" s="11">
        <f>AK121</f>
        <v>221.48571000000001</v>
      </c>
      <c r="CM121" s="11">
        <f>AO121</f>
        <v>225</v>
      </c>
      <c r="CN121" s="11">
        <f>AS121</f>
        <v>231</v>
      </c>
      <c r="CO121" s="29">
        <f>AW121</f>
        <v>233</v>
      </c>
      <c r="CP121" s="29">
        <f>BA121</f>
        <v>246</v>
      </c>
      <c r="CQ121" s="29">
        <f>BE121</f>
        <v>237</v>
      </c>
      <c r="CR121" s="29">
        <f>BI121</f>
        <v>234</v>
      </c>
      <c r="CS121" s="29">
        <f>BM121</f>
        <v>230</v>
      </c>
      <c r="CT121" s="29">
        <f>BQ121</f>
        <v>284</v>
      </c>
      <c r="CU121" s="29">
        <f t="shared" ref="CU121:DA121" si="348">CU573</f>
        <v>294</v>
      </c>
      <c r="CV121" s="29">
        <f t="shared" si="348"/>
        <v>301.44463366800005</v>
      </c>
      <c r="CW121" s="29">
        <f>CW573</f>
        <v>306.29443561721394</v>
      </c>
      <c r="CX121" s="29">
        <f t="shared" si="348"/>
        <v>312.51552368658406</v>
      </c>
      <c r="CY121" s="29">
        <f t="shared" si="348"/>
        <v>319.40070344590225</v>
      </c>
      <c r="CZ121" s="29">
        <f t="shared" si="348"/>
        <v>326.83622438134068</v>
      </c>
      <c r="DA121" s="29">
        <f t="shared" si="348"/>
        <v>334.73681436890138</v>
      </c>
      <c r="DB121" s="29">
        <f>DB573</f>
        <v>342.61393583428594</v>
      </c>
      <c r="DC121" s="29">
        <f>DC573</f>
        <v>350.50356415332459</v>
      </c>
      <c r="DD121" s="1517"/>
      <c r="DE121" s="1483"/>
      <c r="DF121" s="366"/>
      <c r="DG121" s="23"/>
      <c r="DH121" s="24"/>
      <c r="DI121" s="24"/>
      <c r="DJ121" s="24"/>
      <c r="DK121" s="24"/>
      <c r="DL121" s="641">
        <f>AVERAGE(AB121:AE121)</f>
        <v>221.5</v>
      </c>
      <c r="DM121" s="641">
        <f>AVERAGE(AF121:AI121)</f>
        <v>220.75</v>
      </c>
      <c r="DN121" s="641">
        <f>AVERAGE(AJ121:AM121)</f>
        <v>221.97061150000002</v>
      </c>
      <c r="DO121" s="641">
        <f>AVERAGE(AN121:AQ121)</f>
        <v>225.5</v>
      </c>
      <c r="DP121" s="641">
        <f>AVERAGE(AR121:AU121)</f>
        <v>230.5</v>
      </c>
      <c r="DQ121" s="641">
        <f>AVERAGE(AV121:AY121)</f>
        <v>233.5</v>
      </c>
      <c r="DR121" s="641">
        <f>BC121</f>
        <v>241</v>
      </c>
      <c r="DS121" s="1102">
        <f>BG121</f>
        <v>237</v>
      </c>
      <c r="DT121" s="641">
        <f>BK121</f>
        <v>232</v>
      </c>
      <c r="DU121" s="641">
        <f>BO121</f>
        <v>232</v>
      </c>
      <c r="DV121" s="641">
        <f>BS121</f>
        <v>288</v>
      </c>
      <c r="DW121" s="641">
        <f>BW121</f>
        <v>299.61360000000002</v>
      </c>
      <c r="DX121" s="2238">
        <f>CA121</f>
        <v>301.94463366800005</v>
      </c>
      <c r="DY121" s="641"/>
      <c r="DZ121" s="1561"/>
    </row>
    <row r="122" spans="1:130" ht="11.25" hidden="1" customHeight="1" outlineLevel="1">
      <c r="A122" s="3"/>
      <c r="B122" s="207" t="s">
        <v>34</v>
      </c>
      <c r="C122" s="201"/>
      <c r="D122" s="201"/>
      <c r="E122" s="202"/>
      <c r="F122" s="601">
        <v>148.04400000000001</v>
      </c>
      <c r="G122" s="888">
        <v>171.17500000000001</v>
      </c>
      <c r="H122" s="888">
        <v>176.25</v>
      </c>
      <c r="I122" s="1000">
        <f>168.715*4-SUM(F122:H122)</f>
        <v>179.39099999999996</v>
      </c>
      <c r="J122" s="601">
        <v>186.63499999999999</v>
      </c>
      <c r="K122" s="888">
        <v>187.691</v>
      </c>
      <c r="L122" s="888">
        <v>190.09100000000001</v>
      </c>
      <c r="M122" s="1000">
        <v>191.58299999999997</v>
      </c>
      <c r="N122" s="888">
        <v>192.464</v>
      </c>
      <c r="O122" s="888">
        <v>193.72499999999999</v>
      </c>
      <c r="P122" s="888">
        <v>196.25800000000001</v>
      </c>
      <c r="Q122" s="1000">
        <v>199.95299999999997</v>
      </c>
      <c r="R122" s="888">
        <v>204.1</v>
      </c>
      <c r="S122" s="888">
        <v>205.4</v>
      </c>
      <c r="T122" s="888">
        <v>206.7</v>
      </c>
      <c r="U122" s="888">
        <v>206.5</v>
      </c>
      <c r="V122" s="601">
        <v>205.2</v>
      </c>
      <c r="W122" s="888">
        <v>205.1</v>
      </c>
      <c r="X122" s="888">
        <v>208.8</v>
      </c>
      <c r="Y122" s="1000">
        <v>211.4</v>
      </c>
      <c r="Z122" s="601">
        <v>212.9</v>
      </c>
      <c r="AA122" s="888">
        <v>212.8</v>
      </c>
      <c r="AB122" s="888">
        <v>216.7</v>
      </c>
      <c r="AC122" s="888">
        <v>217.6</v>
      </c>
      <c r="AD122" s="619">
        <v>219</v>
      </c>
      <c r="AE122" s="459">
        <v>220</v>
      </c>
      <c r="AF122" s="459">
        <v>220</v>
      </c>
      <c r="AG122" s="459">
        <v>219</v>
      </c>
      <c r="AH122" s="619">
        <v>219</v>
      </c>
      <c r="AI122" s="39">
        <v>220</v>
      </c>
      <c r="AJ122" s="39">
        <v>222</v>
      </c>
      <c r="AK122" s="59">
        <v>222</v>
      </c>
      <c r="AL122" s="39">
        <v>222</v>
      </c>
      <c r="AM122" s="39">
        <v>222</v>
      </c>
      <c r="AN122" s="39">
        <v>223</v>
      </c>
      <c r="AO122" s="59">
        <v>223</v>
      </c>
      <c r="AP122" s="39">
        <v>225</v>
      </c>
      <c r="AQ122" s="39">
        <v>227</v>
      </c>
      <c r="AR122" s="39">
        <v>229</v>
      </c>
      <c r="AS122" s="59">
        <v>230</v>
      </c>
      <c r="AT122" s="39">
        <v>230</v>
      </c>
      <c r="AU122" s="39">
        <v>230</v>
      </c>
      <c r="AV122" s="39">
        <v>232</v>
      </c>
      <c r="AW122" s="59">
        <v>233</v>
      </c>
      <c r="AX122" s="39">
        <v>233</v>
      </c>
      <c r="AY122" s="39">
        <v>234</v>
      </c>
      <c r="AZ122" s="39">
        <v>241</v>
      </c>
      <c r="BA122" s="59">
        <v>254</v>
      </c>
      <c r="BB122" s="39">
        <v>246</v>
      </c>
      <c r="BC122" s="39">
        <v>242</v>
      </c>
      <c r="BD122" s="39">
        <v>239</v>
      </c>
      <c r="BE122" s="59">
        <v>236</v>
      </c>
      <c r="BF122" s="39">
        <v>236</v>
      </c>
      <c r="BG122" s="1371">
        <v>236</v>
      </c>
      <c r="BH122" s="1380">
        <v>235</v>
      </c>
      <c r="BI122" s="1446">
        <v>234</v>
      </c>
      <c r="BJ122" s="1457">
        <v>234</v>
      </c>
      <c r="BK122" s="1371">
        <v>233</v>
      </c>
      <c r="BL122" s="1371">
        <v>231</v>
      </c>
      <c r="BM122" s="1446">
        <v>231</v>
      </c>
      <c r="BN122" s="1457">
        <v>231</v>
      </c>
      <c r="BO122" s="1371">
        <v>232</v>
      </c>
      <c r="BP122" s="1371">
        <v>233</v>
      </c>
      <c r="BQ122" s="1446">
        <v>261</v>
      </c>
      <c r="BR122" s="1371">
        <v>285</v>
      </c>
      <c r="BS122" s="1371">
        <v>286</v>
      </c>
      <c r="BT122" s="1371">
        <v>289</v>
      </c>
      <c r="BU122" s="1446">
        <v>292</v>
      </c>
      <c r="BV122" s="1371">
        <v>295</v>
      </c>
      <c r="BW122" s="1371">
        <v>296</v>
      </c>
      <c r="BX122" s="29">
        <f t="shared" ref="BX122:CC122" si="349">BX575</f>
        <v>300.17023349999999</v>
      </c>
      <c r="BY122" s="58">
        <f t="shared" si="349"/>
        <v>301.08575033400007</v>
      </c>
      <c r="BZ122" s="29">
        <f t="shared" si="349"/>
        <v>301.44463366800005</v>
      </c>
      <c r="CA122" s="29">
        <f t="shared" si="349"/>
        <v>301.69463366800005</v>
      </c>
      <c r="CB122" s="29">
        <f t="shared" si="349"/>
        <v>302.19463366800005</v>
      </c>
      <c r="CC122" s="58">
        <f t="shared" si="349"/>
        <v>304.36953464260699</v>
      </c>
      <c r="CD122" s="9"/>
      <c r="CE122" s="39">
        <v>168.715</v>
      </c>
      <c r="CF122" s="39">
        <v>188.988</v>
      </c>
      <c r="CG122" s="39">
        <v>195.6</v>
      </c>
      <c r="CH122" s="39">
        <v>205.7</v>
      </c>
      <c r="CI122" s="39">
        <v>208</v>
      </c>
      <c r="CJ122" s="39">
        <v>215</v>
      </c>
      <c r="CK122" s="39">
        <v>219</v>
      </c>
      <c r="CL122" s="46">
        <v>221</v>
      </c>
      <c r="CM122" s="39">
        <v>222</v>
      </c>
      <c r="CN122" s="39">
        <v>228</v>
      </c>
      <c r="CO122" s="39">
        <v>231</v>
      </c>
      <c r="CP122" s="39">
        <v>241</v>
      </c>
      <c r="CQ122" s="39">
        <v>241</v>
      </c>
      <c r="CR122" s="39">
        <v>235</v>
      </c>
      <c r="CS122" s="39">
        <v>232</v>
      </c>
      <c r="CT122" s="29">
        <f>AVERAGE(BN122:BQ122)</f>
        <v>239.25</v>
      </c>
      <c r="CU122" s="29">
        <f>AVERAGE(BR122:BU122)</f>
        <v>288</v>
      </c>
      <c r="CV122" s="29">
        <f t="shared" ref="CV122:DA122" si="350">CV575</f>
        <v>297.72231683400003</v>
      </c>
      <c r="CW122" s="29">
        <f>CW575</f>
        <v>303.86953464260699</v>
      </c>
      <c r="CX122" s="29">
        <f t="shared" si="350"/>
        <v>309.404979651899</v>
      </c>
      <c r="CY122" s="29">
        <f t="shared" si="350"/>
        <v>315.95811356624313</v>
      </c>
      <c r="CZ122" s="29">
        <f t="shared" si="350"/>
        <v>323.11846391362144</v>
      </c>
      <c r="DA122" s="29">
        <f t="shared" si="350"/>
        <v>330.78651937512103</v>
      </c>
      <c r="DB122" s="29">
        <f>DB575</f>
        <v>338.67537510159366</v>
      </c>
      <c r="DC122" s="29">
        <f>DC575</f>
        <v>346.55874999380524</v>
      </c>
      <c r="DD122" s="1517"/>
      <c r="DE122" s="1483"/>
      <c r="DF122" s="24"/>
      <c r="DG122" s="945"/>
      <c r="DH122" s="366"/>
      <c r="DI122" s="366"/>
      <c r="DJ122" s="366"/>
      <c r="DK122" s="24"/>
      <c r="DL122" s="641">
        <f>AVERAGE(AB122:AE122)</f>
        <v>218.32499999999999</v>
      </c>
      <c r="DM122" s="641">
        <f>AVERAGE(AF122:AI122)</f>
        <v>219.5</v>
      </c>
      <c r="DN122" s="641">
        <f>AVERAGE(AJ122:AM122)</f>
        <v>222</v>
      </c>
      <c r="DO122" s="641">
        <f>AVERAGE(AN122:AQ122)</f>
        <v>224.5</v>
      </c>
      <c r="DP122" s="641">
        <f>AVERAGE(AR122:AU122)</f>
        <v>229.75</v>
      </c>
      <c r="DQ122" s="641">
        <f>AVERAGE(AV122:AY122)</f>
        <v>233</v>
      </c>
      <c r="DR122" s="641">
        <f>AVERAGE(AZ122:BC122)</f>
        <v>245.75</v>
      </c>
      <c r="DS122" s="1102">
        <f>AVERAGE(BD122:BG122)</f>
        <v>236.75</v>
      </c>
      <c r="DT122" s="641">
        <f>AVERAGE(BH122:BK122)</f>
        <v>234</v>
      </c>
      <c r="DU122" s="641">
        <f>AVERAGE(BL122:BO122)</f>
        <v>231.25</v>
      </c>
      <c r="DV122" s="641">
        <f>AVERAGE(BP122:BS122)</f>
        <v>266.25</v>
      </c>
      <c r="DW122" s="641">
        <f>AVERAGE(BT122:BW122)</f>
        <v>293</v>
      </c>
      <c r="DX122" s="2238">
        <f>AVERAGE(BX122:CA122)</f>
        <v>301.09881279250004</v>
      </c>
      <c r="DY122" s="641"/>
      <c r="DZ122" s="1561"/>
    </row>
    <row r="123" spans="1:130" ht="11.25" hidden="1" customHeight="1" outlineLevel="1">
      <c r="A123" s="3"/>
      <c r="B123" s="207" t="s">
        <v>939</v>
      </c>
      <c r="C123" s="201"/>
      <c r="D123" s="201"/>
      <c r="E123" s="202"/>
      <c r="F123" s="1650">
        <f>F124</f>
        <v>148.04400000000001</v>
      </c>
      <c r="G123" s="108">
        <f t="shared" ref="G123:BP123" si="351">G124</f>
        <v>171.17500000000001</v>
      </c>
      <c r="H123" s="108">
        <f t="shared" si="351"/>
        <v>177.61799999999999</v>
      </c>
      <c r="I123" s="1651">
        <f t="shared" si="351"/>
        <v>178.02299999999997</v>
      </c>
      <c r="J123" s="1650">
        <f t="shared" si="351"/>
        <v>186.63499999999999</v>
      </c>
      <c r="K123" s="108">
        <f t="shared" si="351"/>
        <v>191.624</v>
      </c>
      <c r="L123" s="108">
        <f t="shared" si="351"/>
        <v>198.35499999999999</v>
      </c>
      <c r="M123" s="1651">
        <f t="shared" si="351"/>
        <v>197.714</v>
      </c>
      <c r="N123" s="108">
        <f t="shared" si="351"/>
        <v>196.82300000000001</v>
      </c>
      <c r="O123" s="108">
        <f t="shared" si="351"/>
        <v>204.12299999999999</v>
      </c>
      <c r="P123" s="108">
        <f t="shared" si="351"/>
        <v>207.72399999999999</v>
      </c>
      <c r="Q123" s="1651">
        <f t="shared" si="351"/>
        <v>213.33</v>
      </c>
      <c r="R123" s="108">
        <f t="shared" si="351"/>
        <v>215.9</v>
      </c>
      <c r="S123" s="108">
        <f t="shared" si="351"/>
        <v>217.9</v>
      </c>
      <c r="T123" s="108">
        <f t="shared" si="351"/>
        <v>217.5</v>
      </c>
      <c r="U123" s="108">
        <f t="shared" si="351"/>
        <v>215.5</v>
      </c>
      <c r="V123" s="1650">
        <f t="shared" si="351"/>
        <v>212.6</v>
      </c>
      <c r="W123" s="108">
        <f t="shared" si="351"/>
        <v>213.6</v>
      </c>
      <c r="X123" s="108">
        <f t="shared" si="351"/>
        <v>218.7</v>
      </c>
      <c r="Y123" s="1651">
        <f t="shared" si="351"/>
        <v>222.6</v>
      </c>
      <c r="Z123" s="1650">
        <f t="shared" si="351"/>
        <v>221.1</v>
      </c>
      <c r="AA123" s="108">
        <f t="shared" si="351"/>
        <v>221.5</v>
      </c>
      <c r="AB123" s="108">
        <f t="shared" si="351"/>
        <v>226.8</v>
      </c>
      <c r="AC123" s="108">
        <f t="shared" si="351"/>
        <v>225.1</v>
      </c>
      <c r="AD123" s="374">
        <f t="shared" si="351"/>
        <v>225</v>
      </c>
      <c r="AE123" s="374">
        <f t="shared" si="351"/>
        <v>226</v>
      </c>
      <c r="AF123" s="374">
        <f t="shared" si="351"/>
        <v>226</v>
      </c>
      <c r="AG123" s="374">
        <f t="shared" si="351"/>
        <v>225</v>
      </c>
      <c r="AH123" s="498">
        <f t="shared" si="351"/>
        <v>224</v>
      </c>
      <c r="AI123" s="29">
        <f t="shared" si="351"/>
        <v>226</v>
      </c>
      <c r="AJ123" s="29">
        <f t="shared" si="351"/>
        <v>227</v>
      </c>
      <c r="AK123" s="58">
        <f t="shared" si="351"/>
        <v>227</v>
      </c>
      <c r="AL123" s="29">
        <f t="shared" si="351"/>
        <v>226</v>
      </c>
      <c r="AM123" s="29">
        <f t="shared" si="351"/>
        <v>224</v>
      </c>
      <c r="AN123" s="29">
        <f t="shared" si="351"/>
        <v>226</v>
      </c>
      <c r="AO123" s="58">
        <f t="shared" si="351"/>
        <v>227</v>
      </c>
      <c r="AP123" s="29">
        <f t="shared" si="351"/>
        <v>230</v>
      </c>
      <c r="AQ123" s="29">
        <f t="shared" si="351"/>
        <v>232</v>
      </c>
      <c r="AR123" s="29">
        <f t="shared" si="351"/>
        <v>234</v>
      </c>
      <c r="AS123" s="58">
        <f t="shared" si="351"/>
        <v>235</v>
      </c>
      <c r="AT123" s="29">
        <f t="shared" si="351"/>
        <v>234</v>
      </c>
      <c r="AU123" s="29">
        <f t="shared" si="351"/>
        <v>235</v>
      </c>
      <c r="AV123" s="29">
        <f t="shared" si="351"/>
        <v>236</v>
      </c>
      <c r="AW123" s="58">
        <f t="shared" si="351"/>
        <v>237</v>
      </c>
      <c r="AX123" s="29">
        <f t="shared" si="351"/>
        <v>237</v>
      </c>
      <c r="AY123" s="29">
        <f t="shared" si="351"/>
        <v>237</v>
      </c>
      <c r="AZ123" s="29">
        <f t="shared" si="351"/>
        <v>246</v>
      </c>
      <c r="BA123" s="58">
        <f t="shared" si="351"/>
        <v>260</v>
      </c>
      <c r="BB123" s="29">
        <f t="shared" si="351"/>
        <v>252</v>
      </c>
      <c r="BC123" s="29">
        <f t="shared" si="351"/>
        <v>246</v>
      </c>
      <c r="BD123" s="29">
        <f t="shared" si="351"/>
        <v>245</v>
      </c>
      <c r="BE123" s="58">
        <f t="shared" si="351"/>
        <v>243</v>
      </c>
      <c r="BF123" s="29">
        <f t="shared" si="351"/>
        <v>242</v>
      </c>
      <c r="BG123" s="29">
        <f t="shared" si="351"/>
        <v>243</v>
      </c>
      <c r="BH123" s="29">
        <f t="shared" si="351"/>
        <v>242</v>
      </c>
      <c r="BI123" s="58">
        <f t="shared" si="351"/>
        <v>241</v>
      </c>
      <c r="BJ123" s="57">
        <f t="shared" si="351"/>
        <v>240</v>
      </c>
      <c r="BK123" s="29">
        <f t="shared" si="351"/>
        <v>238</v>
      </c>
      <c r="BL123" s="29">
        <f t="shared" si="351"/>
        <v>236</v>
      </c>
      <c r="BM123" s="58">
        <f t="shared" si="351"/>
        <v>235</v>
      </c>
      <c r="BN123" s="57">
        <f t="shared" si="351"/>
        <v>234</v>
      </c>
      <c r="BO123" s="29">
        <f t="shared" si="351"/>
        <v>234</v>
      </c>
      <c r="BP123" s="29">
        <f t="shared" si="351"/>
        <v>234</v>
      </c>
      <c r="BQ123" s="1446">
        <v>261</v>
      </c>
      <c r="BR123" s="1371">
        <v>285</v>
      </c>
      <c r="BS123" s="1371">
        <v>294</v>
      </c>
      <c r="BT123" s="1371">
        <v>299</v>
      </c>
      <c r="BU123" s="1446">
        <v>301</v>
      </c>
      <c r="BV123" s="1371">
        <v>306</v>
      </c>
      <c r="BW123" s="1371">
        <v>296</v>
      </c>
      <c r="BX123" s="29">
        <f t="shared" ref="BX123:CC123" si="352">BX124</f>
        <v>308.27581326042974</v>
      </c>
      <c r="BY123" s="58">
        <f t="shared" si="352"/>
        <v>307.51777143470122</v>
      </c>
      <c r="BZ123" s="29">
        <f t="shared" si="352"/>
        <v>309.0645327699666</v>
      </c>
      <c r="CA123" s="29">
        <f t="shared" si="352"/>
        <v>310.38166869940238</v>
      </c>
      <c r="CB123" s="29">
        <f t="shared" si="352"/>
        <v>312.22831994412496</v>
      </c>
      <c r="CC123" s="58">
        <f t="shared" si="352"/>
        <v>314.62046584521642</v>
      </c>
      <c r="CD123" s="9"/>
      <c r="CE123" s="39"/>
      <c r="CF123" s="39"/>
      <c r="CG123" s="39"/>
      <c r="CH123" s="39"/>
      <c r="CI123" s="39"/>
      <c r="CJ123" s="39"/>
      <c r="CK123" s="39"/>
      <c r="CL123" s="46"/>
      <c r="CM123" s="39"/>
      <c r="CN123" s="39"/>
      <c r="CO123" s="39"/>
      <c r="CP123" s="39"/>
      <c r="CQ123" s="39"/>
      <c r="CR123" s="39"/>
      <c r="CS123" s="39"/>
      <c r="CT123" s="29"/>
      <c r="CU123" s="29"/>
      <c r="CV123" s="29"/>
      <c r="CW123" s="29"/>
      <c r="CX123" s="29"/>
      <c r="CY123" s="29"/>
      <c r="CZ123" s="29"/>
      <c r="DA123" s="29"/>
      <c r="DB123" s="29"/>
      <c r="DC123" s="29"/>
      <c r="DD123" s="1517"/>
      <c r="DE123" s="1483"/>
      <c r="DF123" s="24"/>
      <c r="DG123" s="945"/>
      <c r="DH123" s="366"/>
      <c r="DI123" s="366"/>
      <c r="DJ123" s="366"/>
      <c r="DK123" s="24"/>
      <c r="DL123" s="641"/>
      <c r="DM123" s="641"/>
      <c r="DN123" s="641"/>
      <c r="DO123" s="641"/>
      <c r="DP123" s="641"/>
      <c r="DQ123" s="641"/>
      <c r="DR123" s="641"/>
      <c r="DS123" s="1102"/>
      <c r="DT123" s="641"/>
      <c r="DU123" s="641"/>
      <c r="DV123" s="641"/>
      <c r="DW123" s="641"/>
      <c r="DX123" s="2238"/>
      <c r="DY123" s="641"/>
      <c r="DZ123" s="1561"/>
    </row>
    <row r="124" spans="1:130" ht="11.25" hidden="1" customHeight="1" outlineLevel="1">
      <c r="A124" s="3"/>
      <c r="B124" s="210" t="s">
        <v>938</v>
      </c>
      <c r="C124" s="205"/>
      <c r="D124" s="205"/>
      <c r="E124" s="206"/>
      <c r="F124" s="1078">
        <v>148.04400000000001</v>
      </c>
      <c r="G124" s="1083">
        <v>171.17500000000001</v>
      </c>
      <c r="H124" s="1083">
        <v>177.61799999999999</v>
      </c>
      <c r="I124" s="1071">
        <f>168.715*4-SUM(F124:H124)</f>
        <v>178.02299999999997</v>
      </c>
      <c r="J124" s="1078">
        <v>186.63499999999999</v>
      </c>
      <c r="K124" s="1083">
        <v>191.624</v>
      </c>
      <c r="L124" s="1083">
        <v>198.35499999999999</v>
      </c>
      <c r="M124" s="1071">
        <v>197.714</v>
      </c>
      <c r="N124" s="1083">
        <v>196.82300000000001</v>
      </c>
      <c r="O124" s="1083">
        <v>204.12299999999999</v>
      </c>
      <c r="P124" s="1083">
        <v>207.72399999999999</v>
      </c>
      <c r="Q124" s="1071">
        <v>213.33</v>
      </c>
      <c r="R124" s="1083">
        <v>215.9</v>
      </c>
      <c r="S124" s="1083">
        <v>217.9</v>
      </c>
      <c r="T124" s="1083">
        <v>217.5</v>
      </c>
      <c r="U124" s="1083">
        <v>215.5</v>
      </c>
      <c r="V124" s="1078">
        <v>212.6</v>
      </c>
      <c r="W124" s="1083">
        <v>213.6</v>
      </c>
      <c r="X124" s="1083">
        <v>218.7</v>
      </c>
      <c r="Y124" s="1071">
        <v>222.6</v>
      </c>
      <c r="Z124" s="1078">
        <v>221.1</v>
      </c>
      <c r="AA124" s="1083">
        <v>221.5</v>
      </c>
      <c r="AB124" s="1083">
        <v>226.8</v>
      </c>
      <c r="AC124" s="1071">
        <v>225.1</v>
      </c>
      <c r="AD124" s="1015">
        <v>225</v>
      </c>
      <c r="AE124" s="1015">
        <v>226</v>
      </c>
      <c r="AF124" s="1015">
        <v>226</v>
      </c>
      <c r="AG124" s="1015">
        <v>225</v>
      </c>
      <c r="AH124" s="1127">
        <v>224</v>
      </c>
      <c r="AI124" s="882">
        <v>226</v>
      </c>
      <c r="AJ124" s="882">
        <v>227</v>
      </c>
      <c r="AK124" s="1049">
        <v>227</v>
      </c>
      <c r="AL124" s="882">
        <v>226</v>
      </c>
      <c r="AM124" s="882">
        <v>224</v>
      </c>
      <c r="AN124" s="882">
        <v>226</v>
      </c>
      <c r="AO124" s="1049">
        <v>227</v>
      </c>
      <c r="AP124" s="882">
        <v>230</v>
      </c>
      <c r="AQ124" s="882">
        <v>232</v>
      </c>
      <c r="AR124" s="882">
        <v>234</v>
      </c>
      <c r="AS124" s="1049">
        <v>235</v>
      </c>
      <c r="AT124" s="882">
        <v>234</v>
      </c>
      <c r="AU124" s="882">
        <v>235</v>
      </c>
      <c r="AV124" s="882">
        <v>236</v>
      </c>
      <c r="AW124" s="1049">
        <v>237</v>
      </c>
      <c r="AX124" s="882">
        <v>237</v>
      </c>
      <c r="AY124" s="882">
        <v>237</v>
      </c>
      <c r="AZ124" s="882">
        <v>246</v>
      </c>
      <c r="BA124" s="1049">
        <v>260</v>
      </c>
      <c r="BB124" s="882">
        <v>252</v>
      </c>
      <c r="BC124" s="882">
        <v>246</v>
      </c>
      <c r="BD124" s="882">
        <v>245</v>
      </c>
      <c r="BE124" s="1049">
        <v>243</v>
      </c>
      <c r="BF124" s="882">
        <v>242</v>
      </c>
      <c r="BG124" s="1372">
        <v>243</v>
      </c>
      <c r="BH124" s="1395">
        <v>242</v>
      </c>
      <c r="BI124" s="1447">
        <v>241</v>
      </c>
      <c r="BJ124" s="1455">
        <v>240</v>
      </c>
      <c r="BK124" s="1372">
        <v>238</v>
      </c>
      <c r="BL124" s="1372">
        <v>236</v>
      </c>
      <c r="BM124" s="1447">
        <v>235</v>
      </c>
      <c r="BN124" s="1455">
        <v>234</v>
      </c>
      <c r="BO124" s="1372">
        <v>234</v>
      </c>
      <c r="BP124" s="1372">
        <v>234</v>
      </c>
      <c r="BQ124" s="1447">
        <v>263</v>
      </c>
      <c r="BR124" s="1455">
        <v>290</v>
      </c>
      <c r="BS124" s="1372">
        <v>294</v>
      </c>
      <c r="BT124" s="1372">
        <v>299</v>
      </c>
      <c r="BU124" s="1447">
        <v>301</v>
      </c>
      <c r="BV124" s="1455">
        <v>306</v>
      </c>
      <c r="BW124" s="1395">
        <v>306</v>
      </c>
      <c r="BX124" s="403">
        <f t="shared" ref="BX124:CC124" si="353">BX577</f>
        <v>308.27581326042974</v>
      </c>
      <c r="BY124" s="411">
        <f t="shared" si="353"/>
        <v>307.51777143470122</v>
      </c>
      <c r="BZ124" s="403">
        <f t="shared" si="353"/>
        <v>309.0645327699666</v>
      </c>
      <c r="CA124" s="403">
        <f t="shared" si="353"/>
        <v>310.38166869940238</v>
      </c>
      <c r="CB124" s="403">
        <f t="shared" si="353"/>
        <v>312.22831994412496</v>
      </c>
      <c r="CC124" s="411">
        <f t="shared" si="353"/>
        <v>314.62046584521642</v>
      </c>
      <c r="CD124" s="9"/>
      <c r="CE124" s="882">
        <v>168.715</v>
      </c>
      <c r="CF124" s="882">
        <v>193.708</v>
      </c>
      <c r="CG124" s="882">
        <v>205.5</v>
      </c>
      <c r="CH124" s="882">
        <v>216.7</v>
      </c>
      <c r="CI124" s="882">
        <v>217</v>
      </c>
      <c r="CJ124" s="882">
        <v>224</v>
      </c>
      <c r="CK124" s="882">
        <v>226</v>
      </c>
      <c r="CL124" s="1065">
        <v>226</v>
      </c>
      <c r="CM124" s="882">
        <v>226</v>
      </c>
      <c r="CN124" s="882">
        <v>233</v>
      </c>
      <c r="CO124" s="882">
        <v>235</v>
      </c>
      <c r="CP124" s="882">
        <v>245</v>
      </c>
      <c r="CQ124" s="882">
        <v>246</v>
      </c>
      <c r="CR124" s="882">
        <v>242</v>
      </c>
      <c r="CS124" s="882">
        <v>237</v>
      </c>
      <c r="CT124" s="403">
        <f>(BN124*0.28)+(BO124*0.28)+(BP124*0.28)+(BQ124*0.16)</f>
        <v>238.64000000000004</v>
      </c>
      <c r="CU124" s="403">
        <f>AVERAGE(BR124:BU124)</f>
        <v>296</v>
      </c>
      <c r="CV124" s="403">
        <f t="shared" ref="CV124:DA124" si="354">CV577</f>
        <v>306.687088157956</v>
      </c>
      <c r="CW124" s="403">
        <f>CW577</f>
        <v>313.01742254563283</v>
      </c>
      <c r="CX124" s="403">
        <f t="shared" si="354"/>
        <v>320.93509199356475</v>
      </c>
      <c r="CY124" s="403">
        <f t="shared" si="354"/>
        <v>329.5678300883323</v>
      </c>
      <c r="CZ124" s="403">
        <f t="shared" si="354"/>
        <v>338.71343857683053</v>
      </c>
      <c r="DA124" s="403">
        <f t="shared" si="354"/>
        <v>347.11126593303658</v>
      </c>
      <c r="DB124" s="403">
        <f>DB577</f>
        <v>355.8033682565528</v>
      </c>
      <c r="DC124" s="403">
        <f>DC577</f>
        <v>364.55388584433376</v>
      </c>
      <c r="DD124" s="1509"/>
      <c r="DE124" s="1521"/>
      <c r="DF124" s="24"/>
      <c r="DG124" s="41"/>
      <c r="DH124" s="32"/>
      <c r="DI124" s="32"/>
      <c r="DJ124" s="32"/>
      <c r="DK124" s="32"/>
      <c r="DL124" s="1194">
        <f>AVERAGE(AB124:AE124)</f>
        <v>225.72499999999999</v>
      </c>
      <c r="DM124" s="1194">
        <f>AVERAGE(AF124:AI124)</f>
        <v>225.25</v>
      </c>
      <c r="DN124" s="1194">
        <f>AVERAGE(AJ124:AM124)</f>
        <v>226</v>
      </c>
      <c r="DO124" s="1194">
        <f>AVERAGE(AN124:AQ124)</f>
        <v>228.75</v>
      </c>
      <c r="DP124" s="1194">
        <f>AVERAGE(AR124:AU124)</f>
        <v>234.5</v>
      </c>
      <c r="DQ124" s="1194">
        <f>AVERAGE(AV124:AY124)</f>
        <v>236.75</v>
      </c>
      <c r="DR124" s="1194">
        <f>AVERAGE(AZ124:BC124)</f>
        <v>251</v>
      </c>
      <c r="DS124" s="1244">
        <f>AVERAGE(BD124:BG124)</f>
        <v>243.25</v>
      </c>
      <c r="DT124" s="1194">
        <f>AVERAGE(BH124:BK124)</f>
        <v>240.25</v>
      </c>
      <c r="DU124" s="1194">
        <f>AVERAGE(BL124:BO124)</f>
        <v>234.75</v>
      </c>
      <c r="DV124" s="1194">
        <f>AVERAGE(BP124:BS124)</f>
        <v>270.25</v>
      </c>
      <c r="DW124" s="1194">
        <f>AVERAGE(BT124:BW124)</f>
        <v>303</v>
      </c>
      <c r="DX124" s="1245">
        <f>AVERAGE(BX124:CA124)</f>
        <v>308.80994654112499</v>
      </c>
      <c r="DY124" s="641"/>
      <c r="DZ124" s="1559">
        <f>CU124</f>
        <v>296</v>
      </c>
    </row>
    <row r="125" spans="1:130" ht="11.25" hidden="1" customHeight="1" outlineLevel="1">
      <c r="A125" s="3"/>
      <c r="B125" s="201"/>
      <c r="C125" s="201"/>
      <c r="D125" s="201"/>
      <c r="E125" s="202"/>
      <c r="F125" s="207"/>
      <c r="G125" s="201"/>
      <c r="H125" s="201"/>
      <c r="I125" s="202"/>
      <c r="J125" s="775"/>
      <c r="K125" s="775"/>
      <c r="L125" s="775"/>
      <c r="M125" s="775"/>
      <c r="N125" s="775"/>
      <c r="O125" s="775"/>
      <c r="P125" s="775"/>
      <c r="Q125" s="775"/>
      <c r="R125" s="775"/>
      <c r="S125" s="775"/>
      <c r="T125" s="775"/>
      <c r="U125" s="775"/>
      <c r="V125" s="775"/>
      <c r="W125" s="775"/>
      <c r="X125" s="775"/>
      <c r="Y125" s="775"/>
      <c r="Z125" s="775"/>
      <c r="AA125" s="775"/>
      <c r="AB125" s="775"/>
      <c r="AC125" s="775"/>
      <c r="AD125" s="775"/>
      <c r="AE125" s="775"/>
      <c r="AF125" s="775"/>
      <c r="AG125" s="775"/>
      <c r="AH125" s="1128"/>
      <c r="AI125" s="775"/>
      <c r="AJ125" s="775"/>
      <c r="AK125" s="775"/>
      <c r="AL125" s="775"/>
      <c r="AM125" s="775"/>
      <c r="AN125" s="1111"/>
      <c r="AO125" s="1111"/>
      <c r="AP125" s="1112"/>
      <c r="AQ125" s="1112"/>
      <c r="AR125" s="39"/>
      <c r="AS125" s="39"/>
      <c r="AT125" s="39"/>
      <c r="AU125" s="39"/>
      <c r="AV125" s="39"/>
      <c r="AW125" s="39"/>
      <c r="AX125" s="39"/>
      <c r="AY125" s="39"/>
      <c r="AZ125" s="39"/>
      <c r="BA125" s="39"/>
      <c r="BB125" s="39"/>
      <c r="BC125" s="1112"/>
      <c r="BD125" s="1474"/>
      <c r="BE125" s="1474"/>
      <c r="BF125" s="1474"/>
      <c r="BG125" s="1474"/>
      <c r="BH125" s="1474"/>
      <c r="BI125" s="1474"/>
      <c r="BJ125" s="1474"/>
      <c r="BK125" s="1474"/>
      <c r="BL125" s="1474"/>
      <c r="BM125" s="1474"/>
      <c r="BN125" s="1474"/>
      <c r="BO125" s="1474"/>
      <c r="BP125" s="1474"/>
      <c r="BQ125" s="1474"/>
      <c r="BR125" s="1474"/>
      <c r="BS125" s="1474"/>
      <c r="BT125" s="2187"/>
      <c r="BU125" s="2187"/>
      <c r="BV125" s="2187"/>
      <c r="BW125" s="2187"/>
      <c r="BX125" s="2187"/>
      <c r="BY125" s="2187"/>
      <c r="BZ125" s="2187"/>
      <c r="CA125" s="2187"/>
      <c r="CB125" s="2187"/>
      <c r="CC125" s="2187"/>
      <c r="CD125" s="46"/>
      <c r="CE125" s="11"/>
      <c r="CF125" s="11"/>
      <c r="CG125" s="337"/>
      <c r="CH125" s="337"/>
      <c r="CI125" s="337"/>
      <c r="CJ125" s="337"/>
      <c r="CK125" s="337"/>
      <c r="CL125" s="337"/>
      <c r="CM125" s="337"/>
      <c r="CN125" s="337"/>
      <c r="CO125" s="1336"/>
      <c r="CP125" s="1336"/>
      <c r="CQ125" s="350"/>
      <c r="CR125" s="350"/>
      <c r="CS125" s="350"/>
      <c r="CT125" s="1075"/>
      <c r="CU125" s="2187"/>
      <c r="CV125" s="2187"/>
      <c r="CW125" s="2187"/>
      <c r="CX125" s="2187"/>
      <c r="CY125" s="2187"/>
      <c r="CZ125" s="2187"/>
      <c r="DA125" s="2183"/>
      <c r="DB125" s="2183"/>
      <c r="DC125" s="2183"/>
      <c r="DD125" s="1520"/>
      <c r="DE125" s="1521"/>
      <c r="DF125" s="29"/>
      <c r="DG125" s="39"/>
      <c r="DH125" s="39"/>
      <c r="DI125" s="39"/>
      <c r="DJ125" s="39"/>
      <c r="DK125" s="39"/>
      <c r="DL125" s="141"/>
      <c r="DM125" s="24"/>
      <c r="DN125" s="24"/>
      <c r="DO125" s="24"/>
      <c r="DP125" s="24"/>
      <c r="DQ125" s="24"/>
      <c r="DR125" s="24"/>
      <c r="DS125" s="24"/>
      <c r="DT125" s="24"/>
      <c r="DU125" s="24"/>
      <c r="DV125" s="24"/>
      <c r="DW125" s="24"/>
      <c r="DX125" s="24"/>
      <c r="DY125" s="24"/>
      <c r="DZ125" s="1681"/>
    </row>
    <row r="126" spans="1:130" ht="11.25" hidden="1" customHeight="1" outlineLevel="1">
      <c r="A126" s="3"/>
      <c r="B126" s="199" t="s">
        <v>655</v>
      </c>
      <c r="C126" s="201"/>
      <c r="D126" s="201"/>
      <c r="E126" s="202"/>
      <c r="F126" s="207"/>
      <c r="G126" s="201"/>
      <c r="H126" s="201"/>
      <c r="I126" s="202"/>
      <c r="J126" s="1033"/>
      <c r="K126" s="1033"/>
      <c r="L126" s="1033"/>
      <c r="M126" s="1033"/>
      <c r="N126" s="1033"/>
      <c r="O126" s="1033"/>
      <c r="P126" s="1033"/>
      <c r="Q126" s="1033"/>
      <c r="R126" s="1033"/>
      <c r="S126" s="1033"/>
      <c r="T126" s="1033"/>
      <c r="U126" s="1033"/>
      <c r="V126" s="1033"/>
      <c r="W126" s="1033"/>
      <c r="X126" s="1033"/>
      <c r="Y126" s="1033"/>
      <c r="Z126" s="1033"/>
      <c r="AA126" s="1033"/>
      <c r="AB126" s="1033"/>
      <c r="AC126" s="1033"/>
      <c r="AD126" s="1033"/>
      <c r="AE126" s="1033"/>
      <c r="AF126" s="1033"/>
      <c r="AG126" s="1033"/>
      <c r="AH126" s="1129"/>
      <c r="AI126" s="1033"/>
      <c r="AJ126" s="1033"/>
      <c r="AK126" s="1033"/>
      <c r="AL126" s="1113"/>
      <c r="AM126" s="1113"/>
      <c r="AN126" s="1113"/>
      <c r="AO126" s="1113"/>
      <c r="AP126" s="1033"/>
      <c r="AQ126" s="1033"/>
      <c r="AR126" s="68"/>
      <c r="AS126" s="11"/>
      <c r="AT126" s="11"/>
      <c r="AU126" s="11"/>
      <c r="AV126" s="68"/>
      <c r="AW126" s="11"/>
      <c r="AX126" s="11"/>
      <c r="AY126" s="11"/>
      <c r="AZ126" s="19"/>
      <c r="BA126" s="11"/>
      <c r="BB126" s="11"/>
      <c r="BC126" s="1010"/>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24"/>
      <c r="CE126" s="3"/>
      <c r="CF126" s="3"/>
      <c r="CG126" s="3"/>
      <c r="CH126" s="3"/>
      <c r="CI126" s="3"/>
      <c r="CJ126" s="24"/>
      <c r="CK126" s="24"/>
      <c r="CL126" s="19"/>
      <c r="CM126" s="24"/>
      <c r="CN126" s="366"/>
      <c r="CO126" s="366"/>
      <c r="CP126" s="366"/>
      <c r="CQ126" s="24"/>
      <c r="CR126" s="24"/>
      <c r="CS126" s="366"/>
      <c r="CT126" s="1046"/>
      <c r="CU126" s="24"/>
      <c r="CV126" s="24"/>
      <c r="CW126" s="24"/>
      <c r="CX126" s="24"/>
      <c r="CY126" s="24"/>
      <c r="CZ126" s="24"/>
      <c r="DA126" s="24"/>
      <c r="DB126" s="24"/>
      <c r="DC126" s="24"/>
      <c r="DD126" s="1521"/>
      <c r="DE126" s="1521"/>
      <c r="DF126" s="24"/>
      <c r="DG126" s="24"/>
      <c r="DH126" s="24"/>
      <c r="DI126" s="24"/>
      <c r="DJ126" s="24"/>
      <c r="DK126" s="24"/>
      <c r="DL126" s="141"/>
      <c r="DM126" s="24"/>
      <c r="DN126" s="24"/>
      <c r="DO126" s="24"/>
      <c r="DP126" s="24"/>
      <c r="DQ126" s="24"/>
      <c r="DR126" s="24"/>
      <c r="DS126" s="24"/>
      <c r="DT126" s="24"/>
      <c r="DU126" s="24"/>
      <c r="DV126" s="132"/>
      <c r="DW126" s="132"/>
      <c r="DX126" s="132"/>
      <c r="DY126" s="132"/>
      <c r="DZ126" s="1561"/>
    </row>
    <row r="127" spans="1:130" ht="11.25" customHeight="1" collapsed="1">
      <c r="A127" s="3"/>
      <c r="B127" s="199"/>
      <c r="C127" s="199"/>
      <c r="D127" s="199"/>
      <c r="E127" s="200"/>
      <c r="F127" s="1224"/>
      <c r="G127" s="199"/>
      <c r="H127" s="199"/>
      <c r="I127" s="200"/>
      <c r="J127" s="1224"/>
      <c r="K127" s="199"/>
      <c r="L127" s="1225"/>
      <c r="M127" s="1225"/>
      <c r="N127" s="1225"/>
      <c r="O127" s="1225"/>
      <c r="P127" s="1225"/>
      <c r="Q127" s="1225"/>
      <c r="R127" s="1225"/>
      <c r="S127" s="1225"/>
      <c r="T127" s="1225"/>
      <c r="U127" s="1225"/>
      <c r="V127" s="1225"/>
      <c r="W127" s="1225"/>
      <c r="X127" s="1225"/>
      <c r="Y127" s="1225"/>
      <c r="Z127" s="1225"/>
      <c r="AA127" s="1225"/>
      <c r="AB127" s="1225"/>
      <c r="AC127" s="1225"/>
      <c r="AD127" s="1225"/>
      <c r="AE127" s="1225"/>
      <c r="AF127" s="1225"/>
      <c r="AG127" s="19"/>
      <c r="AH127" s="19"/>
      <c r="AI127" s="19"/>
      <c r="AJ127" s="19"/>
      <c r="AK127" s="19"/>
      <c r="AL127" s="19"/>
      <c r="AM127" s="19"/>
      <c r="AN127" s="19"/>
      <c r="AO127" s="19"/>
      <c r="AP127" s="19"/>
      <c r="AQ127" s="19"/>
      <c r="AR127" s="19"/>
      <c r="AS127" s="19"/>
      <c r="AT127" s="19"/>
      <c r="AU127" s="19"/>
      <c r="AV127" s="19"/>
      <c r="AW127" s="19"/>
      <c r="AX127" s="19"/>
      <c r="AY127" s="19"/>
      <c r="AZ127" s="19"/>
      <c r="BA127" s="24"/>
      <c r="BB127" s="19"/>
      <c r="BC127" s="24"/>
      <c r="BD127" s="24"/>
      <c r="BE127" s="24"/>
      <c r="BF127" s="24"/>
      <c r="BG127" s="337"/>
      <c r="BH127" s="337"/>
      <c r="BI127" s="337"/>
      <c r="BJ127" s="337"/>
      <c r="BK127" s="337"/>
      <c r="BL127" s="337"/>
      <c r="BM127" s="337"/>
      <c r="BN127" s="337"/>
      <c r="BO127" s="337"/>
      <c r="BP127" s="337"/>
      <c r="BQ127" s="337"/>
      <c r="BR127" s="337"/>
      <c r="BS127" s="337"/>
      <c r="BT127" s="337"/>
      <c r="BU127" s="337"/>
      <c r="BV127" s="337"/>
      <c r="BW127" s="337"/>
      <c r="BX127" s="337"/>
      <c r="BY127" s="337"/>
      <c r="BZ127" s="337"/>
      <c r="CA127" s="337"/>
      <c r="CB127" s="337"/>
      <c r="CC127" s="337"/>
      <c r="CD127" s="24"/>
      <c r="CE127" s="24"/>
      <c r="CF127" s="24"/>
      <c r="CG127" s="24"/>
      <c r="CH127" s="24"/>
      <c r="CI127" s="24"/>
      <c r="CJ127" s="24"/>
      <c r="CK127" s="24"/>
      <c r="CL127" s="24"/>
      <c r="CM127" s="24"/>
      <c r="CN127" s="24"/>
      <c r="CO127" s="19"/>
      <c r="CP127" s="24"/>
      <c r="CQ127" s="24"/>
      <c r="CR127" s="32"/>
      <c r="CS127" s="32"/>
      <c r="CT127" s="32"/>
      <c r="CU127" s="24"/>
      <c r="CV127" s="24"/>
      <c r="CW127" s="24"/>
      <c r="CX127" s="24"/>
      <c r="CY127" s="24"/>
      <c r="CZ127" s="24"/>
      <c r="DA127" s="24"/>
      <c r="DB127" s="24"/>
      <c r="DC127" s="24"/>
      <c r="DD127" s="1522"/>
      <c r="DE127" s="1561"/>
      <c r="DF127" s="24"/>
      <c r="DG127" s="24"/>
      <c r="DH127" s="24"/>
      <c r="DI127" s="24"/>
      <c r="DJ127" s="24"/>
      <c r="DK127" s="24"/>
      <c r="DL127" s="141"/>
      <c r="DM127" s="24"/>
      <c r="DN127" s="24"/>
      <c r="DO127" s="24"/>
      <c r="DP127" s="366"/>
      <c r="DQ127" s="366"/>
      <c r="DR127" s="366"/>
      <c r="DS127" s="366"/>
      <c r="DT127" s="24"/>
      <c r="DU127" s="32"/>
      <c r="DV127" s="32"/>
      <c r="DW127" s="32"/>
      <c r="DX127" s="24"/>
      <c r="DY127" s="24"/>
      <c r="DZ127" s="1561"/>
    </row>
    <row r="128" spans="1:130" ht="11.25" customHeight="1">
      <c r="A128" s="4" t="s">
        <v>798</v>
      </c>
      <c r="B128" s="1226" t="s">
        <v>309</v>
      </c>
      <c r="C128" s="1227"/>
      <c r="D128" s="1228"/>
      <c r="E128" s="1229"/>
      <c r="F128" s="1230">
        <f t="shared" ref="F128:BA128" si="355">F53/F$11</f>
        <v>6.1117054617947669E-2</v>
      </c>
      <c r="G128" s="1164">
        <f t="shared" si="355"/>
        <v>0.12027173816265123</v>
      </c>
      <c r="H128" s="1164">
        <f t="shared" si="355"/>
        <v>0.12368996507876323</v>
      </c>
      <c r="I128" s="1219">
        <f t="shared" si="355"/>
        <v>0.11183302503878369</v>
      </c>
      <c r="J128" s="1230">
        <f t="shared" si="355"/>
        <v>0.12701641708792294</v>
      </c>
      <c r="K128" s="1164">
        <f t="shared" si="355"/>
        <v>0.12278003027824655</v>
      </c>
      <c r="L128" s="1164">
        <f t="shared" si="355"/>
        <v>0.13619473469869442</v>
      </c>
      <c r="M128" s="1219">
        <f t="shared" si="355"/>
        <v>0.13690000591856055</v>
      </c>
      <c r="N128" s="1230">
        <f t="shared" si="355"/>
        <v>0.14349279002431911</v>
      </c>
      <c r="O128" s="1164">
        <f t="shared" si="355"/>
        <v>0.1922369999697093</v>
      </c>
      <c r="P128" s="1164">
        <f t="shared" si="355"/>
        <v>0.17287173873953893</v>
      </c>
      <c r="Q128" s="1219">
        <f t="shared" si="355"/>
        <v>0.16416807876078574</v>
      </c>
      <c r="R128" s="1230">
        <f t="shared" si="355"/>
        <v>0.13472631055007775</v>
      </c>
      <c r="S128" s="1164">
        <f t="shared" si="355"/>
        <v>0.16985762590379297</v>
      </c>
      <c r="T128" s="1164">
        <f t="shared" si="355"/>
        <v>0.16369669361148362</v>
      </c>
      <c r="U128" s="1219">
        <f t="shared" si="355"/>
        <v>0.13475035963469645</v>
      </c>
      <c r="V128" s="1230">
        <f t="shared" si="355"/>
        <v>0.13732786278869502</v>
      </c>
      <c r="W128" s="1164">
        <f t="shared" si="355"/>
        <v>0.15731609113964792</v>
      </c>
      <c r="X128" s="1164">
        <f t="shared" si="355"/>
        <v>0.18153750113126355</v>
      </c>
      <c r="Y128" s="1219">
        <f t="shared" si="355"/>
        <v>0.16957958693665751</v>
      </c>
      <c r="Z128" s="1230">
        <f t="shared" si="355"/>
        <v>0.17655617197126788</v>
      </c>
      <c r="AA128" s="1164">
        <f t="shared" si="355"/>
        <v>0.20434525338118276</v>
      </c>
      <c r="AB128" s="1164">
        <f t="shared" si="355"/>
        <v>0.19301539303738274</v>
      </c>
      <c r="AC128" s="1219">
        <f t="shared" si="355"/>
        <v>0.17633993126416531</v>
      </c>
      <c r="AD128" s="1230">
        <f t="shared" si="355"/>
        <v>0.17246759068875236</v>
      </c>
      <c r="AE128" s="1164">
        <f t="shared" si="355"/>
        <v>0.17855417791887285</v>
      </c>
      <c r="AF128" s="1164">
        <f t="shared" si="355"/>
        <v>0.15746459940727742</v>
      </c>
      <c r="AG128" s="1164">
        <f t="shared" si="355"/>
        <v>0.14978167107850018</v>
      </c>
      <c r="AH128" s="1230">
        <f t="shared" si="355"/>
        <v>0.18289391989293718</v>
      </c>
      <c r="AI128" s="1164">
        <f t="shared" si="355"/>
        <v>0.23288542630710296</v>
      </c>
      <c r="AJ128" s="1164">
        <f t="shared" si="355"/>
        <v>0.22577014768380305</v>
      </c>
      <c r="AK128" s="1219">
        <f t="shared" si="355"/>
        <v>0.21327198904478756</v>
      </c>
      <c r="AL128" s="1230">
        <f t="shared" si="355"/>
        <v>0.20103926929272514</v>
      </c>
      <c r="AM128" s="1164">
        <f t="shared" si="355"/>
        <v>0.15898051168607427</v>
      </c>
      <c r="AN128" s="1164">
        <f t="shared" si="355"/>
        <v>0.15886253956509946</v>
      </c>
      <c r="AO128" s="1219">
        <f t="shared" si="355"/>
        <v>0.19198690486193468</v>
      </c>
      <c r="AP128" s="1230">
        <f t="shared" si="355"/>
        <v>0.23321958838768106</v>
      </c>
      <c r="AQ128" s="1164">
        <f t="shared" si="355"/>
        <v>0.26267280460099279</v>
      </c>
      <c r="AR128" s="1164">
        <f t="shared" si="355"/>
        <v>0.25211633907610753</v>
      </c>
      <c r="AS128" s="1219">
        <f t="shared" si="355"/>
        <v>0.22525832900860149</v>
      </c>
      <c r="AT128" s="1230">
        <f t="shared" si="355"/>
        <v>0.18266094354025331</v>
      </c>
      <c r="AU128" s="1164">
        <f t="shared" si="355"/>
        <v>0.19215441120202006</v>
      </c>
      <c r="AV128" s="1164">
        <f t="shared" si="355"/>
        <v>0.1820839794772201</v>
      </c>
      <c r="AW128" s="1219">
        <f t="shared" si="355"/>
        <v>0.19530334321564194</v>
      </c>
      <c r="AX128" s="1230">
        <f t="shared" si="355"/>
        <v>0.20097795622301559</v>
      </c>
      <c r="AY128" s="1164">
        <f t="shared" si="355"/>
        <v>0.32500184026892254</v>
      </c>
      <c r="AZ128" s="1164">
        <f t="shared" si="355"/>
        <v>0.35491662647238559</v>
      </c>
      <c r="BA128" s="1219">
        <f t="shared" si="355"/>
        <v>0.31785870656711335</v>
      </c>
      <c r="BB128" s="1230">
        <f t="shared" ref="BB128:BY128" si="356">BB21/BB11</f>
        <v>0.30505576208178442</v>
      </c>
      <c r="BC128" s="1164">
        <f t="shared" si="356"/>
        <v>0.28688689853556482</v>
      </c>
      <c r="BD128" s="1164">
        <f t="shared" si="356"/>
        <v>0.29190223166843787</v>
      </c>
      <c r="BE128" s="1219">
        <f t="shared" si="356"/>
        <v>0.29110461373390556</v>
      </c>
      <c r="BF128" s="1230">
        <f t="shared" si="356"/>
        <v>0.29838859095688752</v>
      </c>
      <c r="BG128" s="1164">
        <f t="shared" si="356"/>
        <v>0.30106344410876135</v>
      </c>
      <c r="BH128" s="1164">
        <f t="shared" si="356"/>
        <v>0.30110937078044825</v>
      </c>
      <c r="BI128" s="1219">
        <f t="shared" si="356"/>
        <v>0.29534648041632428</v>
      </c>
      <c r="BJ128" s="1230">
        <f t="shared" si="356"/>
        <v>0.3026107025107786</v>
      </c>
      <c r="BK128" s="1164">
        <f t="shared" si="356"/>
        <v>0.30733127572016461</v>
      </c>
      <c r="BL128" s="1164">
        <f t="shared" si="356"/>
        <v>0.30137915492957745</v>
      </c>
      <c r="BM128" s="1219">
        <f t="shared" si="356"/>
        <v>0.29864697586963329</v>
      </c>
      <c r="BN128" s="1164">
        <f t="shared" si="356"/>
        <v>0.29084077380952378</v>
      </c>
      <c r="BO128" s="1164">
        <f t="shared" si="356"/>
        <v>0.28496005426590293</v>
      </c>
      <c r="BP128" s="1164">
        <f t="shared" si="356"/>
        <v>0.28216158752657683</v>
      </c>
      <c r="BQ128" s="1219">
        <f t="shared" si="356"/>
        <v>0.31236909871244634</v>
      </c>
      <c r="BR128" s="1164">
        <f t="shared" si="356"/>
        <v>0.33910818837505302</v>
      </c>
      <c r="BS128" s="1164">
        <f t="shared" si="356"/>
        <v>0.36658203764320785</v>
      </c>
      <c r="BT128" s="1164">
        <f t="shared" si="356"/>
        <v>0.39278898687889868</v>
      </c>
      <c r="BU128" s="1219">
        <f t="shared" si="356"/>
        <v>0.41265530772408093</v>
      </c>
      <c r="BV128" s="1164">
        <f t="shared" si="356"/>
        <v>0.4230582899054236</v>
      </c>
      <c r="BW128" s="1164">
        <f t="shared" si="356"/>
        <v>0.43222638680659675</v>
      </c>
      <c r="BX128" s="1164">
        <f t="shared" si="356"/>
        <v>0.42496671807562875</v>
      </c>
      <c r="BY128" s="1219">
        <f t="shared" si="356"/>
        <v>0.39648044592086013</v>
      </c>
      <c r="BZ128" s="1164">
        <f>BZ21/BZ11</f>
        <v>0.3876481730141953</v>
      </c>
      <c r="CA128" s="1164">
        <f>CA21/CA11</f>
        <v>0.37260314198960864</v>
      </c>
      <c r="CB128" s="1164">
        <f>CB21/CB11</f>
        <v>0.36269018397317077</v>
      </c>
      <c r="CC128" s="1219">
        <f>CC21/CC11</f>
        <v>0.35415201604631624</v>
      </c>
      <c r="CD128" s="109"/>
      <c r="CE128" s="1230">
        <f t="shared" ref="CE128:CP128" si="357">CE53/CE$11</f>
        <v>0.10634731789625422</v>
      </c>
      <c r="CF128" s="1164">
        <f t="shared" si="357"/>
        <v>0.13090695205894523</v>
      </c>
      <c r="CG128" s="1164">
        <f t="shared" si="357"/>
        <v>0.16973324328463729</v>
      </c>
      <c r="CH128" s="1164">
        <f t="shared" si="357"/>
        <v>0.15147933558538448</v>
      </c>
      <c r="CI128" s="1164">
        <f t="shared" si="357"/>
        <v>0.16208461103538119</v>
      </c>
      <c r="CJ128" s="1164">
        <f t="shared" si="357"/>
        <v>0.18793217444436067</v>
      </c>
      <c r="CK128" s="1164">
        <f t="shared" si="357"/>
        <v>0.16451905223414059</v>
      </c>
      <c r="CL128" s="1164">
        <f t="shared" si="357"/>
        <v>0.21524948588431217</v>
      </c>
      <c r="CM128" s="1164">
        <f t="shared" si="357"/>
        <v>0.17939907224907964</v>
      </c>
      <c r="CN128" s="950">
        <f t="shared" si="357"/>
        <v>0.24419223529020187</v>
      </c>
      <c r="CO128" s="1164">
        <f t="shared" si="357"/>
        <v>0.18815083555371062</v>
      </c>
      <c r="CP128" s="1164">
        <f t="shared" si="357"/>
        <v>0.30277973535542968</v>
      </c>
      <c r="CQ128" s="1164">
        <f t="shared" ref="CQ128:DA128" si="358">CQ21/CQ11</f>
        <v>0.2939165852387467</v>
      </c>
      <c r="CR128" s="1164">
        <f t="shared" si="358"/>
        <v>0.29902261731658958</v>
      </c>
      <c r="CS128" s="1164">
        <f t="shared" si="358"/>
        <v>0.30270220285478999</v>
      </c>
      <c r="CT128" s="1164">
        <f t="shared" si="358"/>
        <v>0.29324515160843462</v>
      </c>
      <c r="CU128" s="1164">
        <f t="shared" si="358"/>
        <v>0.37786424344000419</v>
      </c>
      <c r="CV128" s="1164">
        <f t="shared" si="358"/>
        <v>0.4195030275013738</v>
      </c>
      <c r="CW128" s="1164">
        <f>CW21/CW11</f>
        <v>0.36995235514519531</v>
      </c>
      <c r="CX128" s="1164">
        <f t="shared" si="358"/>
        <v>0.3663934349903572</v>
      </c>
      <c r="CY128" s="1164">
        <f t="shared" si="358"/>
        <v>0.36204225285563002</v>
      </c>
      <c r="CZ128" s="1164">
        <f t="shared" si="358"/>
        <v>0.36010825466015756</v>
      </c>
      <c r="DA128" s="1164">
        <f t="shared" si="358"/>
        <v>0.35577469780854759</v>
      </c>
      <c r="DB128" s="1164">
        <f>DB21/DB11</f>
        <v>0.35157055461008613</v>
      </c>
      <c r="DC128" s="1164">
        <f>DC21/DC11</f>
        <v>0.34745469051227262</v>
      </c>
      <c r="DD128" s="1519"/>
      <c r="DE128" s="1502"/>
      <c r="DF128" s="31"/>
      <c r="DG128" s="1246"/>
      <c r="DH128" s="1227"/>
      <c r="DI128" s="1227"/>
      <c r="DJ128" s="1227"/>
      <c r="DK128" s="1227"/>
      <c r="DL128" s="1284"/>
      <c r="DM128" s="1227"/>
      <c r="DN128" s="1227"/>
      <c r="DO128" s="1227"/>
      <c r="DP128" s="1164">
        <f>DP53/DP$11</f>
        <v>0.2136709992726484</v>
      </c>
      <c r="DQ128" s="1164">
        <f>DQ53/DQ$11</f>
        <v>0.22144481388390319</v>
      </c>
      <c r="DR128" s="1164">
        <f>DR53/DR$11</f>
        <v>0.3141987813898019</v>
      </c>
      <c r="DS128" s="1230">
        <f>DS21/DS$11</f>
        <v>0.29570685093004978</v>
      </c>
      <c r="DT128" s="1164">
        <f>DT21/DT$11</f>
        <v>0.3017066842278564</v>
      </c>
      <c r="DU128" s="1164">
        <f>DU21/DU$11</f>
        <v>0.29403159934416456</v>
      </c>
      <c r="DV128" s="1164">
        <f>DV21/DV$11</f>
        <v>0.33157855392926688</v>
      </c>
      <c r="DW128" s="1219">
        <f>DW21/DW$11</f>
        <v>0.41595251899240304</v>
      </c>
      <c r="DX128" s="950"/>
      <c r="DY128" s="950"/>
      <c r="DZ128" s="1565"/>
    </row>
    <row r="129" spans="1:136" s="52" customFormat="1" ht="11.25" customHeight="1">
      <c r="A129" s="3"/>
      <c r="B129" s="207"/>
      <c r="C129" s="52" t="s">
        <v>970</v>
      </c>
      <c r="D129" s="145"/>
      <c r="E129" s="228"/>
      <c r="F129" s="497"/>
      <c r="G129" s="492"/>
      <c r="H129" s="492"/>
      <c r="I129" s="493"/>
      <c r="J129" s="497"/>
      <c r="K129" s="492"/>
      <c r="L129" s="492"/>
      <c r="M129" s="493"/>
      <c r="N129" s="497"/>
      <c r="O129" s="492"/>
      <c r="P129" s="492"/>
      <c r="Q129" s="493"/>
      <c r="R129" s="497"/>
      <c r="S129" s="492"/>
      <c r="T129" s="492"/>
      <c r="U129" s="493"/>
      <c r="V129" s="497"/>
      <c r="W129" s="492"/>
      <c r="X129" s="492"/>
      <c r="Y129" s="493"/>
      <c r="Z129" s="497"/>
      <c r="AA129" s="492"/>
      <c r="AB129" s="492"/>
      <c r="AC129" s="493"/>
      <c r="AD129" s="497"/>
      <c r="AE129" s="492"/>
      <c r="AF129" s="492"/>
      <c r="AG129" s="492"/>
      <c r="AH129" s="497"/>
      <c r="AI129" s="492"/>
      <c r="AJ129" s="492"/>
      <c r="AK129" s="493"/>
      <c r="AL129" s="497"/>
      <c r="AM129" s="492"/>
      <c r="AN129" s="492"/>
      <c r="AO129" s="493"/>
      <c r="AP129" s="497">
        <f t="shared" ref="AP129:BA129" si="359">AP56/AP29</f>
        <v>0.4</v>
      </c>
      <c r="AQ129" s="492">
        <f t="shared" si="359"/>
        <v>0.40999999999999992</v>
      </c>
      <c r="AR129" s="492">
        <f t="shared" si="359"/>
        <v>0.39999999999999997</v>
      </c>
      <c r="AS129" s="493">
        <f t="shared" si="359"/>
        <v>0.38999999999999996</v>
      </c>
      <c r="AT129" s="497">
        <f t="shared" si="359"/>
        <v>0.375</v>
      </c>
      <c r="AU129" s="492">
        <f t="shared" si="359"/>
        <v>0.37499999999999994</v>
      </c>
      <c r="AV129" s="492">
        <f t="shared" si="359"/>
        <v>0.36000000000000004</v>
      </c>
      <c r="AW129" s="493">
        <f t="shared" si="359"/>
        <v>0.37000000000000005</v>
      </c>
      <c r="AX129" s="497">
        <f t="shared" si="359"/>
        <v>0.38000000000000006</v>
      </c>
      <c r="AY129" s="492">
        <f t="shared" si="359"/>
        <v>0.49</v>
      </c>
      <c r="AZ129" s="492">
        <f t="shared" si="359"/>
        <v>0.51701137631880689</v>
      </c>
      <c r="BA129" s="493">
        <f t="shared" si="359"/>
        <v>0.45999999999999996</v>
      </c>
      <c r="BB129" s="497">
        <f t="shared" ref="BB129:BY129" si="360">BB23/BB12</f>
        <v>0.24649999999999997</v>
      </c>
      <c r="BC129" s="492">
        <f t="shared" si="360"/>
        <v>0.218</v>
      </c>
      <c r="BD129" s="492">
        <f t="shared" si="360"/>
        <v>0.22000000000000003</v>
      </c>
      <c r="BE129" s="493">
        <f t="shared" si="360"/>
        <v>0.20399999999999993</v>
      </c>
      <c r="BF129" s="492">
        <f t="shared" si="360"/>
        <v>0.22340000000000004</v>
      </c>
      <c r="BG129" s="492">
        <f t="shared" si="360"/>
        <v>0.22</v>
      </c>
      <c r="BH129" s="492">
        <f t="shared" si="360"/>
        <v>0.22699999999999992</v>
      </c>
      <c r="BI129" s="493">
        <f t="shared" si="360"/>
        <v>0.22800000000000001</v>
      </c>
      <c r="BJ129" s="492">
        <f t="shared" si="360"/>
        <v>0.22999999999999993</v>
      </c>
      <c r="BK129" s="492">
        <f t="shared" si="360"/>
        <v>0.23</v>
      </c>
      <c r="BL129" s="492">
        <f t="shared" si="360"/>
        <v>0.21000000000000002</v>
      </c>
      <c r="BM129" s="493">
        <f t="shared" si="360"/>
        <v>0.19999999999999987</v>
      </c>
      <c r="BN129" s="492">
        <f t="shared" si="360"/>
        <v>0.18999999999999997</v>
      </c>
      <c r="BO129" s="492">
        <f t="shared" si="360"/>
        <v>0.18250000000000002</v>
      </c>
      <c r="BP129" s="492">
        <f t="shared" si="360"/>
        <v>0.17999999999999994</v>
      </c>
      <c r="BQ129" s="493">
        <f t="shared" si="360"/>
        <v>0.21250000000000008</v>
      </c>
      <c r="BR129" s="492">
        <f t="shared" si="360"/>
        <v>0.26</v>
      </c>
      <c r="BS129" s="492">
        <f t="shared" si="360"/>
        <v>0.29000000000000004</v>
      </c>
      <c r="BT129" s="492">
        <f t="shared" si="360"/>
        <v>0.32000000000000012</v>
      </c>
      <c r="BU129" s="493">
        <f t="shared" si="360"/>
        <v>0.33499999999999996</v>
      </c>
      <c r="BV129" s="492">
        <f t="shared" si="360"/>
        <v>0.35</v>
      </c>
      <c r="BW129" s="492">
        <f t="shared" si="360"/>
        <v>0.36000000000000004</v>
      </c>
      <c r="BX129" s="492">
        <f t="shared" si="360"/>
        <v>0.35999999999999993</v>
      </c>
      <c r="BY129" s="493">
        <f t="shared" si="360"/>
        <v>0.32000000000000006</v>
      </c>
      <c r="BZ129" s="492">
        <f t="shared" ref="BZ129:CC131" si="361">BZ23/BZ12</f>
        <v>0.31499999999999995</v>
      </c>
      <c r="CA129" s="492">
        <f t="shared" si="361"/>
        <v>0.30000000000000004</v>
      </c>
      <c r="CB129" s="492">
        <f t="shared" si="361"/>
        <v>0.29000000000000004</v>
      </c>
      <c r="CC129" s="493">
        <f t="shared" si="361"/>
        <v>0.27999999999999997</v>
      </c>
      <c r="CD129" s="9"/>
      <c r="CE129" s="497"/>
      <c r="CF129" s="492"/>
      <c r="CG129" s="492"/>
      <c r="CH129" s="492"/>
      <c r="CI129" s="492"/>
      <c r="CJ129" s="492"/>
      <c r="CK129" s="492"/>
      <c r="CL129" s="492"/>
      <c r="CM129" s="492"/>
      <c r="CN129" s="492">
        <f>CN56/CN29</f>
        <v>0.3998791289594878</v>
      </c>
      <c r="CO129" s="492">
        <f>CO56/CO29</f>
        <v>0.37012348615425622</v>
      </c>
      <c r="CP129" s="492">
        <f>CP56/CP29</f>
        <v>0.46884659196595641</v>
      </c>
      <c r="CQ129" s="492">
        <f t="shared" ref="CQ129:DA129" si="362">CQ23/CQ12</f>
        <v>0.22347953407359022</v>
      </c>
      <c r="CR129" s="492">
        <f t="shared" si="362"/>
        <v>0.22455449541284403</v>
      </c>
      <c r="CS129" s="492">
        <f t="shared" si="362"/>
        <v>0.21926329442282746</v>
      </c>
      <c r="CT129" s="492">
        <f t="shared" si="362"/>
        <v>0.19162489927477841</v>
      </c>
      <c r="CU129" s="492">
        <f t="shared" si="362"/>
        <v>0.30121533613445378</v>
      </c>
      <c r="CV129" s="492">
        <f t="shared" si="362"/>
        <v>0.34785981956167195</v>
      </c>
      <c r="CW129" s="492">
        <f>CW23/CW12</f>
        <v>0.29699235019833281</v>
      </c>
      <c r="CX129" s="492">
        <f t="shared" si="362"/>
        <v>0.29000000000000009</v>
      </c>
      <c r="CY129" s="492">
        <f t="shared" si="362"/>
        <v>0.28000000000000003</v>
      </c>
      <c r="CZ129" s="492">
        <f t="shared" si="362"/>
        <v>0.27500000000000008</v>
      </c>
      <c r="DA129" s="492">
        <f t="shared" si="362"/>
        <v>0.26500000000000007</v>
      </c>
      <c r="DB129" s="492">
        <f t="shared" ref="DB129:DC131" si="363">DB23/DB12</f>
        <v>0.255</v>
      </c>
      <c r="DC129" s="492">
        <f t="shared" si="363"/>
        <v>0.24499999999999994</v>
      </c>
      <c r="DD129" s="1517"/>
      <c r="DE129" s="1483"/>
      <c r="DF129" s="24"/>
      <c r="DG129" s="23"/>
      <c r="DH129" s="24"/>
      <c r="DI129" s="24"/>
      <c r="DJ129" s="24"/>
      <c r="DK129" s="24"/>
      <c r="DL129" s="141"/>
      <c r="DM129" s="24"/>
      <c r="DN129" s="24"/>
      <c r="DO129" s="24"/>
      <c r="DP129" s="492">
        <f>DP56/DP29</f>
        <v>0.38534358872870639</v>
      </c>
      <c r="DQ129" s="492">
        <f>DQ56/DQ29</f>
        <v>0.40208412013951617</v>
      </c>
      <c r="DR129" s="492">
        <f>DR56/DR29</f>
        <v>0.4610639931820944</v>
      </c>
      <c r="DS129" s="497"/>
      <c r="DT129" s="492"/>
      <c r="DU129" s="492"/>
      <c r="DV129" s="492"/>
      <c r="DW129" s="493"/>
      <c r="DX129" s="492"/>
      <c r="DY129" s="492"/>
      <c r="DZ129" s="1561"/>
      <c r="EA129"/>
      <c r="EB129"/>
      <c r="EC129"/>
      <c r="ED129"/>
      <c r="EE129"/>
      <c r="EF129"/>
    </row>
    <row r="130" spans="1:136" s="52" customFormat="1" ht="11.25" customHeight="1">
      <c r="A130" s="3"/>
      <c r="B130" s="207"/>
      <c r="C130" s="52" t="s">
        <v>944</v>
      </c>
      <c r="D130" s="145"/>
      <c r="E130" s="228"/>
      <c r="F130" s="497"/>
      <c r="G130" s="492"/>
      <c r="H130" s="492"/>
      <c r="I130" s="493"/>
      <c r="J130" s="497"/>
      <c r="K130" s="492"/>
      <c r="L130" s="492"/>
      <c r="M130" s="493"/>
      <c r="N130" s="497"/>
      <c r="O130" s="492"/>
      <c r="P130" s="492"/>
      <c r="Q130" s="493"/>
      <c r="R130" s="497"/>
      <c r="S130" s="492"/>
      <c r="T130" s="492"/>
      <c r="U130" s="493"/>
      <c r="V130" s="497"/>
      <c r="W130" s="492"/>
      <c r="X130" s="492"/>
      <c r="Y130" s="493"/>
      <c r="Z130" s="497"/>
      <c r="AA130" s="492"/>
      <c r="AB130" s="492"/>
      <c r="AC130" s="493"/>
      <c r="AD130" s="497"/>
      <c r="AE130" s="492"/>
      <c r="AF130" s="492"/>
      <c r="AG130" s="492"/>
      <c r="AH130" s="497"/>
      <c r="AI130" s="492"/>
      <c r="AJ130" s="492"/>
      <c r="AK130" s="493"/>
      <c r="AL130" s="497"/>
      <c r="AM130" s="492"/>
      <c r="AN130" s="492"/>
      <c r="AO130" s="493"/>
      <c r="AP130" s="497">
        <f t="shared" ref="AP130:BA130" si="364">AP59/AP32</f>
        <v>0.19448680274663399</v>
      </c>
      <c r="AQ130" s="492">
        <f t="shared" si="364"/>
        <v>0.22470247972470292</v>
      </c>
      <c r="AR130" s="492">
        <f t="shared" si="364"/>
        <v>0.21698773135366825</v>
      </c>
      <c r="AS130" s="493">
        <f t="shared" si="364"/>
        <v>0.1828270914527434</v>
      </c>
      <c r="AT130" s="497">
        <f t="shared" si="364"/>
        <v>0.12938308647846541</v>
      </c>
      <c r="AU130" s="492">
        <f t="shared" si="364"/>
        <v>0.1342420040536437</v>
      </c>
      <c r="AV130" s="492">
        <f t="shared" si="364"/>
        <v>0.12940979820434045</v>
      </c>
      <c r="AW130" s="493">
        <f t="shared" si="364"/>
        <v>0.15231137617026125</v>
      </c>
      <c r="AX130" s="497">
        <f t="shared" si="364"/>
        <v>0.15807625384075227</v>
      </c>
      <c r="AY130" s="492">
        <f t="shared" si="364"/>
        <v>0.28163449580317262</v>
      </c>
      <c r="AZ130" s="492">
        <f t="shared" si="364"/>
        <v>0.31368104677207981</v>
      </c>
      <c r="BA130" s="493">
        <f t="shared" si="364"/>
        <v>0.26276687050192887</v>
      </c>
      <c r="BB130" s="497">
        <f t="shared" ref="BB130:BY130" si="365">BB24/BB13</f>
        <v>0.35</v>
      </c>
      <c r="BC130" s="492">
        <f t="shared" si="365"/>
        <v>0.30000000000000004</v>
      </c>
      <c r="BD130" s="492">
        <f t="shared" si="365"/>
        <v>0.28999999999999998</v>
      </c>
      <c r="BE130" s="493">
        <f t="shared" si="365"/>
        <v>0.30000000000000004</v>
      </c>
      <c r="BF130" s="492">
        <f t="shared" si="365"/>
        <v>0.31</v>
      </c>
      <c r="BG130" s="492">
        <f t="shared" si="365"/>
        <v>0.33000000000000013</v>
      </c>
      <c r="BH130" s="492">
        <f t="shared" si="365"/>
        <v>0.33000000000000013</v>
      </c>
      <c r="BI130" s="493">
        <f t="shared" si="365"/>
        <v>0.31000000000000011</v>
      </c>
      <c r="BJ130" s="492">
        <f t="shared" si="365"/>
        <v>0.32000000000000006</v>
      </c>
      <c r="BK130" s="492">
        <f t="shared" si="365"/>
        <v>0.31800000000000012</v>
      </c>
      <c r="BL130" s="492">
        <f t="shared" si="365"/>
        <v>0.30000000000000004</v>
      </c>
      <c r="BM130" s="493">
        <f t="shared" si="365"/>
        <v>0.30000000000000004</v>
      </c>
      <c r="BN130" s="492">
        <f t="shared" si="365"/>
        <v>0.29499999999999998</v>
      </c>
      <c r="BO130" s="492">
        <f t="shared" si="365"/>
        <v>0.29000000000000004</v>
      </c>
      <c r="BP130" s="492">
        <f t="shared" si="365"/>
        <v>0.31000000000000005</v>
      </c>
      <c r="BQ130" s="493">
        <f t="shared" si="365"/>
        <v>0.33000000000000007</v>
      </c>
      <c r="BR130" s="492">
        <f t="shared" si="365"/>
        <v>0.35000000000000003</v>
      </c>
      <c r="BS130" s="492">
        <f t="shared" si="365"/>
        <v>0.36</v>
      </c>
      <c r="BT130" s="492">
        <f t="shared" si="365"/>
        <v>0.38</v>
      </c>
      <c r="BU130" s="493">
        <f t="shared" si="365"/>
        <v>0.38399999999999995</v>
      </c>
      <c r="BV130" s="492">
        <f t="shared" si="365"/>
        <v>0.39999999999999997</v>
      </c>
      <c r="BW130" s="492">
        <f t="shared" si="365"/>
        <v>0.41</v>
      </c>
      <c r="BX130" s="492">
        <f t="shared" si="365"/>
        <v>0.37999999999999995</v>
      </c>
      <c r="BY130" s="493">
        <f t="shared" si="365"/>
        <v>0.34999999999999992</v>
      </c>
      <c r="BZ130" s="492">
        <f t="shared" si="361"/>
        <v>0.33000000000000007</v>
      </c>
      <c r="CA130" s="492">
        <f t="shared" si="361"/>
        <v>0.31000000000000011</v>
      </c>
      <c r="CB130" s="492">
        <f t="shared" si="361"/>
        <v>0.30000000000000004</v>
      </c>
      <c r="CC130" s="493">
        <f t="shared" si="361"/>
        <v>0.30000000000000004</v>
      </c>
      <c r="CD130" s="9"/>
      <c r="CE130" s="497"/>
      <c r="CF130" s="492"/>
      <c r="CG130" s="492"/>
      <c r="CH130" s="492"/>
      <c r="CI130" s="492"/>
      <c r="CJ130" s="492"/>
      <c r="CK130" s="492"/>
      <c r="CL130" s="492"/>
      <c r="CM130" s="492"/>
      <c r="CN130" s="492">
        <f>CN59/CN32</f>
        <v>0.20554726229246389</v>
      </c>
      <c r="CO130" s="492">
        <f>CO59/CO32</f>
        <v>0.13652536009658769</v>
      </c>
      <c r="CP130" s="492">
        <f>CP59/CP32</f>
        <v>0.25646287728854911</v>
      </c>
      <c r="CQ130" s="492">
        <f t="shared" ref="CQ130:DA130" si="366">CQ24/CQ13</f>
        <v>0.31015744032503811</v>
      </c>
      <c r="CR130" s="492">
        <f t="shared" si="366"/>
        <v>0.32064029151483608</v>
      </c>
      <c r="CS130" s="492">
        <f t="shared" si="366"/>
        <v>0.31058594594594596</v>
      </c>
      <c r="CT130" s="492">
        <f t="shared" si="366"/>
        <v>0.3090133689839572</v>
      </c>
      <c r="CU130" s="492">
        <f t="shared" si="366"/>
        <v>0.36850835791543751</v>
      </c>
      <c r="CV130" s="492">
        <f t="shared" si="366"/>
        <v>0.38637834027758672</v>
      </c>
      <c r="CW130" s="492">
        <f>CW24/CW13</f>
        <v>0.31045317375255588</v>
      </c>
      <c r="CX130" s="492">
        <f t="shared" si="366"/>
        <v>0.33</v>
      </c>
      <c r="CY130" s="492">
        <f t="shared" si="366"/>
        <v>0.32000000000000006</v>
      </c>
      <c r="CZ130" s="492">
        <f t="shared" si="366"/>
        <v>0.31000000000000011</v>
      </c>
      <c r="DA130" s="492">
        <f t="shared" si="366"/>
        <v>0.30000000000000004</v>
      </c>
      <c r="DB130" s="492">
        <f t="shared" si="363"/>
        <v>0.29000000000000004</v>
      </c>
      <c r="DC130" s="492">
        <f t="shared" si="363"/>
        <v>0.28000000000000003</v>
      </c>
      <c r="DD130" s="1517"/>
      <c r="DE130" s="1483"/>
      <c r="DF130" s="24"/>
      <c r="DG130" s="23"/>
      <c r="DH130" s="24"/>
      <c r="DI130" s="24"/>
      <c r="DJ130" s="24"/>
      <c r="DK130" s="24"/>
      <c r="DL130" s="141"/>
      <c r="DM130" s="24"/>
      <c r="DN130" s="24"/>
      <c r="DO130" s="24"/>
      <c r="DP130" s="492">
        <f>DP59/DP32</f>
        <v>0.16757384101677583</v>
      </c>
      <c r="DQ130" s="492">
        <f>DQ59/DQ32</f>
        <v>0.17634610668433337</v>
      </c>
      <c r="DR130" s="492">
        <f>DR59/DR32</f>
        <v>0.2590243250841564</v>
      </c>
      <c r="DS130" s="497"/>
      <c r="DT130" s="492"/>
      <c r="DU130" s="492"/>
      <c r="DV130" s="492"/>
      <c r="DW130" s="493"/>
      <c r="DX130" s="492"/>
      <c r="DY130" s="492"/>
      <c r="DZ130" s="1561"/>
      <c r="EA130"/>
      <c r="EB130"/>
      <c r="EC130"/>
      <c r="ED130"/>
      <c r="EE130"/>
      <c r="EF130"/>
    </row>
    <row r="131" spans="1:136" s="52" customFormat="1" ht="11.25" customHeight="1">
      <c r="A131" s="3"/>
      <c r="B131" s="207"/>
      <c r="C131" s="145" t="s">
        <v>971</v>
      </c>
      <c r="E131" s="228"/>
      <c r="F131" s="497"/>
      <c r="G131" s="492"/>
      <c r="H131" s="492"/>
      <c r="I131" s="493"/>
      <c r="J131" s="497"/>
      <c r="K131" s="492"/>
      <c r="L131" s="492"/>
      <c r="M131" s="493"/>
      <c r="N131" s="497"/>
      <c r="O131" s="492"/>
      <c r="P131" s="492"/>
      <c r="Q131" s="493"/>
      <c r="R131" s="497"/>
      <c r="S131" s="492"/>
      <c r="T131" s="492"/>
      <c r="U131" s="493"/>
      <c r="V131" s="497"/>
      <c r="W131" s="492"/>
      <c r="X131" s="492"/>
      <c r="Y131" s="493"/>
      <c r="Z131" s="497"/>
      <c r="AA131" s="492"/>
      <c r="AB131" s="492"/>
      <c r="AC131" s="493"/>
      <c r="AD131" s="497"/>
      <c r="AE131" s="492"/>
      <c r="AF131" s="492"/>
      <c r="AG131" s="492"/>
      <c r="AH131" s="497"/>
      <c r="AI131" s="492"/>
      <c r="AJ131" s="492"/>
      <c r="AK131" s="493"/>
      <c r="AL131" s="497"/>
      <c r="AM131" s="492"/>
      <c r="AN131" s="492"/>
      <c r="AO131" s="493"/>
      <c r="AP131" s="497">
        <f t="shared" ref="AP131:BA131" si="367">AP62/AP35</f>
        <v>0.29706595845885514</v>
      </c>
      <c r="AQ131" s="492">
        <f t="shared" si="367"/>
        <v>0.30567735329703977</v>
      </c>
      <c r="AR131" s="492">
        <f t="shared" si="367"/>
        <v>0.29371227457974242</v>
      </c>
      <c r="AS131" s="493">
        <f t="shared" si="367"/>
        <v>0.27281380682166073</v>
      </c>
      <c r="AT131" s="497">
        <f t="shared" si="367"/>
        <v>0.24599995977231121</v>
      </c>
      <c r="AU131" s="492">
        <f t="shared" si="367"/>
        <v>0.26334267476257189</v>
      </c>
      <c r="AV131" s="492">
        <f t="shared" si="367"/>
        <v>0.24815069364507394</v>
      </c>
      <c r="AW131" s="493">
        <f t="shared" si="367"/>
        <v>0.24392605298784037</v>
      </c>
      <c r="AX131" s="497">
        <f t="shared" si="367"/>
        <v>0.24723349022724417</v>
      </c>
      <c r="AY131" s="492">
        <f t="shared" si="367"/>
        <v>0.36638113860858412</v>
      </c>
      <c r="AZ131" s="492">
        <f t="shared" si="367"/>
        <v>0.36213432563782677</v>
      </c>
      <c r="BA131" s="493">
        <f t="shared" si="367"/>
        <v>0.32062190723655243</v>
      </c>
      <c r="BB131" s="497">
        <f t="shared" ref="BB131:BY131" si="368">BB25/BB14</f>
        <v>0.45500000000000007</v>
      </c>
      <c r="BC131" s="492">
        <f t="shared" si="368"/>
        <v>0.4355</v>
      </c>
      <c r="BD131" s="492">
        <f t="shared" si="368"/>
        <v>0.43500000000000011</v>
      </c>
      <c r="BE131" s="493">
        <f t="shared" si="368"/>
        <v>0.43900000000000011</v>
      </c>
      <c r="BF131" s="492">
        <f t="shared" si="368"/>
        <v>0.43700000000000006</v>
      </c>
      <c r="BG131" s="492">
        <f t="shared" si="368"/>
        <v>0.438</v>
      </c>
      <c r="BH131" s="492">
        <f t="shared" si="368"/>
        <v>0.43199999999999988</v>
      </c>
      <c r="BI131" s="493">
        <f t="shared" si="368"/>
        <v>0.43</v>
      </c>
      <c r="BJ131" s="492">
        <f t="shared" si="368"/>
        <v>0.4335</v>
      </c>
      <c r="BK131" s="492">
        <f t="shared" si="368"/>
        <v>0.43</v>
      </c>
      <c r="BL131" s="492">
        <f t="shared" si="368"/>
        <v>0.43199999999999994</v>
      </c>
      <c r="BM131" s="493">
        <f t="shared" si="368"/>
        <v>0.41749999999999998</v>
      </c>
      <c r="BN131" s="492">
        <f t="shared" si="368"/>
        <v>0.41999999999999993</v>
      </c>
      <c r="BO131" s="492">
        <f t="shared" si="368"/>
        <v>0.41</v>
      </c>
      <c r="BP131" s="492">
        <f t="shared" si="368"/>
        <v>0.39999999999999997</v>
      </c>
      <c r="BQ131" s="493">
        <f t="shared" si="368"/>
        <v>0.42999999999999994</v>
      </c>
      <c r="BR131" s="492">
        <f t="shared" si="368"/>
        <v>0.46900000000000003</v>
      </c>
      <c r="BS131" s="492">
        <f t="shared" si="368"/>
        <v>0.50449999999999995</v>
      </c>
      <c r="BT131" s="492">
        <f t="shared" si="368"/>
        <v>0.52949999999999997</v>
      </c>
      <c r="BU131" s="493">
        <f t="shared" si="368"/>
        <v>0.56499999999999995</v>
      </c>
      <c r="BV131" s="492">
        <f t="shared" si="368"/>
        <v>0.58499999999999996</v>
      </c>
      <c r="BW131" s="492">
        <f t="shared" si="368"/>
        <v>0.58499999999999996</v>
      </c>
      <c r="BX131" s="492">
        <f t="shared" si="368"/>
        <v>0.57499999999999996</v>
      </c>
      <c r="BY131" s="493">
        <f t="shared" si="368"/>
        <v>0.56000000000000005</v>
      </c>
      <c r="BZ131" s="492">
        <f t="shared" si="361"/>
        <v>0.55000000000000004</v>
      </c>
      <c r="CA131" s="492">
        <f t="shared" si="361"/>
        <v>0.54</v>
      </c>
      <c r="CB131" s="492">
        <f t="shared" si="361"/>
        <v>0.53</v>
      </c>
      <c r="CC131" s="493">
        <f t="shared" si="361"/>
        <v>0.52</v>
      </c>
      <c r="CD131" s="9"/>
      <c r="CE131" s="497"/>
      <c r="CF131" s="492"/>
      <c r="CG131" s="492"/>
      <c r="CH131" s="492"/>
      <c r="CI131" s="492"/>
      <c r="CJ131" s="492"/>
      <c r="CK131" s="492"/>
      <c r="CL131" s="492"/>
      <c r="CM131" s="492"/>
      <c r="CN131" s="492">
        <f>CN62/CN35</f>
        <v>0.29286383024505491</v>
      </c>
      <c r="CO131" s="492">
        <f>CO62/CO35</f>
        <v>0.25089177036441951</v>
      </c>
      <c r="CP131" s="492">
        <f>CP62/CP35</f>
        <v>0.31430165326049592</v>
      </c>
      <c r="CQ131" s="492">
        <f t="shared" ref="CQ131:DA131" si="369">CQ25/CQ14</f>
        <v>0.44049821258341287</v>
      </c>
      <c r="CR131" s="492">
        <f t="shared" si="369"/>
        <v>0.43442793495210513</v>
      </c>
      <c r="CS131" s="492">
        <f t="shared" si="369"/>
        <v>0.42814694732641662</v>
      </c>
      <c r="CT131" s="492">
        <f t="shared" si="369"/>
        <v>0.41543809717422242</v>
      </c>
      <c r="CU131" s="492">
        <f t="shared" si="369"/>
        <v>0.51732970027247949</v>
      </c>
      <c r="CV131" s="492">
        <f t="shared" si="369"/>
        <v>0.57615877841708607</v>
      </c>
      <c r="CW131" s="492">
        <f>CW25/CW14</f>
        <v>0.535694724136906</v>
      </c>
      <c r="CX131" s="492">
        <f t="shared" si="369"/>
        <v>0.5</v>
      </c>
      <c r="CY131" s="492">
        <f t="shared" si="369"/>
        <v>0.49</v>
      </c>
      <c r="CZ131" s="492">
        <f t="shared" si="369"/>
        <v>0.47999999999999993</v>
      </c>
      <c r="DA131" s="492">
        <f t="shared" si="369"/>
        <v>0.46999999999999992</v>
      </c>
      <c r="DB131" s="492">
        <f t="shared" si="363"/>
        <v>0.45999999999999996</v>
      </c>
      <c r="DC131" s="492">
        <f t="shared" si="363"/>
        <v>0.45</v>
      </c>
      <c r="DD131" s="1517"/>
      <c r="DE131" s="1483"/>
      <c r="DF131" s="24"/>
      <c r="DG131" s="23"/>
      <c r="DH131" s="24"/>
      <c r="DI131" s="24"/>
      <c r="DJ131" s="24"/>
      <c r="DK131" s="24"/>
      <c r="DL131" s="141"/>
      <c r="DM131" s="24"/>
      <c r="DN131" s="24"/>
      <c r="DO131" s="24"/>
      <c r="DP131" s="492">
        <f>DP62/DP35</f>
        <v>0.26908640305243581</v>
      </c>
      <c r="DQ131" s="492">
        <f>DQ62/DQ35</f>
        <v>0.26889360536860207</v>
      </c>
      <c r="DR131" s="492">
        <f>DR62/DR35</f>
        <v>0.32102434192154011</v>
      </c>
      <c r="DS131" s="497"/>
      <c r="DT131" s="492"/>
      <c r="DU131" s="492"/>
      <c r="DV131" s="492"/>
      <c r="DW131" s="493"/>
      <c r="DX131" s="492"/>
      <c r="DY131" s="492"/>
      <c r="DZ131" s="1561"/>
      <c r="EA131"/>
      <c r="EB131"/>
      <c r="EC131"/>
      <c r="ED131"/>
      <c r="EE131"/>
      <c r="EF131"/>
    </row>
    <row r="132" spans="1:136" ht="5.25" customHeight="1">
      <c r="A132" s="3"/>
      <c r="B132" s="207"/>
      <c r="C132" s="201"/>
      <c r="D132" s="201"/>
      <c r="E132" s="202"/>
      <c r="F132" s="852"/>
      <c r="G132" s="852"/>
      <c r="H132" s="852"/>
      <c r="I132" s="851"/>
      <c r="J132" s="492"/>
      <c r="K132" s="492"/>
      <c r="L132" s="492"/>
      <c r="M132" s="493"/>
      <c r="N132" s="852"/>
      <c r="O132" s="852"/>
      <c r="P132" s="852"/>
      <c r="Q132" s="851"/>
      <c r="R132" s="852"/>
      <c r="S132" s="852"/>
      <c r="T132" s="852"/>
      <c r="U132" s="851"/>
      <c r="V132" s="852"/>
      <c r="W132" s="852"/>
      <c r="X132" s="852"/>
      <c r="Y132" s="851"/>
      <c r="Z132" s="852"/>
      <c r="AA132" s="852"/>
      <c r="AB132" s="852"/>
      <c r="AC132" s="851"/>
      <c r="AD132" s="852"/>
      <c r="AE132" s="852"/>
      <c r="AF132" s="852"/>
      <c r="AG132" s="852"/>
      <c r="AH132" s="850"/>
      <c r="AI132" s="852"/>
      <c r="AJ132" s="852"/>
      <c r="AK132" s="851"/>
      <c r="AL132" s="852"/>
      <c r="AM132" s="852"/>
      <c r="AN132" s="852"/>
      <c r="AO132" s="851"/>
      <c r="AP132" s="852"/>
      <c r="AQ132" s="852"/>
      <c r="AR132" s="852"/>
      <c r="AS132" s="851"/>
      <c r="AT132" s="852"/>
      <c r="AU132" s="852"/>
      <c r="AV132" s="852"/>
      <c r="AW132" s="851"/>
      <c r="AX132" s="852"/>
      <c r="AY132" s="852"/>
      <c r="AZ132" s="852"/>
      <c r="BA132" s="851"/>
      <c r="BB132" s="852"/>
      <c r="BC132" s="852"/>
      <c r="BD132" s="852"/>
      <c r="BE132" s="851"/>
      <c r="BF132" s="852"/>
      <c r="BG132" s="852"/>
      <c r="BH132" s="852"/>
      <c r="BI132" s="851"/>
      <c r="BJ132" s="852"/>
      <c r="BK132" s="852"/>
      <c r="BL132" s="852"/>
      <c r="BM132" s="851"/>
      <c r="BN132" s="852"/>
      <c r="BO132" s="852"/>
      <c r="BP132" s="852"/>
      <c r="BQ132" s="851"/>
      <c r="BR132" s="852"/>
      <c r="BS132" s="852"/>
      <c r="BT132" s="852"/>
      <c r="BU132" s="851"/>
      <c r="BV132" s="852"/>
      <c r="BW132" s="852"/>
      <c r="BX132" s="852"/>
      <c r="BY132" s="851"/>
      <c r="BZ132" s="852"/>
      <c r="CA132" s="852"/>
      <c r="CB132" s="852"/>
      <c r="CC132" s="851"/>
      <c r="CD132" s="9"/>
      <c r="CE132" s="852"/>
      <c r="CF132" s="852"/>
      <c r="CG132" s="852"/>
      <c r="CH132" s="852"/>
      <c r="CI132" s="852"/>
      <c r="CJ132" s="852"/>
      <c r="CK132" s="852"/>
      <c r="CL132" s="852"/>
      <c r="CM132" s="852"/>
      <c r="CN132" s="852"/>
      <c r="CO132" s="852"/>
      <c r="CP132" s="852"/>
      <c r="CQ132" s="852"/>
      <c r="CR132" s="852"/>
      <c r="CS132" s="852"/>
      <c r="CT132" s="852"/>
      <c r="CU132" s="852"/>
      <c r="CV132" s="852"/>
      <c r="CW132" s="852"/>
      <c r="CX132" s="852"/>
      <c r="CY132" s="852"/>
      <c r="CZ132" s="852"/>
      <c r="DA132" s="852"/>
      <c r="DB132" s="852"/>
      <c r="DC132" s="852"/>
      <c r="DD132" s="1517"/>
      <c r="DE132" s="1483"/>
      <c r="DF132" s="24"/>
      <c r="DG132" s="23"/>
      <c r="DH132" s="24"/>
      <c r="DI132" s="24"/>
      <c r="DJ132" s="24"/>
      <c r="DK132" s="24"/>
      <c r="DL132" s="141"/>
      <c r="DM132" s="24"/>
      <c r="DN132" s="24"/>
      <c r="DO132" s="24"/>
      <c r="DP132" s="24"/>
      <c r="DQ132" s="24"/>
      <c r="DR132" s="24"/>
      <c r="DS132" s="23"/>
      <c r="DT132" s="24"/>
      <c r="DU132" s="24"/>
      <c r="DV132" s="24"/>
      <c r="DW132" s="25"/>
      <c r="DX132" s="24"/>
      <c r="DY132" s="24"/>
      <c r="DZ132" s="1561"/>
    </row>
    <row r="133" spans="1:136" ht="11.25" customHeight="1">
      <c r="A133" s="3"/>
      <c r="B133" s="207"/>
      <c r="C133" s="201" t="s">
        <v>689</v>
      </c>
      <c r="D133" s="201"/>
      <c r="E133" s="202"/>
      <c r="F133" s="492">
        <f t="shared" ref="F133:AK133" si="370">F68/F$11</f>
        <v>7.540896301777239E-2</v>
      </c>
      <c r="G133" s="492">
        <f t="shared" si="370"/>
        <v>5.9862528268960227E-2</v>
      </c>
      <c r="H133" s="492">
        <f t="shared" si="370"/>
        <v>6.2699937270749989E-2</v>
      </c>
      <c r="I133" s="493">
        <f t="shared" si="370"/>
        <v>3.4403916328200945E-2</v>
      </c>
      <c r="J133" s="492">
        <f t="shared" si="370"/>
        <v>6.5416618474496702E-2</v>
      </c>
      <c r="K133" s="492">
        <f t="shared" si="370"/>
        <v>5.0832651782762285E-2</v>
      </c>
      <c r="L133" s="492">
        <f t="shared" si="370"/>
        <v>5.5820907775621154E-2</v>
      </c>
      <c r="M133" s="493">
        <f t="shared" si="370"/>
        <v>5.6648023200757576E-2</v>
      </c>
      <c r="N133" s="492">
        <f t="shared" si="370"/>
        <v>5.4749514485592614E-2</v>
      </c>
      <c r="O133" s="492">
        <f t="shared" si="370"/>
        <v>4.5911317524256E-2</v>
      </c>
      <c r="P133" s="492">
        <f t="shared" si="370"/>
        <v>4.9198220682318959E-2</v>
      </c>
      <c r="Q133" s="493">
        <f t="shared" si="370"/>
        <v>4.9466208481932429E-2</v>
      </c>
      <c r="R133" s="492">
        <f t="shared" si="370"/>
        <v>8.9187595498317229E-2</v>
      </c>
      <c r="S133" s="492">
        <f t="shared" si="370"/>
        <v>5.2706174469442084E-2</v>
      </c>
      <c r="T133" s="492">
        <f t="shared" si="370"/>
        <v>6.209181502006389E-2</v>
      </c>
      <c r="U133" s="493">
        <f t="shared" si="370"/>
        <v>6.2500547912465051E-2</v>
      </c>
      <c r="V133" s="492">
        <f t="shared" si="370"/>
        <v>6.556767984606128E-2</v>
      </c>
      <c r="W133" s="492">
        <f t="shared" si="370"/>
        <v>6.2517993486967835E-2</v>
      </c>
      <c r="X133" s="492">
        <f t="shared" si="370"/>
        <v>6.5985753328904648E-2</v>
      </c>
      <c r="Y133" s="493">
        <f t="shared" si="370"/>
        <v>6.8164871913638431E-2</v>
      </c>
      <c r="Z133" s="492">
        <f t="shared" si="370"/>
        <v>6.931345353777206E-2</v>
      </c>
      <c r="AA133" s="492">
        <f t="shared" si="370"/>
        <v>6.8214324586356748E-2</v>
      </c>
      <c r="AB133" s="492">
        <f t="shared" si="370"/>
        <v>6.972191082221757E-2</v>
      </c>
      <c r="AC133" s="493">
        <f t="shared" si="370"/>
        <v>6.5959133118762725E-2</v>
      </c>
      <c r="AD133" s="492">
        <f t="shared" si="370"/>
        <v>5.9335497799563645E-2</v>
      </c>
      <c r="AE133" s="492">
        <f t="shared" si="370"/>
        <v>5.3922701023228298E-2</v>
      </c>
      <c r="AF133" s="492">
        <f t="shared" si="370"/>
        <v>5.319036619903552E-2</v>
      </c>
      <c r="AG133" s="492">
        <f t="shared" si="370"/>
        <v>5.7803139401719869E-2</v>
      </c>
      <c r="AH133" s="497">
        <f t="shared" si="370"/>
        <v>5.1529212259003962E-2</v>
      </c>
      <c r="AI133" s="492">
        <f t="shared" si="370"/>
        <v>5.5351299970743693E-2</v>
      </c>
      <c r="AJ133" s="492">
        <f t="shared" si="370"/>
        <v>5.8265483679159714E-2</v>
      </c>
      <c r="AK133" s="493">
        <f t="shared" si="370"/>
        <v>6.4222694771854077E-2</v>
      </c>
      <c r="AL133" s="492">
        <f t="shared" ref="AL133:BQ133" si="371">AL68/AL$11</f>
        <v>6.3063369248704787E-2</v>
      </c>
      <c r="AM133" s="492">
        <f t="shared" si="371"/>
        <v>7.4062381554063916E-2</v>
      </c>
      <c r="AN133" s="492">
        <f t="shared" si="371"/>
        <v>7.8522914529023574E-2</v>
      </c>
      <c r="AO133" s="493">
        <f t="shared" si="371"/>
        <v>6.8458105621453547E-2</v>
      </c>
      <c r="AP133" s="492">
        <f t="shared" si="371"/>
        <v>6.4311594202898545E-2</v>
      </c>
      <c r="AQ133" s="492">
        <f t="shared" si="371"/>
        <v>5.8801069110347458E-2</v>
      </c>
      <c r="AR133" s="492">
        <f t="shared" si="371"/>
        <v>6.0583112457402499E-2</v>
      </c>
      <c r="AS133" s="493">
        <f t="shared" si="371"/>
        <v>6.4651553316540725E-2</v>
      </c>
      <c r="AT133" s="492">
        <f t="shared" si="371"/>
        <v>6.8246832856559053E-2</v>
      </c>
      <c r="AU133" s="492">
        <f t="shared" si="371"/>
        <v>6.8282828282828278E-2</v>
      </c>
      <c r="AV133" s="492">
        <f t="shared" si="371"/>
        <v>7.9484902309058608E-2</v>
      </c>
      <c r="AW133" s="493">
        <f t="shared" si="371"/>
        <v>7.8235538909696214E-2</v>
      </c>
      <c r="AX133" s="492">
        <f t="shared" si="371"/>
        <v>7.1640682999257604E-2</v>
      </c>
      <c r="AY133" s="492">
        <f t="shared" si="371"/>
        <v>9.5739348370927319E-2</v>
      </c>
      <c r="AZ133" s="492">
        <f t="shared" si="371"/>
        <v>8.7314662273476118E-2</v>
      </c>
      <c r="BA133" s="493">
        <f t="shared" si="371"/>
        <v>8.5401766933108955E-2</v>
      </c>
      <c r="BB133" s="492">
        <f t="shared" si="371"/>
        <v>9.8141263940520446E-2</v>
      </c>
      <c r="BC133" s="492">
        <f t="shared" si="371"/>
        <v>9.884937238493724E-2</v>
      </c>
      <c r="BD133" s="492">
        <f t="shared" si="371"/>
        <v>0.10520722635494155</v>
      </c>
      <c r="BE133" s="493">
        <f t="shared" si="371"/>
        <v>0.10783261802575107</v>
      </c>
      <c r="BF133" s="492">
        <f t="shared" si="371"/>
        <v>0.10541535226077813</v>
      </c>
      <c r="BG133" s="492">
        <f t="shared" si="371"/>
        <v>0.10599194360523666</v>
      </c>
      <c r="BH133" s="492">
        <f t="shared" si="371"/>
        <v>0.11288144747502026</v>
      </c>
      <c r="BI133" s="493">
        <f t="shared" si="371"/>
        <v>0.11750205423171733</v>
      </c>
      <c r="BJ133" s="492">
        <f t="shared" si="371"/>
        <v>0.11082931777834136</v>
      </c>
      <c r="BK133" s="492">
        <f t="shared" si="371"/>
        <v>0.1095679012345679</v>
      </c>
      <c r="BL133" s="492">
        <f t="shared" si="371"/>
        <v>0.1132394366197183</v>
      </c>
      <c r="BM133" s="493">
        <f t="shared" si="371"/>
        <v>0.11939830774052021</v>
      </c>
      <c r="BN133" s="492">
        <f t="shared" si="371"/>
        <v>0.11458333333333333</v>
      </c>
      <c r="BO133" s="492">
        <f t="shared" si="371"/>
        <v>0.1172746457642448</v>
      </c>
      <c r="BP133" s="492">
        <f t="shared" si="371"/>
        <v>0.12721474131821403</v>
      </c>
      <c r="BQ133" s="493">
        <f t="shared" si="371"/>
        <v>0.1413447782546495</v>
      </c>
      <c r="BR133" s="492">
        <f t="shared" ref="BR133:BY133" si="372">BR68/BR$11</f>
        <v>0.13555366991938905</v>
      </c>
      <c r="BS133" s="492">
        <f t="shared" si="372"/>
        <v>0.11968085106382979</v>
      </c>
      <c r="BT133" s="492">
        <f t="shared" si="372"/>
        <v>0.13185631318563132</v>
      </c>
      <c r="BU133" s="493">
        <f t="shared" si="372"/>
        <v>0.12474184221396117</v>
      </c>
      <c r="BV133" s="492">
        <f t="shared" si="372"/>
        <v>0.11426365566492955</v>
      </c>
      <c r="BW133" s="492">
        <f t="shared" si="372"/>
        <v>0.11787856071964017</v>
      </c>
      <c r="BX133" s="492">
        <f t="shared" si="372"/>
        <v>0.122</v>
      </c>
      <c r="BY133" s="493">
        <f t="shared" si="372"/>
        <v>0.121</v>
      </c>
      <c r="BZ133" s="492">
        <f t="shared" ref="BZ133:CC134" si="373">BZ68/BZ$11</f>
        <v>0.11499999999999999</v>
      </c>
      <c r="CA133" s="492">
        <f t="shared" si="373"/>
        <v>0.11500000000000002</v>
      </c>
      <c r="CB133" s="492">
        <f t="shared" si="373"/>
        <v>0.125</v>
      </c>
      <c r="CC133" s="493">
        <f t="shared" si="373"/>
        <v>0.12</v>
      </c>
      <c r="CD133" s="9"/>
      <c r="CE133" s="492">
        <f t="shared" ref="CE133:DA133" si="374">CE68/CE$11</f>
        <v>5.8043649200979631E-2</v>
      </c>
      <c r="CF133" s="492">
        <f t="shared" si="374"/>
        <v>5.666313500224552E-2</v>
      </c>
      <c r="CG133" s="492">
        <f t="shared" si="374"/>
        <v>4.9549409714750504E-2</v>
      </c>
      <c r="CH133" s="492">
        <f t="shared" si="374"/>
        <v>6.5972454879374948E-2</v>
      </c>
      <c r="CI133" s="492">
        <f t="shared" si="374"/>
        <v>6.5544231170263478E-2</v>
      </c>
      <c r="CJ133" s="492">
        <f t="shared" si="374"/>
        <v>6.8298096748524162E-2</v>
      </c>
      <c r="CK133" s="492">
        <f t="shared" si="374"/>
        <v>5.5954731892395047E-2</v>
      </c>
      <c r="CL133" s="492">
        <f t="shared" si="374"/>
        <v>5.7467107920760194E-2</v>
      </c>
      <c r="CM133" s="492">
        <f t="shared" si="374"/>
        <v>7.0452246454494383E-2</v>
      </c>
      <c r="CN133" s="492">
        <f t="shared" si="374"/>
        <v>6.1928934010152287E-2</v>
      </c>
      <c r="CO133" s="492">
        <f t="shared" si="374"/>
        <v>7.3405032891302083E-2</v>
      </c>
      <c r="CP133" s="492">
        <f t="shared" si="374"/>
        <v>8.4548805898381152E-2</v>
      </c>
      <c r="CQ133" s="492">
        <f t="shared" si="374"/>
        <v>0.10240375219855384</v>
      </c>
      <c r="CR133" s="492">
        <f t="shared" si="374"/>
        <v>0.11031064111037674</v>
      </c>
      <c r="CS133" s="492">
        <f t="shared" si="374"/>
        <v>0.11295635465275872</v>
      </c>
      <c r="CT133" s="492">
        <f t="shared" si="374"/>
        <v>0.1252116361397568</v>
      </c>
      <c r="CU133" s="492">
        <f t="shared" si="374"/>
        <v>0.1278479023725973</v>
      </c>
      <c r="CV133" s="492">
        <f t="shared" si="374"/>
        <v>0.11870660637635201</v>
      </c>
      <c r="CW133" s="492">
        <f>CW68/CW$11</f>
        <v>0.11857795076669239</v>
      </c>
      <c r="CX133" s="492">
        <f t="shared" si="374"/>
        <v>0.115</v>
      </c>
      <c r="CY133" s="492">
        <f t="shared" si="374"/>
        <v>0.11700000000000001</v>
      </c>
      <c r="CZ133" s="492">
        <f t="shared" si="374"/>
        <v>0.11499999999999999</v>
      </c>
      <c r="DA133" s="492">
        <f t="shared" si="374"/>
        <v>0.11299999999999999</v>
      </c>
      <c r="DB133" s="492">
        <f>DB68/DB$11</f>
        <v>0.111</v>
      </c>
      <c r="DC133" s="492">
        <f>DC68/DC$11</f>
        <v>0.10900000000000001</v>
      </c>
      <c r="DD133" s="1517"/>
      <c r="DE133" s="1483"/>
      <c r="DF133" s="24"/>
      <c r="DG133" s="23"/>
      <c r="DH133" s="24"/>
      <c r="DI133" s="24"/>
      <c r="DJ133" s="24"/>
      <c r="DK133" s="24"/>
      <c r="DL133" s="141"/>
      <c r="DM133" s="24"/>
      <c r="DN133" s="24"/>
      <c r="DO133" s="24"/>
      <c r="DP133" s="492">
        <f t="shared" ref="DP133:DR134" si="375">DP68/DP$11</f>
        <v>6.535947712418301E-2</v>
      </c>
      <c r="DQ133" s="492">
        <f t="shared" si="375"/>
        <v>8.0372431506849321E-2</v>
      </c>
      <c r="DR133" s="492">
        <f t="shared" si="375"/>
        <v>9.2344069529652351E-2</v>
      </c>
      <c r="DS133" s="497"/>
      <c r="DT133" s="492"/>
      <c r="DU133" s="492"/>
      <c r="DV133" s="492"/>
      <c r="DW133" s="493"/>
      <c r="DX133" s="492"/>
      <c r="DY133" s="492"/>
      <c r="DZ133" s="1561"/>
    </row>
    <row r="134" spans="1:136" ht="11.25" customHeight="1">
      <c r="A134" s="3"/>
      <c r="B134" s="207"/>
      <c r="C134" s="201" t="s">
        <v>0</v>
      </c>
      <c r="D134" s="201"/>
      <c r="E134" s="202"/>
      <c r="F134" s="492">
        <f t="shared" ref="F134:AK134" si="376">F69/F$11</f>
        <v>6.9569663922180378E-2</v>
      </c>
      <c r="G134" s="492">
        <f t="shared" si="376"/>
        <v>5.6849546806275263E-2</v>
      </c>
      <c r="H134" s="492">
        <f t="shared" si="376"/>
        <v>5.9065158298532608E-2</v>
      </c>
      <c r="I134" s="493">
        <f t="shared" si="376"/>
        <v>5.3011302670642663E-2</v>
      </c>
      <c r="J134" s="492">
        <f t="shared" si="376"/>
        <v>6.2066979178714711E-2</v>
      </c>
      <c r="K134" s="492">
        <f t="shared" si="376"/>
        <v>4.9583239076339471E-2</v>
      </c>
      <c r="L134" s="492">
        <f t="shared" si="376"/>
        <v>5.0028013473543499E-2</v>
      </c>
      <c r="M134" s="493">
        <f t="shared" si="376"/>
        <v>4.8386082504734848E-2</v>
      </c>
      <c r="N134" s="492">
        <f t="shared" si="376"/>
        <v>4.5365549948518234E-2</v>
      </c>
      <c r="O134" s="492">
        <f t="shared" si="376"/>
        <v>4.4867939137043907E-2</v>
      </c>
      <c r="P134" s="492">
        <f t="shared" si="376"/>
        <v>4.2793073078081098E-2</v>
      </c>
      <c r="Q134" s="493">
        <f t="shared" si="376"/>
        <v>4.5751465277360584E-2</v>
      </c>
      <c r="R134" s="492">
        <f t="shared" si="376"/>
        <v>3.8643290985142159E-2</v>
      </c>
      <c r="S134" s="492">
        <f t="shared" si="376"/>
        <v>3.174349144182307E-2</v>
      </c>
      <c r="T134" s="492">
        <f t="shared" si="376"/>
        <v>3.632037351711264E-2</v>
      </c>
      <c r="U134" s="493">
        <f t="shared" si="376"/>
        <v>3.2452207569933778E-2</v>
      </c>
      <c r="V134" s="492">
        <f t="shared" si="376"/>
        <v>3.3876634587131658E-2</v>
      </c>
      <c r="W134" s="492">
        <f t="shared" si="376"/>
        <v>3.5500167155916404E-2</v>
      </c>
      <c r="X134" s="492">
        <f t="shared" si="376"/>
        <v>3.8700046433426775E-2</v>
      </c>
      <c r="Y134" s="493">
        <f t="shared" si="376"/>
        <v>4.0409752460503288E-2</v>
      </c>
      <c r="Z134" s="492">
        <f t="shared" si="376"/>
        <v>4.0003764613228444E-2</v>
      </c>
      <c r="AA134" s="492">
        <f t="shared" si="376"/>
        <v>4.2790613060732972E-2</v>
      </c>
      <c r="AB134" s="492">
        <f t="shared" si="376"/>
        <v>3.4107923337425364E-2</v>
      </c>
      <c r="AC134" s="493">
        <f t="shared" si="376"/>
        <v>3.5743217388379801E-2</v>
      </c>
      <c r="AD134" s="492">
        <f t="shared" si="376"/>
        <v>3.4810158709077339E-2</v>
      </c>
      <c r="AE134" s="492">
        <f t="shared" si="376"/>
        <v>3.9216509835075124E-2</v>
      </c>
      <c r="AF134" s="492">
        <f t="shared" si="376"/>
        <v>2.269455624492182E-2</v>
      </c>
      <c r="AG134" s="492">
        <f t="shared" si="376"/>
        <v>3.4389209517478911E-2</v>
      </c>
      <c r="AH134" s="497">
        <f t="shared" si="376"/>
        <v>2.7180243828925168E-2</v>
      </c>
      <c r="AI134" s="492">
        <f t="shared" si="376"/>
        <v>2.6768251625195721E-2</v>
      </c>
      <c r="AJ134" s="492">
        <f t="shared" si="376"/>
        <v>2.6527374683194667E-2</v>
      </c>
      <c r="AK134" s="493">
        <f t="shared" si="376"/>
        <v>2.8097428962686157E-2</v>
      </c>
      <c r="AL134" s="492">
        <f t="shared" ref="AL134:BQ134" si="377">AL69/AL$11</f>
        <v>2.7027158249444905E-2</v>
      </c>
      <c r="AM134" s="492">
        <f t="shared" si="377"/>
        <v>2.6333291219222725E-2</v>
      </c>
      <c r="AN134" s="492">
        <f t="shared" si="377"/>
        <v>3.0780982495377241E-2</v>
      </c>
      <c r="AO134" s="493">
        <f t="shared" si="377"/>
        <v>2.6968344638754426E-2</v>
      </c>
      <c r="AP134" s="492">
        <f t="shared" si="377"/>
        <v>2.4003623188405796E-2</v>
      </c>
      <c r="AQ134" s="492">
        <f t="shared" si="377"/>
        <v>2.2909507445589918E-2</v>
      </c>
      <c r="AR134" s="492">
        <f t="shared" si="377"/>
        <v>2.4233244982960998E-2</v>
      </c>
      <c r="AS134" s="493">
        <f t="shared" si="377"/>
        <v>2.5608732157850547E-2</v>
      </c>
      <c r="AT134" s="492">
        <f t="shared" si="377"/>
        <v>2.4111156518185534E-2</v>
      </c>
      <c r="AU134" s="492">
        <f t="shared" si="377"/>
        <v>2.6666666666666668E-2</v>
      </c>
      <c r="AV134" s="492">
        <f t="shared" si="377"/>
        <v>2.7975133214920071E-2</v>
      </c>
      <c r="AW134" s="493">
        <f t="shared" si="377"/>
        <v>3.0794839783603829E-2</v>
      </c>
      <c r="AX134" s="492">
        <f t="shared" si="377"/>
        <v>2.5241276911655532E-2</v>
      </c>
      <c r="AY134" s="492">
        <f t="shared" si="377"/>
        <v>4.1102756892230578E-2</v>
      </c>
      <c r="AZ134" s="492">
        <f t="shared" si="377"/>
        <v>3.887973640856672E-2</v>
      </c>
      <c r="BA134" s="493">
        <f t="shared" si="377"/>
        <v>3.4917963819941104E-2</v>
      </c>
      <c r="BB134" s="492">
        <f t="shared" si="377"/>
        <v>4.1635687732342004E-2</v>
      </c>
      <c r="BC134" s="492">
        <f t="shared" si="377"/>
        <v>3.9487447698744772E-2</v>
      </c>
      <c r="BD134" s="492">
        <f t="shared" si="377"/>
        <v>4.3304994686503721E-2</v>
      </c>
      <c r="BE134" s="493">
        <f t="shared" si="377"/>
        <v>4.3454935622317593E-2</v>
      </c>
      <c r="BF134" s="492">
        <f t="shared" si="377"/>
        <v>4.5478443743427972E-2</v>
      </c>
      <c r="BG134" s="492">
        <f t="shared" si="377"/>
        <v>4.9093655589123868E-2</v>
      </c>
      <c r="BH134" s="492">
        <f t="shared" si="377"/>
        <v>4.9419389684039965E-2</v>
      </c>
      <c r="BI134" s="493">
        <f t="shared" si="377"/>
        <v>4.6288688030676525E-2</v>
      </c>
      <c r="BJ134" s="492">
        <f t="shared" si="377"/>
        <v>4.1339081917321836E-2</v>
      </c>
      <c r="BK134" s="492">
        <f t="shared" si="377"/>
        <v>3.9351851851851853E-2</v>
      </c>
      <c r="BL134" s="492">
        <f t="shared" si="377"/>
        <v>4.5633802816901409E-2</v>
      </c>
      <c r="BM134" s="493">
        <f t="shared" si="377"/>
        <v>4.5753682231275461E-2</v>
      </c>
      <c r="BN134" s="492">
        <f t="shared" si="377"/>
        <v>4.3452380952380951E-2</v>
      </c>
      <c r="BO134" s="492">
        <f t="shared" si="377"/>
        <v>3.8890563762435937E-2</v>
      </c>
      <c r="BP134" s="492">
        <f t="shared" si="377"/>
        <v>3.1892274982282066E-2</v>
      </c>
      <c r="BQ134" s="493">
        <f t="shared" si="377"/>
        <v>4.2060085836909872E-2</v>
      </c>
      <c r="BR134" s="492">
        <f t="shared" ref="BR134:BY134" si="378">BR69/BR$11</f>
        <v>4.7518031395842174E-2</v>
      </c>
      <c r="BS134" s="492">
        <f t="shared" si="378"/>
        <v>4.3371522094926347E-2</v>
      </c>
      <c r="BT134" s="492">
        <f t="shared" si="378"/>
        <v>4.2589804258980429E-2</v>
      </c>
      <c r="BU134" s="493">
        <f t="shared" si="378"/>
        <v>4.2957455596860802E-2</v>
      </c>
      <c r="BV134" s="492">
        <f t="shared" si="378"/>
        <v>4.3813935533680758E-2</v>
      </c>
      <c r="BW134" s="492">
        <f t="shared" si="378"/>
        <v>4.4227886056971512E-2</v>
      </c>
      <c r="BX134" s="492">
        <f t="shared" si="378"/>
        <v>0.05</v>
      </c>
      <c r="BY134" s="493">
        <f t="shared" si="378"/>
        <v>4.5999999999999999E-2</v>
      </c>
      <c r="BZ134" s="492">
        <f t="shared" si="373"/>
        <v>4.4999999999999998E-2</v>
      </c>
      <c r="CA134" s="492">
        <f t="shared" si="373"/>
        <v>4.3999999999999997E-2</v>
      </c>
      <c r="CB134" s="492">
        <f t="shared" si="373"/>
        <v>4.5999999999999999E-2</v>
      </c>
      <c r="CC134" s="493">
        <f t="shared" si="373"/>
        <v>4.3999999999999997E-2</v>
      </c>
      <c r="CD134" s="9"/>
      <c r="CE134" s="492">
        <f t="shared" ref="CE134:DA134" si="379">CE69/CE$11</f>
        <v>5.9297877742921029E-2</v>
      </c>
      <c r="CF134" s="492">
        <f t="shared" si="379"/>
        <v>5.1964256753624226E-2</v>
      </c>
      <c r="CG134" s="492">
        <f t="shared" si="379"/>
        <v>4.465700326184642E-2</v>
      </c>
      <c r="CH134" s="492">
        <f t="shared" si="379"/>
        <v>3.4660155399313407E-2</v>
      </c>
      <c r="CI134" s="492">
        <f t="shared" si="379"/>
        <v>3.7210435641315202E-2</v>
      </c>
      <c r="CJ134" s="492">
        <f t="shared" si="379"/>
        <v>3.8122546414437596E-2</v>
      </c>
      <c r="CK134" s="492">
        <f t="shared" si="379"/>
        <v>3.2731689571041549E-2</v>
      </c>
      <c r="CL134" s="492">
        <f t="shared" si="379"/>
        <v>2.7123484126393281E-2</v>
      </c>
      <c r="CM134" s="492">
        <f t="shared" si="379"/>
        <v>2.7644119561192084E-2</v>
      </c>
      <c r="CN134" s="492">
        <f t="shared" si="379"/>
        <v>2.4162436548223351E-2</v>
      </c>
      <c r="CO134" s="492">
        <f t="shared" si="379"/>
        <v>2.735720998224914E-2</v>
      </c>
      <c r="CP134" s="492">
        <f t="shared" si="379"/>
        <v>3.4781214938291394E-2</v>
      </c>
      <c r="CQ134" s="492">
        <f t="shared" si="379"/>
        <v>4.1951664386684906E-2</v>
      </c>
      <c r="CR134" s="492">
        <f t="shared" si="379"/>
        <v>4.758757435558493E-2</v>
      </c>
      <c r="CS134" s="492">
        <f t="shared" si="379"/>
        <v>4.2821850123524567E-2</v>
      </c>
      <c r="CT134" s="492">
        <f t="shared" si="379"/>
        <v>3.9402801292904417E-2</v>
      </c>
      <c r="CU134" s="492">
        <f t="shared" si="379"/>
        <v>4.4099931912219135E-2</v>
      </c>
      <c r="CV134" s="492">
        <f t="shared" si="379"/>
        <v>4.5943677549395753E-2</v>
      </c>
      <c r="CW134" s="492">
        <f>CW69/CW$11</f>
        <v>4.4751457712690949E-2</v>
      </c>
      <c r="CX134" s="492">
        <f t="shared" si="379"/>
        <v>4.4999999999999998E-2</v>
      </c>
      <c r="CY134" s="492">
        <f t="shared" si="379"/>
        <v>4.2000000000000003E-2</v>
      </c>
      <c r="CZ134" s="492">
        <f t="shared" si="379"/>
        <v>4.1000000000000002E-2</v>
      </c>
      <c r="DA134" s="492">
        <f t="shared" si="379"/>
        <v>0.04</v>
      </c>
      <c r="DB134" s="492">
        <f>DB69/DB$11</f>
        <v>0.04</v>
      </c>
      <c r="DC134" s="492">
        <f>DC69/DC$11</f>
        <v>0.04</v>
      </c>
      <c r="DD134" s="1517"/>
      <c r="DE134" s="1483"/>
      <c r="DF134" s="24"/>
      <c r="DG134" s="23"/>
      <c r="DH134" s="24"/>
      <c r="DI134" s="24"/>
      <c r="DJ134" s="24"/>
      <c r="DK134" s="24"/>
      <c r="DL134" s="141"/>
      <c r="DM134" s="24"/>
      <c r="DN134" s="24"/>
      <c r="DO134" s="24"/>
      <c r="DP134" s="492">
        <f t="shared" si="375"/>
        <v>2.513826043237808E-2</v>
      </c>
      <c r="DQ134" s="492">
        <f t="shared" si="375"/>
        <v>3.0714897260273974E-2</v>
      </c>
      <c r="DR134" s="492">
        <f t="shared" si="375"/>
        <v>3.8535276073619631E-2</v>
      </c>
      <c r="DS134" s="497"/>
      <c r="DT134" s="492"/>
      <c r="DU134" s="492"/>
      <c r="DV134" s="492"/>
      <c r="DW134" s="493"/>
      <c r="DX134" s="492"/>
      <c r="DY134" s="492"/>
      <c r="DZ134" s="1561"/>
    </row>
    <row r="135" spans="1:136" ht="11.25" customHeight="1">
      <c r="A135" s="3"/>
      <c r="B135" s="207"/>
      <c r="C135" s="201" t="s">
        <v>79</v>
      </c>
      <c r="D135" s="201"/>
      <c r="E135" s="202"/>
      <c r="F135" s="492">
        <f t="shared" ref="F135:AK135" si="380">F67/F$11</f>
        <v>0.14497862693995278</v>
      </c>
      <c r="G135" s="492">
        <f t="shared" si="380"/>
        <v>0.1167120750752355</v>
      </c>
      <c r="H135" s="492">
        <f t="shared" si="380"/>
        <v>0.1217650955692826</v>
      </c>
      <c r="I135" s="493">
        <f t="shared" si="380"/>
        <v>8.7415218998843608E-2</v>
      </c>
      <c r="J135" s="492">
        <f t="shared" si="380"/>
        <v>0.12748359765321141</v>
      </c>
      <c r="K135" s="492">
        <f t="shared" si="380"/>
        <v>0.10041589085910176</v>
      </c>
      <c r="L135" s="492">
        <f t="shared" si="380"/>
        <v>0.10584892124916466</v>
      </c>
      <c r="M135" s="493">
        <f t="shared" si="380"/>
        <v>0.10503410570549242</v>
      </c>
      <c r="N135" s="492">
        <f t="shared" si="380"/>
        <v>0.10011506443411085</v>
      </c>
      <c r="O135" s="492">
        <f t="shared" si="380"/>
        <v>9.0779256661299906E-2</v>
      </c>
      <c r="P135" s="492">
        <f t="shared" si="380"/>
        <v>9.199129376040005E-2</v>
      </c>
      <c r="Q135" s="493">
        <f t="shared" si="380"/>
        <v>9.521767375929302E-2</v>
      </c>
      <c r="R135" s="492">
        <f t="shared" si="380"/>
        <v>0.12783088648345942</v>
      </c>
      <c r="S135" s="492">
        <f t="shared" si="380"/>
        <v>8.4449665911265154E-2</v>
      </c>
      <c r="T135" s="492">
        <f t="shared" si="380"/>
        <v>9.8412188537176537E-2</v>
      </c>
      <c r="U135" s="493">
        <f t="shared" si="380"/>
        <v>9.4952755482398829E-2</v>
      </c>
      <c r="V135" s="492">
        <f t="shared" si="380"/>
        <v>9.9444314433192946E-2</v>
      </c>
      <c r="W135" s="492">
        <f t="shared" si="380"/>
        <v>9.8018160642884239E-2</v>
      </c>
      <c r="X135" s="492">
        <f t="shared" si="380"/>
        <v>0.10468579976233143</v>
      </c>
      <c r="Y135" s="493">
        <f t="shared" si="380"/>
        <v>0.10857462437414171</v>
      </c>
      <c r="Z135" s="492">
        <f t="shared" si="380"/>
        <v>0.10931721815100051</v>
      </c>
      <c r="AA135" s="492">
        <f t="shared" si="380"/>
        <v>0.11100493764708971</v>
      </c>
      <c r="AB135" s="492">
        <f t="shared" si="380"/>
        <v>0.10382983415964293</v>
      </c>
      <c r="AC135" s="493">
        <f t="shared" si="380"/>
        <v>0.10170235050714253</v>
      </c>
      <c r="AD135" s="492">
        <f t="shared" si="380"/>
        <v>9.4145656508640985E-2</v>
      </c>
      <c r="AE135" s="492">
        <f t="shared" si="380"/>
        <v>9.3139210858303415E-2</v>
      </c>
      <c r="AF135" s="492">
        <f t="shared" si="380"/>
        <v>7.5884922443957337E-2</v>
      </c>
      <c r="AG135" s="492">
        <f t="shared" si="380"/>
        <v>9.219234891919878E-2</v>
      </c>
      <c r="AH135" s="497">
        <f t="shared" si="380"/>
        <v>7.8709456087929133E-2</v>
      </c>
      <c r="AI135" s="492">
        <f t="shared" si="380"/>
        <v>8.2119551595939422E-2</v>
      </c>
      <c r="AJ135" s="492">
        <f t="shared" si="380"/>
        <v>8.4792858362354381E-2</v>
      </c>
      <c r="AK135" s="493">
        <f t="shared" si="380"/>
        <v>9.2320123734540238E-2</v>
      </c>
      <c r="AL135" s="492">
        <f t="shared" ref="AL135:BQ135" si="381">AL67/AL$11</f>
        <v>9.0090527498149692E-2</v>
      </c>
      <c r="AM135" s="492">
        <f t="shared" si="381"/>
        <v>0.10039567277328663</v>
      </c>
      <c r="AN135" s="492">
        <f t="shared" si="381"/>
        <v>0.10930389702440081</v>
      </c>
      <c r="AO135" s="493">
        <f t="shared" si="381"/>
        <v>9.5426450260207976E-2</v>
      </c>
      <c r="AP135" s="492">
        <f t="shared" si="381"/>
        <v>8.8315217391304351E-2</v>
      </c>
      <c r="AQ135" s="492">
        <f t="shared" si="381"/>
        <v>8.1710576555937386E-2</v>
      </c>
      <c r="AR135" s="492">
        <f t="shared" si="381"/>
        <v>8.4816357440363505E-2</v>
      </c>
      <c r="AS135" s="493">
        <f t="shared" si="381"/>
        <v>9.0260285474391272E-2</v>
      </c>
      <c r="AT135" s="492">
        <f t="shared" si="381"/>
        <v>9.2357989374744584E-2</v>
      </c>
      <c r="AU135" s="492">
        <f t="shared" si="381"/>
        <v>9.494949494949495E-2</v>
      </c>
      <c r="AV135" s="492">
        <f t="shared" si="381"/>
        <v>0.10746003552397869</v>
      </c>
      <c r="AW135" s="493">
        <f t="shared" si="381"/>
        <v>0.10903037869330004</v>
      </c>
      <c r="AX135" s="492">
        <f t="shared" si="381"/>
        <v>9.688195991091314E-2</v>
      </c>
      <c r="AY135" s="492">
        <f t="shared" si="381"/>
        <v>0.1368421052631579</v>
      </c>
      <c r="AZ135" s="492">
        <f t="shared" si="381"/>
        <v>0.12619439868204282</v>
      </c>
      <c r="BA135" s="493">
        <f t="shared" si="381"/>
        <v>0.12031973075305007</v>
      </c>
      <c r="BB135" s="492">
        <f t="shared" si="381"/>
        <v>0.13977695167286244</v>
      </c>
      <c r="BC135" s="492">
        <f t="shared" si="381"/>
        <v>0.13833682008368201</v>
      </c>
      <c r="BD135" s="492">
        <f t="shared" si="381"/>
        <v>0.14851222104144526</v>
      </c>
      <c r="BE135" s="493">
        <f t="shared" si="381"/>
        <v>0.15128755364806867</v>
      </c>
      <c r="BF135" s="492">
        <f t="shared" si="381"/>
        <v>0.1508937960042061</v>
      </c>
      <c r="BG135" s="492">
        <f t="shared" si="381"/>
        <v>0.15508559919436052</v>
      </c>
      <c r="BH135" s="492">
        <f t="shared" si="381"/>
        <v>0.16230083715906021</v>
      </c>
      <c r="BI135" s="493">
        <f t="shared" si="381"/>
        <v>0.16379074226239387</v>
      </c>
      <c r="BJ135" s="492">
        <f t="shared" si="381"/>
        <v>0.1521683996956632</v>
      </c>
      <c r="BK135" s="492">
        <f t="shared" si="381"/>
        <v>0.14891975308641975</v>
      </c>
      <c r="BL135" s="492">
        <f t="shared" si="381"/>
        <v>0.15887323943661971</v>
      </c>
      <c r="BM135" s="493">
        <f t="shared" si="381"/>
        <v>0.16515198997179567</v>
      </c>
      <c r="BN135" s="492">
        <f t="shared" si="381"/>
        <v>0.15803571428571428</v>
      </c>
      <c r="BO135" s="492">
        <f t="shared" si="381"/>
        <v>0.15616520952668073</v>
      </c>
      <c r="BP135" s="492">
        <f t="shared" si="381"/>
        <v>0.15910701630049609</v>
      </c>
      <c r="BQ135" s="493">
        <f t="shared" si="381"/>
        <v>0.18340486409155937</v>
      </c>
      <c r="BR135" s="492">
        <f t="shared" ref="BR135:BY135" si="382">BR67/BR$11</f>
        <v>0.18307170131523123</v>
      </c>
      <c r="BS135" s="492">
        <f t="shared" si="382"/>
        <v>0.16305237315875615</v>
      </c>
      <c r="BT135" s="492">
        <f t="shared" si="382"/>
        <v>0.17444611744461175</v>
      </c>
      <c r="BU135" s="493">
        <f t="shared" si="382"/>
        <v>0.16769929781082196</v>
      </c>
      <c r="BV135" s="492">
        <f t="shared" si="382"/>
        <v>0.15807759119861031</v>
      </c>
      <c r="BW135" s="492">
        <f t="shared" si="382"/>
        <v>0.16210644677661171</v>
      </c>
      <c r="BX135" s="492">
        <f t="shared" si="382"/>
        <v>0.17199999999999999</v>
      </c>
      <c r="BY135" s="493">
        <f t="shared" si="382"/>
        <v>0.16700000000000001</v>
      </c>
      <c r="BZ135" s="492">
        <f>BZ67/BZ$11</f>
        <v>0.15999999999999998</v>
      </c>
      <c r="CA135" s="492">
        <f>CA67/CA$11</f>
        <v>0.15900000000000003</v>
      </c>
      <c r="CB135" s="492">
        <f>CB67/CB$11</f>
        <v>0.17099999999999999</v>
      </c>
      <c r="CC135" s="493">
        <f>CC67/CC$11</f>
        <v>0.16399999999999998</v>
      </c>
      <c r="CD135" s="9"/>
      <c r="CE135" s="492">
        <f t="shared" ref="CE135:CZ135" si="383">CE67/CE$11</f>
        <v>0.11734152694390065</v>
      </c>
      <c r="CF135" s="492">
        <f t="shared" si="383"/>
        <v>0.10862739175586975</v>
      </c>
      <c r="CG135" s="492">
        <f t="shared" si="383"/>
        <v>9.4206412976596932E-2</v>
      </c>
      <c r="CH135" s="492">
        <f t="shared" si="383"/>
        <v>0.10063261027868838</v>
      </c>
      <c r="CI135" s="492">
        <f t="shared" si="383"/>
        <v>0.10275466681157867</v>
      </c>
      <c r="CJ135" s="492">
        <f t="shared" si="383"/>
        <v>0.10642064316296175</v>
      </c>
      <c r="CK135" s="492">
        <f t="shared" si="383"/>
        <v>8.8686421463436596E-2</v>
      </c>
      <c r="CL135" s="492">
        <f t="shared" si="383"/>
        <v>8.4590592047153468E-2</v>
      </c>
      <c r="CM135" s="492">
        <f t="shared" si="383"/>
        <v>9.809636601568647E-2</v>
      </c>
      <c r="CN135" s="492">
        <f t="shared" si="383"/>
        <v>8.6091370558375638E-2</v>
      </c>
      <c r="CO135" s="492">
        <f t="shared" si="383"/>
        <v>0.10076224287355122</v>
      </c>
      <c r="CP135" s="492">
        <f t="shared" si="383"/>
        <v>0.11933002083667255</v>
      </c>
      <c r="CQ135" s="492">
        <f t="shared" si="383"/>
        <v>0.14435541658523876</v>
      </c>
      <c r="CR135" s="492">
        <f t="shared" si="383"/>
        <v>0.15789821546596167</v>
      </c>
      <c r="CS135" s="492">
        <f t="shared" si="383"/>
        <v>0.15577820477628329</v>
      </c>
      <c r="CT135" s="492">
        <f t="shared" si="383"/>
        <v>0.16461443743266121</v>
      </c>
      <c r="CU135" s="492">
        <f t="shared" si="383"/>
        <v>0.17194783428481641</v>
      </c>
      <c r="CV135" s="492">
        <f t="shared" si="383"/>
        <v>0.16465028392574776</v>
      </c>
      <c r="CW135" s="492">
        <f>CW67/CW$11</f>
        <v>0.16332940847938335</v>
      </c>
      <c r="CX135" s="492">
        <f t="shared" si="383"/>
        <v>0.16</v>
      </c>
      <c r="CY135" s="492">
        <f t="shared" si="383"/>
        <v>0.159</v>
      </c>
      <c r="CZ135" s="492">
        <f t="shared" si="383"/>
        <v>0.156</v>
      </c>
      <c r="DA135" s="492">
        <f>DA67/DA$11</f>
        <v>0.153</v>
      </c>
      <c r="DB135" s="492">
        <f>DB67/DB$11</f>
        <v>0.151</v>
      </c>
      <c r="DC135" s="492">
        <f>DC67/DC$11</f>
        <v>0.14900000000000002</v>
      </c>
      <c r="DD135" s="1517"/>
      <c r="DE135" s="1483"/>
      <c r="DF135" s="24"/>
      <c r="DG135" s="23"/>
      <c r="DH135" s="24"/>
      <c r="DI135" s="24"/>
      <c r="DJ135" s="24"/>
      <c r="DK135" s="24"/>
      <c r="DL135" s="141"/>
      <c r="DM135" s="24"/>
      <c r="DN135" s="24"/>
      <c r="DO135" s="24"/>
      <c r="DP135" s="492">
        <f>DP67/DP$11</f>
        <v>9.0497737556561084E-2</v>
      </c>
      <c r="DQ135" s="492">
        <f>DQ67/DQ$11</f>
        <v>0.11108732876712329</v>
      </c>
      <c r="DR135" s="492">
        <f>DR67/DR$11</f>
        <v>0.130879345603272</v>
      </c>
      <c r="DS135" s="497"/>
      <c r="DT135" s="492"/>
      <c r="DU135" s="492"/>
      <c r="DV135" s="492"/>
      <c r="DW135" s="493"/>
      <c r="DX135" s="492"/>
      <c r="DY135" s="492"/>
      <c r="DZ135" s="1561"/>
    </row>
    <row r="136" spans="1:136" ht="6" customHeight="1">
      <c r="A136" s="3"/>
      <c r="B136" s="207"/>
      <c r="C136" s="201"/>
      <c r="D136" s="201"/>
      <c r="E136" s="202"/>
      <c r="F136" s="492"/>
      <c r="G136" s="492"/>
      <c r="H136" s="492"/>
      <c r="I136" s="493"/>
      <c r="J136" s="492"/>
      <c r="K136" s="492"/>
      <c r="L136" s="492"/>
      <c r="M136" s="493"/>
      <c r="N136" s="492"/>
      <c r="O136" s="492"/>
      <c r="P136" s="492"/>
      <c r="Q136" s="493"/>
      <c r="R136" s="492"/>
      <c r="S136" s="492"/>
      <c r="T136" s="492"/>
      <c r="U136" s="493"/>
      <c r="V136" s="492"/>
      <c r="W136" s="492"/>
      <c r="X136" s="492"/>
      <c r="Y136" s="493"/>
      <c r="Z136" s="492"/>
      <c r="AA136" s="492"/>
      <c r="AB136" s="492"/>
      <c r="AC136" s="493"/>
      <c r="AD136" s="492"/>
      <c r="AE136" s="492"/>
      <c r="AF136" s="492"/>
      <c r="AG136" s="492"/>
      <c r="AH136" s="497"/>
      <c r="AI136" s="492"/>
      <c r="AJ136" s="492"/>
      <c r="AK136" s="493"/>
      <c r="AL136" s="492"/>
      <c r="AM136" s="492"/>
      <c r="AN136" s="492"/>
      <c r="AO136" s="493"/>
      <c r="AP136" s="492"/>
      <c r="AQ136" s="492"/>
      <c r="AR136" s="492"/>
      <c r="AS136" s="493"/>
      <c r="AT136" s="492"/>
      <c r="AU136" s="492"/>
      <c r="AV136" s="492"/>
      <c r="AW136" s="493"/>
      <c r="AX136" s="492"/>
      <c r="AY136" s="492"/>
      <c r="AZ136" s="492"/>
      <c r="BA136" s="493"/>
      <c r="BB136" s="492"/>
      <c r="BC136" s="492"/>
      <c r="BD136" s="492"/>
      <c r="BE136" s="493"/>
      <c r="BF136" s="492"/>
      <c r="BG136" s="492"/>
      <c r="BH136" s="492"/>
      <c r="BI136" s="493"/>
      <c r="BJ136" s="492"/>
      <c r="BK136" s="492"/>
      <c r="BL136" s="492"/>
      <c r="BM136" s="493"/>
      <c r="BN136" s="492"/>
      <c r="BO136" s="492"/>
      <c r="BP136" s="492"/>
      <c r="BQ136" s="493"/>
      <c r="BR136" s="492"/>
      <c r="BS136" s="492"/>
      <c r="BT136" s="492"/>
      <c r="BU136" s="493"/>
      <c r="BV136" s="492"/>
      <c r="BW136" s="492"/>
      <c r="BX136" s="492"/>
      <c r="BY136" s="493"/>
      <c r="BZ136" s="492"/>
      <c r="CA136" s="492"/>
      <c r="CB136" s="492"/>
      <c r="CC136" s="493"/>
      <c r="CD136" s="9"/>
      <c r="CE136" s="492"/>
      <c r="CF136" s="492"/>
      <c r="CG136" s="492"/>
      <c r="CH136" s="492"/>
      <c r="CI136" s="492"/>
      <c r="CJ136" s="492"/>
      <c r="CK136" s="492"/>
      <c r="CL136" s="492"/>
      <c r="CM136" s="492"/>
      <c r="CN136" s="492"/>
      <c r="CO136" s="492"/>
      <c r="CP136" s="492"/>
      <c r="CQ136" s="492"/>
      <c r="CR136" s="492"/>
      <c r="CS136" s="492"/>
      <c r="CT136" s="492"/>
      <c r="CU136" s="492"/>
      <c r="CV136" s="492"/>
      <c r="CW136" s="492"/>
      <c r="CX136" s="492"/>
      <c r="CY136" s="492"/>
      <c r="CZ136" s="492"/>
      <c r="DA136" s="492"/>
      <c r="DB136" s="492"/>
      <c r="DC136" s="492"/>
      <c r="DD136" s="1517"/>
      <c r="DE136" s="1483"/>
      <c r="DF136" s="24"/>
      <c r="DG136" s="23"/>
      <c r="DH136" s="24"/>
      <c r="DI136" s="24"/>
      <c r="DJ136" s="24"/>
      <c r="DK136" s="24"/>
      <c r="DL136" s="141"/>
      <c r="DM136" s="24"/>
      <c r="DN136" s="24"/>
      <c r="DO136" s="24"/>
      <c r="DP136" s="24"/>
      <c r="DQ136" s="24"/>
      <c r="DR136" s="24"/>
      <c r="DS136" s="23"/>
      <c r="DT136" s="24"/>
      <c r="DU136" s="24"/>
      <c r="DV136" s="24"/>
      <c r="DW136" s="25"/>
      <c r="DX136" s="24"/>
      <c r="DY136" s="24"/>
      <c r="DZ136" s="1561"/>
    </row>
    <row r="137" spans="1:136" ht="11.25" customHeight="1">
      <c r="A137" s="3"/>
      <c r="B137" s="207"/>
      <c r="C137" s="201" t="s">
        <v>10</v>
      </c>
      <c r="D137" s="201"/>
      <c r="E137" s="202"/>
      <c r="F137" s="852">
        <f>IF(ISERROR((F71+CF!F15)/IS!F$11),"NA",((F71+CF!F15)/IS!F$11))</f>
        <v>-5.1436731500638662E-2</v>
      </c>
      <c r="G137" s="852">
        <f>IF(ISERROR((G71+CF!G15)/IS!G$11),"NA",((G71+CF!G15)/IS!G$11))</f>
        <v>2.6582616592766797E-2</v>
      </c>
      <c r="H137" s="852">
        <f>IF(ISERROR((H71+CF!H15)/IS!H$11),"NA",((H71+CF!H15)/IS!H$11))</f>
        <v>2.7020477875725646E-2</v>
      </c>
      <c r="I137" s="851">
        <f>IF(ISERROR((I71+CF!I15)/IS!I$11),"NA",((I71+CF!I15)/IS!I$11))</f>
        <v>5.1569669082554954E-2</v>
      </c>
      <c r="J137" s="850">
        <f>IF(ISERROR((J71+CF!J15)/IS!J$11),"NA",((J71+CF!J15)/IS!J$11))</f>
        <v>2.5068999848052949E-2</v>
      </c>
      <c r="K137" s="852">
        <f>IF(ISERROR((K71+CF!K15)/IS!K$11),"NA",((K71+CF!K15)/IS!K$11))</f>
        <v>4.2112864774566168E-2</v>
      </c>
      <c r="L137" s="852">
        <f>IF(ISERROR((L71+CF!L15)/IS!L$11),"NA",((L71+CF!L15)/IS!L$11))</f>
        <v>5.0039300608218006E-2</v>
      </c>
      <c r="M137" s="851">
        <f>IF(ISERROR((M71+CF!M15)/IS!M$11),"NA",((M71+CF!M15)/IS!M$11))</f>
        <v>5.3080240885416609E-2</v>
      </c>
      <c r="N137" s="850">
        <f>IF(ISERROR((N71+CF!N15)/IS!N$11),"NA",((N71+CF!N15)/IS!N$11))</f>
        <v>6.3336234442918179E-2</v>
      </c>
      <c r="O137" s="852">
        <f>IF(ISERROR((O71+CF!O15)/IS!O$11),"NA",((O71+CF!O15)/IS!O$11))</f>
        <v>0.11720448464584822</v>
      </c>
      <c r="P137" s="852">
        <f>IF(ISERROR((P71+CF!P15)/IS!P$11),"NA",((P71+CF!P15)/IS!P$11))</f>
        <v>9.9102742808315492E-2</v>
      </c>
      <c r="Q137" s="851">
        <f>IF(ISERROR((Q71+CF!Q15)/IS!Q$11),"NA",((Q71+CF!Q15)/IS!Q$11))</f>
        <v>8.9680641911216691E-2</v>
      </c>
      <c r="R137" s="850">
        <f>IF(ISERROR((R71+CF!R15)/IS!R$11),"NA",((R71+CF!R15)/IS!R$11))</f>
        <v>3.6857975772489449E-2</v>
      </c>
      <c r="S137" s="852">
        <f>IF(ISERROR((S71+CF!S15)/IS!S$11),"NA",((S71+CF!S15)/IS!S$11))</f>
        <v>0.11631294411324615</v>
      </c>
      <c r="T137" s="852">
        <f>IF(ISERROR((T71+CF!T15)/IS!T$11),"NA",((T71+CF!T15)/IS!T$11))</f>
        <v>0.10107075545146217</v>
      </c>
      <c r="U137" s="851">
        <f>IF(ISERROR((U71+CF!U15)/IS!U$11),"NA",((U71+CF!U15)/IS!U$11))</f>
        <v>7.6790449818436135E-2</v>
      </c>
      <c r="V137" s="850">
        <f>IF(ISERROR((V71+CF!V15)/IS!V$11),"NA",((V71+CF!V15)/IS!V$11))</f>
        <v>7.3095820865423891E-2</v>
      </c>
      <c r="W137" s="852">
        <f>IF(ISERROR((W71+CF!W15)/IS!W$11),"NA",((W71+CF!W15)/IS!W$11))</f>
        <v>9.3332014053320714E-2</v>
      </c>
      <c r="X137" s="852">
        <f>IF(ISERROR((X71+CF!X15)/IS!X$11),"NA",((X71+CF!X15)/IS!X$11))</f>
        <v>0.1156604557979584</v>
      </c>
      <c r="Y137" s="851">
        <f>IF(ISERROR((Y71+CF!Y15)/IS!Y$11),"NA",((Y71+CF!Y15)/IS!Y$11))</f>
        <v>0.10098934920764537</v>
      </c>
      <c r="Z137" s="850">
        <f>IF(ISERROR((Z71+CF!Z15)/IS!Z$11),"NA",((Z71+CF!Z15)/IS!Z$11))</f>
        <v>0.10248979590519143</v>
      </c>
      <c r="AA137" s="852">
        <f>IF(ISERROR((AA71+CF!AA15)/IS!AA$11),"NA",((AA71+CF!AA15)/IS!AA$11))</f>
        <v>0.12789507858230001</v>
      </c>
      <c r="AB137" s="852">
        <f>IF(ISERROR((AB71+CF!AB15)/IS!AB$11),"NA",((AB71+CF!AB15)/IS!AB$11))</f>
        <v>0.12630561050989886</v>
      </c>
      <c r="AC137" s="851">
        <f>IF(ISERROR((AC71+CF!AC15)/IS!AC$11),"NA",((AC71+CF!AC15)/IS!AC$11))</f>
        <v>0.11489476116610006</v>
      </c>
      <c r="AD137" s="850">
        <f>IF(ISERROR((AD71+CF!AD15)/IS!AD$11),"NA",((AD71+CF!AD15)/IS!AD$11))</f>
        <v>0.11392323285984955</v>
      </c>
      <c r="AE137" s="852">
        <f>IF(ISERROR((AE71+CF!AE15)/IS!AE$11),"NA",((AE71+CF!AE15)/IS!AE$11))</f>
        <v>0.11972941316626017</v>
      </c>
      <c r="AF137" s="852">
        <f>IF(ISERROR((AF71+CF!AF15)/IS!AF$11),"NA",((AF71+CF!AF15)/IS!AF$11))</f>
        <v>0.12058594550927945</v>
      </c>
      <c r="AG137" s="852">
        <f>IF(ISERROR((AG71+CF!AG15)/IS!AG$11),"NA",((AG71+CF!AG15)/IS!AG$11))</f>
        <v>0.10222212600113573</v>
      </c>
      <c r="AH137" s="850">
        <f>IF(ISERROR((AH71+CF!AH15)/IS!AH$11),"NA",((AH71+CF!AH15)/IS!AH$11))</f>
        <v>0.14835236002701147</v>
      </c>
      <c r="AI137" s="852">
        <f>IF(ISERROR((AI71+CF!AI15)/IS!AI$11),"NA",((AI71+CF!AI15)/IS!AI$11))</f>
        <v>0.20112648370093852</v>
      </c>
      <c r="AJ137" s="852">
        <f>IF(ISERROR((AJ71+CF!AJ15)/IS!AJ$11),"NA",((AJ71+CF!AJ15)/IS!AJ$11))</f>
        <v>0.19355833556849525</v>
      </c>
      <c r="AK137" s="851">
        <f>IF(ISERROR((AK71+CF!AK15)/IS!AK$11),"NA",((AK71+CF!AK15)/IS!AK$11))</f>
        <v>0.17764846303852475</v>
      </c>
      <c r="AL137" s="850">
        <f>IF(ISERROR((AL71+CF!AL15)/IS!AL$11),"NA",((AL71+CF!AL15)/IS!AL$11))</f>
        <v>0.16642554030659393</v>
      </c>
      <c r="AM137" s="852">
        <f>IF(ISERROR((AM71+CF!AM15)/IS!AM$11),"NA",((AM71+CF!AM15)/IS!AM$11))</f>
        <v>0.12551528742831206</v>
      </c>
      <c r="AN137" s="852">
        <f>IF(ISERROR((AN71+CF!AN15)/IS!AN$11),"NA",((AN71+CF!AN15)/IS!AN$11))</f>
        <v>0.12431245717232908</v>
      </c>
      <c r="AO137" s="851">
        <f>IF(ISERROR((AO71+CF!AO15)/IS!AO$11),"NA",((AO71+CF!AO15)/IS!AO$11))</f>
        <v>0.15931371808805911</v>
      </c>
      <c r="AP137" s="850">
        <f>IF(ISERROR((AP71+CF!AP15)/IS!AP$11),"NA",((AP71+CF!AP15)/IS!AP$11))</f>
        <v>0.19970509563405786</v>
      </c>
      <c r="AQ137" s="852">
        <f>IF(ISERROR((AQ71+CF!AQ15)/IS!AQ$11),"NA",((AQ71+CF!AQ15)/IS!AQ$11))</f>
        <v>0.22907219368079423</v>
      </c>
      <c r="AR137" s="852">
        <f>IF(ISERROR((AR71+CF!AR15)/IS!AR$11),"NA",((AR71+CF!AR15)/IS!AR$11))</f>
        <v>0.21614511605452483</v>
      </c>
      <c r="AS137" s="851">
        <f>IF(ISERROR((AS71+CF!AS15)/IS!AS$11),"NA",((AS71+CF!AS15)/IS!AS$11))</f>
        <v>0.19125329122522616</v>
      </c>
      <c r="AT137" s="850">
        <f>IF(ISERROR((AT71+CF!AT15)/IS!AT$11),"NA",((AT71+CF!AT15)/IS!AT$11))</f>
        <v>0.15160250463547192</v>
      </c>
      <c r="AU137" s="852">
        <f>IF(ISERROR((AU71+CF!AU15)/IS!AU$11),"NA",((AU71+CF!AU15)/IS!AU$11))</f>
        <v>0.15821501726262613</v>
      </c>
      <c r="AV137" s="852">
        <f>IF(ISERROR((AV71+CF!AV15)/IS!AV$11),"NA",((AV71+CF!AV15)/IS!AV$11))</f>
        <v>0.14167545372233556</v>
      </c>
      <c r="AW137" s="851">
        <f>IF(ISERROR((AW71+CF!AW15)/IS!AW$11),"NA",((AW71+CF!AW15)/IS!AW$11))</f>
        <v>0.14869493705667397</v>
      </c>
      <c r="AX137" s="850">
        <f>IF(ISERROR((AX71+CF!AX15)/IS!AX$11),"NA",((AX71+CF!AX15)/IS!AX$11))</f>
        <v>0.16274484560683147</v>
      </c>
      <c r="AY137" s="852">
        <f>IF(ISERROR((AY71+CF!AY15)/IS!AY$11),"NA",((AY71+CF!AY15)/IS!AY$11))</f>
        <v>0.25833517360225589</v>
      </c>
      <c r="AZ137" s="852">
        <f>IF(ISERROR((AZ71+CF!AZ15)/IS!AZ$11),"NA",((AZ71+CF!AZ15)/IS!AZ$11))</f>
        <v>0.29066621461077113</v>
      </c>
      <c r="BA137" s="851">
        <f>IF(ISERROR((BA71+CF!BA15)/IS!BA$11),"NA",((BA71+CF!BA15)/IS!BA$11))</f>
        <v>0.26884734771141289</v>
      </c>
      <c r="BB137" s="850">
        <f>IF(ISERROR((BB71+CF!BB15)/IS!BB$11),"NA",((BB71+CF!BB15)/IS!BB$11))</f>
        <v>0.24285006195786868</v>
      </c>
      <c r="BC137" s="852">
        <f>IF(ISERROR((BC71+CF!BC15)/IS!BC$11),"NA",((BC71+CF!BC15)/IS!BC$11))</f>
        <v>0.22935551778242677</v>
      </c>
      <c r="BD137" s="852">
        <f>IF(ISERROR((BD71+CF!BD15)/IS!BD$11),"NA",((BD71+CF!BD15)/IS!BD$11))</f>
        <v>0.22548352816153036</v>
      </c>
      <c r="BE137" s="851">
        <f>IF(ISERROR((BE71+CF!BE15)/IS!BE$11),"NA",((BE71+CF!BE15)/IS!BE$11))</f>
        <v>0.22082564377682398</v>
      </c>
      <c r="BF137" s="852">
        <f>IF(ISERROR((BF71+CF!BF15)/IS!BF$11),"NA",((BF71+CF!BF15)/IS!BF$11))</f>
        <v>0.22951372239747636</v>
      </c>
      <c r="BG137" s="852">
        <f>IF(ISERROR((BG71+CF!BG15)/IS!BG$11),"NA",((BG71+CF!BG15)/IS!BG$11))</f>
        <v>0.22578650553877141</v>
      </c>
      <c r="BH137" s="852">
        <f>IF(ISERROR((BH71+CF!BH15)/IS!BH$11),"NA",((BH71+CF!BH15)/IS!BH$11))</f>
        <v>0.22171428571428567</v>
      </c>
      <c r="BI137" s="851">
        <f>IF(ISERROR((BI71+CF!BI15)/IS!BI$11),"NA",((BI71+CF!BI15)/IS!BI$11))</f>
        <v>0.2159161873459326</v>
      </c>
      <c r="BJ137" s="852">
        <f>IF(ISERROR((BJ71+CF!BJ15)/IS!BJ$11),"NA",((BJ71+CF!BJ15)/IS!BJ$11))</f>
        <v>0.2237367486685265</v>
      </c>
      <c r="BK137" s="852">
        <f>IF(ISERROR((BK71+CF!BK15)/IS!BK$11),"NA",((BK71+CF!BK15)/IS!BK$11))</f>
        <v>0.23300000000000001</v>
      </c>
      <c r="BL137" s="852">
        <f>IF(ISERROR((BL71+CF!BL15)/IS!BL$11),"NA",((BL71+CF!BL15)/IS!BL$11))</f>
        <v>0.22278760563380282</v>
      </c>
      <c r="BM137" s="851">
        <f>IF(ISERROR((BM71+CF!BM15)/IS!BM$11),"NA",((BM71+CF!BM15)/IS!BM$11))</f>
        <v>0.2118403321842682</v>
      </c>
      <c r="BN137" s="852">
        <f>IF(ISERROR((BN71+CF!CD15)/IS!BN$11),"NA",((BN71+CF!CD15)/IS!BN$11))</f>
        <v>0.1328050595238095</v>
      </c>
      <c r="BO137" s="852">
        <f>IF(ISERROR((BO71+CF!BO15)/IS!BO$11),"NA",((BO71+CF!BO15)/IS!BO$11))</f>
        <v>0.20476710883328308</v>
      </c>
      <c r="BP137" s="852">
        <f>IF(ISERROR((BP71+CF!CF15)/IS!BP$11),"NA",((BP71+CF!CF15)/IS!BP$11))</f>
        <v>0.1392820694542877</v>
      </c>
      <c r="BQ137" s="851">
        <f>IF(ISERROR((BQ71+CF!CG15)/IS!BQ$11),"NA",((BQ71+CF!CG15)/IS!BQ$11))</f>
        <v>0.14338483547925607</v>
      </c>
      <c r="BR137" s="852">
        <f>IF(ISERROR((BR71+CF!CH15)/IS!BR$11),"NA",((BR71+CF!CH15)/IS!BR$11))</f>
        <v>0.17761052184980911</v>
      </c>
      <c r="BS137" s="852">
        <f>IF(ISERROR((BS71+CF!CI15)/IS!BS$11),"NA",((BS71+CF!CI15)/IS!BS$11))</f>
        <v>0.23110740589198031</v>
      </c>
      <c r="BT137" s="852">
        <f>IF(ISERROR((BT71+CF!CJ15)/IS!BT$11),"NA",((BT71+CF!CJ15)/IS!BT$11))</f>
        <v>0.25271585287158527</v>
      </c>
      <c r="BU137" s="851">
        <f>IF(ISERROR((BU71+CF!CK15)/IS!BU$11),"NA",((BU71+CF!CK15)/IS!BU$11))</f>
        <v>0.28832651796778186</v>
      </c>
      <c r="BV137" s="852">
        <f>IF(ISERROR((BV71+CF!CL15)/IS!BV$11),"NA",((BV71+CF!CL15)/IS!BV$11))</f>
        <v>0.34469503956765102</v>
      </c>
      <c r="BW137" s="852">
        <f>IF(ISERROR((BW71+CF!CM15)/IS!BW$11),"NA",((BW71+CF!CM15)/IS!BW$11))</f>
        <v>0.35988755622188906</v>
      </c>
      <c r="BX137" s="852">
        <f>IF(ISERROR((BX71+CF!CN15)/IS!BX$11),"NA",((BX71+CF!CN15)/IS!BX$11))</f>
        <v>0.35685544314738915</v>
      </c>
      <c r="BY137" s="851">
        <f>IF(ISERROR((BY71+CF!CO15)/IS!BY$11),"NA",((BY71+CF!CO15)/IS!BY$11))</f>
        <v>0.35198703793355385</v>
      </c>
      <c r="BZ137" s="852">
        <f>IF(ISERROR((BZ71+CF!CP15)/IS!BZ$11),"NA",((BZ71+CF!CP15)/IS!BZ$11))</f>
        <v>0.39035365665093463</v>
      </c>
      <c r="CA137" s="852">
        <f>IF(ISERROR((CA71+CF!CQ15)/IS!CA$11),"NA",((CA71+CF!CQ15)/IS!CA$11))</f>
        <v>0.46069200786668341</v>
      </c>
      <c r="CB137" s="852">
        <f>IF(ISERROR((CB71+CF!CR15)/IS!CB$11),"NA",((CB71+CF!CR15)/IS!CB$11))</f>
        <v>0.46014687621557726</v>
      </c>
      <c r="CC137" s="851">
        <f>IF(ISERROR((CC71+CF!CS15)/IS!CC$11),"NA",((CC71+CF!CS15)/IS!CC$11))</f>
        <v>0.44413416365395042</v>
      </c>
      <c r="CD137" s="9"/>
      <c r="CE137" s="850">
        <f>IF(ISERROR((CE71+CF!CE15)/IS!CE$11),"NA",((CE71+CF!CE15)/IS!CE$11))</f>
        <v>1.5577518490912132E-2</v>
      </c>
      <c r="CF137" s="852">
        <f>IF(ISERROR((CF71+CF!CF15)/IS!CF$11),"NA",((CF71+CF!CF15)/IS!CF$11))</f>
        <v>4.3567691537480246E-2</v>
      </c>
      <c r="CG137" s="852">
        <f>IF(ISERROR((CG71+CF!CG15)/IS!CG$11),"NA",((CG71+CF!CG15)/IS!CG$11))</f>
        <v>9.4066475813782191E-2</v>
      </c>
      <c r="CH137" s="852">
        <f>IF(ISERROR((CH71+CF!CH15)/IS!CH$11),"NA",((CH71+CF!CH15)/IS!CH$11))</f>
        <v>8.4226818148648519E-2</v>
      </c>
      <c r="CI137" s="852">
        <f>IF(ISERROR((CI71+CF!CI15)/IS!CI$11),"NA",((CI71+CF!CI15)/IS!CI$11))</f>
        <v>9.6375488717519581E-2</v>
      </c>
      <c r="CJ137" s="852">
        <f>IF(ISERROR((CJ71+CF!CJ15)/IS!CJ$11),"NA",((CJ71+CF!CJ15)/IS!CJ$11))</f>
        <v>0.11832109573473502</v>
      </c>
      <c r="CK137" s="852">
        <f>IF(ISERROR((CK71+CF!CK15)/IS!CK$11),"NA",((CK71+CF!CK15)/IS!CK$11))</f>
        <v>0.11423293697136727</v>
      </c>
      <c r="CL137" s="852">
        <f>IF(ISERROR((CL71+CF!CL15)/IS!CL$11),"NA",((CL71+CF!CL15)/IS!CL$11))</f>
        <v>0.18180957394766292</v>
      </c>
      <c r="CM137" s="852">
        <f>IF(ISERROR((CM71+CF!CM15)/IS!CM$11),"NA",((CM71+CF!CM15)/IS!CM$11))</f>
        <v>0.14558199395092233</v>
      </c>
      <c r="CN137" s="852">
        <f>IF(ISERROR((CN71+CF!CN15)/IS!CN$11),"NA",((CN71+CF!CN15)/IS!CN$11))</f>
        <v>0.20987751447801914</v>
      </c>
      <c r="CO137" s="852">
        <f>IF(ISERROR((CO71+CF!CO15)/IS!CO$11),"NA",((CO71+CF!CO15)/IS!CO$11))</f>
        <v>0.15024752554013643</v>
      </c>
      <c r="CP137" s="852">
        <f>IF(ISERROR((CP71+CF!CP15)/IS!CP$11),"NA",((CP71+CF!CP15)/IS!CP$11))</f>
        <v>0.24956607932080874</v>
      </c>
      <c r="CQ137" s="852">
        <f>IF(ISERROR((CQ71+CF!CQ15)/IS!CQ$11),"NA",((CQ71+CF!CQ15)/IS!CQ$11))</f>
        <v>0.22988166894664847</v>
      </c>
      <c r="CR137" s="852">
        <f>IF(ISERROR((CR71+CF!CR15)/IS!CR$11),"NA",((CR71+CF!CR15)/IS!CR$11))</f>
        <v>0.22334515532055518</v>
      </c>
      <c r="CS137" s="852">
        <f>IF(ISERROR((CS71+CF!CS15)/IS!CS$11),"NA",((CS71+CF!CS15)/IS!CS$11))</f>
        <v>0.2233719805105682</v>
      </c>
      <c r="CT137" s="852">
        <f>IF(ISERROR((CT71+CF!CT15)/IS!CT$11),"NA",((CT71+CF!CT15)/IS!CT$11))</f>
        <v>0.21744093427735878</v>
      </c>
      <c r="CU137" s="852">
        <f>IF(ISERROR((CU71+CF!CU15)/IS!CU$11),"NA",((CU71+CF!CU15)/IS!CU$11))</f>
        <v>0.31737086890483424</v>
      </c>
      <c r="CV137" s="852">
        <f>IF(ISERROR((CV71+CF!CV15)/IS!CV$11),"NA",((CV71+CF!CV15)/IS!CV$11))</f>
        <v>0.34474384564837196</v>
      </c>
      <c r="CW137" s="852">
        <f>IF(ISERROR((CW71+CF!CW15)/IS!CW$11),"NA",((CW71+CF!CW15)/IS!CW$11))</f>
        <v>0.29351734896218235</v>
      </c>
      <c r="CX137" s="852">
        <f>IF(ISERROR((CX71+CF!DG15)/IS!CX$11),"NA",((CX71+CF!DG15)/IS!CX$11))</f>
        <v>0.20639343499035717</v>
      </c>
      <c r="CY137" s="852">
        <f>IF(ISERROR((CY71+CF!DH15)/IS!CY$11),"NA",((CY71+CF!DH15)/IS!CY$11))</f>
        <v>0.20304225285562996</v>
      </c>
      <c r="CZ137" s="852">
        <f>IF(ISERROR((CZ71+CF!DI15)/IS!CZ$11),"NA",((CZ71+CF!DI15)/IS!CZ$11))</f>
        <v>0.20410825466015756</v>
      </c>
      <c r="DA137" s="852">
        <f>IF(ISERROR((DA71+CF!DJ15)/IS!DA$11),"NA",((DA71+CF!DJ15)/IS!DA$11))</f>
        <v>0.20277469780854762</v>
      </c>
      <c r="DB137" s="852">
        <f>IF(ISERROR((DB71+CF!DK15)/IS!DB$11),"NA",((DB71+CF!DK15)/IS!DB$11))</f>
        <v>0.20057055461008613</v>
      </c>
      <c r="DC137" s="852">
        <f>IF(ISERROR((DC71+CF!DL15)/IS!DC$11),"NA",((DC71+CF!DL15)/IS!DC$11))</f>
        <v>0.19845469051227263</v>
      </c>
      <c r="DD137" s="1517"/>
      <c r="DE137" s="1483"/>
      <c r="DF137" s="24"/>
      <c r="DG137" s="23"/>
      <c r="DH137" s="24"/>
      <c r="DI137" s="24"/>
      <c r="DJ137" s="24"/>
      <c r="DK137" s="24"/>
      <c r="DL137" s="141"/>
      <c r="DM137" s="24"/>
      <c r="DN137" s="24"/>
      <c r="DO137" s="24"/>
      <c r="DP137" s="24"/>
      <c r="DQ137" s="24"/>
      <c r="DR137" s="24"/>
      <c r="DS137" s="23"/>
      <c r="DT137" s="24"/>
      <c r="DU137" s="24"/>
      <c r="DV137" s="24"/>
      <c r="DW137" s="25"/>
      <c r="DX137" s="24"/>
      <c r="DY137" s="24"/>
      <c r="DZ137" s="1561"/>
    </row>
    <row r="138" spans="1:136" ht="11.25" customHeight="1">
      <c r="A138" s="3"/>
      <c r="B138" s="207"/>
      <c r="C138" s="201" t="s">
        <v>47</v>
      </c>
      <c r="D138" s="201"/>
      <c r="E138" s="202"/>
      <c r="F138" s="492">
        <f t="shared" ref="F138:AK138" si="384">F71/F$11</f>
        <v>-8.3861572322005112E-2</v>
      </c>
      <c r="G138" s="492">
        <f t="shared" si="384"/>
        <v>3.5596630874157307E-3</v>
      </c>
      <c r="H138" s="492">
        <f t="shared" si="384"/>
        <v>1.9248695094806307E-3</v>
      </c>
      <c r="I138" s="493">
        <f t="shared" si="384"/>
        <v>2.4417806039940083E-2</v>
      </c>
      <c r="J138" s="492">
        <f t="shared" si="384"/>
        <v>-4.6718056528845877E-4</v>
      </c>
      <c r="K138" s="492">
        <f t="shared" si="384"/>
        <v>2.2364139419144786E-2</v>
      </c>
      <c r="L138" s="492">
        <f t="shared" si="384"/>
        <v>3.0345813449529767E-2</v>
      </c>
      <c r="M138" s="493">
        <f t="shared" si="384"/>
        <v>3.1865900213068128E-2</v>
      </c>
      <c r="N138" s="492">
        <f t="shared" si="384"/>
        <v>4.3377725590208256E-2</v>
      </c>
      <c r="O138" s="492">
        <f t="shared" si="384"/>
        <v>0.1014577433084094</v>
      </c>
      <c r="P138" s="492">
        <f t="shared" si="384"/>
        <v>8.0880444979138877E-2</v>
      </c>
      <c r="Q138" s="493">
        <f t="shared" si="384"/>
        <v>6.8950405001492729E-2</v>
      </c>
      <c r="R138" s="492">
        <f t="shared" si="384"/>
        <v>6.8954240666183548E-3</v>
      </c>
      <c r="S138" s="492">
        <f t="shared" si="384"/>
        <v>8.5407959992527815E-2</v>
      </c>
      <c r="T138" s="492">
        <f t="shared" si="384"/>
        <v>6.5284505074307081E-2</v>
      </c>
      <c r="U138" s="493">
        <f t="shared" si="384"/>
        <v>3.9797604152297626E-2</v>
      </c>
      <c r="V138" s="492">
        <f t="shared" si="384"/>
        <v>3.7883548355502089E-2</v>
      </c>
      <c r="W138" s="492">
        <f t="shared" si="384"/>
        <v>5.9297930496763684E-2</v>
      </c>
      <c r="X138" s="492">
        <f t="shared" si="384"/>
        <v>7.6851701368932115E-2</v>
      </c>
      <c r="Y138" s="493">
        <f t="shared" si="384"/>
        <v>6.1004962562515794E-2</v>
      </c>
      <c r="Z138" s="492">
        <f t="shared" si="384"/>
        <v>6.7238953820267358E-2</v>
      </c>
      <c r="AA138" s="492">
        <f t="shared" si="384"/>
        <v>9.3340315734093043E-2</v>
      </c>
      <c r="AB138" s="492">
        <f t="shared" si="384"/>
        <v>8.9185558877739823E-2</v>
      </c>
      <c r="AC138" s="493">
        <f t="shared" si="384"/>
        <v>7.4637580757022787E-2</v>
      </c>
      <c r="AD138" s="492">
        <f t="shared" si="384"/>
        <v>7.8321934180111366E-2</v>
      </c>
      <c r="AE138" s="492">
        <f t="shared" si="384"/>
        <v>8.5414967060569433E-2</v>
      </c>
      <c r="AF138" s="492">
        <f t="shared" si="384"/>
        <v>8.1579676963320066E-2</v>
      </c>
      <c r="AG138" s="492">
        <f t="shared" si="384"/>
        <v>5.7589322159301404E-2</v>
      </c>
      <c r="AH138" s="497">
        <f t="shared" si="384"/>
        <v>0.10418446380500807</v>
      </c>
      <c r="AI138" s="492">
        <f t="shared" si="384"/>
        <v>0.15076587471116354</v>
      </c>
      <c r="AJ138" s="492">
        <f t="shared" si="384"/>
        <v>0.14097728932144868</v>
      </c>
      <c r="AK138" s="493">
        <f t="shared" si="384"/>
        <v>0.12095186531024732</v>
      </c>
      <c r="AL138" s="497">
        <f t="shared" ref="AL138:BQ138" si="385">AL71/AL$11</f>
        <v>0.11094874179457545</v>
      </c>
      <c r="AM138" s="492">
        <f t="shared" si="385"/>
        <v>5.858483891278763E-2</v>
      </c>
      <c r="AN138" s="492">
        <f t="shared" si="385"/>
        <v>4.9558642540698639E-2</v>
      </c>
      <c r="AO138" s="493">
        <f t="shared" si="385"/>
        <v>9.6560454601726686E-2</v>
      </c>
      <c r="AP138" s="492">
        <f t="shared" si="385"/>
        <v>0.14490437099637671</v>
      </c>
      <c r="AQ138" s="492">
        <f t="shared" si="385"/>
        <v>0.18096222804505538</v>
      </c>
      <c r="AR138" s="492">
        <f t="shared" si="385"/>
        <v>0.16729998163574406</v>
      </c>
      <c r="AS138" s="493">
        <f t="shared" si="385"/>
        <v>0.13499804353421022</v>
      </c>
      <c r="AT138" s="492">
        <f t="shared" si="385"/>
        <v>9.0302954165508709E-2</v>
      </c>
      <c r="AU138" s="492">
        <f t="shared" si="385"/>
        <v>9.72049162525251E-2</v>
      </c>
      <c r="AV138" s="492">
        <f t="shared" si="385"/>
        <v>7.4623943953241428E-2</v>
      </c>
      <c r="AW138" s="493">
        <f t="shared" si="385"/>
        <v>8.6272964522341886E-2</v>
      </c>
      <c r="AX138" s="492">
        <f t="shared" si="385"/>
        <v>0.10409599631210245</v>
      </c>
      <c r="AY138" s="492">
        <f t="shared" si="385"/>
        <v>0.18815973500576466</v>
      </c>
      <c r="AZ138" s="492">
        <f t="shared" si="385"/>
        <v>0.22872222779034276</v>
      </c>
      <c r="BA138" s="493">
        <f t="shared" si="385"/>
        <v>0.19753897581406327</v>
      </c>
      <c r="BB138" s="492">
        <f t="shared" si="385"/>
        <v>0.16527881040892195</v>
      </c>
      <c r="BC138" s="492">
        <f t="shared" si="385"/>
        <v>0.14855007845188284</v>
      </c>
      <c r="BD138" s="492">
        <f t="shared" si="385"/>
        <v>0.14339001062699264</v>
      </c>
      <c r="BE138" s="493">
        <f t="shared" si="385"/>
        <v>0.13981706008583686</v>
      </c>
      <c r="BF138" s="492">
        <f t="shared" si="385"/>
        <v>0.14749479495268142</v>
      </c>
      <c r="BG138" s="492">
        <f t="shared" si="385"/>
        <v>0.14597784491440083</v>
      </c>
      <c r="BH138" s="492">
        <f t="shared" si="385"/>
        <v>0.13880853362138801</v>
      </c>
      <c r="BI138" s="493">
        <f t="shared" si="385"/>
        <v>0.1315557381539304</v>
      </c>
      <c r="BJ138" s="492">
        <f t="shared" si="385"/>
        <v>0.15044230281511539</v>
      </c>
      <c r="BK138" s="492">
        <f t="shared" si="385"/>
        <v>0.15841152263374486</v>
      </c>
      <c r="BL138" s="492">
        <f t="shared" si="385"/>
        <v>0.14250591549295774</v>
      </c>
      <c r="BM138" s="493">
        <f t="shared" si="385"/>
        <v>0.13349498589783762</v>
      </c>
      <c r="BN138" s="492">
        <f t="shared" si="385"/>
        <v>0.1328050595238095</v>
      </c>
      <c r="BO138" s="492">
        <f t="shared" si="385"/>
        <v>0.12879484473922218</v>
      </c>
      <c r="BP138" s="492">
        <f t="shared" si="385"/>
        <v>0.12305457122608075</v>
      </c>
      <c r="BQ138" s="493">
        <f t="shared" si="385"/>
        <v>0.12896423462088699</v>
      </c>
      <c r="BR138" s="492">
        <f t="shared" ref="BR138:BY138" si="386">BR71/BR$11</f>
        <v>0.15603648705982182</v>
      </c>
      <c r="BS138" s="492">
        <f t="shared" si="386"/>
        <v>0.20352966448445167</v>
      </c>
      <c r="BT138" s="492">
        <f t="shared" si="386"/>
        <v>0.21834286943428693</v>
      </c>
      <c r="BU138" s="493">
        <f t="shared" si="386"/>
        <v>0.24495600991325894</v>
      </c>
      <c r="BV138" s="492">
        <f t="shared" si="386"/>
        <v>0.26498069870681329</v>
      </c>
      <c r="BW138" s="492">
        <f t="shared" si="386"/>
        <v>0.27011994002998502</v>
      </c>
      <c r="BX138" s="492">
        <f t="shared" si="386"/>
        <v>0.25296671807562876</v>
      </c>
      <c r="BY138" s="493">
        <f t="shared" si="386"/>
        <v>0.22948044592086012</v>
      </c>
      <c r="BZ138" s="492">
        <f>BZ71/BZ$11</f>
        <v>0.22764817301419532</v>
      </c>
      <c r="CA138" s="492">
        <f>CA71/CA$11</f>
        <v>0.21360314198960861</v>
      </c>
      <c r="CB138" s="492">
        <f>CB71/CB$11</f>
        <v>0.19169018397317075</v>
      </c>
      <c r="CC138" s="493">
        <f>CC71/CC$11</f>
        <v>0.19015201604631624</v>
      </c>
      <c r="CD138" s="9"/>
      <c r="CE138" s="492">
        <f t="shared" ref="CE138:DA138" si="387">CE71/CE$11</f>
        <v>-1.0994209047646437E-2</v>
      </c>
      <c r="CF138" s="492">
        <f t="shared" si="387"/>
        <v>2.2279560303075482E-2</v>
      </c>
      <c r="CG138" s="492">
        <f t="shared" si="387"/>
        <v>7.5526830308040346E-2</v>
      </c>
      <c r="CH138" s="492">
        <f t="shared" si="387"/>
        <v>5.0846725306696115E-2</v>
      </c>
      <c r="CI138" s="492">
        <f t="shared" si="387"/>
        <v>5.9329944223802528E-2</v>
      </c>
      <c r="CJ138" s="492">
        <f t="shared" si="387"/>
        <v>8.1511531281398902E-2</v>
      </c>
      <c r="CK138" s="492">
        <f t="shared" si="387"/>
        <v>7.5832630770703999E-2</v>
      </c>
      <c r="CL138" s="492">
        <f t="shared" si="387"/>
        <v>0.1306588938371587</v>
      </c>
      <c r="CM138" s="492">
        <f t="shared" si="387"/>
        <v>8.1302706233393182E-2</v>
      </c>
      <c r="CN138" s="492">
        <f t="shared" si="387"/>
        <v>0.15810086473182625</v>
      </c>
      <c r="CO138" s="492">
        <f t="shared" si="387"/>
        <v>8.7388592680159416E-2</v>
      </c>
      <c r="CP138" s="492">
        <f t="shared" si="387"/>
        <v>0.18344971451875713</v>
      </c>
      <c r="CQ138" s="492">
        <f t="shared" si="387"/>
        <v>0.14956116865350796</v>
      </c>
      <c r="CR138" s="492">
        <f t="shared" si="387"/>
        <v>0.14112440185062788</v>
      </c>
      <c r="CS138" s="492">
        <f t="shared" si="387"/>
        <v>0.1469239980785067</v>
      </c>
      <c r="CT138" s="492">
        <f t="shared" si="387"/>
        <v>0.12863071417577343</v>
      </c>
      <c r="CU138" s="492">
        <f t="shared" si="387"/>
        <v>0.20591640915518775</v>
      </c>
      <c r="CV138" s="492">
        <f t="shared" si="387"/>
        <v>0.25485274357562604</v>
      </c>
      <c r="CW138" s="492">
        <f>CW71/CW$11</f>
        <v>0.20662294666581196</v>
      </c>
      <c r="CX138" s="492">
        <f t="shared" si="387"/>
        <v>0.20639343499035717</v>
      </c>
      <c r="CY138" s="492">
        <f t="shared" si="387"/>
        <v>0.20304225285562996</v>
      </c>
      <c r="CZ138" s="492">
        <f t="shared" si="387"/>
        <v>0.20410825466015756</v>
      </c>
      <c r="DA138" s="492">
        <f t="shared" si="387"/>
        <v>0.20277469780854762</v>
      </c>
      <c r="DB138" s="492">
        <f>DB71/DB$11</f>
        <v>0.20057055461008613</v>
      </c>
      <c r="DC138" s="492">
        <f>DC71/DC$11</f>
        <v>0.19845469051227263</v>
      </c>
      <c r="DD138" s="1517"/>
      <c r="DE138" s="1483"/>
      <c r="DF138" s="24"/>
      <c r="DG138" s="23"/>
      <c r="DH138" s="24"/>
      <c r="DI138" s="24"/>
      <c r="DJ138" s="24"/>
      <c r="DK138" s="24"/>
      <c r="DL138" s="141"/>
      <c r="DM138" s="24"/>
      <c r="DN138" s="24"/>
      <c r="DO138" s="24"/>
      <c r="DP138" s="24"/>
      <c r="DQ138" s="24"/>
      <c r="DR138" s="24"/>
      <c r="DS138" s="23"/>
      <c r="DT138" s="24"/>
      <c r="DU138" s="24"/>
      <c r="DV138" s="24"/>
      <c r="DW138" s="25"/>
      <c r="DX138" s="24"/>
      <c r="DY138" s="24"/>
      <c r="DZ138" s="1561"/>
    </row>
    <row r="139" spans="1:136" ht="11.25" customHeight="1">
      <c r="A139" s="3"/>
      <c r="B139" s="207"/>
      <c r="C139" s="201" t="s">
        <v>42</v>
      </c>
      <c r="D139" s="201"/>
      <c r="E139" s="202"/>
      <c r="F139" s="492">
        <f t="shared" ref="F139:AK139" si="388">F78/F$11</f>
        <v>-8.7707309256632296E-2</v>
      </c>
      <c r="G139" s="492">
        <f t="shared" si="388"/>
        <v>5.0536887654255959E-3</v>
      </c>
      <c r="H139" s="492">
        <f t="shared" si="388"/>
        <v>2.0264869861232673E-3</v>
      </c>
      <c r="I139" s="493">
        <f t="shared" si="388"/>
        <v>-9.0680288677800341E-2</v>
      </c>
      <c r="J139" s="492">
        <f t="shared" si="388"/>
        <v>-1.2632018197363125E-3</v>
      </c>
      <c r="K139" s="492">
        <f t="shared" si="388"/>
        <v>2.6876294221031084E-2</v>
      </c>
      <c r="L139" s="492">
        <f t="shared" si="388"/>
        <v>2.9518737420330055E-2</v>
      </c>
      <c r="M139" s="493">
        <f t="shared" si="388"/>
        <v>3.0872691761363584E-2</v>
      </c>
      <c r="N139" s="492">
        <f t="shared" si="388"/>
        <v>4.1200714438919893E-2</v>
      </c>
      <c r="O139" s="492">
        <f t="shared" si="388"/>
        <v>0.10041703340812112</v>
      </c>
      <c r="P139" s="492">
        <f t="shared" si="388"/>
        <v>8.0432750521510221E-2</v>
      </c>
      <c r="Q139" s="493">
        <f t="shared" si="388"/>
        <v>6.9244409212380897E-2</v>
      </c>
      <c r="R139" s="492">
        <f t="shared" si="388"/>
        <v>7.3154598381959864E-3</v>
      </c>
      <c r="S139" s="492">
        <f t="shared" si="388"/>
        <v>8.5407959992527815E-2</v>
      </c>
      <c r="T139" s="492">
        <f t="shared" si="388"/>
        <v>6.5418035859296467E-2</v>
      </c>
      <c r="U139" s="493">
        <f t="shared" si="388"/>
        <v>3.9664055972997485E-2</v>
      </c>
      <c r="V139" s="492">
        <f t="shared" si="388"/>
        <v>3.7883548355502089E-2</v>
      </c>
      <c r="W139" s="492">
        <f t="shared" si="388"/>
        <v>6.0135692553540468E-2</v>
      </c>
      <c r="X139" s="492">
        <f t="shared" si="388"/>
        <v>7.891715328532288E-2</v>
      </c>
      <c r="Y139" s="493">
        <f t="shared" si="388"/>
        <v>6.3876181816288402E-2</v>
      </c>
      <c r="Z139" s="492">
        <f t="shared" si="388"/>
        <v>6.9714434303759218E-2</v>
      </c>
      <c r="AA139" s="492">
        <f t="shared" si="388"/>
        <v>9.5846878842253139E-2</v>
      </c>
      <c r="AB139" s="492">
        <f t="shared" si="388"/>
        <v>9.3437975293834408E-2</v>
      </c>
      <c r="AC139" s="493">
        <f t="shared" si="388"/>
        <v>7.9888517332119824E-2</v>
      </c>
      <c r="AD139" s="492">
        <f t="shared" si="388"/>
        <v>8.3859913974737313E-2</v>
      </c>
      <c r="AE139" s="492">
        <f t="shared" si="388"/>
        <v>9.241791524540427E-2</v>
      </c>
      <c r="AF139" s="492">
        <f t="shared" si="388"/>
        <v>8.7962520907204328E-2</v>
      </c>
      <c r="AG139" s="492">
        <f t="shared" si="388"/>
        <v>6.490617524812671E-2</v>
      </c>
      <c r="AH139" s="497">
        <f t="shared" si="388"/>
        <v>0.10588322904431588</v>
      </c>
      <c r="AI139" s="492">
        <f t="shared" si="388"/>
        <v>0.14350668782975451</v>
      </c>
      <c r="AJ139" s="492">
        <f t="shared" si="388"/>
        <v>0.13718766436670657</v>
      </c>
      <c r="AK139" s="493">
        <f t="shared" si="388"/>
        <v>0.11894490609862687</v>
      </c>
      <c r="AL139" s="497">
        <f t="shared" ref="AL139:BQ139" si="389">AL78/AL$11</f>
        <v>0.10905209911040388</v>
      </c>
      <c r="AM139" s="492">
        <f t="shared" si="389"/>
        <v>5.3647346809183372E-2</v>
      </c>
      <c r="AN139" s="492">
        <f t="shared" si="389"/>
        <v>4.7674092592002074E-2</v>
      </c>
      <c r="AO139" s="493">
        <f t="shared" si="389"/>
        <v>9.5523210577159207E-2</v>
      </c>
      <c r="AP139" s="492">
        <f t="shared" si="389"/>
        <v>0.14399857389492743</v>
      </c>
      <c r="AQ139" s="492">
        <f t="shared" si="389"/>
        <v>0.18019857779686907</v>
      </c>
      <c r="AR139" s="492">
        <f t="shared" si="389"/>
        <v>0.16692133718288529</v>
      </c>
      <c r="AS139" s="493">
        <f t="shared" si="389"/>
        <v>0.13466219130918922</v>
      </c>
      <c r="AT139" s="492">
        <f t="shared" si="389"/>
        <v>9.0302954165508709E-2</v>
      </c>
      <c r="AU139" s="492">
        <f t="shared" si="389"/>
        <v>9.6800875848484708E-2</v>
      </c>
      <c r="AV139" s="492">
        <f t="shared" si="389"/>
        <v>7.5067993686811579E-2</v>
      </c>
      <c r="AW139" s="493">
        <f t="shared" si="389"/>
        <v>8.5856818038779675E-2</v>
      </c>
      <c r="AX139" s="492">
        <f t="shared" si="389"/>
        <v>0.10372480106340164</v>
      </c>
      <c r="AY139" s="492">
        <f t="shared" si="389"/>
        <v>0.18715722874010049</v>
      </c>
      <c r="AZ139" s="492">
        <f t="shared" si="389"/>
        <v>0.22740427062395069</v>
      </c>
      <c r="BA139" s="493">
        <f t="shared" si="389"/>
        <v>0.1960665315565959</v>
      </c>
      <c r="BB139" s="492">
        <f t="shared" si="389"/>
        <v>0.16180916976456011</v>
      </c>
      <c r="BC139" s="492">
        <f t="shared" si="389"/>
        <v>0.14593501569037656</v>
      </c>
      <c r="BD139" s="492">
        <f t="shared" si="389"/>
        <v>0.14046758767268869</v>
      </c>
      <c r="BE139" s="493">
        <f t="shared" si="389"/>
        <v>0.1374028969957081</v>
      </c>
      <c r="BF139" s="492">
        <f t="shared" si="389"/>
        <v>0.14486598317560465</v>
      </c>
      <c r="BG139" s="492">
        <f t="shared" si="389"/>
        <v>0.14320845921450154</v>
      </c>
      <c r="BH139" s="492">
        <f t="shared" si="389"/>
        <v>0.13529786659465293</v>
      </c>
      <c r="BI139" s="493">
        <f t="shared" si="389"/>
        <v>0.13018625034237194</v>
      </c>
      <c r="BJ139" s="492">
        <f t="shared" si="389"/>
        <v>0.14815977681968043</v>
      </c>
      <c r="BK139" s="492">
        <f t="shared" si="389"/>
        <v>0.15635390946502056</v>
      </c>
      <c r="BL139" s="492">
        <f t="shared" si="389"/>
        <v>0.1399707042253521</v>
      </c>
      <c r="BM139" s="493">
        <f t="shared" si="389"/>
        <v>0.13098793481667184</v>
      </c>
      <c r="BN139" s="492">
        <f t="shared" si="389"/>
        <v>0.13042410714285713</v>
      </c>
      <c r="BO139" s="492">
        <f t="shared" si="389"/>
        <v>0.12668450406994272</v>
      </c>
      <c r="BP139" s="492">
        <f t="shared" si="389"/>
        <v>0.12021970233876679</v>
      </c>
      <c r="BQ139" s="493">
        <f t="shared" si="389"/>
        <v>6.9164520743919891E-2</v>
      </c>
      <c r="BR139" s="492">
        <f t="shared" ref="BR139:BY139" si="390">BR78/BR$11</f>
        <v>0.10788205345778533</v>
      </c>
      <c r="BS139" s="492">
        <f t="shared" si="390"/>
        <v>0.15831689852700487</v>
      </c>
      <c r="BT139" s="492">
        <f t="shared" si="390"/>
        <v>0.17403226500322649</v>
      </c>
      <c r="BU139" s="493">
        <f t="shared" si="390"/>
        <v>0.20427034283353981</v>
      </c>
      <c r="BV139" s="492">
        <f t="shared" si="390"/>
        <v>0.22637811233352631</v>
      </c>
      <c r="BW139" s="492">
        <f t="shared" si="390"/>
        <v>0.23638680659670167</v>
      </c>
      <c r="BX139" s="492">
        <f t="shared" si="390"/>
        <v>0.21617172516995556</v>
      </c>
      <c r="BY139" s="493">
        <f t="shared" si="390"/>
        <v>0.19403141632165552</v>
      </c>
      <c r="BZ139" s="492">
        <f>BZ78/BZ$11</f>
        <v>0.19976309961408076</v>
      </c>
      <c r="CA139" s="492">
        <f>CA78/CA$11</f>
        <v>0.1859387895516508</v>
      </c>
      <c r="CB139" s="492">
        <f>CB78/CB$11</f>
        <v>0.16263738464429459</v>
      </c>
      <c r="CC139" s="493">
        <f>CC78/CC$11</f>
        <v>0.1601699705138141</v>
      </c>
      <c r="CD139" s="9"/>
      <c r="CE139" s="492">
        <f t="shared" ref="CE139:DA139" si="391">CE78/CE$11</f>
        <v>-3.8226326308288434E-2</v>
      </c>
      <c r="CF139" s="492">
        <f t="shared" si="391"/>
        <v>2.2843444287600375E-2</v>
      </c>
      <c r="CG139" s="492">
        <f t="shared" si="391"/>
        <v>7.4730434821533784E-2</v>
      </c>
      <c r="CH139" s="492">
        <f t="shared" si="391"/>
        <v>5.0945191657262356E-2</v>
      </c>
      <c r="CI139" s="492">
        <f t="shared" si="391"/>
        <v>6.0813964552185851E-2</v>
      </c>
      <c r="CJ139" s="492">
        <f t="shared" si="391"/>
        <v>8.5151025138487213E-2</v>
      </c>
      <c r="CK139" s="492">
        <f t="shared" si="391"/>
        <v>8.2415540405103418E-2</v>
      </c>
      <c r="CL139" s="492">
        <f t="shared" si="391"/>
        <v>0.12756260569487637</v>
      </c>
      <c r="CM139" s="492">
        <f t="shared" si="391"/>
        <v>7.8887200640667662E-2</v>
      </c>
      <c r="CN139" s="492">
        <f t="shared" si="391"/>
        <v>0.1575120322445166</v>
      </c>
      <c r="CO139" s="492">
        <f t="shared" si="391"/>
        <v>8.7284175848166098E-2</v>
      </c>
      <c r="CP139" s="492">
        <f t="shared" si="391"/>
        <v>0.18232773984332837</v>
      </c>
      <c r="CQ139" s="492">
        <f t="shared" si="391"/>
        <v>0.14669490586932452</v>
      </c>
      <c r="CR139" s="492">
        <f t="shared" si="391"/>
        <v>0.1385467415730337</v>
      </c>
      <c r="CS139" s="492">
        <f t="shared" si="391"/>
        <v>0.14459075624485312</v>
      </c>
      <c r="CT139" s="492">
        <f t="shared" si="391"/>
        <v>0.1107763198399261</v>
      </c>
      <c r="CU139" s="492">
        <f t="shared" si="391"/>
        <v>0.16134510029853871</v>
      </c>
      <c r="CV139" s="492">
        <f t="shared" si="391"/>
        <v>0.2187257424401739</v>
      </c>
      <c r="CW139" s="492">
        <f>CW78/CW$11</f>
        <v>0.17802996753042158</v>
      </c>
      <c r="CX139" s="492">
        <f t="shared" si="391"/>
        <v>0.18297993607953497</v>
      </c>
      <c r="CY139" s="492">
        <f t="shared" si="391"/>
        <v>0.18386598261000237</v>
      </c>
      <c r="CZ139" s="492">
        <f t="shared" si="391"/>
        <v>0.18804701916312361</v>
      </c>
      <c r="DA139" s="492">
        <f t="shared" si="391"/>
        <v>0.1897509609553007</v>
      </c>
      <c r="DB139" s="492">
        <f>DB78/DB$11</f>
        <v>0.19036778446834343</v>
      </c>
      <c r="DC139" s="492">
        <f>DC78/DC$11</f>
        <v>0.19088903810589802</v>
      </c>
      <c r="DD139" s="1517"/>
      <c r="DE139" s="1483"/>
      <c r="DF139" s="24"/>
      <c r="DG139" s="23"/>
      <c r="DH139" s="24"/>
      <c r="DI139" s="24"/>
      <c r="DJ139" s="24"/>
      <c r="DK139" s="24"/>
      <c r="DL139" s="141"/>
      <c r="DM139" s="24"/>
      <c r="DN139" s="24"/>
      <c r="DO139" s="24"/>
      <c r="DP139" s="24"/>
      <c r="DQ139" s="24"/>
      <c r="DR139" s="24"/>
      <c r="DS139" s="23"/>
      <c r="DT139" s="24"/>
      <c r="DU139" s="24"/>
      <c r="DV139" s="24"/>
      <c r="DW139" s="25"/>
      <c r="DX139" s="24"/>
      <c r="DY139" s="24"/>
      <c r="DZ139" s="1561"/>
    </row>
    <row r="140" spans="1:136" ht="11.25" customHeight="1">
      <c r="A140" s="3"/>
      <c r="B140" s="207"/>
      <c r="C140" s="201" t="s">
        <v>610</v>
      </c>
      <c r="D140" s="201"/>
      <c r="E140" s="202"/>
      <c r="F140" s="492">
        <f t="shared" ref="F140:AK140" si="392">F85/F$11</f>
        <v>-8.7707309256632296E-2</v>
      </c>
      <c r="G140" s="492">
        <f t="shared" si="392"/>
        <v>5.0536887654255959E-3</v>
      </c>
      <c r="H140" s="492">
        <f t="shared" si="392"/>
        <v>2.0264869861232673E-3</v>
      </c>
      <c r="I140" s="493">
        <f t="shared" si="392"/>
        <v>-9.0680288677800341E-2</v>
      </c>
      <c r="J140" s="492">
        <f t="shared" si="392"/>
        <v>-1.2632018197363125E-3</v>
      </c>
      <c r="K140" s="492">
        <f t="shared" si="392"/>
        <v>2.6876294221031084E-2</v>
      </c>
      <c r="L140" s="492">
        <f t="shared" si="392"/>
        <v>2.9518737420330055E-2</v>
      </c>
      <c r="M140" s="493">
        <f t="shared" si="392"/>
        <v>2.9977509469696913E-2</v>
      </c>
      <c r="N140" s="492">
        <f t="shared" si="392"/>
        <v>3.8111039826256098E-2</v>
      </c>
      <c r="O140" s="492">
        <f t="shared" si="392"/>
        <v>9.7451010192299528E-2</v>
      </c>
      <c r="P140" s="492">
        <f t="shared" si="392"/>
        <v>7.7215300795957426E-2</v>
      </c>
      <c r="Q140" s="493">
        <f t="shared" si="392"/>
        <v>6.6255856408702768E-2</v>
      </c>
      <c r="R140" s="492">
        <f t="shared" si="392"/>
        <v>7.035435990477565E-3</v>
      </c>
      <c r="S140" s="492">
        <f t="shared" si="392"/>
        <v>8.2413290988582244E-2</v>
      </c>
      <c r="T140" s="492">
        <f t="shared" si="392"/>
        <v>6.3949197224413223E-2</v>
      </c>
      <c r="U140" s="493">
        <f t="shared" si="392"/>
        <v>3.9530507793697343E-2</v>
      </c>
      <c r="V140" s="492">
        <f t="shared" si="392"/>
        <v>3.691217532074563E-2</v>
      </c>
      <c r="W140" s="492">
        <f t="shared" si="392"/>
        <v>5.8669608954181093E-2</v>
      </c>
      <c r="X140" s="492">
        <f t="shared" si="392"/>
        <v>7.6960409364531635E-2</v>
      </c>
      <c r="Y140" s="493">
        <f t="shared" si="392"/>
        <v>6.3876181816288402E-2</v>
      </c>
      <c r="Z140" s="492">
        <f t="shared" si="392"/>
        <v>6.8130126794324425E-2</v>
      </c>
      <c r="AA140" s="492">
        <f t="shared" si="392"/>
        <v>9.3340315734093043E-2</v>
      </c>
      <c r="AB140" s="492">
        <f t="shared" si="392"/>
        <v>9.1134583068449848E-2</v>
      </c>
      <c r="AC140" s="493">
        <f t="shared" si="392"/>
        <v>7.8230326834720768E-2</v>
      </c>
      <c r="AD140" s="492">
        <f t="shared" si="392"/>
        <v>8.1486494062754766E-2</v>
      </c>
      <c r="AE140" s="492">
        <f t="shared" si="392"/>
        <v>9.241791524540427E-2</v>
      </c>
      <c r="AF140" s="492">
        <f t="shared" si="392"/>
        <v>8.7253316024550526E-2</v>
      </c>
      <c r="AG140" s="492">
        <f t="shared" si="392"/>
        <v>6.4269781453827224E-2</v>
      </c>
      <c r="AH140" s="497">
        <f t="shared" si="392"/>
        <v>0.10059423011334491</v>
      </c>
      <c r="AI140" s="492">
        <f t="shared" si="392"/>
        <v>0.13851599684878582</v>
      </c>
      <c r="AJ140" s="492">
        <f t="shared" si="392"/>
        <v>0.13245063317327896</v>
      </c>
      <c r="AK140" s="493">
        <f t="shared" si="392"/>
        <v>0.11442924787248089</v>
      </c>
      <c r="AL140" s="497">
        <f t="shared" ref="AL140:BQ140" si="393">AL85/AL$11</f>
        <v>0.1000430463605889</v>
      </c>
      <c r="AM140" s="492">
        <f t="shared" si="393"/>
        <v>5.035568540678053E-2</v>
      </c>
      <c r="AN140" s="492">
        <f t="shared" si="393"/>
        <v>4.2648626062144562E-2</v>
      </c>
      <c r="AO140" s="493">
        <f t="shared" si="393"/>
        <v>8.9818368442038082E-2</v>
      </c>
      <c r="AP140" s="492">
        <f t="shared" si="393"/>
        <v>0.13086451592391293</v>
      </c>
      <c r="AQ140" s="492">
        <f t="shared" si="393"/>
        <v>0.16416192258495613</v>
      </c>
      <c r="AR140" s="492">
        <f t="shared" si="393"/>
        <v>0.15177555906853465</v>
      </c>
      <c r="AS140" s="493">
        <f t="shared" si="393"/>
        <v>0.12332717871473078</v>
      </c>
      <c r="AT140" s="492">
        <f t="shared" si="393"/>
        <v>8.458166278831214E-2</v>
      </c>
      <c r="AU140" s="492">
        <f t="shared" si="393"/>
        <v>9.1144310191919042E-2</v>
      </c>
      <c r="AV140" s="492">
        <f t="shared" si="393"/>
        <v>6.9295347150399506E-2</v>
      </c>
      <c r="AW140" s="493">
        <f t="shared" si="393"/>
        <v>8.086306023603311E-2</v>
      </c>
      <c r="AX140" s="492">
        <f t="shared" si="393"/>
        <v>9.6672091338086116E-2</v>
      </c>
      <c r="AY140" s="492">
        <f t="shared" si="393"/>
        <v>0.17963843174761929</v>
      </c>
      <c r="AZ140" s="492">
        <f t="shared" si="393"/>
        <v>0.20401053092049104</v>
      </c>
      <c r="BA140" s="493">
        <f t="shared" si="393"/>
        <v>0.18344558077830392</v>
      </c>
      <c r="BB140" s="492">
        <f t="shared" si="393"/>
        <v>0.14718711276332097</v>
      </c>
      <c r="BC140" s="492">
        <f t="shared" si="393"/>
        <v>0.13416723326359831</v>
      </c>
      <c r="BD140" s="492">
        <f t="shared" si="393"/>
        <v>0.13648246546227424</v>
      </c>
      <c r="BE140" s="493">
        <f t="shared" si="393"/>
        <v>0.12801448497854073</v>
      </c>
      <c r="BF140" s="492">
        <f t="shared" si="393"/>
        <v>0.13513937960042063</v>
      </c>
      <c r="BG140" s="492">
        <f t="shared" si="393"/>
        <v>0.13389325276938571</v>
      </c>
      <c r="BH140" s="492">
        <f t="shared" si="393"/>
        <v>0.12692627599243853</v>
      </c>
      <c r="BI140" s="493">
        <f t="shared" si="393"/>
        <v>0.12196932347302107</v>
      </c>
      <c r="BJ140" s="492">
        <f t="shared" si="393"/>
        <v>0.13928328683743341</v>
      </c>
      <c r="BK140" s="492">
        <f t="shared" si="393"/>
        <v>0.15198148148148147</v>
      </c>
      <c r="BL140" s="492">
        <f t="shared" si="393"/>
        <v>0.13264676056338026</v>
      </c>
      <c r="BM140" s="493">
        <f t="shared" si="393"/>
        <v>0.12284001880288306</v>
      </c>
      <c r="BN140" s="497">
        <f t="shared" si="393"/>
        <v>0.12268601190476187</v>
      </c>
      <c r="BO140" s="492">
        <f t="shared" si="393"/>
        <v>0.12155939101597829</v>
      </c>
      <c r="BP140" s="492">
        <f t="shared" si="393"/>
        <v>0.1124238128986534</v>
      </c>
      <c r="BQ140" s="493">
        <f t="shared" si="393"/>
        <v>7.6889842632331909E-2</v>
      </c>
      <c r="BR140" s="492">
        <f t="shared" ref="BR140:BY140" si="394">BR85/BR$11</f>
        <v>9.4941875265167591E-2</v>
      </c>
      <c r="BS140" s="492">
        <f t="shared" si="394"/>
        <v>0.13806321603927985</v>
      </c>
      <c r="BT140" s="492">
        <f t="shared" si="394"/>
        <v>0.15402796300279631</v>
      </c>
      <c r="BU140" s="493">
        <f t="shared" si="394"/>
        <v>0.18196551011978518</v>
      </c>
      <c r="BV140" s="492">
        <f t="shared" si="394"/>
        <v>0.21016502605674575</v>
      </c>
      <c r="BW140" s="492">
        <f t="shared" si="394"/>
        <v>0.22645427286356823</v>
      </c>
      <c r="BX140" s="492">
        <f t="shared" si="394"/>
        <v>0.20428228028560802</v>
      </c>
      <c r="BY140" s="493">
        <f t="shared" si="394"/>
        <v>0.18335968842396447</v>
      </c>
      <c r="BZ140" s="492">
        <f>BZ85/BZ$11</f>
        <v>0.18877612913530631</v>
      </c>
      <c r="CA140" s="492">
        <f>CA85/CA$11</f>
        <v>0.17571215612631</v>
      </c>
      <c r="CB140" s="492">
        <f>CB85/CB$11</f>
        <v>0.15369232848885836</v>
      </c>
      <c r="CC140" s="493">
        <f>CC85/CC$11</f>
        <v>0.15136062213555432</v>
      </c>
      <c r="CD140" s="9"/>
      <c r="CE140" s="492">
        <f t="shared" ref="CE140:DA140" si="395">CE85/CE$11</f>
        <v>-3.8226326308288434E-2</v>
      </c>
      <c r="CF140" s="492">
        <f t="shared" si="395"/>
        <v>2.2618448534500582E-2</v>
      </c>
      <c r="CG140" s="492">
        <f t="shared" si="395"/>
        <v>7.1666979111775497E-2</v>
      </c>
      <c r="CH140" s="492">
        <f t="shared" si="395"/>
        <v>4.9665129099901346E-2</v>
      </c>
      <c r="CI140" s="492">
        <f t="shared" si="395"/>
        <v>5.9714690234864871E-2</v>
      </c>
      <c r="CJ140" s="492">
        <f t="shared" si="395"/>
        <v>8.3123965268716515E-2</v>
      </c>
      <c r="CK140" s="492">
        <f t="shared" si="395"/>
        <v>8.1525062109775337E-2</v>
      </c>
      <c r="CL140" s="492">
        <f t="shared" si="395"/>
        <v>0.12269024807311225</v>
      </c>
      <c r="CM140" s="492">
        <f t="shared" si="395"/>
        <v>7.2982631414005267E-2</v>
      </c>
      <c r="CN140" s="492">
        <f t="shared" si="395"/>
        <v>0.14350187996025263</v>
      </c>
      <c r="CO140" s="492">
        <f t="shared" si="395"/>
        <v>8.1750083752520269E-2</v>
      </c>
      <c r="CP140" s="492">
        <f t="shared" si="395"/>
        <v>0.16910446688291805</v>
      </c>
      <c r="CQ140" s="492">
        <f t="shared" si="395"/>
        <v>0.13666298612468247</v>
      </c>
      <c r="CR140" s="492">
        <f t="shared" si="395"/>
        <v>0.12962407138136153</v>
      </c>
      <c r="CS140" s="492">
        <f t="shared" si="395"/>
        <v>0.13745378122426569</v>
      </c>
      <c r="CT140" s="492">
        <f t="shared" si="395"/>
        <v>0.10785189318146836</v>
      </c>
      <c r="CU140" s="492">
        <f t="shared" si="395"/>
        <v>0.14243764730529512</v>
      </c>
      <c r="CV140" s="492">
        <f t="shared" si="395"/>
        <v>0.20654255194431814</v>
      </c>
      <c r="CW140" s="492">
        <f>CW85/CW$11</f>
        <v>0.16823831931624836</v>
      </c>
      <c r="CX140" s="492">
        <f t="shared" si="395"/>
        <v>0.17291603959516053</v>
      </c>
      <c r="CY140" s="492">
        <f t="shared" si="395"/>
        <v>0.17375335356645225</v>
      </c>
      <c r="CZ140" s="492">
        <f t="shared" si="395"/>
        <v>0.17770443310915179</v>
      </c>
      <c r="DA140" s="492">
        <f t="shared" si="395"/>
        <v>0.17077586485977064</v>
      </c>
      <c r="DB140" s="492">
        <f>DB85/DB$11</f>
        <v>0.17133100602150911</v>
      </c>
      <c r="DC140" s="492">
        <f>DC85/DC$11</f>
        <v>0.17180013429530822</v>
      </c>
      <c r="DD140" s="1517"/>
      <c r="DE140" s="1483"/>
      <c r="DF140" s="24"/>
      <c r="DG140" s="23"/>
      <c r="DH140" s="24"/>
      <c r="DI140" s="24"/>
      <c r="DJ140" s="24"/>
      <c r="DK140" s="24"/>
      <c r="DL140" s="141"/>
      <c r="DM140" s="24"/>
      <c r="DN140" s="24"/>
      <c r="DO140" s="24"/>
      <c r="DP140" s="24"/>
      <c r="DQ140" s="24"/>
      <c r="DR140" s="24"/>
      <c r="DS140" s="23"/>
      <c r="DT140" s="24"/>
      <c r="DU140" s="24"/>
      <c r="DV140" s="24"/>
      <c r="DW140" s="25"/>
      <c r="DX140" s="24"/>
      <c r="DY140" s="24"/>
      <c r="DZ140" s="1561"/>
    </row>
    <row r="141" spans="1:136" ht="11.25" customHeight="1">
      <c r="A141" s="145"/>
      <c r="B141" s="227"/>
      <c r="C141" s="145"/>
      <c r="D141" s="145"/>
      <c r="E141" s="228"/>
      <c r="F141" s="761"/>
      <c r="G141" s="761"/>
      <c r="H141" s="761"/>
      <c r="I141" s="743"/>
      <c r="J141" s="762"/>
      <c r="K141" s="761"/>
      <c r="L141" s="761"/>
      <c r="M141" s="743"/>
      <c r="N141" s="762"/>
      <c r="O141" s="761"/>
      <c r="P141" s="761"/>
      <c r="Q141" s="743"/>
      <c r="R141" s="762"/>
      <c r="S141" s="761"/>
      <c r="T141" s="761"/>
      <c r="U141" s="743"/>
      <c r="V141" s="762"/>
      <c r="W141" s="761"/>
      <c r="X141" s="761"/>
      <c r="Y141" s="743"/>
      <c r="Z141" s="762"/>
      <c r="AA141" s="761"/>
      <c r="AB141" s="761"/>
      <c r="AC141" s="743"/>
      <c r="AD141" s="762"/>
      <c r="AE141" s="761"/>
      <c r="AF141" s="761"/>
      <c r="AG141" s="761"/>
      <c r="AH141" s="762"/>
      <c r="AI141" s="761"/>
      <c r="AJ141" s="761"/>
      <c r="AK141" s="743"/>
      <c r="AL141" s="762"/>
      <c r="AM141" s="761"/>
      <c r="AN141" s="761"/>
      <c r="AO141" s="743"/>
      <c r="AP141" s="762"/>
      <c r="AQ141" s="761"/>
      <c r="AR141" s="761"/>
      <c r="AS141" s="743"/>
      <c r="AT141" s="762"/>
      <c r="AU141" s="761"/>
      <c r="AV141" s="761"/>
      <c r="AW141" s="743"/>
      <c r="AX141" s="762"/>
      <c r="AY141" s="761"/>
      <c r="AZ141" s="761"/>
      <c r="BA141" s="743"/>
      <c r="BB141" s="762"/>
      <c r="BC141" s="761"/>
      <c r="BD141" s="761"/>
      <c r="BE141" s="743"/>
      <c r="BF141" s="761"/>
      <c r="BG141" s="761"/>
      <c r="BH141" s="761"/>
      <c r="BI141" s="743"/>
      <c r="BJ141" s="761"/>
      <c r="BK141" s="761"/>
      <c r="BL141" s="761"/>
      <c r="BM141" s="743"/>
      <c r="BN141" s="762"/>
      <c r="BO141" s="761"/>
      <c r="BP141" s="761"/>
      <c r="BQ141" s="743"/>
      <c r="BR141" s="761"/>
      <c r="BS141" s="761"/>
      <c r="BT141" s="761"/>
      <c r="BU141" s="743"/>
      <c r="BV141" s="761"/>
      <c r="BW141" s="761"/>
      <c r="BX141" s="761"/>
      <c r="BY141" s="743"/>
      <c r="BZ141" s="761"/>
      <c r="CA141" s="761"/>
      <c r="CB141" s="761"/>
      <c r="CC141" s="743"/>
      <c r="CD141" s="228"/>
      <c r="CE141" s="145"/>
      <c r="CF141" s="145"/>
      <c r="CG141" s="145"/>
      <c r="CH141" s="145"/>
      <c r="CI141" s="145"/>
      <c r="CJ141" s="145"/>
      <c r="CK141" s="145"/>
      <c r="CL141" s="145"/>
      <c r="CM141" s="145"/>
      <c r="CN141" s="145"/>
      <c r="CO141" s="145"/>
      <c r="CP141" s="145"/>
      <c r="CQ141" s="145"/>
      <c r="CR141" s="145"/>
      <c r="CS141" s="761"/>
      <c r="CT141" s="761"/>
      <c r="CU141" s="761"/>
      <c r="CV141" s="761"/>
      <c r="CW141" s="761"/>
      <c r="CX141" s="761"/>
      <c r="CY141" s="761"/>
      <c r="CZ141" s="761"/>
      <c r="DA141" s="761"/>
      <c r="DB141" s="761"/>
      <c r="DC141" s="761"/>
      <c r="DD141" s="1505"/>
      <c r="DE141" s="1551"/>
      <c r="DF141" s="141"/>
      <c r="DG141" s="215"/>
      <c r="DH141" s="141"/>
      <c r="DI141" s="141"/>
      <c r="DJ141" s="141"/>
      <c r="DK141" s="141"/>
      <c r="DL141" s="141"/>
      <c r="DM141" s="141"/>
      <c r="DN141" s="141"/>
      <c r="DO141" s="141"/>
      <c r="DP141" s="141"/>
      <c r="DQ141" s="141"/>
      <c r="DR141" s="141"/>
      <c r="DS141" s="215"/>
      <c r="DT141" s="141"/>
      <c r="DU141" s="141"/>
      <c r="DV141" s="141"/>
      <c r="DW141" s="216"/>
      <c r="DX141" s="141"/>
      <c r="DY141" s="141"/>
      <c r="DZ141" s="1676"/>
    </row>
    <row r="142" spans="1:136" ht="11.25" customHeight="1">
      <c r="A142" s="3"/>
      <c r="B142" s="209" t="s">
        <v>894</v>
      </c>
      <c r="C142" s="188"/>
      <c r="D142" s="188"/>
      <c r="E142" s="198"/>
      <c r="F142" s="188"/>
      <c r="G142" s="188"/>
      <c r="H142" s="188"/>
      <c r="I142" s="198"/>
      <c r="J142" s="209"/>
      <c r="K142" s="188"/>
      <c r="L142" s="188"/>
      <c r="M142" s="198"/>
      <c r="N142" s="209"/>
      <c r="O142" s="188"/>
      <c r="P142" s="188"/>
      <c r="Q142" s="198"/>
      <c r="R142" s="209"/>
      <c r="S142" s="188"/>
      <c r="T142" s="188"/>
      <c r="U142" s="198"/>
      <c r="V142" s="209"/>
      <c r="W142" s="188"/>
      <c r="X142" s="188"/>
      <c r="Y142" s="198"/>
      <c r="Z142" s="209"/>
      <c r="AA142" s="188"/>
      <c r="AB142" s="188"/>
      <c r="AC142" s="198"/>
      <c r="AD142" s="209"/>
      <c r="AE142" s="188"/>
      <c r="AF142" s="188"/>
      <c r="AG142" s="188"/>
      <c r="AH142" s="209"/>
      <c r="AI142" s="188"/>
      <c r="AJ142" s="188"/>
      <c r="AK142" s="198"/>
      <c r="AL142" s="209"/>
      <c r="AM142" s="188"/>
      <c r="AN142" s="188"/>
      <c r="AO142" s="198"/>
      <c r="AP142" s="209"/>
      <c r="AQ142" s="188"/>
      <c r="AR142" s="188"/>
      <c r="AS142" s="198"/>
      <c r="AT142" s="209"/>
      <c r="AU142" s="188"/>
      <c r="AV142" s="188"/>
      <c r="AW142" s="198"/>
      <c r="AX142" s="209"/>
      <c r="AY142" s="188"/>
      <c r="AZ142" s="188"/>
      <c r="BA142" s="198"/>
      <c r="BB142" s="209"/>
      <c r="BC142" s="188"/>
      <c r="BD142" s="188"/>
      <c r="BE142" s="198"/>
      <c r="BF142" s="188"/>
      <c r="BG142" s="188"/>
      <c r="BH142" s="188"/>
      <c r="BI142" s="198"/>
      <c r="BJ142" s="188"/>
      <c r="BK142" s="188"/>
      <c r="BL142" s="188"/>
      <c r="BM142" s="198"/>
      <c r="BN142" s="209"/>
      <c r="BO142" s="1539"/>
      <c r="BP142" s="1539"/>
      <c r="BQ142" s="1540"/>
      <c r="BR142" s="1539"/>
      <c r="BS142" s="1539"/>
      <c r="BT142" s="1539"/>
      <c r="BU142" s="1540"/>
      <c r="BV142" s="1539"/>
      <c r="BW142" s="1539"/>
      <c r="BX142" s="1539"/>
      <c r="BY142" s="1540"/>
      <c r="BZ142" s="1539"/>
      <c r="CA142" s="1539"/>
      <c r="CB142" s="1539"/>
      <c r="CC142" s="1540"/>
      <c r="CD142" s="9"/>
      <c r="CE142" s="18"/>
      <c r="CF142" s="18"/>
      <c r="CG142" s="18"/>
      <c r="CH142" s="18"/>
      <c r="CI142" s="18"/>
      <c r="CJ142" s="18"/>
      <c r="CK142" s="18"/>
      <c r="CL142" s="18"/>
      <c r="CM142" s="18"/>
      <c r="CN142" s="18"/>
      <c r="CO142" s="18"/>
      <c r="CP142" s="18"/>
      <c r="CQ142" s="18"/>
      <c r="CR142" s="18"/>
      <c r="CS142" s="188"/>
      <c r="CT142" s="188"/>
      <c r="CU142" s="188"/>
      <c r="CV142" s="188"/>
      <c r="CW142" s="188"/>
      <c r="CX142" s="188"/>
      <c r="CY142" s="188"/>
      <c r="CZ142" s="188"/>
      <c r="DA142" s="188"/>
      <c r="DB142" s="188"/>
      <c r="DC142" s="188"/>
      <c r="DD142" s="1517"/>
      <c r="DE142" s="1483"/>
      <c r="DF142" s="24"/>
      <c r="DG142" s="23"/>
      <c r="DH142" s="24"/>
      <c r="DI142" s="24"/>
      <c r="DJ142" s="24"/>
      <c r="DK142" s="24"/>
      <c r="DL142" s="141"/>
      <c r="DM142" s="24"/>
      <c r="DN142" s="24"/>
      <c r="DO142" s="24"/>
      <c r="DP142" s="24"/>
      <c r="DQ142" s="24"/>
      <c r="DR142" s="24"/>
      <c r="DS142" s="23"/>
      <c r="DT142" s="24"/>
      <c r="DU142" s="24"/>
      <c r="DV142" s="24"/>
      <c r="DW142" s="25"/>
      <c r="DX142" s="24"/>
      <c r="DY142" s="24"/>
      <c r="DZ142" s="1561"/>
    </row>
    <row r="143" spans="1:136" ht="11.25" customHeight="1">
      <c r="A143" s="49"/>
      <c r="B143" s="209"/>
      <c r="C143" s="188" t="s">
        <v>36</v>
      </c>
      <c r="D143" s="188"/>
      <c r="E143" s="198"/>
      <c r="F143" s="1205"/>
      <c r="G143" s="1205"/>
      <c r="H143" s="1205"/>
      <c r="I143" s="1206"/>
      <c r="J143" s="1207">
        <f t="shared" ref="J143:AO143" si="396">J11/F11-1</f>
        <v>3.9062978655217462E-2</v>
      </c>
      <c r="K143" s="1205">
        <f t="shared" si="396"/>
        <v>2.3327456951047765E-2</v>
      </c>
      <c r="L143" s="1205">
        <f t="shared" si="396"/>
        <v>0.16247797019230759</v>
      </c>
      <c r="M143" s="1206">
        <f t="shared" si="396"/>
        <v>0.18637886657319092</v>
      </c>
      <c r="N143" s="1207">
        <f t="shared" si="396"/>
        <v>0.32196061336055148</v>
      </c>
      <c r="O143" s="1205">
        <f t="shared" si="396"/>
        <v>0.3042065914207539</v>
      </c>
      <c r="P143" s="1205">
        <f t="shared" si="396"/>
        <v>0.18654904999750377</v>
      </c>
      <c r="Q143" s="1206">
        <f t="shared" si="396"/>
        <v>0.25817938716362887</v>
      </c>
      <c r="R143" s="1207">
        <f t="shared" si="396"/>
        <v>0.22527622994403851</v>
      </c>
      <c r="S143" s="1205">
        <f t="shared" si="396"/>
        <v>0.11384885954853563</v>
      </c>
      <c r="T143" s="1205">
        <f t="shared" si="396"/>
        <v>6.099474578955455E-2</v>
      </c>
      <c r="U143" s="1206">
        <f t="shared" si="396"/>
        <v>0.10074211580004344</v>
      </c>
      <c r="V143" s="1207">
        <f t="shared" si="396"/>
        <v>0.15310529610749302</v>
      </c>
      <c r="W143" s="1205">
        <f t="shared" si="396"/>
        <v>0.14387381656974374</v>
      </c>
      <c r="X143" s="1205">
        <f t="shared" si="396"/>
        <v>0.22834373178326195</v>
      </c>
      <c r="Y143" s="1206">
        <f t="shared" si="396"/>
        <v>0.25584308351441898</v>
      </c>
      <c r="Z143" s="1207">
        <f t="shared" si="396"/>
        <v>0.22624304811002971</v>
      </c>
      <c r="AA143" s="1205">
        <f t="shared" si="396"/>
        <v>0.16979588073131668</v>
      </c>
      <c r="AB143" s="1205">
        <f t="shared" si="396"/>
        <v>0.22706322199010498</v>
      </c>
      <c r="AC143" s="1206">
        <f t="shared" si="396"/>
        <v>0.15435842394715671</v>
      </c>
      <c r="AD143" s="1207">
        <f t="shared" si="396"/>
        <v>0.25160177733103839</v>
      </c>
      <c r="AE143" s="1205">
        <f t="shared" si="396"/>
        <v>0.27832033941900058</v>
      </c>
      <c r="AF143" s="1205">
        <f t="shared" si="396"/>
        <v>0.24917369910272935</v>
      </c>
      <c r="AG143" s="1205">
        <f t="shared" si="396"/>
        <v>0.2590343578257881</v>
      </c>
      <c r="AH143" s="1207">
        <f t="shared" si="396"/>
        <v>0.39714414744536275</v>
      </c>
      <c r="AI143" s="1205">
        <f t="shared" si="396"/>
        <v>0.54352233642467018</v>
      </c>
      <c r="AJ143" s="1205">
        <f t="shared" si="396"/>
        <v>0.49715054365230116</v>
      </c>
      <c r="AK143" s="1206">
        <f t="shared" si="396"/>
        <v>0.45829632141205212</v>
      </c>
      <c r="AL143" s="1207">
        <f t="shared" si="396"/>
        <v>0.19422616499133949</v>
      </c>
      <c r="AM143" s="1205">
        <f t="shared" si="396"/>
        <v>-0.17300270357660841</v>
      </c>
      <c r="AN143" s="1205">
        <f t="shared" si="396"/>
        <v>-0.24591579065803759</v>
      </c>
      <c r="AO143" s="1206">
        <f t="shared" si="396"/>
        <v>-3.2552049428616892E-2</v>
      </c>
      <c r="AP143" s="1207">
        <f t="shared" ref="AP143:BU143" si="397">AP11/AL11-1</f>
        <v>4.6946761662707948E-2</v>
      </c>
      <c r="AQ143" s="1205">
        <f t="shared" si="397"/>
        <v>0.43681020214883981</v>
      </c>
      <c r="AR143" s="1205">
        <f t="shared" si="397"/>
        <v>0.65903213816921014</v>
      </c>
      <c r="AS143" s="1206">
        <f t="shared" si="397"/>
        <v>0.23535763325986636</v>
      </c>
      <c r="AT143" s="1207">
        <f t="shared" si="397"/>
        <v>0.10824275362318847</v>
      </c>
      <c r="AU143" s="1205">
        <f t="shared" si="397"/>
        <v>-5.4982817869415834E-2</v>
      </c>
      <c r="AV143" s="1205">
        <f t="shared" si="397"/>
        <v>-0.14729269216205987</v>
      </c>
      <c r="AW143" s="1206">
        <f t="shared" si="397"/>
        <v>8.8161209068009505E-3</v>
      </c>
      <c r="AX143" s="1207">
        <f t="shared" si="397"/>
        <v>0.10093992644053951</v>
      </c>
      <c r="AY143" s="1205">
        <f t="shared" si="397"/>
        <v>-0.19393939393939397</v>
      </c>
      <c r="AZ143" s="1205">
        <f t="shared" si="397"/>
        <v>0.34769094138543521</v>
      </c>
      <c r="BA143" s="1206">
        <f t="shared" si="397"/>
        <v>0.9783603828547649</v>
      </c>
      <c r="BB143" s="1207">
        <f t="shared" si="397"/>
        <v>0.49777282850779514</v>
      </c>
      <c r="BC143" s="1205">
        <f t="shared" si="397"/>
        <v>0.91679197994987471</v>
      </c>
      <c r="BD143" s="1205">
        <f t="shared" si="397"/>
        <v>0.24019769357495879</v>
      </c>
      <c r="BE143" s="1206">
        <f t="shared" si="397"/>
        <v>-0.21581825830879264</v>
      </c>
      <c r="BF143" s="1205">
        <f t="shared" si="397"/>
        <v>-5.7249070631970267E-2</v>
      </c>
      <c r="BG143" s="1205">
        <f t="shared" si="397"/>
        <v>3.8702928870292919E-2</v>
      </c>
      <c r="BH143" s="1205">
        <f t="shared" si="397"/>
        <v>-1.6206163655685391E-2</v>
      </c>
      <c r="BI143" s="1206">
        <f t="shared" si="397"/>
        <v>-2.0654506437768227E-2</v>
      </c>
      <c r="BJ143" s="1205">
        <f t="shared" si="397"/>
        <v>3.6540483701366977E-2</v>
      </c>
      <c r="BK143" s="1205">
        <f t="shared" si="397"/>
        <v>-2.1148036253776481E-2</v>
      </c>
      <c r="BL143" s="1205">
        <f t="shared" si="397"/>
        <v>-4.1317850391574429E-2</v>
      </c>
      <c r="BM143" s="1206">
        <f t="shared" si="397"/>
        <v>-0.12599287866337994</v>
      </c>
      <c r="BN143" s="1207">
        <f t="shared" si="397"/>
        <v>-0.14785696170428608</v>
      </c>
      <c r="BO143" s="1205">
        <f t="shared" si="397"/>
        <v>-0.14686213991769548</v>
      </c>
      <c r="BP143" s="1205">
        <f t="shared" si="397"/>
        <v>-0.20507042253521124</v>
      </c>
      <c r="BQ143" s="1206">
        <f t="shared" si="397"/>
        <v>9.526794108429959E-2</v>
      </c>
      <c r="BR143" s="1205">
        <f t="shared" si="397"/>
        <v>0.40297619047619038</v>
      </c>
      <c r="BS143" s="1205">
        <f t="shared" si="397"/>
        <v>0.47362074163400658</v>
      </c>
      <c r="BT143" s="1205">
        <f t="shared" si="397"/>
        <v>0.64741318214032595</v>
      </c>
      <c r="BU143" s="1206">
        <f t="shared" si="397"/>
        <v>0.38540772532188838</v>
      </c>
      <c r="BV143" s="1205">
        <f t="shared" ref="BV143:CC143" si="398">BV11/BR11-1</f>
        <v>9.9066610097581664E-2</v>
      </c>
      <c r="BW143" s="1205">
        <f t="shared" si="398"/>
        <v>9.1653027823240585E-2</v>
      </c>
      <c r="BX143" s="1205">
        <f t="shared" si="398"/>
        <v>5.5947225209722395E-2</v>
      </c>
      <c r="BY143" s="1206">
        <f t="shared" si="398"/>
        <v>1.4874283201156357E-2</v>
      </c>
      <c r="BZ143" s="1205">
        <f t="shared" si="398"/>
        <v>-2.1325740038837249E-2</v>
      </c>
      <c r="CA143" s="1205">
        <f t="shared" si="398"/>
        <v>-6.4822434642004878E-2</v>
      </c>
      <c r="CB143" s="1205">
        <f t="shared" si="398"/>
        <v>-5.6060008393157501E-2</v>
      </c>
      <c r="CC143" s="1206">
        <f t="shared" si="398"/>
        <v>-0.10742448965199114</v>
      </c>
      <c r="CD143" s="239"/>
      <c r="CE143" s="1207"/>
      <c r="CF143" s="1205">
        <f t="shared" ref="CF143:DC143" si="399">CF11/CE11-1</f>
        <v>0.10123913394788042</v>
      </c>
      <c r="CG143" s="1205">
        <f t="shared" si="399"/>
        <v>0.26374098251578548</v>
      </c>
      <c r="CH143" s="1205">
        <f t="shared" si="399"/>
        <v>0.12073852780849137</v>
      </c>
      <c r="CI143" s="1205">
        <f t="shared" si="399"/>
        <v>0.19431942830796012</v>
      </c>
      <c r="CJ143" s="1205">
        <f t="shared" si="399"/>
        <v>0.19305972861064347</v>
      </c>
      <c r="CK143" s="1205">
        <f t="shared" si="399"/>
        <v>0.2597040077428483</v>
      </c>
      <c r="CL143" s="1205">
        <f t="shared" si="399"/>
        <v>0.47643397959686107</v>
      </c>
      <c r="CM143" s="1205">
        <f t="shared" si="399"/>
        <v>-7.7076257179005569E-2</v>
      </c>
      <c r="CN143" s="1205">
        <f t="shared" si="399"/>
        <v>0.32181833824146611</v>
      </c>
      <c r="CO143" s="1205">
        <f t="shared" si="399"/>
        <v>-2.7715736040609174E-2</v>
      </c>
      <c r="CP143" s="1205">
        <f t="shared" si="399"/>
        <v>0.30291322961261358</v>
      </c>
      <c r="CQ143" s="1205">
        <f t="shared" si="399"/>
        <v>0.23024523160762933</v>
      </c>
      <c r="CR143" s="1205">
        <f t="shared" si="399"/>
        <v>-1.4396456256921319E-2</v>
      </c>
      <c r="CS143" s="1205">
        <f t="shared" si="399"/>
        <v>-3.6880370125578321E-2</v>
      </c>
      <c r="CT143" s="1205">
        <f t="shared" si="399"/>
        <v>-0.10828987098545151</v>
      </c>
      <c r="CU143" s="1205">
        <f t="shared" si="399"/>
        <v>0.46937047868246884</v>
      </c>
      <c r="CV143" s="1205">
        <f t="shared" si="399"/>
        <v>6.5318175732467454E-2</v>
      </c>
      <c r="CW143" s="1205">
        <f t="shared" si="399"/>
        <v>-6.1920554763520763E-2</v>
      </c>
      <c r="CX143" s="1205">
        <f t="shared" si="399"/>
        <v>7.2924038069256403E-2</v>
      </c>
      <c r="CY143" s="1205">
        <f t="shared" si="399"/>
        <v>3.6252265963877761E-2</v>
      </c>
      <c r="CZ143" s="1205">
        <f t="shared" si="399"/>
        <v>3.8063661605375998E-2</v>
      </c>
      <c r="DA143" s="1205">
        <f t="shared" si="399"/>
        <v>4.6347477925979153E-2</v>
      </c>
      <c r="DB143" s="1205">
        <f t="shared" si="399"/>
        <v>5.0201013782605219E-2</v>
      </c>
      <c r="DC143" s="1205">
        <f t="shared" si="399"/>
        <v>5.4137204785502879E-2</v>
      </c>
      <c r="DD143" s="1508"/>
      <c r="DE143" s="1553"/>
      <c r="DF143" s="30"/>
      <c r="DG143" s="36"/>
      <c r="DH143" s="30"/>
      <c r="DI143" s="30"/>
      <c r="DJ143" s="30"/>
      <c r="DK143" s="30"/>
      <c r="DL143" s="181"/>
      <c r="DM143" s="30"/>
      <c r="DN143" s="30"/>
      <c r="DO143" s="30"/>
      <c r="DP143" s="1205">
        <f t="shared" ref="DP143:DW143" si="400">DP11/DO11-1</f>
        <v>0.19143481231437942</v>
      </c>
      <c r="DQ143" s="1205">
        <f t="shared" si="400"/>
        <v>-6.043237807943691E-2</v>
      </c>
      <c r="DR143" s="1205">
        <f t="shared" si="400"/>
        <v>0.67465753424657526</v>
      </c>
      <c r="DS143" s="1207">
        <f t="shared" si="400"/>
        <v>-2.4284253578732096E-2</v>
      </c>
      <c r="DT143" s="1205">
        <f t="shared" si="400"/>
        <v>-5.4362064448519876E-3</v>
      </c>
      <c r="DU143" s="1205">
        <f t="shared" si="400"/>
        <v>-0.11636483371748441</v>
      </c>
      <c r="DV143" s="1205">
        <f t="shared" si="400"/>
        <v>0.18639141451781183</v>
      </c>
      <c r="DW143" s="1206">
        <f t="shared" si="400"/>
        <v>0.25686286827061999</v>
      </c>
      <c r="DX143" s="1205"/>
      <c r="DY143" s="1205"/>
      <c r="DZ143" s="1556"/>
    </row>
    <row r="144" spans="1:136" s="52" customFormat="1" ht="11.25" customHeight="1">
      <c r="A144" s="11"/>
      <c r="B144" s="207"/>
      <c r="C144" s="52" t="s">
        <v>970</v>
      </c>
      <c r="E144" s="145"/>
      <c r="F144" s="228"/>
      <c r="G144" s="976"/>
      <c r="H144" s="976"/>
      <c r="I144" s="977"/>
      <c r="J144" s="975"/>
      <c r="K144" s="976"/>
      <c r="L144" s="976"/>
      <c r="M144" s="977"/>
      <c r="N144" s="975"/>
      <c r="O144" s="976"/>
      <c r="P144" s="976"/>
      <c r="Q144" s="977"/>
      <c r="R144" s="975"/>
      <c r="S144" s="976"/>
      <c r="T144" s="976"/>
      <c r="U144" s="977"/>
      <c r="V144" s="975"/>
      <c r="W144" s="976"/>
      <c r="X144" s="976"/>
      <c r="Y144" s="977"/>
      <c r="Z144" s="975"/>
      <c r="AA144" s="976"/>
      <c r="AB144" s="976"/>
      <c r="AC144" s="977"/>
      <c r="AD144" s="975"/>
      <c r="AE144" s="976"/>
      <c r="AF144" s="976"/>
      <c r="AG144" s="976"/>
      <c r="AH144" s="975"/>
      <c r="AI144" s="976"/>
      <c r="AJ144" s="976"/>
      <c r="AK144" s="977"/>
      <c r="AL144" s="975"/>
      <c r="AM144" s="976"/>
      <c r="AN144" s="976"/>
      <c r="AO144" s="977"/>
      <c r="AP144" s="975"/>
      <c r="AQ144" s="976"/>
      <c r="AR144" s="976"/>
      <c r="AS144" s="977"/>
      <c r="AT144" s="975"/>
      <c r="AU144" s="976"/>
      <c r="AV144" s="976"/>
      <c r="AW144" s="977"/>
      <c r="AX144" s="975"/>
      <c r="AY144" s="976"/>
      <c r="AZ144" s="976"/>
      <c r="BA144" s="977"/>
      <c r="BB144" s="975"/>
      <c r="BC144" s="976"/>
      <c r="BD144" s="976"/>
      <c r="BE144" s="977"/>
      <c r="BF144" s="976">
        <f t="shared" ref="BF144:BO146" si="401">BF12/BB12-1</f>
        <v>-0.17056603773584911</v>
      </c>
      <c r="BG144" s="976">
        <f t="shared" si="401"/>
        <v>-1.4608233731739695E-2</v>
      </c>
      <c r="BH144" s="976">
        <f t="shared" si="401"/>
        <v>-1.9372693726937285E-2</v>
      </c>
      <c r="BI144" s="977">
        <f t="shared" si="401"/>
        <v>2.8923660502607973E-2</v>
      </c>
      <c r="BJ144" s="976">
        <f t="shared" si="401"/>
        <v>2.593266606005451E-2</v>
      </c>
      <c r="BK144" s="976">
        <f t="shared" si="401"/>
        <v>-6.1545372866127601E-2</v>
      </c>
      <c r="BL144" s="976">
        <f t="shared" si="401"/>
        <v>-0.14393226716839136</v>
      </c>
      <c r="BM144" s="977">
        <f t="shared" si="401"/>
        <v>-0.28755760368663597</v>
      </c>
      <c r="BN144" s="975">
        <f t="shared" si="401"/>
        <v>-0.25942350332594233</v>
      </c>
      <c r="BO144" s="976">
        <f t="shared" si="401"/>
        <v>-0.24317855433221636</v>
      </c>
      <c r="BP144" s="976">
        <f t="shared" ref="BP144:BY146" si="402">BP12/BL12-1</f>
        <v>-0.24725274725274726</v>
      </c>
      <c r="BQ144" s="977">
        <f t="shared" si="402"/>
        <v>2.4579560155239433E-2</v>
      </c>
      <c r="BR144" s="976">
        <f t="shared" si="402"/>
        <v>0.42155688622754495</v>
      </c>
      <c r="BS144" s="976">
        <f t="shared" si="402"/>
        <v>0.52941176470588225</v>
      </c>
      <c r="BT144" s="976">
        <f t="shared" si="402"/>
        <v>0.69197080291970803</v>
      </c>
      <c r="BU144" s="977">
        <f t="shared" si="402"/>
        <v>0.52146464646464641</v>
      </c>
      <c r="BV144" s="976">
        <f t="shared" si="402"/>
        <v>0.12721145745577078</v>
      </c>
      <c r="BW144" s="976">
        <f t="shared" si="402"/>
        <v>9.4706368899917237E-2</v>
      </c>
      <c r="BX144" s="976">
        <f t="shared" si="402"/>
        <v>5.7829357204486342E-2</v>
      </c>
      <c r="BY144" s="977">
        <f t="shared" si="402"/>
        <v>7.2730147302901837E-3</v>
      </c>
      <c r="BZ144" s="976">
        <f t="shared" ref="BZ144:CC146" si="403">BZ12/BV12-1</f>
        <v>-7.906338169820637E-2</v>
      </c>
      <c r="CA144" s="976">
        <f t="shared" si="403"/>
        <v>-8.8339130467840143E-2</v>
      </c>
      <c r="CB144" s="976">
        <f t="shared" si="403"/>
        <v>-8.35660369100798E-2</v>
      </c>
      <c r="CC144" s="977">
        <f t="shared" si="403"/>
        <v>-0.12911002780303349</v>
      </c>
      <c r="CD144" s="22"/>
      <c r="CE144" s="975"/>
      <c r="CF144" s="976"/>
      <c r="CG144" s="976"/>
      <c r="CH144" s="976"/>
      <c r="CI144" s="976"/>
      <c r="CJ144" s="976"/>
      <c r="CK144" s="976"/>
      <c r="CL144" s="976"/>
      <c r="CM144" s="976"/>
      <c r="CN144" s="976"/>
      <c r="CO144" s="976"/>
      <c r="CP144" s="976"/>
      <c r="CQ144" s="976"/>
      <c r="CR144" s="976">
        <f t="shared" ref="CR144:DC144" si="404">CR12/CQ12-1</f>
        <v>-5.0729370781624206E-2</v>
      </c>
      <c r="CS144" s="976">
        <f t="shared" si="404"/>
        <v>-0.11582568807339455</v>
      </c>
      <c r="CT144" s="976">
        <f t="shared" si="404"/>
        <v>-0.19520103761348895</v>
      </c>
      <c r="CU144" s="976">
        <f t="shared" si="404"/>
        <v>0.53424657534246567</v>
      </c>
      <c r="CV144" s="976">
        <f t="shared" si="404"/>
        <v>7.1699203308823511E-2</v>
      </c>
      <c r="CW144" s="976">
        <f t="shared" si="404"/>
        <v>-9.4459813180619467E-2</v>
      </c>
      <c r="CX144" s="976">
        <f t="shared" si="404"/>
        <v>3.0000000000000249E-2</v>
      </c>
      <c r="CY144" s="976">
        <f t="shared" si="404"/>
        <v>-1.0200000000000098E-2</v>
      </c>
      <c r="CZ144" s="976">
        <f t="shared" si="404"/>
        <v>-1.0200000000000098E-2</v>
      </c>
      <c r="DA144" s="976">
        <f t="shared" si="404"/>
        <v>-3.9999999999995595E-4</v>
      </c>
      <c r="DB144" s="976">
        <f t="shared" si="404"/>
        <v>-4.0000000000006697E-4</v>
      </c>
      <c r="DC144" s="976">
        <f t="shared" si="404"/>
        <v>-3.9999999999995595E-4</v>
      </c>
      <c r="DD144" s="1509"/>
      <c r="DE144" s="1521"/>
      <c r="DF144" s="29"/>
      <c r="DG144" s="57"/>
      <c r="DH144" s="29"/>
      <c r="DI144" s="29"/>
      <c r="DJ144" s="29"/>
      <c r="DK144" s="29"/>
      <c r="DL144" s="141"/>
      <c r="DM144" s="29"/>
      <c r="DN144" s="29"/>
      <c r="DO144" s="29"/>
      <c r="DP144" s="976"/>
      <c r="DQ144" s="976">
        <f>DQ29/DP29-1</f>
        <v>-1.5948029653718332E-2</v>
      </c>
      <c r="DR144" s="976">
        <f>DR29/DQ29-1</f>
        <v>2.9297942250644899</v>
      </c>
      <c r="DS144" s="975"/>
      <c r="DT144" s="976"/>
      <c r="DU144" s="976"/>
      <c r="DV144" s="976"/>
      <c r="DW144" s="977"/>
      <c r="DX144" s="976"/>
      <c r="DY144" s="976"/>
      <c r="DZ144" s="1559"/>
      <c r="EA144"/>
      <c r="EB144"/>
      <c r="EC144"/>
      <c r="ED144"/>
      <c r="EE144"/>
      <c r="EF144"/>
    </row>
    <row r="145" spans="1:136" s="52" customFormat="1" ht="11.25" customHeight="1">
      <c r="A145" s="11"/>
      <c r="B145" s="207"/>
      <c r="C145" s="52" t="s">
        <v>944</v>
      </c>
      <c r="E145" s="145"/>
      <c r="F145" s="228"/>
      <c r="G145" s="976"/>
      <c r="H145" s="976"/>
      <c r="I145" s="977"/>
      <c r="J145" s="975"/>
      <c r="K145" s="976"/>
      <c r="L145" s="976"/>
      <c r="M145" s="977"/>
      <c r="N145" s="975"/>
      <c r="O145" s="976"/>
      <c r="P145" s="976"/>
      <c r="Q145" s="977"/>
      <c r="R145" s="975"/>
      <c r="S145" s="976"/>
      <c r="T145" s="976"/>
      <c r="U145" s="977"/>
      <c r="V145" s="975"/>
      <c r="W145" s="976"/>
      <c r="X145" s="976"/>
      <c r="Y145" s="977"/>
      <c r="Z145" s="975"/>
      <c r="AA145" s="976"/>
      <c r="AB145" s="976"/>
      <c r="AC145" s="977"/>
      <c r="AD145" s="975"/>
      <c r="AE145" s="976"/>
      <c r="AF145" s="976"/>
      <c r="AG145" s="976"/>
      <c r="AH145" s="975"/>
      <c r="AI145" s="976"/>
      <c r="AJ145" s="976"/>
      <c r="AK145" s="977"/>
      <c r="AL145" s="975"/>
      <c r="AM145" s="976"/>
      <c r="AN145" s="976"/>
      <c r="AO145" s="977"/>
      <c r="AP145" s="975"/>
      <c r="AQ145" s="976"/>
      <c r="AR145" s="976"/>
      <c r="AS145" s="977"/>
      <c r="AT145" s="975"/>
      <c r="AU145" s="976"/>
      <c r="AV145" s="976"/>
      <c r="AW145" s="977"/>
      <c r="AX145" s="975"/>
      <c r="AY145" s="976"/>
      <c r="AZ145" s="976"/>
      <c r="BA145" s="977"/>
      <c r="BB145" s="975"/>
      <c r="BC145" s="976"/>
      <c r="BD145" s="976"/>
      <c r="BE145" s="977"/>
      <c r="BF145" s="976">
        <f t="shared" si="401"/>
        <v>-8.9999999999999969E-2</v>
      </c>
      <c r="BG145" s="976">
        <f t="shared" si="401"/>
        <v>-4.401408450704225E-2</v>
      </c>
      <c r="BH145" s="976">
        <f t="shared" si="401"/>
        <v>-4.2000000000000037E-2</v>
      </c>
      <c r="BI145" s="977">
        <f t="shared" si="401"/>
        <v>0.10723192019950134</v>
      </c>
      <c r="BJ145" s="976">
        <f t="shared" si="401"/>
        <v>0.10769230769230775</v>
      </c>
      <c r="BK145" s="976">
        <f t="shared" si="401"/>
        <v>-2.7624309392265234E-2</v>
      </c>
      <c r="BL145" s="976">
        <f t="shared" si="401"/>
        <v>-5.6367432150313146E-2</v>
      </c>
      <c r="BM145" s="977">
        <f t="shared" si="401"/>
        <v>-0.17567567567567566</v>
      </c>
      <c r="BN145" s="975">
        <f t="shared" si="401"/>
        <v>-0.20833333333333337</v>
      </c>
      <c r="BO145" s="976">
        <f t="shared" si="401"/>
        <v>-0.13068181818181823</v>
      </c>
      <c r="BP145" s="976">
        <f t="shared" si="402"/>
        <v>-0.23451327433628322</v>
      </c>
      <c r="BQ145" s="977">
        <f t="shared" si="402"/>
        <v>0.81967213114754101</v>
      </c>
      <c r="BR145" s="976">
        <f t="shared" si="402"/>
        <v>1.4461152882205512</v>
      </c>
      <c r="BS145" s="976">
        <f t="shared" si="402"/>
        <v>1.3442265795206971</v>
      </c>
      <c r="BT145" s="976">
        <f t="shared" si="402"/>
        <v>1.898843930635838</v>
      </c>
      <c r="BU145" s="977">
        <f t="shared" si="402"/>
        <v>0.5210210210210211</v>
      </c>
      <c r="BV145" s="976">
        <f t="shared" si="402"/>
        <v>0.16393442622950816</v>
      </c>
      <c r="BW145" s="976">
        <f t="shared" si="402"/>
        <v>0.16635687732342008</v>
      </c>
      <c r="BX145" s="976">
        <f t="shared" si="402"/>
        <v>7.0316051844466543E-2</v>
      </c>
      <c r="BY145" s="977">
        <f t="shared" si="402"/>
        <v>3.8555241855873668E-2</v>
      </c>
      <c r="BZ145" s="976">
        <f t="shared" si="403"/>
        <v>-2.342118215669009E-2</v>
      </c>
      <c r="CA145" s="976">
        <f t="shared" si="403"/>
        <v>-0.11252936928970025</v>
      </c>
      <c r="CB145" s="976">
        <f t="shared" si="403"/>
        <v>-4.4262397696600342E-2</v>
      </c>
      <c r="CC145" s="977">
        <f t="shared" si="403"/>
        <v>-4.9284896320950011E-2</v>
      </c>
      <c r="CD145" s="22"/>
      <c r="CE145" s="975"/>
      <c r="CF145" s="976"/>
      <c r="CG145" s="976"/>
      <c r="CH145" s="976"/>
      <c r="CI145" s="976"/>
      <c r="CJ145" s="976"/>
      <c r="CK145" s="976"/>
      <c r="CL145" s="976"/>
      <c r="CM145" s="976"/>
      <c r="CN145" s="976"/>
      <c r="CO145" s="976"/>
      <c r="CP145" s="976"/>
      <c r="CQ145" s="976"/>
      <c r="CR145" s="976">
        <f t="shared" ref="CR145:DC145" si="405">CR13/CQ13-1</f>
        <v>-2.4377856780091411E-2</v>
      </c>
      <c r="CS145" s="976">
        <f t="shared" si="405"/>
        <v>-3.6959916710046836E-2</v>
      </c>
      <c r="CT145" s="976">
        <f t="shared" si="405"/>
        <v>1.08108108108107E-2</v>
      </c>
      <c r="CU145" s="976">
        <f t="shared" si="405"/>
        <v>1.1754010695187165</v>
      </c>
      <c r="CV145" s="976">
        <f t="shared" si="405"/>
        <v>0.11027125368731561</v>
      </c>
      <c r="CW145" s="976">
        <f t="shared" si="405"/>
        <v>-5.9159361566518687E-2</v>
      </c>
      <c r="CX145" s="976">
        <f t="shared" si="405"/>
        <v>2.0000000000000018E-2</v>
      </c>
      <c r="CY145" s="976">
        <f t="shared" si="405"/>
        <v>-4.0000000000028901E-4</v>
      </c>
      <c r="CZ145" s="976">
        <f t="shared" si="405"/>
        <v>-1.0199999999999876E-2</v>
      </c>
      <c r="DA145" s="976">
        <f t="shared" si="405"/>
        <v>-1.0199999999999765E-2</v>
      </c>
      <c r="DB145" s="976">
        <f t="shared" si="405"/>
        <v>-1.0200000000000098E-2</v>
      </c>
      <c r="DC145" s="976">
        <f t="shared" si="405"/>
        <v>-1.0200000000000098E-2</v>
      </c>
      <c r="DD145" s="1509"/>
      <c r="DE145" s="1521"/>
      <c r="DF145" s="29"/>
      <c r="DG145" s="57"/>
      <c r="DH145" s="29"/>
      <c r="DI145" s="29"/>
      <c r="DJ145" s="29"/>
      <c r="DK145" s="29"/>
      <c r="DL145" s="141"/>
      <c r="DM145" s="29"/>
      <c r="DN145" s="29"/>
      <c r="DO145" s="29"/>
      <c r="DP145" s="976"/>
      <c r="DQ145" s="976">
        <f>DQ32/DP32-1</f>
        <v>-4.9415591977473916E-2</v>
      </c>
      <c r="DR145" s="976">
        <f>DR32/DQ32-1</f>
        <v>0.51821848289885586</v>
      </c>
      <c r="DS145" s="975"/>
      <c r="DT145" s="976"/>
      <c r="DU145" s="976"/>
      <c r="DV145" s="976"/>
      <c r="DW145" s="977"/>
      <c r="DX145" s="976"/>
      <c r="DY145" s="976"/>
      <c r="DZ145" s="1559"/>
      <c r="EA145"/>
      <c r="EB145"/>
      <c r="EC145"/>
      <c r="ED145"/>
      <c r="EE145"/>
      <c r="EF145"/>
    </row>
    <row r="146" spans="1:136" s="52" customFormat="1" ht="11.25" customHeight="1">
      <c r="A146" s="11"/>
      <c r="B146" s="207"/>
      <c r="C146" s="145" t="s">
        <v>971</v>
      </c>
      <c r="F146" s="228"/>
      <c r="G146" s="976"/>
      <c r="H146" s="976"/>
      <c r="I146" s="977"/>
      <c r="J146" s="975"/>
      <c r="K146" s="976"/>
      <c r="L146" s="976"/>
      <c r="M146" s="977"/>
      <c r="N146" s="975"/>
      <c r="O146" s="976"/>
      <c r="P146" s="976"/>
      <c r="Q146" s="977"/>
      <c r="R146" s="975"/>
      <c r="S146" s="976"/>
      <c r="T146" s="976"/>
      <c r="U146" s="977"/>
      <c r="V146" s="975"/>
      <c r="W146" s="976"/>
      <c r="X146" s="976"/>
      <c r="Y146" s="977"/>
      <c r="Z146" s="975"/>
      <c r="AA146" s="976"/>
      <c r="AB146" s="976"/>
      <c r="AC146" s="977"/>
      <c r="AD146" s="975"/>
      <c r="AE146" s="976"/>
      <c r="AF146" s="976"/>
      <c r="AG146" s="976"/>
      <c r="AH146" s="975"/>
      <c r="AI146" s="976"/>
      <c r="AJ146" s="976"/>
      <c r="AK146" s="977"/>
      <c r="AL146" s="975"/>
      <c r="AM146" s="976"/>
      <c r="AN146" s="976"/>
      <c r="AO146" s="977"/>
      <c r="AP146" s="975"/>
      <c r="AQ146" s="976"/>
      <c r="AR146" s="976"/>
      <c r="AS146" s="977"/>
      <c r="AT146" s="975"/>
      <c r="AU146" s="976"/>
      <c r="AV146" s="976"/>
      <c r="AW146" s="977"/>
      <c r="AX146" s="975"/>
      <c r="AY146" s="976"/>
      <c r="AZ146" s="976"/>
      <c r="BA146" s="977"/>
      <c r="BB146" s="975"/>
      <c r="BC146" s="976"/>
      <c r="BD146" s="976"/>
      <c r="BE146" s="977"/>
      <c r="BF146" s="976">
        <f t="shared" si="401"/>
        <v>0.3005649717514125</v>
      </c>
      <c r="BG146" s="976">
        <f t="shared" si="401"/>
        <v>0.2066198595787363</v>
      </c>
      <c r="BH146" s="976">
        <f t="shared" si="401"/>
        <v>1.8248175182482562E-3</v>
      </c>
      <c r="BI146" s="977">
        <f t="shared" si="401"/>
        <v>-0.14860426929392445</v>
      </c>
      <c r="BJ146" s="976">
        <f t="shared" si="401"/>
        <v>2.8670721112076469E-2</v>
      </c>
      <c r="BK146" s="976">
        <f t="shared" si="401"/>
        <v>5.652535328345798E-2</v>
      </c>
      <c r="BL146" s="976">
        <f t="shared" si="401"/>
        <v>0.16393442622950816</v>
      </c>
      <c r="BM146" s="977">
        <f t="shared" si="401"/>
        <v>0.23336547733847635</v>
      </c>
      <c r="BN146" s="975">
        <f t="shared" si="401"/>
        <v>9.0371621621621712E-2</v>
      </c>
      <c r="BO146" s="976">
        <f t="shared" si="401"/>
        <v>4.7206923682139301E-3</v>
      </c>
      <c r="BP146" s="976">
        <f t="shared" si="402"/>
        <v>-0.13458528951486703</v>
      </c>
      <c r="BQ146" s="977">
        <f t="shared" si="402"/>
        <v>-2.6583268178264285E-2</v>
      </c>
      <c r="BR146" s="976">
        <f t="shared" si="402"/>
        <v>5.6545313710302025E-2</v>
      </c>
      <c r="BS146" s="976">
        <f t="shared" si="402"/>
        <v>9.1620986687549033E-2</v>
      </c>
      <c r="BT146" s="976">
        <f t="shared" si="402"/>
        <v>0.20072332730560571</v>
      </c>
      <c r="BU146" s="977">
        <f t="shared" si="402"/>
        <v>0.13975903614457841</v>
      </c>
      <c r="BV146" s="976">
        <f t="shared" si="402"/>
        <v>3.665689149560114E-3</v>
      </c>
      <c r="BW146" s="976">
        <f t="shared" si="402"/>
        <v>2.8694404591104838E-2</v>
      </c>
      <c r="BX146" s="976">
        <f t="shared" si="402"/>
        <v>4.1809638554216821E-2</v>
      </c>
      <c r="BY146" s="977">
        <f t="shared" si="402"/>
        <v>1.087868482029597E-2</v>
      </c>
      <c r="BZ146" s="976">
        <f t="shared" si="403"/>
        <v>9.3273493946810726E-2</v>
      </c>
      <c r="CA146" s="976">
        <f t="shared" si="403"/>
        <v>2.0338581281177603E-2</v>
      </c>
      <c r="CB146" s="976">
        <f t="shared" si="403"/>
        <v>-1.6464676003840051E-2</v>
      </c>
      <c r="CC146" s="977">
        <f t="shared" si="403"/>
        <v>-0.11336681078992006</v>
      </c>
      <c r="CD146" s="22"/>
      <c r="CE146" s="975"/>
      <c r="CF146" s="976"/>
      <c r="CG146" s="976"/>
      <c r="CH146" s="976"/>
      <c r="CI146" s="976"/>
      <c r="CJ146" s="976"/>
      <c r="CK146" s="976"/>
      <c r="CL146" s="976"/>
      <c r="CM146" s="976"/>
      <c r="CN146" s="976"/>
      <c r="CO146" s="976"/>
      <c r="CP146" s="976"/>
      <c r="CQ146" s="976"/>
      <c r="CR146" s="976">
        <f t="shared" ref="CR146:DC146" si="406">CR14/CQ14-1</f>
        <v>6.9828408007626352E-2</v>
      </c>
      <c r="CS146" s="976">
        <f t="shared" si="406"/>
        <v>0.11650701715304068</v>
      </c>
      <c r="CT146" s="976">
        <f t="shared" si="406"/>
        <v>-1.855546687948928E-2</v>
      </c>
      <c r="CU146" s="976">
        <f t="shared" si="406"/>
        <v>0.11912990445212435</v>
      </c>
      <c r="CV146" s="976">
        <f t="shared" si="406"/>
        <v>2.1064496595821991E-2</v>
      </c>
      <c r="CW146" s="976">
        <f t="shared" si="406"/>
        <v>-5.0773984477280321E-3</v>
      </c>
      <c r="CX146" s="976">
        <f t="shared" si="406"/>
        <v>0.18405000000000005</v>
      </c>
      <c r="CY146" s="976">
        <f t="shared" si="406"/>
        <v>0.127</v>
      </c>
      <c r="CZ146" s="976">
        <f t="shared" si="406"/>
        <v>0.127</v>
      </c>
      <c r="DA146" s="976">
        <f t="shared" si="406"/>
        <v>0.127</v>
      </c>
      <c r="DB146" s="976">
        <f t="shared" si="406"/>
        <v>0.12699999999999978</v>
      </c>
      <c r="DC146" s="976">
        <f t="shared" si="406"/>
        <v>0.127</v>
      </c>
      <c r="DD146" s="1509"/>
      <c r="DE146" s="1521"/>
      <c r="DF146" s="29"/>
      <c r="DG146" s="57"/>
      <c r="DH146" s="29"/>
      <c r="DI146" s="29"/>
      <c r="DJ146" s="29"/>
      <c r="DK146" s="29"/>
      <c r="DL146" s="141"/>
      <c r="DM146" s="29"/>
      <c r="DN146" s="29"/>
      <c r="DO146" s="29"/>
      <c r="DP146" s="976"/>
      <c r="DQ146" s="976">
        <f>DQ34/DP34-1</f>
        <v>-5.9208095791887128E-2</v>
      </c>
      <c r="DR146" s="976">
        <f>DR34/DQ34-1</f>
        <v>0.17374803586165211</v>
      </c>
      <c r="DS146" s="975"/>
      <c r="DT146" s="976"/>
      <c r="DU146" s="976"/>
      <c r="DV146" s="976"/>
      <c r="DW146" s="977"/>
      <c r="DX146" s="976"/>
      <c r="DY146" s="976"/>
      <c r="DZ146" s="1559"/>
      <c r="EA146"/>
      <c r="EB146"/>
      <c r="EC146"/>
      <c r="ED146"/>
      <c r="EE146"/>
      <c r="EF146"/>
    </row>
    <row r="147" spans="1:136" ht="5.25" customHeight="1">
      <c r="A147" s="3"/>
      <c r="B147" s="207"/>
      <c r="C147" s="201"/>
      <c r="D147" s="201"/>
      <c r="E147" s="202"/>
      <c r="F147" s="852"/>
      <c r="G147" s="852"/>
      <c r="H147" s="852"/>
      <c r="I147" s="851"/>
      <c r="J147" s="492"/>
      <c r="K147" s="492"/>
      <c r="L147" s="492"/>
      <c r="M147" s="493"/>
      <c r="N147" s="852"/>
      <c r="O147" s="852"/>
      <c r="P147" s="852"/>
      <c r="Q147" s="851"/>
      <c r="R147" s="852"/>
      <c r="S147" s="852"/>
      <c r="T147" s="852"/>
      <c r="U147" s="851"/>
      <c r="V147" s="852"/>
      <c r="W147" s="852"/>
      <c r="X147" s="852"/>
      <c r="Y147" s="851"/>
      <c r="Z147" s="852"/>
      <c r="AA147" s="852"/>
      <c r="AB147" s="852"/>
      <c r="AC147" s="851"/>
      <c r="AD147" s="852"/>
      <c r="AE147" s="852"/>
      <c r="AF147" s="852"/>
      <c r="AG147" s="852"/>
      <c r="AH147" s="850"/>
      <c r="AI147" s="852"/>
      <c r="AJ147" s="852"/>
      <c r="AK147" s="851"/>
      <c r="AL147" s="852"/>
      <c r="AM147" s="852"/>
      <c r="AN147" s="852"/>
      <c r="AO147" s="851"/>
      <c r="AP147" s="852"/>
      <c r="AQ147" s="852"/>
      <c r="AR147" s="852"/>
      <c r="AS147" s="851"/>
      <c r="AT147" s="852"/>
      <c r="AU147" s="852"/>
      <c r="AV147" s="852"/>
      <c r="AW147" s="851"/>
      <c r="AX147" s="852"/>
      <c r="AY147" s="852"/>
      <c r="AZ147" s="852"/>
      <c r="BA147" s="851"/>
      <c r="BB147" s="852"/>
      <c r="BC147" s="852"/>
      <c r="BD147" s="852"/>
      <c r="BE147" s="851"/>
      <c r="BF147" s="852"/>
      <c r="BG147" s="852"/>
      <c r="BH147" s="852"/>
      <c r="BI147" s="851"/>
      <c r="BJ147" s="852"/>
      <c r="BK147" s="852"/>
      <c r="BL147" s="852"/>
      <c r="BM147" s="851"/>
      <c r="BN147" s="850"/>
      <c r="BO147" s="852"/>
      <c r="BP147" s="852"/>
      <c r="BQ147" s="851"/>
      <c r="BR147" s="852"/>
      <c r="BS147" s="852"/>
      <c r="BT147" s="852"/>
      <c r="BU147" s="851"/>
      <c r="BV147" s="852"/>
      <c r="BW147" s="852"/>
      <c r="BX147" s="852"/>
      <c r="BY147" s="851"/>
      <c r="BZ147" s="852"/>
      <c r="CA147" s="852"/>
      <c r="CB147" s="852"/>
      <c r="CC147" s="851"/>
      <c r="CD147" s="9"/>
      <c r="CE147" s="852"/>
      <c r="CF147" s="852"/>
      <c r="CG147" s="852"/>
      <c r="CH147" s="852"/>
      <c r="CI147" s="852"/>
      <c r="CJ147" s="852"/>
      <c r="CK147" s="852"/>
      <c r="CL147" s="852"/>
      <c r="CM147" s="852"/>
      <c r="CN147" s="852"/>
      <c r="CO147" s="852"/>
      <c r="CP147" s="852"/>
      <c r="CQ147" s="852"/>
      <c r="CR147" s="852"/>
      <c r="CS147" s="852"/>
      <c r="CT147" s="852"/>
      <c r="CU147" s="852"/>
      <c r="CV147" s="852"/>
      <c r="CW147" s="852"/>
      <c r="CX147" s="852"/>
      <c r="CY147" s="852"/>
      <c r="CZ147" s="852"/>
      <c r="DA147" s="852"/>
      <c r="DB147" s="852"/>
      <c r="DC147" s="852"/>
      <c r="DD147" s="1517"/>
      <c r="DE147" s="1483"/>
      <c r="DF147" s="24"/>
      <c r="DG147" s="23"/>
      <c r="DH147" s="24"/>
      <c r="DI147" s="24"/>
      <c r="DJ147" s="24"/>
      <c r="DK147" s="24"/>
      <c r="DL147" s="141"/>
      <c r="DM147" s="24"/>
      <c r="DN147" s="24"/>
      <c r="DO147" s="24"/>
      <c r="DP147" s="24"/>
      <c r="DQ147" s="24"/>
      <c r="DR147" s="24"/>
      <c r="DS147" s="23"/>
      <c r="DT147" s="24"/>
      <c r="DU147" s="24"/>
      <c r="DV147" s="24"/>
      <c r="DW147" s="25"/>
      <c r="DX147" s="24"/>
      <c r="DY147" s="24"/>
      <c r="DZ147" s="1561"/>
    </row>
    <row r="148" spans="1:136" ht="11.25" customHeight="1">
      <c r="A148" s="3"/>
      <c r="B148" s="208"/>
      <c r="C148" s="201" t="s">
        <v>55</v>
      </c>
      <c r="D148" s="201"/>
      <c r="E148" s="197"/>
      <c r="F148" s="979"/>
      <c r="G148" s="979"/>
      <c r="H148" s="979"/>
      <c r="I148" s="980"/>
      <c r="J148" s="978">
        <f t="shared" ref="J148:BE148" si="407">IF(AND(J53&gt;0,F53&lt;0),"NM",IF(AND(J53&lt;0,J53&gt;F53),ABS(J53/F53-1),IF(AND(J53&lt;0,J53&lt;F53),-ABS(J53/F53-1),J53/F53-1)))</f>
        <v>1.1594309068476267</v>
      </c>
      <c r="K148" s="979">
        <f t="shared" si="407"/>
        <v>4.4669163915249666E-2</v>
      </c>
      <c r="L148" s="979">
        <f t="shared" si="407"/>
        <v>0.28000180647315287</v>
      </c>
      <c r="M148" s="980">
        <f t="shared" si="407"/>
        <v>0.45230153435623666</v>
      </c>
      <c r="N148" s="978">
        <f t="shared" si="407"/>
        <v>0.49344329703504219</v>
      </c>
      <c r="O148" s="979">
        <f t="shared" si="407"/>
        <v>1.0419995165929414</v>
      </c>
      <c r="P148" s="979">
        <f t="shared" si="407"/>
        <v>0.50608463555223548</v>
      </c>
      <c r="Q148" s="980">
        <f t="shared" si="407"/>
        <v>0.50878658726976611</v>
      </c>
      <c r="R148" s="978">
        <f t="shared" si="407"/>
        <v>0.15041979347597767</v>
      </c>
      <c r="S148" s="979">
        <f t="shared" si="407"/>
        <v>-1.5820456372222402E-2</v>
      </c>
      <c r="T148" s="979">
        <f t="shared" si="407"/>
        <v>4.6832009168804589E-3</v>
      </c>
      <c r="U148" s="980">
        <f t="shared" si="407"/>
        <v>-9.6502821445319187E-2</v>
      </c>
      <c r="V148" s="978">
        <f t="shared" si="407"/>
        <v>0.1753716496668063</v>
      </c>
      <c r="W148" s="979">
        <f t="shared" si="407"/>
        <v>5.9415240394716795E-2</v>
      </c>
      <c r="X148" s="979">
        <f t="shared" si="407"/>
        <v>0.36221719986249745</v>
      </c>
      <c r="Y148" s="980">
        <f t="shared" si="407"/>
        <v>0.58044365845831591</v>
      </c>
      <c r="Z148" s="978">
        <f t="shared" si="407"/>
        <v>0.57652477861549212</v>
      </c>
      <c r="AA148" s="979">
        <f t="shared" si="407"/>
        <v>0.51950276618625968</v>
      </c>
      <c r="AB148" s="979">
        <f t="shared" si="407"/>
        <v>0.30464553383317194</v>
      </c>
      <c r="AC148" s="980">
        <f t="shared" si="407"/>
        <v>0.20037729074718591</v>
      </c>
      <c r="AD148" s="978">
        <f t="shared" si="407"/>
        <v>0.22261793868737101</v>
      </c>
      <c r="AE148" s="979">
        <f t="shared" si="407"/>
        <v>0.11697939416366521</v>
      </c>
      <c r="AF148" s="979">
        <f t="shared" si="407"/>
        <v>1.9093000946414973E-2</v>
      </c>
      <c r="AG148" s="979">
        <f t="shared" si="407"/>
        <v>6.9413312733410226E-2</v>
      </c>
      <c r="AH148" s="978">
        <f t="shared" si="407"/>
        <v>0.48160688487209669</v>
      </c>
      <c r="AI148" s="979">
        <f t="shared" si="407"/>
        <v>1.0131920827756797</v>
      </c>
      <c r="AJ148" s="979">
        <f t="shared" si="407"/>
        <v>1.1465897771156079</v>
      </c>
      <c r="AK148" s="980">
        <f t="shared" si="407"/>
        <v>1.0764473706615525</v>
      </c>
      <c r="AL148" s="978">
        <f t="shared" si="407"/>
        <v>0.31270823940267967</v>
      </c>
      <c r="AM148" s="979">
        <f t="shared" si="407"/>
        <v>-0.4354457664731044</v>
      </c>
      <c r="AN148" s="979">
        <f t="shared" si="407"/>
        <v>-0.46939073313722024</v>
      </c>
      <c r="AO148" s="980">
        <f t="shared" si="407"/>
        <v>-0.12910580298373553</v>
      </c>
      <c r="AP148" s="978">
        <f t="shared" si="407"/>
        <v>0.21453133846834938</v>
      </c>
      <c r="AQ148" s="979">
        <f t="shared" si="407"/>
        <v>1.3739448406292558</v>
      </c>
      <c r="AR148" s="979">
        <f t="shared" si="407"/>
        <v>1.6328995509569326</v>
      </c>
      <c r="AS148" s="980">
        <f t="shared" si="407"/>
        <v>0.44944571295764368</v>
      </c>
      <c r="AT148" s="978">
        <f t="shared" si="407"/>
        <v>-0.1320082997833093</v>
      </c>
      <c r="AU148" s="979">
        <f t="shared" si="407"/>
        <v>-0.30868663589314627</v>
      </c>
      <c r="AV148" s="979">
        <f t="shared" si="407"/>
        <v>-0.38415597930140999</v>
      </c>
      <c r="AW148" s="980">
        <f t="shared" si="407"/>
        <v>-0.12533684339188156</v>
      </c>
      <c r="AX148" s="978">
        <f t="shared" si="407"/>
        <v>0.21134081567675844</v>
      </c>
      <c r="AY148" s="979">
        <f t="shared" si="407"/>
        <v>0.36333680137355073</v>
      </c>
      <c r="AZ148" s="979">
        <f t="shared" si="407"/>
        <v>1.6269083299761302</v>
      </c>
      <c r="BA148" s="980">
        <f t="shared" si="407"/>
        <v>2.2198070041407809</v>
      </c>
      <c r="BB148" s="978">
        <f t="shared" si="407"/>
        <v>1.2743105934996213</v>
      </c>
      <c r="BC148" s="979">
        <f t="shared" si="407"/>
        <v>0.69178884016624531</v>
      </c>
      <c r="BD148" s="979">
        <f t="shared" si="407"/>
        <v>2.0264209838028791E-2</v>
      </c>
      <c r="BE148" s="980">
        <f t="shared" si="407"/>
        <v>-0.28198151753759326</v>
      </c>
      <c r="BF148" s="979">
        <f t="shared" ref="BF148:BY148" si="408">IF(AND(BF21&gt;0,BB21&lt;0),"NM",IF(AND(BF21&lt;0,BF21&gt;BB21),ABS(BF21/BB21-1),IF(AND(BF21&lt;0,BF21&lt;BB21),-ABS(BF21/BB21-1),BF21/BB21-1)))</f>
        <v>-7.7853440571939214E-2</v>
      </c>
      <c r="BG148" s="979">
        <f t="shared" si="408"/>
        <v>9.0030540843193618E-2</v>
      </c>
      <c r="BH148" s="979">
        <f t="shared" si="408"/>
        <v>1.4824523081403473E-2</v>
      </c>
      <c r="BI148" s="980">
        <f t="shared" si="408"/>
        <v>-6.3838531271480647E-3</v>
      </c>
      <c r="BJ148" s="979">
        <f t="shared" si="408"/>
        <v>5.1207229297359547E-2</v>
      </c>
      <c r="BK148" s="979">
        <f t="shared" si="408"/>
        <v>-7.6934398373007529E-4</v>
      </c>
      <c r="BL148" s="979">
        <f t="shared" si="408"/>
        <v>-4.0458902537022001E-2</v>
      </c>
      <c r="BM148" s="980">
        <f t="shared" si="408"/>
        <v>-0.11622585341877578</v>
      </c>
      <c r="BN148" s="978">
        <f t="shared" si="408"/>
        <v>-0.18100074254479992</v>
      </c>
      <c r="BO148" s="979">
        <f t="shared" si="408"/>
        <v>-0.20896364896259445</v>
      </c>
      <c r="BP148" s="979">
        <f t="shared" si="408"/>
        <v>-0.25575943830054515</v>
      </c>
      <c r="BQ148" s="980">
        <f t="shared" si="408"/>
        <v>0.14559291487514225</v>
      </c>
      <c r="BR148" s="979">
        <f t="shared" si="408"/>
        <v>0.63581160940418036</v>
      </c>
      <c r="BS148" s="979">
        <f t="shared" si="408"/>
        <v>0.8957144557440786</v>
      </c>
      <c r="BT148" s="979">
        <f t="shared" si="408"/>
        <v>1.2933162534850431</v>
      </c>
      <c r="BU148" s="980">
        <f t="shared" si="408"/>
        <v>0.83019336282780509</v>
      </c>
      <c r="BV148" s="979">
        <f t="shared" si="408"/>
        <v>0.37115309066432434</v>
      </c>
      <c r="BW148" s="979">
        <f t="shared" si="408"/>
        <v>0.28713683544353263</v>
      </c>
      <c r="BX148" s="979">
        <f t="shared" si="408"/>
        <v>0.14245165151943251</v>
      </c>
      <c r="BY148" s="980">
        <f t="shared" si="408"/>
        <v>-2.4905772867812259E-2</v>
      </c>
      <c r="BZ148" s="979">
        <f>IF(AND(BZ21&gt;0,BV21&lt;0),"NM",IF(AND(BZ21&lt;0,BZ21&gt;BV21),ABS(BZ21/BV21-1),IF(AND(BZ21&lt;0,BZ21&lt;BV21),-ABS(BZ21/BV21-1),BZ21/BV21-1)))</f>
        <v>-0.1032410948978767</v>
      </c>
      <c r="CA148" s="979">
        <f>IF(AND(CA21&gt;0,BW21&lt;0),"NM",IF(AND(CA21&lt;0,CA21&gt;BW21),ABS(CA21/BW21-1),IF(AND(CA21&lt;0,CA21&lt;BW21),-ABS(CA21/BW21-1),CA21/BW21-1)))</f>
        <v>-0.19382501900214055</v>
      </c>
      <c r="CB148" s="979">
        <f>IF(AND(CB21&gt;0,BX21&lt;0),"NM",IF(AND(CB21&lt;0,CB21&gt;BX21),ABS(CB21/BX21-1),IF(AND(CB21&lt;0,CB21&lt;BX21),-ABS(CB21/BX21-1),CB21/BX21-1)))</f>
        <v>-0.19438922001748005</v>
      </c>
      <c r="CC148" s="980">
        <f>IF(AND(CC21&gt;0,BY21&lt;0),"NM",IF(AND(CC21&lt;0,CC21&gt;BY21),ABS(CC21/BY21-1),IF(AND(CC21&lt;0,CC21&lt;BY21),-ABS(CC21/BY21-1),CC21/BY21-1)))</f>
        <v>-0.20271625066116417</v>
      </c>
      <c r="CD148" s="22"/>
      <c r="CE148" s="978"/>
      <c r="CF148" s="979">
        <f t="shared" ref="CF148:CQ148" si="409">IF(AND(CF53&gt;0,CE53&lt;0),"NM",IF(AND(CF53&lt;0,CF53&gt;CE53),ABS(CF53/CE53-1),IF(AND(CF53&lt;0,CF53&lt;CE53),-ABS(CF53/CE53-1),CF53/CE53-1)))</f>
        <v>0.3555570687150087</v>
      </c>
      <c r="CG148" s="979">
        <f t="shared" si="409"/>
        <v>0.63855969648986344</v>
      </c>
      <c r="CH148" s="979">
        <f t="shared" si="409"/>
        <v>2.0905906261070584E-4</v>
      </c>
      <c r="CI148" s="979">
        <f t="shared" si="409"/>
        <v>0.2779353648549554</v>
      </c>
      <c r="CJ148" s="979">
        <f t="shared" si="409"/>
        <v>0.3833164518675598</v>
      </c>
      <c r="CK148" s="979">
        <f t="shared" si="409"/>
        <v>0.10276651702744544</v>
      </c>
      <c r="CL148" s="979">
        <f t="shared" si="409"/>
        <v>0.93170122690752999</v>
      </c>
      <c r="CM148" s="979">
        <f t="shared" si="409"/>
        <v>-0.23079182959014077</v>
      </c>
      <c r="CN148" s="979">
        <f t="shared" si="409"/>
        <v>0.79921652111230279</v>
      </c>
      <c r="CO148" s="979">
        <f t="shared" si="409"/>
        <v>-0.25085211475999714</v>
      </c>
      <c r="CP148" s="979">
        <f t="shared" si="409"/>
        <v>1.0966992875276405</v>
      </c>
      <c r="CQ148" s="979">
        <f t="shared" si="409"/>
        <v>0.194337230199366</v>
      </c>
      <c r="CR148" s="979">
        <f t="shared" ref="CR148:DC148" si="410">IF(AND(CR21&gt;0,CQ21&lt;0),"NM",IF(AND(CR21&lt;0,CR21&gt;CQ21),ABS(CR21/CQ21-1),IF(AND(CR21&lt;0,CR21&lt;CQ21),-ABS(CR21/CQ21-1),CR21/CQ21-1)))</f>
        <v>2.7258279663382456E-3</v>
      </c>
      <c r="CS148" s="979">
        <f t="shared" si="410"/>
        <v>-2.5028821592409045E-2</v>
      </c>
      <c r="CT148" s="979">
        <f t="shared" si="410"/>
        <v>-0.13614876433823664</v>
      </c>
      <c r="CU148" s="979">
        <f t="shared" si="410"/>
        <v>0.89337338133319699</v>
      </c>
      <c r="CV148" s="979">
        <f t="shared" si="410"/>
        <v>0.18271100727467582</v>
      </c>
      <c r="CW148" s="979">
        <f t="shared" si="410"/>
        <v>-0.17272420619801787</v>
      </c>
      <c r="CX148" s="979">
        <f t="shared" si="410"/>
        <v>6.2602571181455735E-2</v>
      </c>
      <c r="CY148" s="979">
        <f t="shared" si="410"/>
        <v>2.3946034694064533E-2</v>
      </c>
      <c r="CZ148" s="979">
        <f t="shared" si="410"/>
        <v>3.2518415898569186E-2</v>
      </c>
      <c r="DA148" s="979">
        <f t="shared" si="410"/>
        <v>3.3755691363324125E-2</v>
      </c>
      <c r="DB148" s="979">
        <f t="shared" si="410"/>
        <v>3.7790925385910334E-2</v>
      </c>
      <c r="DC148" s="979">
        <f t="shared" si="410"/>
        <v>4.1796337729221644E-2</v>
      </c>
      <c r="DD148" s="1517"/>
      <c r="DE148" s="1483"/>
      <c r="DF148" s="24"/>
      <c r="DG148" s="23"/>
      <c r="DH148" s="24"/>
      <c r="DI148" s="24"/>
      <c r="DJ148" s="24"/>
      <c r="DK148" s="24"/>
      <c r="DL148" s="141"/>
      <c r="DM148" s="24"/>
      <c r="DN148" s="24"/>
      <c r="DO148" s="24"/>
      <c r="DP148" s="979">
        <f>IF(AND(DP53&gt;0,DO53&lt;0),"NM",IF(AND(DP53&lt;0,DP53&gt;DO53),ABS(DP53/DO53-1),IF(AND(DP53&lt;0,DP53&lt;DO53),-ABS(DP53/DO53-1),DP53/DO53-1)))</f>
        <v>0.16374364911288142</v>
      </c>
      <c r="DQ148" s="979">
        <f>IF(AND(DQ53&gt;0,DP53&lt;0),"NM",IF(AND(DQ53&lt;0,DQ53&gt;DP53),ABS(DQ53/DP53-1),IF(AND(DQ53&lt;0,DQ53&lt;DP53),-ABS(DQ53/DP53-1),DQ53/DP53-1)))</f>
        <v>-2.6248869168955746E-2</v>
      </c>
      <c r="DR148" s="979">
        <f>IF(AND(DR53&gt;0,DQ53&lt;0),"NM",IF(AND(DR53&lt;0,DR53&gt;DQ53),ABS(DR53/DQ53-1),IF(AND(DR53&lt;0,DR53&lt;DQ53),-ABS(DR53/DQ53-1),DR53/DQ53-1)))</f>
        <v>1.376101509342107</v>
      </c>
      <c r="DS148" s="978"/>
      <c r="DT148" s="979"/>
      <c r="DU148" s="979"/>
      <c r="DV148" s="979"/>
      <c r="DW148" s="980"/>
      <c r="DX148" s="979"/>
      <c r="DY148" s="979"/>
      <c r="DZ148" s="1561"/>
    </row>
    <row r="149" spans="1:136" ht="11.25" customHeight="1">
      <c r="A149" s="3"/>
      <c r="B149" s="207"/>
      <c r="C149" s="201" t="s">
        <v>689</v>
      </c>
      <c r="D149" s="201"/>
      <c r="E149" s="198"/>
      <c r="F149" s="979"/>
      <c r="G149" s="979"/>
      <c r="H149" s="979"/>
      <c r="I149" s="980"/>
      <c r="J149" s="978">
        <f t="shared" ref="J149:S150" si="411">J68/F68-1</f>
        <v>-9.8621918065060488E-2</v>
      </c>
      <c r="K149" s="979">
        <f t="shared" si="411"/>
        <v>-0.13103489306005889</v>
      </c>
      <c r="L149" s="979">
        <f t="shared" si="411"/>
        <v>3.4938444756116738E-2</v>
      </c>
      <c r="M149" s="980">
        <f t="shared" si="411"/>
        <v>0.95344090822118743</v>
      </c>
      <c r="N149" s="978">
        <f t="shared" si="411"/>
        <v>0.10639625585023404</v>
      </c>
      <c r="O149" s="979">
        <f t="shared" si="411"/>
        <v>0.17794057236752003</v>
      </c>
      <c r="P149" s="979">
        <f t="shared" si="411"/>
        <v>4.5774859965066472E-2</v>
      </c>
      <c r="Q149" s="980">
        <f t="shared" si="411"/>
        <v>9.8667885594880156E-2</v>
      </c>
      <c r="R149" s="978">
        <f t="shared" si="411"/>
        <v>0.99598922103152221</v>
      </c>
      <c r="S149" s="979">
        <f t="shared" si="411"/>
        <v>0.27869805289160143</v>
      </c>
      <c r="T149" s="979">
        <f t="shared" ref="T149:AC150" si="412">T68/P68-1</f>
        <v>0.33905431089097515</v>
      </c>
      <c r="U149" s="980">
        <f t="shared" si="412"/>
        <v>0.39078751857355143</v>
      </c>
      <c r="V149" s="978">
        <f t="shared" si="412"/>
        <v>-0.15227629513343799</v>
      </c>
      <c r="W149" s="979">
        <f t="shared" si="412"/>
        <v>0.35681818181818192</v>
      </c>
      <c r="X149" s="979">
        <f t="shared" si="412"/>
        <v>0.30537634408602155</v>
      </c>
      <c r="Y149" s="980">
        <f t="shared" si="412"/>
        <v>0.36965811965811968</v>
      </c>
      <c r="Z149" s="978">
        <f t="shared" si="412"/>
        <v>0.29629629629629628</v>
      </c>
      <c r="AA149" s="979">
        <f t="shared" si="412"/>
        <v>0.27638190954773867</v>
      </c>
      <c r="AB149" s="979">
        <f t="shared" si="412"/>
        <v>0.29654036243822079</v>
      </c>
      <c r="AC149" s="980">
        <f t="shared" si="412"/>
        <v>0.11700468018720755</v>
      </c>
      <c r="AD149" s="978">
        <f t="shared" ref="AD149:AM150" si="413">AD68/Z68-1</f>
        <v>7.1428571428571397E-2</v>
      </c>
      <c r="AE149" s="979">
        <f t="shared" si="413"/>
        <v>1.049868766404205E-2</v>
      </c>
      <c r="AF149" s="979">
        <f t="shared" si="413"/>
        <v>-4.7013977128335438E-2</v>
      </c>
      <c r="AG149" s="979">
        <f t="shared" si="413"/>
        <v>0.1033519553072626</v>
      </c>
      <c r="AH149" s="978">
        <f t="shared" si="413"/>
        <v>0.21333333333333337</v>
      </c>
      <c r="AI149" s="979">
        <f t="shared" si="413"/>
        <v>0.5844155844155845</v>
      </c>
      <c r="AJ149" s="979">
        <f t="shared" si="413"/>
        <v>0.6399999999999999</v>
      </c>
      <c r="AK149" s="980">
        <f t="shared" si="413"/>
        <v>0.620253164556962</v>
      </c>
      <c r="AL149" s="978">
        <f t="shared" si="413"/>
        <v>0.46153846153846145</v>
      </c>
      <c r="AM149" s="979">
        <f t="shared" si="413"/>
        <v>0.10655737704918034</v>
      </c>
      <c r="AN149" s="979">
        <f t="shared" ref="AN149:AW150" si="414">AN68/AJ68-1</f>
        <v>1.6260162601626105E-2</v>
      </c>
      <c r="AO149" s="980">
        <f t="shared" si="414"/>
        <v>3.125E-2</v>
      </c>
      <c r="AP149" s="978">
        <f t="shared" si="414"/>
        <v>6.7669172932330879E-2</v>
      </c>
      <c r="AQ149" s="979">
        <f t="shared" si="414"/>
        <v>0.14074074074074083</v>
      </c>
      <c r="AR149" s="979">
        <f t="shared" si="414"/>
        <v>0.28000000000000003</v>
      </c>
      <c r="AS149" s="980">
        <f t="shared" si="414"/>
        <v>0.16666666666666674</v>
      </c>
      <c r="AT149" s="978">
        <f t="shared" si="414"/>
        <v>0.176056338028169</v>
      </c>
      <c r="AU149" s="979">
        <f t="shared" si="414"/>
        <v>9.740259740259738E-2</v>
      </c>
      <c r="AV149" s="979">
        <f t="shared" si="414"/>
        <v>0.11874999999999991</v>
      </c>
      <c r="AW149" s="980">
        <f t="shared" si="414"/>
        <v>0.22077922077922074</v>
      </c>
      <c r="AX149" s="978">
        <f t="shared" ref="AX149:BG150" si="415">AX68/AT68-1</f>
        <v>0.15568862275449091</v>
      </c>
      <c r="AY149" s="979">
        <f t="shared" si="415"/>
        <v>0.13017751479289941</v>
      </c>
      <c r="AZ149" s="979">
        <f t="shared" si="415"/>
        <v>0.48044692737430172</v>
      </c>
      <c r="BA149" s="980">
        <f t="shared" si="415"/>
        <v>1.1595744680851063</v>
      </c>
      <c r="BB149" s="978">
        <f t="shared" si="415"/>
        <v>1.0518134715025909</v>
      </c>
      <c r="BC149" s="979">
        <f t="shared" si="415"/>
        <v>0.97905759162303663</v>
      </c>
      <c r="BD149" s="979">
        <f t="shared" si="415"/>
        <v>0.49433962264150932</v>
      </c>
      <c r="BE149" s="980">
        <f t="shared" si="415"/>
        <v>-9.8522167487684609E-3</v>
      </c>
      <c r="BF149" s="979">
        <f t="shared" si="415"/>
        <v>1.2626262626262541E-2</v>
      </c>
      <c r="BG149" s="979">
        <f t="shared" si="415"/>
        <v>0.11375661375661372</v>
      </c>
      <c r="BH149" s="979">
        <f t="shared" ref="BH149:BQ150" si="416">BH68/BD68-1</f>
        <v>5.555555555555558E-2</v>
      </c>
      <c r="BI149" s="980">
        <f t="shared" si="416"/>
        <v>6.7164179104477695E-2</v>
      </c>
      <c r="BJ149" s="979">
        <f t="shared" si="416"/>
        <v>8.9775561097256817E-2</v>
      </c>
      <c r="BK149" s="979">
        <f t="shared" si="416"/>
        <v>1.1876484560570111E-2</v>
      </c>
      <c r="BL149" s="979">
        <f t="shared" si="416"/>
        <v>-3.8277511961722466E-2</v>
      </c>
      <c r="BM149" s="980">
        <f t="shared" si="416"/>
        <v>-0.11188811188811187</v>
      </c>
      <c r="BN149" s="978">
        <f t="shared" si="416"/>
        <v>-0.1189931350114416</v>
      </c>
      <c r="BO149" s="979">
        <f t="shared" si="416"/>
        <v>-8.6854460093896746E-2</v>
      </c>
      <c r="BP149" s="979">
        <f t="shared" si="416"/>
        <v>-0.10696517412935325</v>
      </c>
      <c r="BQ149" s="980">
        <f t="shared" si="416"/>
        <v>0.29658792650918642</v>
      </c>
      <c r="BR149" s="979">
        <f t="shared" ref="BR149:BY150" si="417">BR68/BN68-1</f>
        <v>0.65974025974025974</v>
      </c>
      <c r="BS149" s="979">
        <f t="shared" si="417"/>
        <v>0.50385604113110549</v>
      </c>
      <c r="BT149" s="979">
        <f t="shared" si="417"/>
        <v>0.70752089136490248</v>
      </c>
      <c r="BU149" s="980">
        <f t="shared" si="417"/>
        <v>0.22267206477732793</v>
      </c>
      <c r="BV149" s="979">
        <f t="shared" si="417"/>
        <v>-7.3552425665101673E-2</v>
      </c>
      <c r="BW149" s="979">
        <f t="shared" si="417"/>
        <v>7.5213675213675169E-2</v>
      </c>
      <c r="BX149" s="979">
        <f t="shared" si="417"/>
        <v>-2.2985260522022988E-2</v>
      </c>
      <c r="BY149" s="980">
        <f t="shared" si="417"/>
        <v>-1.5568584784006689E-2</v>
      </c>
      <c r="BZ149" s="979">
        <f t="shared" ref="BZ149:CC150" si="418">BZ68/BV68-1</f>
        <v>-1.5018911826418679E-2</v>
      </c>
      <c r="CA149" s="979">
        <f t="shared" si="418"/>
        <v>-8.76592031696658E-2</v>
      </c>
      <c r="CB149" s="979">
        <f t="shared" si="418"/>
        <v>-3.2848369255284338E-2</v>
      </c>
      <c r="CC149" s="980">
        <f t="shared" si="418"/>
        <v>-0.11480114676230535</v>
      </c>
      <c r="CD149" s="22"/>
      <c r="CE149" s="978"/>
      <c r="CF149" s="979">
        <f t="shared" ref="CF149:DC149" si="419">CF68/CE68-1</f>
        <v>7.5047185620292556E-2</v>
      </c>
      <c r="CG149" s="979">
        <f t="shared" si="419"/>
        <v>0.10508569131437095</v>
      </c>
      <c r="CH149" s="979">
        <f t="shared" si="419"/>
        <v>0.49220489977728299</v>
      </c>
      <c r="CI149" s="979">
        <f t="shared" si="419"/>
        <v>0.18656716417910446</v>
      </c>
      <c r="CJ149" s="979">
        <f t="shared" si="419"/>
        <v>0.24318658280922434</v>
      </c>
      <c r="CK149" s="979">
        <f t="shared" si="419"/>
        <v>3.2040472175379531E-2</v>
      </c>
      <c r="CL149" s="979">
        <f t="shared" si="419"/>
        <v>0.51633986928104569</v>
      </c>
      <c r="CM149" s="979">
        <f t="shared" si="419"/>
        <v>0.13146551724137923</v>
      </c>
      <c r="CN149" s="979">
        <f t="shared" si="419"/>
        <v>0.161904761904762</v>
      </c>
      <c r="CO149" s="979">
        <f t="shared" si="419"/>
        <v>0.15245901639344273</v>
      </c>
      <c r="CP149" s="979">
        <f t="shared" si="419"/>
        <v>0.5007112375533429</v>
      </c>
      <c r="CQ149" s="979">
        <f t="shared" si="419"/>
        <v>0.49004739336492897</v>
      </c>
      <c r="CR149" s="979">
        <f t="shared" si="419"/>
        <v>6.1704834605597947E-2</v>
      </c>
      <c r="CS149" s="979">
        <f t="shared" si="419"/>
        <v>-1.3780707010185744E-2</v>
      </c>
      <c r="CT149" s="979">
        <f t="shared" si="419"/>
        <v>-1.1543134872417982E-2</v>
      </c>
      <c r="CU149" s="979">
        <f t="shared" si="419"/>
        <v>0.50030731407498474</v>
      </c>
      <c r="CV149" s="979">
        <f t="shared" si="419"/>
        <v>-1.0853498529103001E-2</v>
      </c>
      <c r="CW149" s="979">
        <f t="shared" si="419"/>
        <v>-6.29372562481324E-2</v>
      </c>
      <c r="CX149" s="979">
        <f t="shared" si="419"/>
        <v>4.0549812002845798E-2</v>
      </c>
      <c r="CY149" s="979">
        <f t="shared" si="419"/>
        <v>5.4274044502379937E-2</v>
      </c>
      <c r="CZ149" s="979">
        <f t="shared" si="419"/>
        <v>2.0318983629215692E-2</v>
      </c>
      <c r="DA149" s="979">
        <f t="shared" si="419"/>
        <v>2.8150130483788116E-2</v>
      </c>
      <c r="DB149" s="979">
        <f t="shared" si="419"/>
        <v>3.161338522008128E-2</v>
      </c>
      <c r="DC149" s="979">
        <f t="shared" si="419"/>
        <v>3.5143741636214587E-2</v>
      </c>
      <c r="DD149" s="1519"/>
      <c r="DE149" s="1502"/>
      <c r="DF149" s="24"/>
      <c r="DG149" s="23"/>
      <c r="DH149" s="24"/>
      <c r="DI149" s="24"/>
      <c r="DJ149" s="24"/>
      <c r="DK149" s="24"/>
      <c r="DL149" s="141"/>
      <c r="DM149" s="24"/>
      <c r="DN149" s="24"/>
      <c r="DO149" s="24"/>
      <c r="DP149" s="979">
        <f t="shared" ref="DP149:DR150" si="420">DP68/DO68-1</f>
        <v>0.17540687160940327</v>
      </c>
      <c r="DQ149" s="979">
        <f t="shared" si="420"/>
        <v>0.15538461538461545</v>
      </c>
      <c r="DR149" s="979">
        <f t="shared" si="420"/>
        <v>0.92410119840213056</v>
      </c>
      <c r="DS149" s="978"/>
      <c r="DT149" s="979"/>
      <c r="DU149" s="979"/>
      <c r="DV149" s="979"/>
      <c r="DW149" s="980"/>
      <c r="DX149" s="979"/>
      <c r="DY149" s="979"/>
      <c r="DZ149" s="1561"/>
    </row>
    <row r="150" spans="1:136" ht="11.25" customHeight="1">
      <c r="A150" s="145"/>
      <c r="B150" s="227"/>
      <c r="C150" s="201" t="s">
        <v>0</v>
      </c>
      <c r="D150" s="201"/>
      <c r="E150" s="228"/>
      <c r="F150" s="979"/>
      <c r="G150" s="979"/>
      <c r="H150" s="979"/>
      <c r="I150" s="980"/>
      <c r="J150" s="978">
        <f t="shared" si="411"/>
        <v>-7.2993936930528802E-2</v>
      </c>
      <c r="K150" s="979">
        <f t="shared" si="411"/>
        <v>-0.10747063429913861</v>
      </c>
      <c r="L150" s="979">
        <f t="shared" si="411"/>
        <v>-1.538461538461533E-2</v>
      </c>
      <c r="M150" s="980">
        <f t="shared" si="411"/>
        <v>8.2867668363757252E-2</v>
      </c>
      <c r="N150" s="978">
        <f t="shared" si="411"/>
        <v>-3.3762057877813501E-2</v>
      </c>
      <c r="O150" s="979">
        <f t="shared" si="411"/>
        <v>0.18017828314732931</v>
      </c>
      <c r="P150" s="979">
        <f t="shared" si="411"/>
        <v>1.4952956989247257E-2</v>
      </c>
      <c r="Q150" s="980">
        <f t="shared" si="411"/>
        <v>0.1896716486372847</v>
      </c>
      <c r="R150" s="978">
        <f t="shared" si="411"/>
        <v>4.3715020420511452E-2</v>
      </c>
      <c r="S150" s="979">
        <f t="shared" si="411"/>
        <v>-0.21196621862733434</v>
      </c>
      <c r="T150" s="979">
        <f t="shared" si="412"/>
        <v>-9.9486839927164339E-2</v>
      </c>
      <c r="U150" s="980">
        <f t="shared" si="412"/>
        <v>-0.21922693827715845</v>
      </c>
      <c r="V150" s="978">
        <f t="shared" si="412"/>
        <v>1.0869565217391131E-2</v>
      </c>
      <c r="W150" s="979">
        <f t="shared" si="412"/>
        <v>0.27924528301886786</v>
      </c>
      <c r="X150" s="979">
        <f t="shared" si="412"/>
        <v>0.30882352941176472</v>
      </c>
      <c r="Y150" s="980">
        <f t="shared" si="412"/>
        <v>0.56378600823045266</v>
      </c>
      <c r="Z150" s="978">
        <f t="shared" si="412"/>
        <v>0.44802867383512557</v>
      </c>
      <c r="AA150" s="979">
        <f t="shared" si="412"/>
        <v>0.41002949852507364</v>
      </c>
      <c r="AB150" s="979">
        <f t="shared" si="412"/>
        <v>8.1460674157303403E-2</v>
      </c>
      <c r="AC150" s="980">
        <f t="shared" si="412"/>
        <v>2.1052631578947212E-2</v>
      </c>
      <c r="AD150" s="978">
        <f t="shared" si="413"/>
        <v>8.9108910891089188E-2</v>
      </c>
      <c r="AE150" s="979">
        <f t="shared" si="413"/>
        <v>0.17154811715481189</v>
      </c>
      <c r="AF150" s="979">
        <f t="shared" si="413"/>
        <v>-0.16883116883116878</v>
      </c>
      <c r="AG150" s="979">
        <f t="shared" si="413"/>
        <v>0.21134020618556715</v>
      </c>
      <c r="AH150" s="978">
        <f t="shared" si="413"/>
        <v>9.0909090909090828E-2</v>
      </c>
      <c r="AI150" s="979">
        <f t="shared" si="413"/>
        <v>5.3571428571428603E-2</v>
      </c>
      <c r="AJ150" s="979">
        <f t="shared" si="413"/>
        <v>0.75</v>
      </c>
      <c r="AK150" s="980">
        <f t="shared" si="413"/>
        <v>0.1914893617021276</v>
      </c>
      <c r="AL150" s="978">
        <f t="shared" si="413"/>
        <v>0.1875</v>
      </c>
      <c r="AM150" s="979">
        <f t="shared" si="413"/>
        <v>-0.18644067796610164</v>
      </c>
      <c r="AN150" s="979">
        <f t="shared" si="414"/>
        <v>-0.125</v>
      </c>
      <c r="AO150" s="980">
        <f t="shared" si="414"/>
        <v>-7.1428571428571397E-2</v>
      </c>
      <c r="AP150" s="978">
        <f t="shared" si="414"/>
        <v>-7.0175438596491224E-2</v>
      </c>
      <c r="AQ150" s="979">
        <f t="shared" si="414"/>
        <v>0.25</v>
      </c>
      <c r="AR150" s="979">
        <f t="shared" si="414"/>
        <v>0.30612244897959173</v>
      </c>
      <c r="AS150" s="980">
        <f t="shared" si="414"/>
        <v>0.17307692307692313</v>
      </c>
      <c r="AT150" s="978">
        <f t="shared" si="414"/>
        <v>0.1132075471698113</v>
      </c>
      <c r="AU150" s="979">
        <f t="shared" si="414"/>
        <v>0.10000000000000009</v>
      </c>
      <c r="AV150" s="979">
        <f t="shared" si="414"/>
        <v>-1.5625E-2</v>
      </c>
      <c r="AW150" s="980">
        <f t="shared" si="414"/>
        <v>0.21311475409836067</v>
      </c>
      <c r="AX150" s="978">
        <f t="shared" si="415"/>
        <v>0.15254237288135597</v>
      </c>
      <c r="AY150" s="979">
        <f t="shared" si="415"/>
        <v>0.24242424242424243</v>
      </c>
      <c r="AZ150" s="979">
        <f t="shared" si="415"/>
        <v>0.87301587301587302</v>
      </c>
      <c r="BA150" s="980">
        <f t="shared" si="415"/>
        <v>1.2432432432432434</v>
      </c>
      <c r="BB150" s="978">
        <f t="shared" si="415"/>
        <v>1.4705882352941178</v>
      </c>
      <c r="BC150" s="979">
        <f t="shared" si="415"/>
        <v>0.84146341463414642</v>
      </c>
      <c r="BD150" s="979">
        <f t="shared" si="415"/>
        <v>0.38135593220338992</v>
      </c>
      <c r="BE150" s="980">
        <f t="shared" si="415"/>
        <v>-2.4096385542168641E-2</v>
      </c>
      <c r="BF150" s="979">
        <f t="shared" si="415"/>
        <v>2.9761904761904656E-2</v>
      </c>
      <c r="BG150" s="979">
        <f t="shared" si="415"/>
        <v>0.29139072847682113</v>
      </c>
      <c r="BH150" s="979">
        <f t="shared" si="416"/>
        <v>0.12269938650306744</v>
      </c>
      <c r="BI150" s="980">
        <f t="shared" si="416"/>
        <v>4.3209876543209846E-2</v>
      </c>
      <c r="BJ150" s="979">
        <f t="shared" si="416"/>
        <v>-5.7803468208092457E-2</v>
      </c>
      <c r="BK150" s="979">
        <f t="shared" si="416"/>
        <v>-0.2153846153846154</v>
      </c>
      <c r="BL150" s="979">
        <f t="shared" si="416"/>
        <v>-0.11475409836065575</v>
      </c>
      <c r="BM150" s="980">
        <f t="shared" si="416"/>
        <v>-0.13609467455621305</v>
      </c>
      <c r="BN150" s="978">
        <f t="shared" si="416"/>
        <v>-0.10429447852760731</v>
      </c>
      <c r="BO150" s="979">
        <f t="shared" si="416"/>
        <v>-0.15686274509803921</v>
      </c>
      <c r="BP150" s="979">
        <f t="shared" si="416"/>
        <v>-0.44444444444444442</v>
      </c>
      <c r="BQ150" s="980">
        <f t="shared" si="416"/>
        <v>6.8493150684931781E-3</v>
      </c>
      <c r="BR150" s="979">
        <f t="shared" si="417"/>
        <v>0.53424657534246567</v>
      </c>
      <c r="BS150" s="979">
        <f t="shared" si="417"/>
        <v>0.64341085271317833</v>
      </c>
      <c r="BT150" s="979">
        <f t="shared" si="417"/>
        <v>1.2000000000000002</v>
      </c>
      <c r="BU150" s="980">
        <f t="shared" si="417"/>
        <v>0.41496598639455784</v>
      </c>
      <c r="BV150" s="979">
        <f t="shared" si="417"/>
        <v>1.3392857142857206E-2</v>
      </c>
      <c r="BW150" s="979">
        <f t="shared" si="417"/>
        <v>0.1132075471698113</v>
      </c>
      <c r="BX150" s="979">
        <f t="shared" si="417"/>
        <v>0.23967137626262613</v>
      </c>
      <c r="BY150" s="980">
        <f t="shared" si="417"/>
        <v>8.6754705990192083E-2</v>
      </c>
      <c r="BZ150" s="979">
        <f t="shared" si="418"/>
        <v>5.1674464257500663E-3</v>
      </c>
      <c r="CA150" s="979">
        <f t="shared" si="418"/>
        <v>-6.9640976673680077E-2</v>
      </c>
      <c r="CB150" s="979">
        <f t="shared" si="418"/>
        <v>-0.13157520772170495</v>
      </c>
      <c r="CC150" s="980">
        <f t="shared" si="418"/>
        <v>-0.14623212053668733</v>
      </c>
      <c r="CD150" s="743"/>
      <c r="CE150" s="978"/>
      <c r="CF150" s="979">
        <f t="shared" ref="CF150:DC150" si="421">CF69/CE69-1</f>
        <v>-3.4955798052351605E-2</v>
      </c>
      <c r="CG150" s="979">
        <f t="shared" si="421"/>
        <v>8.6032759900879441E-2</v>
      </c>
      <c r="CH150" s="979">
        <f t="shared" si="421"/>
        <v>-0.13014827018121922</v>
      </c>
      <c r="CI150" s="979">
        <f t="shared" si="421"/>
        <v>0.28219696969696972</v>
      </c>
      <c r="CJ150" s="979">
        <f t="shared" si="421"/>
        <v>0.22230428360413579</v>
      </c>
      <c r="CK150" s="979">
        <f t="shared" si="421"/>
        <v>8.1570996978852062E-2</v>
      </c>
      <c r="CL150" s="979">
        <f t="shared" si="421"/>
        <v>0.22346368715083798</v>
      </c>
      <c r="CM150" s="979">
        <f t="shared" si="421"/>
        <v>-5.9360730593607358E-2</v>
      </c>
      <c r="CN150" s="979">
        <f t="shared" si="421"/>
        <v>0.15533980582524265</v>
      </c>
      <c r="CO150" s="979">
        <f t="shared" si="421"/>
        <v>0.10084033613445387</v>
      </c>
      <c r="CP150" s="979">
        <f t="shared" si="421"/>
        <v>0.65648854961832059</v>
      </c>
      <c r="CQ150" s="979">
        <f t="shared" si="421"/>
        <v>0.4838709677419355</v>
      </c>
      <c r="CR150" s="979">
        <f t="shared" si="421"/>
        <v>0.11801242236024834</v>
      </c>
      <c r="CS150" s="979">
        <f t="shared" si="421"/>
        <v>-0.1333333333333333</v>
      </c>
      <c r="CT150" s="979">
        <f t="shared" si="421"/>
        <v>-0.17948717948717952</v>
      </c>
      <c r="CU150" s="979">
        <f t="shared" si="421"/>
        <v>0.64453125</v>
      </c>
      <c r="CV150" s="979">
        <f t="shared" si="421"/>
        <v>0.10985737689543917</v>
      </c>
      <c r="CW150" s="979">
        <f t="shared" si="421"/>
        <v>-8.6263336679782032E-2</v>
      </c>
      <c r="CX150" s="979">
        <f t="shared" si="421"/>
        <v>7.8882882946279764E-2</v>
      </c>
      <c r="CY150" s="979">
        <f t="shared" si="421"/>
        <v>-3.2831218433713949E-2</v>
      </c>
      <c r="CZ150" s="979">
        <f t="shared" si="421"/>
        <v>1.3347860138581247E-2</v>
      </c>
      <c r="DA150" s="979">
        <f t="shared" si="421"/>
        <v>2.0826807732662544E-2</v>
      </c>
      <c r="DB150" s="979">
        <f t="shared" si="421"/>
        <v>5.0201013782605219E-2</v>
      </c>
      <c r="DC150" s="979">
        <f t="shared" si="421"/>
        <v>5.4137204785503101E-2</v>
      </c>
      <c r="DD150" s="1505"/>
      <c r="DE150" s="1551"/>
      <c r="DF150" s="141"/>
      <c r="DG150" s="215"/>
      <c r="DH150" s="141"/>
      <c r="DI150" s="141"/>
      <c r="DJ150" s="141"/>
      <c r="DK150" s="141"/>
      <c r="DL150" s="141"/>
      <c r="DM150" s="141"/>
      <c r="DN150" s="141"/>
      <c r="DO150" s="141"/>
      <c r="DP150" s="979">
        <f t="shared" si="420"/>
        <v>0.16822429906542058</v>
      </c>
      <c r="DQ150" s="979">
        <f t="shared" si="420"/>
        <v>0.14799999999999991</v>
      </c>
      <c r="DR150" s="979">
        <f t="shared" si="420"/>
        <v>1.1010452961672472</v>
      </c>
      <c r="DS150" s="978"/>
      <c r="DT150" s="979"/>
      <c r="DU150" s="979"/>
      <c r="DV150" s="979"/>
      <c r="DW150" s="980"/>
      <c r="DX150" s="979"/>
      <c r="DY150" s="979"/>
      <c r="DZ150" s="1676"/>
    </row>
    <row r="151" spans="1:136" ht="11.25" customHeight="1">
      <c r="A151" s="3"/>
      <c r="B151" s="207"/>
      <c r="C151" s="201" t="s">
        <v>79</v>
      </c>
      <c r="D151" s="201"/>
      <c r="E151" s="202"/>
      <c r="F151" s="979"/>
      <c r="G151" s="979"/>
      <c r="H151" s="979"/>
      <c r="I151" s="980"/>
      <c r="J151" s="978">
        <f t="shared" ref="J151:AO151" si="422">J67/F67-1</f>
        <v>-8.6324036148495042E-2</v>
      </c>
      <c r="K151" s="979">
        <f t="shared" si="422"/>
        <v>-0.11955692533032247</v>
      </c>
      <c r="L151" s="979">
        <f t="shared" si="422"/>
        <v>1.0528005135612251E-2</v>
      </c>
      <c r="M151" s="980">
        <f t="shared" si="422"/>
        <v>0.42549826798534096</v>
      </c>
      <c r="N151" s="978">
        <f t="shared" si="422"/>
        <v>3.8158433102663203E-2</v>
      </c>
      <c r="O151" s="979">
        <f t="shared" si="422"/>
        <v>0.17904550653311602</v>
      </c>
      <c r="P151" s="979">
        <f t="shared" si="422"/>
        <v>3.1207318235237924E-2</v>
      </c>
      <c r="Q151" s="980">
        <f t="shared" si="422"/>
        <v>0.14059060733592754</v>
      </c>
      <c r="R151" s="978">
        <f t="shared" si="422"/>
        <v>0.56448130504815119</v>
      </c>
      <c r="S151" s="979">
        <f t="shared" si="422"/>
        <v>3.6185660954172638E-2</v>
      </c>
      <c r="T151" s="979">
        <f t="shared" si="422"/>
        <v>0.13505105419599284</v>
      </c>
      <c r="U151" s="980">
        <f t="shared" si="422"/>
        <v>9.7679588717521248E-2</v>
      </c>
      <c r="V151" s="978">
        <f t="shared" si="422"/>
        <v>-0.10295728368017532</v>
      </c>
      <c r="W151" s="979">
        <f t="shared" si="422"/>
        <v>0.32765957446808502</v>
      </c>
      <c r="X151" s="979">
        <f t="shared" si="422"/>
        <v>0.30664857530529188</v>
      </c>
      <c r="Y151" s="980">
        <f t="shared" si="422"/>
        <v>0.43600562587904368</v>
      </c>
      <c r="Z151" s="978">
        <f t="shared" si="422"/>
        <v>0.34798534798534786</v>
      </c>
      <c r="AA151" s="979">
        <f t="shared" si="422"/>
        <v>0.32478632478632496</v>
      </c>
      <c r="AB151" s="979">
        <f t="shared" si="422"/>
        <v>0.21703011422637575</v>
      </c>
      <c r="AC151" s="980">
        <f t="shared" si="422"/>
        <v>8.1292850146914786E-2</v>
      </c>
      <c r="AD151" s="978">
        <f t="shared" si="422"/>
        <v>7.7898550724637694E-2</v>
      </c>
      <c r="AE151" s="979">
        <f t="shared" si="422"/>
        <v>7.2580645161290258E-2</v>
      </c>
      <c r="AF151" s="979">
        <f t="shared" si="422"/>
        <v>-8.7030716723549562E-2</v>
      </c>
      <c r="AG151" s="979">
        <f t="shared" si="422"/>
        <v>0.14130434782608714</v>
      </c>
      <c r="AH151" s="978">
        <f t="shared" si="422"/>
        <v>0.16806722689075637</v>
      </c>
      <c r="AI151" s="979">
        <f t="shared" si="422"/>
        <v>0.36090225563909772</v>
      </c>
      <c r="AJ151" s="979">
        <f t="shared" si="422"/>
        <v>0.67289719626168232</v>
      </c>
      <c r="AK151" s="980">
        <f t="shared" si="422"/>
        <v>0.46031746031746024</v>
      </c>
      <c r="AL151" s="978">
        <f t="shared" si="422"/>
        <v>0.36690647482014382</v>
      </c>
      <c r="AM151" s="979">
        <f t="shared" si="422"/>
        <v>1.1049723756906049E-2</v>
      </c>
      <c r="AN151" s="979">
        <f t="shared" si="422"/>
        <v>-2.7932960893854775E-2</v>
      </c>
      <c r="AO151" s="980">
        <f t="shared" si="422"/>
        <v>0</v>
      </c>
      <c r="AP151" s="978">
        <f t="shared" ref="AP151:BU151" si="423">AP67/AL67-1</f>
        <v>2.6315789473684292E-2</v>
      </c>
      <c r="AQ151" s="979">
        <f t="shared" si="423"/>
        <v>0.1693989071038251</v>
      </c>
      <c r="AR151" s="979">
        <f t="shared" si="423"/>
        <v>0.28735632183908044</v>
      </c>
      <c r="AS151" s="980">
        <f t="shared" si="423"/>
        <v>0.16847826086956519</v>
      </c>
      <c r="AT151" s="978">
        <f t="shared" si="423"/>
        <v>0.15897435897435908</v>
      </c>
      <c r="AU151" s="979">
        <f t="shared" si="423"/>
        <v>9.8130841121495394E-2</v>
      </c>
      <c r="AV151" s="979">
        <f t="shared" si="423"/>
        <v>8.0357142857142794E-2</v>
      </c>
      <c r="AW151" s="980">
        <f t="shared" si="423"/>
        <v>0.2186046511627906</v>
      </c>
      <c r="AX151" s="978">
        <f t="shared" si="423"/>
        <v>0.15486725663716805</v>
      </c>
      <c r="AY151" s="979">
        <f t="shared" si="423"/>
        <v>0.16170212765957448</v>
      </c>
      <c r="AZ151" s="979">
        <f t="shared" si="423"/>
        <v>0.5826446280991735</v>
      </c>
      <c r="BA151" s="980">
        <f t="shared" si="423"/>
        <v>1.1832061068702289</v>
      </c>
      <c r="BB151" s="978">
        <f t="shared" si="423"/>
        <v>1.1609195402298851</v>
      </c>
      <c r="BC151" s="979">
        <f t="shared" si="423"/>
        <v>0.93772893772893773</v>
      </c>
      <c r="BD151" s="979">
        <f t="shared" si="423"/>
        <v>0.45953002610966065</v>
      </c>
      <c r="BE151" s="980">
        <f t="shared" si="423"/>
        <v>-1.3986013986013957E-2</v>
      </c>
      <c r="BF151" s="979">
        <f t="shared" si="423"/>
        <v>1.7730496453900679E-2</v>
      </c>
      <c r="BG151" s="979">
        <f t="shared" si="423"/>
        <v>0.16446124763705106</v>
      </c>
      <c r="BH151" s="979">
        <f t="shared" si="423"/>
        <v>7.5134168157424019E-2</v>
      </c>
      <c r="BI151" s="980">
        <f t="shared" si="423"/>
        <v>6.0283687943262443E-2</v>
      </c>
      <c r="BJ151" s="979">
        <f t="shared" si="423"/>
        <v>4.5296167247386832E-2</v>
      </c>
      <c r="BK151" s="979">
        <f t="shared" si="423"/>
        <v>-6.0064935064935043E-2</v>
      </c>
      <c r="BL151" s="979">
        <f t="shared" si="423"/>
        <v>-6.1564059900166335E-2</v>
      </c>
      <c r="BM151" s="980">
        <f t="shared" si="423"/>
        <v>-0.11872909698996659</v>
      </c>
      <c r="BN151" s="978">
        <f t="shared" si="423"/>
        <v>-0.11499999999999999</v>
      </c>
      <c r="BO151" s="979">
        <f t="shared" si="423"/>
        <v>-0.10535405872193437</v>
      </c>
      <c r="BP151" s="979">
        <f t="shared" si="423"/>
        <v>-0.20390070921985815</v>
      </c>
      <c r="BQ151" s="980">
        <f t="shared" si="423"/>
        <v>0.21631878557874762</v>
      </c>
      <c r="BR151" s="979">
        <f t="shared" si="423"/>
        <v>0.62523540489642193</v>
      </c>
      <c r="BS151" s="979">
        <f t="shared" si="423"/>
        <v>0.53861003861003853</v>
      </c>
      <c r="BT151" s="979">
        <f t="shared" si="423"/>
        <v>0.80623608017817361</v>
      </c>
      <c r="BU151" s="980">
        <f t="shared" si="423"/>
        <v>0.26677067082683315</v>
      </c>
      <c r="BV151" s="979">
        <f t="shared" ref="BV151:CC151" si="424">BV67/BR67-1</f>
        <v>-5.0984936268829717E-2</v>
      </c>
      <c r="BW151" s="979">
        <f t="shared" si="424"/>
        <v>8.5319949811794249E-2</v>
      </c>
      <c r="BX151" s="979">
        <f t="shared" si="424"/>
        <v>4.1140527496917212E-2</v>
      </c>
      <c r="BY151" s="980">
        <f t="shared" si="424"/>
        <v>1.0642307434014731E-2</v>
      </c>
      <c r="BZ151" s="979">
        <f t="shared" si="424"/>
        <v>-9.4239138737419736E-3</v>
      </c>
      <c r="CA151" s="979">
        <f t="shared" si="424"/>
        <v>-8.274324773261077E-2</v>
      </c>
      <c r="CB151" s="979">
        <f t="shared" si="424"/>
        <v>-6.154803160017408E-2</v>
      </c>
      <c r="CC151" s="980">
        <f t="shared" si="424"/>
        <v>-0.12345878025704538</v>
      </c>
      <c r="CD151" s="22"/>
      <c r="CE151" s="978"/>
      <c r="CF151" s="979">
        <f t="shared" ref="CF151:DC151" si="425">CF67/CE67-1</f>
        <v>1.9457799261825226E-2</v>
      </c>
      <c r="CG151" s="979">
        <f t="shared" si="425"/>
        <v>9.5971310458159653E-2</v>
      </c>
      <c r="CH151" s="979">
        <f t="shared" si="425"/>
        <v>0.19718859820382661</v>
      </c>
      <c r="CI151" s="979">
        <f t="shared" si="425"/>
        <v>0.21950424005218516</v>
      </c>
      <c r="CJ151" s="979">
        <f t="shared" si="425"/>
        <v>0.23562449852901857</v>
      </c>
      <c r="CK151" s="979">
        <f t="shared" si="425"/>
        <v>4.9783549783549708E-2</v>
      </c>
      <c r="CL151" s="979">
        <f t="shared" si="425"/>
        <v>0.40824742268041248</v>
      </c>
      <c r="CM151" s="979">
        <f t="shared" si="425"/>
        <v>7.0278184480234263E-2</v>
      </c>
      <c r="CN151" s="979">
        <f t="shared" si="425"/>
        <v>0.16005471956224349</v>
      </c>
      <c r="CO151" s="979">
        <f t="shared" si="425"/>
        <v>0.13797169811320753</v>
      </c>
      <c r="CP151" s="979">
        <f t="shared" si="425"/>
        <v>0.54300518134715037</v>
      </c>
      <c r="CQ151" s="979">
        <f t="shared" si="425"/>
        <v>0.48824714573539296</v>
      </c>
      <c r="CR151" s="979">
        <f t="shared" si="425"/>
        <v>7.8068592057761732E-2</v>
      </c>
      <c r="CS151" s="979">
        <f t="shared" si="425"/>
        <v>-4.9811636668061987E-2</v>
      </c>
      <c r="CT151" s="979">
        <f t="shared" si="425"/>
        <v>-5.7709251101321635E-2</v>
      </c>
      <c r="CU151" s="979">
        <f t="shared" si="425"/>
        <v>0.5348293595137914</v>
      </c>
      <c r="CV151" s="979">
        <f t="shared" si="425"/>
        <v>2.0105550239542858E-2</v>
      </c>
      <c r="CW151" s="979">
        <f t="shared" si="425"/>
        <v>-6.9446117892891457E-2</v>
      </c>
      <c r="CX151" s="979">
        <f t="shared" si="425"/>
        <v>5.1052885633576794E-2</v>
      </c>
      <c r="CY151" s="979">
        <f t="shared" si="425"/>
        <v>2.9775689301603459E-2</v>
      </c>
      <c r="CZ151" s="979">
        <f t="shared" si="425"/>
        <v>1.8477554782633021E-2</v>
      </c>
      <c r="DA151" s="979">
        <f t="shared" si="425"/>
        <v>2.6225411042787083E-2</v>
      </c>
      <c r="DB151" s="979">
        <f t="shared" si="425"/>
        <v>3.6472895955381723E-2</v>
      </c>
      <c r="DC151" s="979">
        <f t="shared" si="425"/>
        <v>4.0175122602913671E-2</v>
      </c>
      <c r="DD151" s="1517"/>
      <c r="DE151" s="1483"/>
      <c r="DF151" s="24"/>
      <c r="DG151" s="23"/>
      <c r="DH151" s="24"/>
      <c r="DI151" s="24"/>
      <c r="DJ151" s="24"/>
      <c r="DK151" s="24"/>
      <c r="DL151" s="141"/>
      <c r="DM151" s="24"/>
      <c r="DN151" s="24"/>
      <c r="DO151" s="24"/>
      <c r="DP151" s="979">
        <f>DP67/DO67-1</f>
        <v>0.17340286831812257</v>
      </c>
      <c r="DQ151" s="979">
        <f>DQ67/DP67-1</f>
        <v>0.15333333333333332</v>
      </c>
      <c r="DR151" s="979">
        <f>DR67/DQ67-1</f>
        <v>0.97302504816955682</v>
      </c>
      <c r="DS151" s="978"/>
      <c r="DT151" s="979"/>
      <c r="DU151" s="979"/>
      <c r="DV151" s="979"/>
      <c r="DW151" s="980"/>
      <c r="DX151" s="979"/>
      <c r="DY151" s="979"/>
      <c r="DZ151" s="1561"/>
    </row>
    <row r="152" spans="1:136" ht="11.25" customHeight="1">
      <c r="A152" s="3"/>
      <c r="B152" s="207"/>
      <c r="C152" s="201" t="s">
        <v>47</v>
      </c>
      <c r="D152" s="201"/>
      <c r="E152" s="202"/>
      <c r="F152" s="979"/>
      <c r="G152" s="979"/>
      <c r="H152" s="979"/>
      <c r="I152" s="980"/>
      <c r="J152" s="978">
        <f t="shared" ref="J152:AO152" si="426">IF(AND(J71&gt;0,F71&lt;0),"NM",IF(AND(J71&lt;0,J71&gt;F71),ABS(J71/F71-1),IF(AND(J71&lt;0,J71&lt;F71),-ABS(J71/F71-1),J71/F71-1)))</f>
        <v>0.99421153197707124</v>
      </c>
      <c r="K152" s="979">
        <f t="shared" si="426"/>
        <v>5.4292146073034511</v>
      </c>
      <c r="L152" s="979">
        <f t="shared" si="426"/>
        <v>17.326613543877098</v>
      </c>
      <c r="M152" s="980">
        <f t="shared" si="426"/>
        <v>0.54825664989215928</v>
      </c>
      <c r="N152" s="978" t="str">
        <f t="shared" si="426"/>
        <v>NM</v>
      </c>
      <c r="O152" s="979">
        <f t="shared" si="426"/>
        <v>4.9166979374233613</v>
      </c>
      <c r="P152" s="979">
        <f t="shared" si="426"/>
        <v>2.1624993448597012</v>
      </c>
      <c r="Q152" s="980">
        <f t="shared" si="426"/>
        <v>1.7224078946272905</v>
      </c>
      <c r="R152" s="978">
        <f t="shared" si="426"/>
        <v>-0.80522724303187776</v>
      </c>
      <c r="S152" s="979">
        <f t="shared" si="426"/>
        <v>-6.2352899523253846E-2</v>
      </c>
      <c r="T152" s="979">
        <f t="shared" si="426"/>
        <v>-0.14359377123633643</v>
      </c>
      <c r="U152" s="980">
        <f t="shared" si="426"/>
        <v>-0.36466074423458006</v>
      </c>
      <c r="V152" s="978">
        <f t="shared" si="426"/>
        <v>5.3351753020604411</v>
      </c>
      <c r="W152" s="979">
        <f t="shared" si="426"/>
        <v>-0.20581933957965115</v>
      </c>
      <c r="X152" s="979">
        <f t="shared" si="426"/>
        <v>0.44598332400559815</v>
      </c>
      <c r="Y152" s="980">
        <f t="shared" si="426"/>
        <v>0.92505709642746092</v>
      </c>
      <c r="Z152" s="978">
        <f t="shared" si="426"/>
        <v>1.1764407840196203</v>
      </c>
      <c r="AA152" s="979">
        <f t="shared" si="426"/>
        <v>0.8413647143699523</v>
      </c>
      <c r="AB152" s="979">
        <f t="shared" si="426"/>
        <v>0.42399344818861895</v>
      </c>
      <c r="AC152" s="980">
        <f t="shared" si="426"/>
        <v>0.41231985843140495</v>
      </c>
      <c r="AD152" s="978">
        <f t="shared" si="426"/>
        <v>0.457902993045739</v>
      </c>
      <c r="AE152" s="979">
        <f t="shared" si="426"/>
        <v>0.16978059079404306</v>
      </c>
      <c r="AF152" s="979">
        <f t="shared" si="426"/>
        <v>0.14264224080914145</v>
      </c>
      <c r="AG152" s="979">
        <f t="shared" si="426"/>
        <v>-2.8546551120145147E-2</v>
      </c>
      <c r="AH152" s="978">
        <f t="shared" si="426"/>
        <v>0.85849232891982274</v>
      </c>
      <c r="AI152" s="979">
        <f t="shared" si="426"/>
        <v>1.7244697644414551</v>
      </c>
      <c r="AJ152" s="979">
        <f t="shared" si="426"/>
        <v>1.5872157528293909</v>
      </c>
      <c r="AK152" s="980">
        <f t="shared" si="426"/>
        <v>2.0627841001836043</v>
      </c>
      <c r="AL152" s="978">
        <f t="shared" si="426"/>
        <v>0.27176246423779271</v>
      </c>
      <c r="AM152" s="979">
        <f t="shared" si="426"/>
        <v>-0.6786440997666443</v>
      </c>
      <c r="AN152" s="979">
        <f t="shared" si="426"/>
        <v>-0.73491198507050681</v>
      </c>
      <c r="AO152" s="980">
        <f t="shared" si="426"/>
        <v>-0.22764966318574786</v>
      </c>
      <c r="AP152" s="978">
        <f t="shared" ref="AP152:BU152" si="427">IF(AND(AP71&gt;0,AL71&lt;0),"NM",IF(AND(AP71&lt;0,AP71&gt;AL71),ABS(AP71/AL71-1),IF(AND(AP71&lt;0,AP71&lt;AL71),-ABS(AP71/AL71-1),AP71/AL71-1)))</f>
        <v>0.36736261729148834</v>
      </c>
      <c r="AQ152" s="979">
        <f t="shared" si="427"/>
        <v>3.4381512398759373</v>
      </c>
      <c r="AR152" s="979">
        <f t="shared" si="427"/>
        <v>4.6005578849518116</v>
      </c>
      <c r="AS152" s="980">
        <f t="shared" si="427"/>
        <v>0.72711348805261466</v>
      </c>
      <c r="AT152" s="978">
        <f t="shared" si="427"/>
        <v>-0.30935420445533457</v>
      </c>
      <c r="AU152" s="979">
        <f t="shared" si="427"/>
        <v>-0.49237850882710388</v>
      </c>
      <c r="AV152" s="979">
        <f t="shared" si="427"/>
        <v>-0.61965099023643511</v>
      </c>
      <c r="AW152" s="980">
        <f t="shared" si="427"/>
        <v>-0.35529763891353283</v>
      </c>
      <c r="AX152" s="978">
        <f t="shared" si="427"/>
        <v>0.26909955030434229</v>
      </c>
      <c r="AY152" s="979">
        <f t="shared" si="427"/>
        <v>0.56029299630212659</v>
      </c>
      <c r="AZ152" s="979">
        <f t="shared" si="427"/>
        <v>3.1306698380842111</v>
      </c>
      <c r="BA152" s="980">
        <f t="shared" si="427"/>
        <v>3.5298464702582821</v>
      </c>
      <c r="BB152" s="978">
        <f t="shared" si="427"/>
        <v>1.3780944525125207</v>
      </c>
      <c r="BC152" s="979">
        <f t="shared" si="427"/>
        <v>0.51328656467745426</v>
      </c>
      <c r="BD152" s="979">
        <f t="shared" si="427"/>
        <v>-0.22249812718554851</v>
      </c>
      <c r="BE152" s="980">
        <f t="shared" si="427"/>
        <v>-0.4449602401530216</v>
      </c>
      <c r="BF152" s="979">
        <f t="shared" si="427"/>
        <v>-0.15868915879442191</v>
      </c>
      <c r="BG152" s="979">
        <f t="shared" si="427"/>
        <v>2.0717165840309804E-2</v>
      </c>
      <c r="BH152" s="979">
        <f t="shared" si="427"/>
        <v>-4.7639516786482705E-2</v>
      </c>
      <c r="BI152" s="980">
        <f t="shared" si="427"/>
        <v>-7.8520752516124892E-2</v>
      </c>
      <c r="BJ152" s="979">
        <f t="shared" si="427"/>
        <v>5.7254511111087147E-2</v>
      </c>
      <c r="BK152" s="979">
        <f t="shared" si="427"/>
        <v>6.2225778857032399E-2</v>
      </c>
      <c r="BL152" s="979">
        <f t="shared" si="427"/>
        <v>-1.5781855535322076E-2</v>
      </c>
      <c r="BM152" s="980">
        <f t="shared" si="427"/>
        <v>-0.11310924194790883</v>
      </c>
      <c r="BN152" s="978">
        <f t="shared" si="427"/>
        <v>-0.24775874334534753</v>
      </c>
      <c r="BO152" s="979">
        <f t="shared" si="427"/>
        <v>-0.30636511534265087</v>
      </c>
      <c r="BP152" s="979">
        <f t="shared" si="427"/>
        <v>-0.31357433148315084</v>
      </c>
      <c r="BQ152" s="980">
        <f t="shared" si="427"/>
        <v>5.8095109540885259E-2</v>
      </c>
      <c r="BR152" s="979">
        <f t="shared" si="427"/>
        <v>0.64839710908174175</v>
      </c>
      <c r="BS152" s="979">
        <f t="shared" si="427"/>
        <v>1.3287076103812505</v>
      </c>
      <c r="BT152" s="979">
        <f t="shared" si="427"/>
        <v>1.923100846627888</v>
      </c>
      <c r="BU152" s="980">
        <f t="shared" si="427"/>
        <v>1.6314578572537877</v>
      </c>
      <c r="BV152" s="979">
        <f t="shared" ref="BV152:CC152" si="428">IF(AND(BV71&gt;0,BR71&lt;0),"NM",IF(AND(BV71&lt;0,BV71&gt;BR71),ABS(BV71/BR71-1),IF(AND(BV71&lt;0,BV71&lt;BR71),-ABS(BV71/BR71-1),BV71/BR71-1)))</f>
        <v>0.86643165170292913</v>
      </c>
      <c r="BW152" s="979">
        <f t="shared" si="428"/>
        <v>0.44881706141510391</v>
      </c>
      <c r="BX152" s="979">
        <f t="shared" si="428"/>
        <v>0.22339467606366381</v>
      </c>
      <c r="BY152" s="980">
        <f t="shared" si="428"/>
        <v>-4.9242338879195491E-2</v>
      </c>
      <c r="BZ152" s="979">
        <f t="shared" si="428"/>
        <v>-0.15920892222158756</v>
      </c>
      <c r="CA152" s="979">
        <f t="shared" si="428"/>
        <v>-0.26048826215315302</v>
      </c>
      <c r="CB152" s="979">
        <f t="shared" si="428"/>
        <v>-0.28471210747710873</v>
      </c>
      <c r="CC152" s="980">
        <f t="shared" si="428"/>
        <v>-0.26039435697812885</v>
      </c>
      <c r="CD152" s="22"/>
      <c r="CE152" s="978"/>
      <c r="CF152" s="979" t="str">
        <f t="shared" ref="CF152:DC152" si="429">IF(AND(CF71&gt;0,CE71&lt;0),"NM",IF(AND(CF71&lt;0,CF71&gt;CE71),ABS(CF71/CE71-1),IF(AND(CF71&lt;0,CF71&lt;CE71),-ABS(CF71/CE71-1),CF71/CE71-1)))</f>
        <v>NM</v>
      </c>
      <c r="CG152" s="979">
        <f t="shared" si="429"/>
        <v>3.2840320653280788</v>
      </c>
      <c r="CH152" s="979">
        <f t="shared" si="429"/>
        <v>-0.24548820820774164</v>
      </c>
      <c r="CI152" s="979">
        <f t="shared" si="429"/>
        <v>0.3935785370544489</v>
      </c>
      <c r="CJ152" s="979">
        <f t="shared" si="429"/>
        <v>0.63910697475776268</v>
      </c>
      <c r="CK152" s="979">
        <f t="shared" si="429"/>
        <v>0.1719405512056531</v>
      </c>
      <c r="CL152" s="979">
        <f t="shared" si="429"/>
        <v>1.5438815538527457</v>
      </c>
      <c r="CM152" s="979">
        <f t="shared" si="429"/>
        <v>-0.42570922089760466</v>
      </c>
      <c r="CN152" s="979">
        <f t="shared" si="429"/>
        <v>1.5704017981203124</v>
      </c>
      <c r="CO152" s="979">
        <f t="shared" si="429"/>
        <v>-0.462580083565022</v>
      </c>
      <c r="CP152" s="979">
        <f t="shared" si="429"/>
        <v>1.735128838725565</v>
      </c>
      <c r="CQ152" s="979">
        <f t="shared" si="429"/>
        <v>2.9828340279567378E-3</v>
      </c>
      <c r="CR152" s="979">
        <f t="shared" si="429"/>
        <v>-6.9994492388324114E-2</v>
      </c>
      <c r="CS152" s="979">
        <f t="shared" si="429"/>
        <v>2.699638003192284E-3</v>
      </c>
      <c r="CT152" s="979">
        <f t="shared" si="429"/>
        <v>-0.21931534512405904</v>
      </c>
      <c r="CU152" s="979">
        <f t="shared" si="429"/>
        <v>1.3522180890286899</v>
      </c>
      <c r="CV152" s="979">
        <f t="shared" si="429"/>
        <v>0.31849259114549899</v>
      </c>
      <c r="CW152" s="979">
        <f t="shared" si="429"/>
        <v>-0.23944809672463274</v>
      </c>
      <c r="CX152" s="979">
        <f t="shared" si="429"/>
        <v>7.1732260497662237E-2</v>
      </c>
      <c r="CY152" s="979">
        <f t="shared" si="429"/>
        <v>1.9426778850244686E-2</v>
      </c>
      <c r="CZ152" s="979">
        <f t="shared" si="429"/>
        <v>4.3513649087896011E-2</v>
      </c>
      <c r="DA152" s="979">
        <f t="shared" si="429"/>
        <v>3.9511086861461653E-2</v>
      </c>
      <c r="DB152" s="979">
        <f t="shared" si="429"/>
        <v>3.8785420779321234E-2</v>
      </c>
      <c r="DC152" s="979">
        <f t="shared" si="429"/>
        <v>4.3016873238775677E-2</v>
      </c>
      <c r="DD152" s="1517"/>
      <c r="DE152" s="1483"/>
      <c r="DF152" s="24"/>
      <c r="DG152" s="23"/>
      <c r="DH152" s="24"/>
      <c r="DI152" s="24"/>
      <c r="DJ152" s="24"/>
      <c r="DK152" s="24"/>
      <c r="DL152" s="141"/>
      <c r="DM152" s="24"/>
      <c r="DN152" s="24"/>
      <c r="DO152" s="24"/>
      <c r="DP152" s="979">
        <f>IF(AND(DP71&gt;0,DO71&lt;0),"NM",IF(AND(DP71&lt;0,DP71&gt;DO71),ABS(DP71/DO71-1),IF(AND(DP71&lt;0,DP71&lt;DO71),-ABS(DP71/DO71-1),DP71/DO71-1)))</f>
        <v>0.15674756935272027</v>
      </c>
      <c r="DQ152" s="979">
        <f>IF(AND(DQ71&gt;0,DP71&lt;0),"NM",IF(AND(DQ71&lt;0,DQ71&gt;DP71),ABS(DQ71/DP71-1),IF(AND(DQ71&lt;0,DQ71&lt;DP71),-ABS(DQ71/DP71-1),DQ71/DP71-1)))</f>
        <v>-0.15819132815280135</v>
      </c>
      <c r="DR152" s="979">
        <f>IF(AND(DR71&gt;0,DQ71&lt;0),"NM",IF(AND(DR71&lt;0,DR71&gt;DQ71),ABS(DR71/DQ71-1),IF(AND(DR71&lt;0,DR71&lt;DQ71),-ABS(DR71/DQ71-1),DR71/DQ71-1)))</f>
        <v>1.7814996451286471</v>
      </c>
      <c r="DS152" s="978"/>
      <c r="DT152" s="979"/>
      <c r="DU152" s="979"/>
      <c r="DV152" s="979"/>
      <c r="DW152" s="980"/>
      <c r="DX152" s="979"/>
      <c r="DY152" s="979"/>
      <c r="DZ152" s="1561"/>
    </row>
    <row r="153" spans="1:136" ht="11.25" customHeight="1">
      <c r="A153" s="145"/>
      <c r="B153" s="227"/>
      <c r="C153" s="201" t="s">
        <v>42</v>
      </c>
      <c r="D153" s="201"/>
      <c r="E153" s="228"/>
      <c r="F153" s="756"/>
      <c r="G153" s="756"/>
      <c r="H153" s="756"/>
      <c r="I153" s="982"/>
      <c r="J153" s="981">
        <f t="shared" ref="J153:AO153" si="430">IF(AND(J78&gt;0,F78&lt;0),"NM",IF(AND(J78&lt;0,J78&gt;F78),ABS(J78/F78-1),IF(AND(J78&lt;0,J78&lt;F78),-ABS(J78/F78-1),J78/F78-1)))</f>
        <v>0.98503492745835608</v>
      </c>
      <c r="K153" s="756">
        <f t="shared" si="430"/>
        <v>4.4422128259336331</v>
      </c>
      <c r="L153" s="756">
        <f t="shared" si="430"/>
        <v>15.933186442351861</v>
      </c>
      <c r="M153" s="982" t="str">
        <f t="shared" si="430"/>
        <v>NM</v>
      </c>
      <c r="N153" s="981" t="str">
        <f t="shared" si="430"/>
        <v>NM</v>
      </c>
      <c r="O153" s="756">
        <f t="shared" si="430"/>
        <v>3.8728651273399137</v>
      </c>
      <c r="P153" s="756">
        <f t="shared" si="430"/>
        <v>2.2331126620020951</v>
      </c>
      <c r="Q153" s="982">
        <f t="shared" si="430"/>
        <v>1.8219725387331414</v>
      </c>
      <c r="R153" s="981">
        <f t="shared" si="430"/>
        <v>-0.78244408688251887</v>
      </c>
      <c r="S153" s="756">
        <f t="shared" si="430"/>
        <v>-5.2635239208825291E-2</v>
      </c>
      <c r="T153" s="756">
        <f t="shared" si="430"/>
        <v>-0.13706553765030949</v>
      </c>
      <c r="U153" s="982">
        <f t="shared" si="430"/>
        <v>-0.36948127091360583</v>
      </c>
      <c r="V153" s="981">
        <f t="shared" si="430"/>
        <v>4.971425065583615</v>
      </c>
      <c r="W153" s="756">
        <f t="shared" si="430"/>
        <v>-0.19459914322621508</v>
      </c>
      <c r="X153" s="756">
        <f t="shared" si="430"/>
        <v>0.481814446045151</v>
      </c>
      <c r="Y153" s="982">
        <f t="shared" si="430"/>
        <v>1.0224472552657358</v>
      </c>
      <c r="Z153" s="981">
        <f t="shared" si="430"/>
        <v>1.2565689891478256</v>
      </c>
      <c r="AA153" s="756">
        <f t="shared" si="430"/>
        <v>0.86447148589494716</v>
      </c>
      <c r="AB153" s="756">
        <f t="shared" si="430"/>
        <v>0.45284387800653025</v>
      </c>
      <c r="AC153" s="982">
        <f t="shared" si="430"/>
        <v>0.44373035984228015</v>
      </c>
      <c r="AD153" s="981">
        <f t="shared" si="430"/>
        <v>0.50555933539217568</v>
      </c>
      <c r="AE153" s="756">
        <f t="shared" si="430"/>
        <v>0.23258787570264539</v>
      </c>
      <c r="AF153" s="756">
        <f t="shared" si="430"/>
        <v>0.1759722669344288</v>
      </c>
      <c r="AG153" s="756">
        <f t="shared" si="430"/>
        <v>2.2914273558528597E-2</v>
      </c>
      <c r="AH153" s="981">
        <f t="shared" si="430"/>
        <v>0.7640625509876835</v>
      </c>
      <c r="AI153" s="756">
        <f t="shared" si="430"/>
        <v>1.3967839731438159</v>
      </c>
      <c r="AJ153" s="756">
        <f t="shared" si="430"/>
        <v>1.3349783995581488</v>
      </c>
      <c r="AK153" s="982">
        <f t="shared" si="430"/>
        <v>1.6724255180840562</v>
      </c>
      <c r="AL153" s="981">
        <f t="shared" si="430"/>
        <v>0.22996692942152341</v>
      </c>
      <c r="AM153" s="756">
        <f t="shared" si="430"/>
        <v>-0.6908422078271681</v>
      </c>
      <c r="AN153" s="756">
        <f t="shared" si="430"/>
        <v>-0.73794815602196384</v>
      </c>
      <c r="AO153" s="982">
        <f t="shared" si="430"/>
        <v>-0.22305429180595915</v>
      </c>
      <c r="AP153" s="981">
        <f t="shared" ref="AP153:BU153" si="431">IF(AND(AP78&gt;0,AL78&lt;0),"NM",IF(AND(AP78&lt;0,AP78&gt;AL78),ABS(AP78/AL78-1),IF(AND(AP78&lt;0,AP78&lt;AL78),-ABS(AP78/AL78-1),AP78/AL78-1)))</f>
        <v>0.38244785614548182</v>
      </c>
      <c r="AQ153" s="756">
        <f t="shared" si="431"/>
        <v>3.8261688674402885</v>
      </c>
      <c r="AR153" s="756">
        <f t="shared" si="431"/>
        <v>4.8087705056612657</v>
      </c>
      <c r="AS153" s="982">
        <f t="shared" si="431"/>
        <v>0.7415240226974229</v>
      </c>
      <c r="AT153" s="981">
        <f t="shared" si="431"/>
        <v>-0.30500982143256261</v>
      </c>
      <c r="AU153" s="756">
        <f t="shared" si="431"/>
        <v>-0.49234621027238223</v>
      </c>
      <c r="AV153" s="756">
        <f t="shared" si="431"/>
        <v>-0.61651980578526211</v>
      </c>
      <c r="AW153" s="982">
        <f t="shared" si="431"/>
        <v>-0.35680727244060284</v>
      </c>
      <c r="AX153" s="981">
        <f t="shared" si="431"/>
        <v>0.26457407631983965</v>
      </c>
      <c r="AY153" s="756">
        <f t="shared" si="431"/>
        <v>0.55845768857504008</v>
      </c>
      <c r="AZ153" s="756">
        <f t="shared" si="431"/>
        <v>3.0825744834859368</v>
      </c>
      <c r="BA153" s="982">
        <f t="shared" si="431"/>
        <v>3.517873679643138</v>
      </c>
      <c r="BB153" s="981">
        <f t="shared" si="431"/>
        <v>1.3365036653926676</v>
      </c>
      <c r="BC153" s="756">
        <f t="shared" si="431"/>
        <v>0.49461001080338352</v>
      </c>
      <c r="BD153" s="756">
        <f t="shared" si="431"/>
        <v>-0.23393004988113475</v>
      </c>
      <c r="BE153" s="982">
        <f t="shared" si="431"/>
        <v>-0.45044754847203716</v>
      </c>
      <c r="BF153" s="756">
        <f t="shared" si="431"/>
        <v>-0.15596538520447234</v>
      </c>
      <c r="BG153" s="756">
        <f t="shared" si="431"/>
        <v>1.9296467824436947E-2</v>
      </c>
      <c r="BH153" s="756">
        <f t="shared" si="431"/>
        <v>-5.2413375699804088E-2</v>
      </c>
      <c r="BI153" s="982">
        <f t="shared" si="431"/>
        <v>-7.2091488722039188E-2</v>
      </c>
      <c r="BJ153" s="756">
        <f t="shared" si="431"/>
        <v>6.0108131414109867E-2</v>
      </c>
      <c r="BK153" s="756">
        <f t="shared" si="431"/>
        <v>6.8703148952927284E-2</v>
      </c>
      <c r="BL153" s="756">
        <f t="shared" si="431"/>
        <v>-8.2074537731929853E-3</v>
      </c>
      <c r="BM153" s="982">
        <f t="shared" si="431"/>
        <v>-0.12061075929393472</v>
      </c>
      <c r="BN153" s="981">
        <f t="shared" si="431"/>
        <v>-0.24986391506930927</v>
      </c>
      <c r="BO153" s="756">
        <f t="shared" si="431"/>
        <v>-0.30875187529609938</v>
      </c>
      <c r="BP153" s="756">
        <f t="shared" si="431"/>
        <v>-0.31724143482740874</v>
      </c>
      <c r="BQ153" s="982">
        <f t="shared" si="431"/>
        <v>-0.42167435239513595</v>
      </c>
      <c r="BR153" s="756">
        <f t="shared" si="431"/>
        <v>0.16049061555137234</v>
      </c>
      <c r="BS153" s="756">
        <f t="shared" si="431"/>
        <v>0.84157539340214749</v>
      </c>
      <c r="BT153" s="756">
        <f t="shared" si="431"/>
        <v>1.3848257973235873</v>
      </c>
      <c r="BU153" s="982">
        <f t="shared" si="431"/>
        <v>3.0916601166590816</v>
      </c>
      <c r="BV153" s="756">
        <f t="shared" ref="BV153:CC153" si="432">IF(AND(BV78&gt;0,BR78&lt;0),"NM",IF(AND(BV78&lt;0,BV78&gt;BR78),ABS(BV78/BR78-1),IF(AND(BV78&lt;0,BV78&lt;BR78),-ABS(BV78/BR78-1),BV78/BR78-1)))</f>
        <v>1.3062651900675633</v>
      </c>
      <c r="BW153" s="756">
        <f t="shared" si="432"/>
        <v>0.62997365132654437</v>
      </c>
      <c r="BX153" s="756">
        <f t="shared" si="432"/>
        <v>0.31162996331617743</v>
      </c>
      <c r="BY153" s="982">
        <f t="shared" si="432"/>
        <v>-3.5995672076520324E-2</v>
      </c>
      <c r="BZ153" s="756">
        <f t="shared" si="432"/>
        <v>-0.13638734033473621</v>
      </c>
      <c r="CA153" s="756">
        <f t="shared" si="432"/>
        <v>-0.26440148237549033</v>
      </c>
      <c r="CB153" s="756">
        <f t="shared" si="432"/>
        <v>-0.28982418317938707</v>
      </c>
      <c r="CC153" s="982">
        <f t="shared" si="432"/>
        <v>-0.26319254951582194</v>
      </c>
      <c r="CD153" s="743"/>
      <c r="CE153" s="981"/>
      <c r="CF153" s="756" t="str">
        <f t="shared" ref="CF153:DC153" si="433">IF(AND(CF78&gt;0,CE78&lt;0),"NM",IF(AND(CF78&lt;0,CF78&gt;CE78),ABS(CF78/CE78-1),IF(AND(CF78&lt;0,CF78&lt;CE78),-ABS(CF78/CE78-1),CF78/CE78-1)))</f>
        <v>NM</v>
      </c>
      <c r="CG153" s="756">
        <f t="shared" si="433"/>
        <v>3.1342238909418665</v>
      </c>
      <c r="CH153" s="756">
        <f t="shared" si="433"/>
        <v>-0.23597073624373976</v>
      </c>
      <c r="CI153" s="756">
        <f t="shared" si="433"/>
        <v>0.42567526030208591</v>
      </c>
      <c r="CJ153" s="756">
        <f t="shared" si="433"/>
        <v>0.67050873414879431</v>
      </c>
      <c r="CK153" s="756">
        <f t="shared" si="433"/>
        <v>0.21923589739234317</v>
      </c>
      <c r="CL153" s="756">
        <f t="shared" si="433"/>
        <v>1.2852215085659875</v>
      </c>
      <c r="CM153" s="756">
        <f t="shared" si="433"/>
        <v>-0.42924597628472494</v>
      </c>
      <c r="CN153" s="756">
        <f t="shared" si="433"/>
        <v>1.6392404727713386</v>
      </c>
      <c r="CO153" s="756">
        <f t="shared" si="433"/>
        <v>-0.46121556899161531</v>
      </c>
      <c r="CP153" s="756">
        <f t="shared" si="433"/>
        <v>1.7216528317856667</v>
      </c>
      <c r="CQ153" s="756">
        <f t="shared" si="433"/>
        <v>-1.0185128154704071E-2</v>
      </c>
      <c r="CR153" s="756">
        <f t="shared" si="433"/>
        <v>-6.914177653804221E-2</v>
      </c>
      <c r="CS153" s="756">
        <f t="shared" si="433"/>
        <v>5.1351194311337611E-3</v>
      </c>
      <c r="CT153" s="756">
        <f t="shared" si="433"/>
        <v>-0.31682792855069819</v>
      </c>
      <c r="CU153" s="756">
        <f t="shared" si="433"/>
        <v>1.140130016968552</v>
      </c>
      <c r="CV153" s="756">
        <f t="shared" si="433"/>
        <v>0.44418707782851663</v>
      </c>
      <c r="CW153" s="756">
        <f t="shared" si="433"/>
        <v>-0.23645817216925891</v>
      </c>
      <c r="CX153" s="756">
        <f t="shared" si="433"/>
        <v>0.10275575863687947</v>
      </c>
      <c r="CY153" s="756">
        <f t="shared" si="433"/>
        <v>4.1270126088974735E-2</v>
      </c>
      <c r="CZ153" s="756">
        <f t="shared" si="433"/>
        <v>6.1668800805294799E-2</v>
      </c>
      <c r="DA153" s="756">
        <f t="shared" si="433"/>
        <v>5.5828698126712872E-2</v>
      </c>
      <c r="DB153" s="756">
        <f t="shared" si="433"/>
        <v>5.3614902573793088E-2</v>
      </c>
      <c r="DC153" s="756">
        <f t="shared" si="433"/>
        <v>5.7023579988169759E-2</v>
      </c>
      <c r="DD153" s="1505"/>
      <c r="DE153" s="1551"/>
      <c r="DF153" s="141"/>
      <c r="DG153" s="215"/>
      <c r="DH153" s="141"/>
      <c r="DI153" s="141"/>
      <c r="DJ153" s="141"/>
      <c r="DK153" s="141"/>
      <c r="DL153" s="141"/>
      <c r="DM153" s="141"/>
      <c r="DN153" s="141"/>
      <c r="DO153" s="141"/>
      <c r="DP153" s="756">
        <f>IF(AND(DP78&gt;0,DO78&lt;0),"NM",IF(AND(DP78&lt;0,DP78&gt;DO78),ABS(DP78/DO78-1),IF(AND(DP78&lt;0,DP78&lt;DO78),-ABS(DP78/DO78-1),DP78/DO78-1)))</f>
        <v>0.16399610617489579</v>
      </c>
      <c r="DQ153" s="756">
        <f>IF(AND(DQ78&gt;0,DP78&lt;0),"NM",IF(AND(DQ78&lt;0,DQ78&gt;DP78),ABS(DQ78/DP78-1),IF(AND(DQ78&lt;0,DQ78&lt;DP78),-ABS(DQ78/DP78-1),DQ78/DP78-1)))</f>
        <v>-0.15871739407280261</v>
      </c>
      <c r="DR153" s="756">
        <f>IF(AND(DR78&gt;0,DQ78&lt;0),"NM",IF(AND(DR78&lt;0,DR78&gt;DQ78),ABS(DR78/DQ78-1),IF(AND(DR78&lt;0,DR78&lt;DQ78),-ABS(DR78/DQ78-1),DR78/DQ78-1)))</f>
        <v>1.7555747173669736</v>
      </c>
      <c r="DS153" s="981"/>
      <c r="DT153" s="756"/>
      <c r="DU153" s="756"/>
      <c r="DV153" s="756"/>
      <c r="DW153" s="982"/>
      <c r="DX153" s="756"/>
      <c r="DY153" s="756"/>
      <c r="DZ153" s="1676"/>
    </row>
    <row r="154" spans="1:136" ht="11.25" customHeight="1">
      <c r="A154" s="3"/>
      <c r="B154" s="207"/>
      <c r="C154" s="201" t="s">
        <v>610</v>
      </c>
      <c r="D154" s="201"/>
      <c r="E154" s="202"/>
      <c r="F154" s="979"/>
      <c r="G154" s="979"/>
      <c r="H154" s="979"/>
      <c r="I154" s="980"/>
      <c r="J154" s="978">
        <f t="shared" ref="J154:AO154" si="434">IF(AND(J85&gt;0,F85&lt;0),"NM",IF(AND(J85&lt;0,J85&gt;F85),ABS(J85/F85-1),IF(AND(J85&lt;0,J85&lt;F85),-ABS(J85/F85-1),J85/F85-1)))</f>
        <v>0.98503492745835608</v>
      </c>
      <c r="K154" s="979">
        <f t="shared" si="434"/>
        <v>4.4422128259336331</v>
      </c>
      <c r="L154" s="979">
        <f t="shared" si="434"/>
        <v>15.933186442351861</v>
      </c>
      <c r="M154" s="980" t="str">
        <f t="shared" si="434"/>
        <v>NM</v>
      </c>
      <c r="N154" s="978" t="str">
        <f t="shared" si="434"/>
        <v>NM</v>
      </c>
      <c r="O154" s="979">
        <f t="shared" si="434"/>
        <v>3.7289350528821599</v>
      </c>
      <c r="P154" s="979">
        <f t="shared" si="434"/>
        <v>2.1037825398865029</v>
      </c>
      <c r="Q154" s="980">
        <f t="shared" si="434"/>
        <v>1.7808098233300589</v>
      </c>
      <c r="R154" s="978">
        <f t="shared" si="434"/>
        <v>-0.77380956999010886</v>
      </c>
      <c r="S154" s="979">
        <f t="shared" si="434"/>
        <v>-5.8029773132843743E-2</v>
      </c>
      <c r="T154" s="979">
        <f t="shared" si="434"/>
        <v>-0.12129122656846991</v>
      </c>
      <c r="U154" s="980">
        <f t="shared" si="434"/>
        <v>-0.34325964305596002</v>
      </c>
      <c r="V154" s="978">
        <f t="shared" si="434"/>
        <v>5.0498915647601343</v>
      </c>
      <c r="W154" s="979">
        <f t="shared" si="434"/>
        <v>-0.18568196093065592</v>
      </c>
      <c r="X154" s="979">
        <f t="shared" si="434"/>
        <v>0.47826463101099059</v>
      </c>
      <c r="Y154" s="980">
        <f t="shared" si="434"/>
        <v>1.0292798047002356</v>
      </c>
      <c r="Z154" s="978">
        <f t="shared" si="434"/>
        <v>1.2633208046517157</v>
      </c>
      <c r="AA154" s="979">
        <f t="shared" si="434"/>
        <v>0.86108478986412584</v>
      </c>
      <c r="AB154" s="979">
        <f t="shared" si="434"/>
        <v>0.45305743638929385</v>
      </c>
      <c r="AC154" s="980">
        <f t="shared" si="434"/>
        <v>0.41376385096911461</v>
      </c>
      <c r="AD154" s="978">
        <f t="shared" si="434"/>
        <v>0.49696831044082446</v>
      </c>
      <c r="AE154" s="979">
        <f t="shared" si="434"/>
        <v>0.26568782048538186</v>
      </c>
      <c r="AF154" s="979">
        <f t="shared" si="434"/>
        <v>0.19597351375934902</v>
      </c>
      <c r="AG154" s="979">
        <f t="shared" si="434"/>
        <v>3.4354147481453934E-2</v>
      </c>
      <c r="AH154" s="978">
        <f t="shared" si="434"/>
        <v>0.72475993090824353</v>
      </c>
      <c r="AI154" s="979">
        <f t="shared" si="434"/>
        <v>1.3134317033716258</v>
      </c>
      <c r="AJ154" s="979">
        <f t="shared" si="434"/>
        <v>1.2726762316594447</v>
      </c>
      <c r="AK154" s="980">
        <f t="shared" si="434"/>
        <v>1.5964263057945978</v>
      </c>
      <c r="AL154" s="978">
        <f t="shared" si="434"/>
        <v>0.18768266782934862</v>
      </c>
      <c r="AM154" s="979">
        <f t="shared" si="434"/>
        <v>-0.69935591095362093</v>
      </c>
      <c r="AN154" s="979">
        <f t="shared" si="434"/>
        <v>-0.75718760497340154</v>
      </c>
      <c r="AO154" s="980">
        <f t="shared" si="434"/>
        <v>-0.24062599301753829</v>
      </c>
      <c r="AP154" s="978">
        <f t="shared" ref="AP154:BU154" si="435">IF(AND(AP85&gt;0,AL85&lt;0),"NM",IF(AND(AP85&lt;0,AP85&gt;AL85),ABS(AP85/AL85-1),IF(AND(AP85&lt;0,AP85&lt;AL85),-ABS(AP85/AL85-1),AP85/AL85-1)))</f>
        <v>0.36949229503942527</v>
      </c>
      <c r="AQ154" s="979">
        <f t="shared" si="435"/>
        <v>3.6840694008838275</v>
      </c>
      <c r="AR154" s="979">
        <f t="shared" si="435"/>
        <v>4.9040713273246457</v>
      </c>
      <c r="AS154" s="980">
        <f t="shared" si="435"/>
        <v>0.69623624049643573</v>
      </c>
      <c r="AT154" s="978">
        <f t="shared" si="435"/>
        <v>-0.28370945926207025</v>
      </c>
      <c r="AU154" s="979">
        <f t="shared" si="435"/>
        <v>-0.47531718788059263</v>
      </c>
      <c r="AV154" s="979">
        <f t="shared" si="435"/>
        <v>-0.61068403057154286</v>
      </c>
      <c r="AW154" s="980">
        <f t="shared" si="435"/>
        <v>-0.33854029904744687</v>
      </c>
      <c r="AX154" s="978">
        <f t="shared" si="435"/>
        <v>0.25831251855352066</v>
      </c>
      <c r="AY154" s="979">
        <f t="shared" si="435"/>
        <v>0.58868351585923673</v>
      </c>
      <c r="AZ154" s="979">
        <f t="shared" si="435"/>
        <v>2.9676999362170577</v>
      </c>
      <c r="BA154" s="980">
        <f t="shared" si="435"/>
        <v>3.4880996138686804</v>
      </c>
      <c r="BB154" s="978">
        <f t="shared" si="435"/>
        <v>1.280418838074342</v>
      </c>
      <c r="BC154" s="979">
        <f t="shared" si="435"/>
        <v>0.43160165778466575</v>
      </c>
      <c r="BD154" s="979">
        <f t="shared" si="435"/>
        <v>-0.17031126718794642</v>
      </c>
      <c r="BE154" s="980">
        <f t="shared" si="435"/>
        <v>-0.45277165377184336</v>
      </c>
      <c r="BF154" s="979">
        <f t="shared" si="435"/>
        <v>-0.13441623168883643</v>
      </c>
      <c r="BG154" s="979">
        <f t="shared" si="435"/>
        <v>3.6581812299059546E-2</v>
      </c>
      <c r="BH154" s="979">
        <f t="shared" si="435"/>
        <v>-8.508915362454339E-2</v>
      </c>
      <c r="BI154" s="980">
        <f t="shared" si="435"/>
        <v>-6.6901629794777207E-2</v>
      </c>
      <c r="BJ154" s="979">
        <f t="shared" si="435"/>
        <v>6.832490971077454E-2</v>
      </c>
      <c r="BK154" s="979">
        <f t="shared" si="435"/>
        <v>0.11108938295375892</v>
      </c>
      <c r="BL154" s="979">
        <f t="shared" si="435"/>
        <v>1.8893295433273227E-3</v>
      </c>
      <c r="BM154" s="980">
        <f t="shared" si="435"/>
        <v>-0.11975365475736033</v>
      </c>
      <c r="BN154" s="978">
        <f t="shared" si="435"/>
        <v>-0.24940002986194321</v>
      </c>
      <c r="BO154" s="979">
        <f t="shared" si="435"/>
        <v>-0.3176345057742036</v>
      </c>
      <c r="BP154" s="979">
        <f t="shared" si="435"/>
        <v>-0.32626312391695855</v>
      </c>
      <c r="BQ154" s="980">
        <f t="shared" si="435"/>
        <v>-0.31443368007500305</v>
      </c>
      <c r="BR154" s="979">
        <f t="shared" si="435"/>
        <v>8.5708047789435637E-2</v>
      </c>
      <c r="BS154" s="979">
        <f t="shared" si="435"/>
        <v>0.6736906717921689</v>
      </c>
      <c r="BT154" s="979">
        <f t="shared" si="435"/>
        <v>1.2570636071361037</v>
      </c>
      <c r="BU154" s="980">
        <f t="shared" si="435"/>
        <v>2.2786700405611571</v>
      </c>
      <c r="BV154" s="979">
        <f t="shared" ref="BV154:CC154" si="436">IF(AND(BV85&gt;0,BR85&lt;0),"NM",IF(AND(BV85&lt;0,BV85&gt;BR85),ABS(BV85/BR85-1),IF(AND(BV85&lt;0,BV85&lt;BR85),-ABS(BV85/BR85-1),BV85/BR85-1)))</f>
        <v>1.4329134231247034</v>
      </c>
      <c r="BW154" s="979">
        <f t="shared" si="436"/>
        <v>0.79055290559573765</v>
      </c>
      <c r="BX154" s="979">
        <f t="shared" si="436"/>
        <v>0.40046847872153202</v>
      </c>
      <c r="BY154" s="980">
        <f t="shared" si="436"/>
        <v>2.265001886764173E-2</v>
      </c>
      <c r="BZ154" s="979">
        <f t="shared" si="436"/>
        <v>-0.12092729248897416</v>
      </c>
      <c r="CA154" s="979">
        <f t="shared" si="436"/>
        <v>-0.27436976881860153</v>
      </c>
      <c r="CB154" s="979">
        <f t="shared" si="436"/>
        <v>-0.28982418317938718</v>
      </c>
      <c r="CC154" s="980">
        <f t="shared" si="436"/>
        <v>-0.26319254951582205</v>
      </c>
      <c r="CD154" s="22"/>
      <c r="CE154" s="978"/>
      <c r="CF154" s="979" t="str">
        <f t="shared" ref="CF154:DC154" si="437">IF(AND(CF85&gt;0,CE85&lt;0),"NM",IF(AND(CF85&lt;0,CF85&gt;CE85),ABS(CF85/CE85-1),IF(AND(CF85&lt;0,CF85&lt;CE85),-ABS(CF85/CE85-1),CF85/CE85-1)))</f>
        <v>NM</v>
      </c>
      <c r="CG154" s="979">
        <f t="shared" si="437"/>
        <v>3.0041870448588304</v>
      </c>
      <c r="CH154" s="979">
        <f t="shared" si="437"/>
        <v>-0.22332956738654519</v>
      </c>
      <c r="CI154" s="979">
        <f t="shared" si="437"/>
        <v>0.43598569047175628</v>
      </c>
      <c r="CJ154" s="979">
        <f t="shared" si="437"/>
        <v>0.66076144838867878</v>
      </c>
      <c r="CK154" s="979">
        <f t="shared" si="437"/>
        <v>0.23547339373400344</v>
      </c>
      <c r="CL154" s="979">
        <f t="shared" si="437"/>
        <v>1.2219431243903465</v>
      </c>
      <c r="CM154" s="979">
        <f t="shared" si="437"/>
        <v>-0.45099627392227681</v>
      </c>
      <c r="CN154" s="979">
        <f t="shared" si="437"/>
        <v>1.5990213401265154</v>
      </c>
      <c r="CO154" s="979">
        <f t="shared" si="437"/>
        <v>-0.44610955597269231</v>
      </c>
      <c r="CP154" s="979">
        <f t="shared" si="437"/>
        <v>1.6951464386915629</v>
      </c>
      <c r="CQ154" s="979">
        <f t="shared" si="437"/>
        <v>-5.7685044265756158E-3</v>
      </c>
      <c r="CR154" s="979">
        <f t="shared" si="437"/>
        <v>-6.5160598852145535E-2</v>
      </c>
      <c r="CS154" s="979">
        <f t="shared" si="437"/>
        <v>2.1295145930664727E-2</v>
      </c>
      <c r="CT154" s="979">
        <f t="shared" si="437"/>
        <v>-0.30032753754225272</v>
      </c>
      <c r="CU154" s="979">
        <f t="shared" si="437"/>
        <v>0.94056560185953275</v>
      </c>
      <c r="CV154" s="979">
        <f t="shared" si="437"/>
        <v>0.5447709142291457</v>
      </c>
      <c r="CW154" s="979">
        <f t="shared" si="437"/>
        <v>-0.23589154987176253</v>
      </c>
      <c r="CX154" s="979">
        <f t="shared" si="437"/>
        <v>0.10275575863687947</v>
      </c>
      <c r="CY154" s="979">
        <f t="shared" si="437"/>
        <v>4.1270126088974957E-2</v>
      </c>
      <c r="CZ154" s="979">
        <f t="shared" si="437"/>
        <v>6.1668800805294799E-2</v>
      </c>
      <c r="DA154" s="979">
        <f t="shared" si="437"/>
        <v>5.5511410730599842E-3</v>
      </c>
      <c r="DB154" s="979">
        <f t="shared" si="437"/>
        <v>5.3614902573793088E-2</v>
      </c>
      <c r="DC154" s="979">
        <f t="shared" si="437"/>
        <v>5.7023579988169759E-2</v>
      </c>
      <c r="DD154" s="1517"/>
      <c r="DE154" s="1483"/>
      <c r="DF154" s="24"/>
      <c r="DG154" s="23"/>
      <c r="DH154" s="24"/>
      <c r="DI154" s="24"/>
      <c r="DJ154" s="24"/>
      <c r="DK154" s="24"/>
      <c r="DL154" s="141"/>
      <c r="DM154" s="24"/>
      <c r="DN154" s="24"/>
      <c r="DO154" s="24"/>
      <c r="DP154" s="979">
        <f>IF(AND(DP85&gt;0,DO85&lt;0),"NM",IF(AND(DP85&lt;0,DP85&gt;DO85),ABS(DP85/DO85-1),IF(AND(DP85&lt;0,DP85&lt;DO85),-ABS(DP85/DO85-1),DP85/DO85-1)))</f>
        <v>0.17416275192276731</v>
      </c>
      <c r="DQ154" s="979">
        <f>IF(AND(DQ85&gt;0,DP85&lt;0),"NM",IF(AND(DQ85&lt;0,DQ85&gt;DP85),ABS(DQ85/DP85-1),IF(AND(DQ85&lt;0,DQ85&lt;DP85),-ABS(DQ85/DP85-1),DQ85/DP85-1)))</f>
        <v>-0.1401558029436103</v>
      </c>
      <c r="DR154" s="979">
        <f>IF(AND(DR85&gt;0,DQ85&lt;0),"NM",IF(AND(DR85&lt;0,DR85&gt;DQ85),ABS(DR85/DQ85-1),IF(AND(DR85&lt;0,DR85&lt;DQ85),-ABS(DR85/DQ85-1),DR85/DQ85-1)))</f>
        <v>1.680850655583213</v>
      </c>
      <c r="DS154" s="978"/>
      <c r="DT154" s="979"/>
      <c r="DU154" s="979"/>
      <c r="DV154" s="979"/>
      <c r="DW154" s="980"/>
      <c r="DX154" s="979"/>
      <c r="DY154" s="979"/>
      <c r="DZ154" s="1561"/>
    </row>
    <row r="155" spans="1:136" ht="11.25" customHeight="1">
      <c r="A155" s="3"/>
      <c r="B155" s="207"/>
      <c r="C155" s="201" t="s">
        <v>898</v>
      </c>
      <c r="D155" s="201"/>
      <c r="E155" s="202"/>
      <c r="F155" s="979"/>
      <c r="G155" s="979"/>
      <c r="H155" s="979"/>
      <c r="I155" s="980"/>
      <c r="J155" s="978">
        <f t="shared" ref="J155:AO155" si="438">IF(AND(J114&gt;0,F114&lt;0),"NM",IF(AND(J114&lt;0,J114&gt;F114),ABS(J114/F114-1),IF(AND(J114&lt;0,J114&lt;F114),-ABS(J114/F114-1),J114/F114-1)))</f>
        <v>0.98812929408012895</v>
      </c>
      <c r="K155" s="979">
        <f t="shared" si="438"/>
        <v>3.8614514908319917</v>
      </c>
      <c r="L155" s="979">
        <f t="shared" si="438"/>
        <v>14.162908469751974</v>
      </c>
      <c r="M155" s="980" t="str">
        <f t="shared" si="438"/>
        <v>NM</v>
      </c>
      <c r="N155" s="978" t="str">
        <f t="shared" si="438"/>
        <v>NM</v>
      </c>
      <c r="O155" s="979">
        <f t="shared" si="438"/>
        <v>3.4393696475825406</v>
      </c>
      <c r="P155" s="979">
        <f t="shared" si="438"/>
        <v>1.9637922709902913</v>
      </c>
      <c r="Q155" s="980">
        <f t="shared" si="438"/>
        <v>1.5772513636613659</v>
      </c>
      <c r="R155" s="978">
        <f t="shared" si="438"/>
        <v>-0.79379583600816672</v>
      </c>
      <c r="S155" s="979">
        <f t="shared" si="438"/>
        <v>-0.1175870187296717</v>
      </c>
      <c r="T155" s="979">
        <f t="shared" si="438"/>
        <v>-0.16078666090900628</v>
      </c>
      <c r="U155" s="980">
        <f t="shared" si="438"/>
        <v>-0.34987275941126639</v>
      </c>
      <c r="V155" s="978">
        <f t="shared" si="438"/>
        <v>5.143798630440795</v>
      </c>
      <c r="W155" s="979">
        <f t="shared" si="438"/>
        <v>-0.16928885433890428</v>
      </c>
      <c r="X155" s="979">
        <f t="shared" si="438"/>
        <v>0.47015343961998401</v>
      </c>
      <c r="Y155" s="980">
        <f t="shared" si="438"/>
        <v>0.96455434821608588</v>
      </c>
      <c r="Z155" s="978">
        <f t="shared" si="438"/>
        <v>1.1763093761599039</v>
      </c>
      <c r="AA155" s="979">
        <f t="shared" si="438"/>
        <v>0.79470749939041663</v>
      </c>
      <c r="AB155" s="979">
        <f t="shared" si="438"/>
        <v>0.40116252794681895</v>
      </c>
      <c r="AC155" s="980">
        <f t="shared" si="438"/>
        <v>0.39806234218447312</v>
      </c>
      <c r="AD155" s="978">
        <f t="shared" si="438"/>
        <v>0.47102085972651664</v>
      </c>
      <c r="AE155" s="979">
        <f t="shared" si="438"/>
        <v>0.24048607184739867</v>
      </c>
      <c r="AF155" s="979">
        <f t="shared" si="438"/>
        <v>0.20020704832132896</v>
      </c>
      <c r="AG155" s="979">
        <f t="shared" si="438"/>
        <v>3.4813860435890298E-2</v>
      </c>
      <c r="AH155" s="978">
        <f t="shared" si="438"/>
        <v>0.73245975202836977</v>
      </c>
      <c r="AI155" s="979">
        <f t="shared" si="438"/>
        <v>1.3134317033716254</v>
      </c>
      <c r="AJ155" s="979">
        <f t="shared" si="438"/>
        <v>1.2626644420926625</v>
      </c>
      <c r="AK155" s="980">
        <f t="shared" si="438"/>
        <v>1.5735503031003724</v>
      </c>
      <c r="AL155" s="978">
        <f t="shared" si="438"/>
        <v>0.17717220174236314</v>
      </c>
      <c r="AM155" s="979">
        <f t="shared" si="438"/>
        <v>-0.69667158872999257</v>
      </c>
      <c r="AN155" s="979">
        <f t="shared" si="438"/>
        <v>-0.75611321384496533</v>
      </c>
      <c r="AO155" s="980">
        <f t="shared" si="438"/>
        <v>-0.2406259930175384</v>
      </c>
      <c r="AP155" s="978">
        <f t="shared" ref="AP155:BU155" si="439">IF(AND(AP114&gt;0,AL114&lt;0),"NM",IF(AND(AP114&lt;0,AP114&gt;AL114),ABS(AP114/AL114-1),IF(AND(AP114&lt;0,AP114&lt;AL114),-ABS(AP114/AL114-1),AP114/AL114-1)))</f>
        <v>0.34567503773439201</v>
      </c>
      <c r="AQ155" s="979">
        <f t="shared" si="439"/>
        <v>3.5225497663705925</v>
      </c>
      <c r="AR155" s="979">
        <f t="shared" si="439"/>
        <v>4.7022227349374779</v>
      </c>
      <c r="AS155" s="980">
        <f t="shared" si="439"/>
        <v>0.63849202805400385</v>
      </c>
      <c r="AT155" s="978">
        <f t="shared" si="439"/>
        <v>-0.29595374200972724</v>
      </c>
      <c r="AU155" s="979">
        <f t="shared" si="439"/>
        <v>-0.48201526633318081</v>
      </c>
      <c r="AV155" s="979">
        <f t="shared" si="439"/>
        <v>-0.6139833184480552</v>
      </c>
      <c r="AW155" s="980">
        <f t="shared" si="439"/>
        <v>-0.34412223745210968</v>
      </c>
      <c r="AX155" s="978">
        <f t="shared" si="439"/>
        <v>0.24238451198955202</v>
      </c>
      <c r="AY155" s="979">
        <f t="shared" si="439"/>
        <v>0.57527690391105746</v>
      </c>
      <c r="AZ155" s="979">
        <f t="shared" si="439"/>
        <v>2.8064113209236816</v>
      </c>
      <c r="BA155" s="980">
        <f t="shared" si="439"/>
        <v>3.0910754172572199</v>
      </c>
      <c r="BB155" s="978">
        <f t="shared" si="439"/>
        <v>1.1446796215222981</v>
      </c>
      <c r="BC155" s="979">
        <f t="shared" si="439"/>
        <v>0.37922598737790958</v>
      </c>
      <c r="BD155" s="979">
        <f t="shared" si="439"/>
        <v>-0.16692478256422372</v>
      </c>
      <c r="BE155" s="980">
        <f t="shared" si="439"/>
        <v>-0.41448818922090225</v>
      </c>
      <c r="BF155" s="979">
        <f t="shared" si="439"/>
        <v>-9.8648307378457867E-2</v>
      </c>
      <c r="BG155" s="979">
        <f t="shared" si="439"/>
        <v>4.9379118623739338E-2</v>
      </c>
      <c r="BH155" s="979">
        <f t="shared" si="439"/>
        <v>-7.3747283628153415E-2</v>
      </c>
      <c r="BI155" s="980">
        <f t="shared" si="439"/>
        <v>-5.9158074855314879E-2</v>
      </c>
      <c r="BJ155" s="979">
        <f t="shared" si="439"/>
        <v>7.7227617291697692E-2</v>
      </c>
      <c r="BK155" s="979">
        <f t="shared" si="439"/>
        <v>0.13443159688135897</v>
      </c>
      <c r="BL155" s="979">
        <f t="shared" si="439"/>
        <v>2.7361092158835643E-2</v>
      </c>
      <c r="BM155" s="980">
        <f t="shared" si="439"/>
        <v>-9.7279279985207801E-2</v>
      </c>
      <c r="BN155" s="978">
        <f t="shared" si="439"/>
        <v>-0.23015387678148025</v>
      </c>
      <c r="BO155" s="979">
        <f t="shared" si="439"/>
        <v>-0.30597013835154041</v>
      </c>
      <c r="BP155" s="979">
        <f t="shared" si="439"/>
        <v>-0.32050468907864182</v>
      </c>
      <c r="BQ155" s="980">
        <f t="shared" si="439"/>
        <v>-0.38742172934458452</v>
      </c>
      <c r="BR155" s="979">
        <f t="shared" si="439"/>
        <v>-0.12394592005955862</v>
      </c>
      <c r="BS155" s="979">
        <f t="shared" si="439"/>
        <v>0.33212114693662431</v>
      </c>
      <c r="BT155" s="979">
        <f t="shared" si="439"/>
        <v>0.76639760558477676</v>
      </c>
      <c r="BU155" s="980">
        <f t="shared" si="439"/>
        <v>1.8647515636796821</v>
      </c>
      <c r="BV155" s="979">
        <f t="shared" ref="BV155:CC155" si="440">IF(AND(BV114&gt;0,BR114&lt;0),"NM",IF(AND(BV114&lt;0,BV114&gt;BR114),ABS(BV114/BR114-1),IF(AND(BV114&lt;0,BV114&lt;BR114),-ABS(BV114/BR114-1),BV114/BR114-1)))</f>
        <v>1.3057022637456335</v>
      </c>
      <c r="BW155" s="979">
        <f t="shared" si="440"/>
        <v>0.72033514459198322</v>
      </c>
      <c r="BX155" s="979">
        <f t="shared" si="440"/>
        <v>0.35832931785663202</v>
      </c>
      <c r="BY155" s="980">
        <f t="shared" si="440"/>
        <v>9.7517695663529302E-4</v>
      </c>
      <c r="BZ155" s="979">
        <f t="shared" si="440"/>
        <v>-0.12964374757751673</v>
      </c>
      <c r="CA155" s="979">
        <f t="shared" si="440"/>
        <v>-0.28461351576612792</v>
      </c>
      <c r="CB155" s="979">
        <f t="shared" si="440"/>
        <v>-0.298814317908628</v>
      </c>
      <c r="CC155" s="980">
        <f t="shared" si="440"/>
        <v>-0.27982629947268134</v>
      </c>
      <c r="CD155" s="22"/>
      <c r="CE155" s="978"/>
      <c r="CF155" s="979" t="str">
        <f t="shared" ref="CF155:DC155" si="441">IF(AND(CF114&gt;0,CE114&lt;0),"NM",IF(AND(CF114&lt;0,CF114&gt;CE114),ABS(CF114/CE114-1),IF(AND(CF114&lt;0,CF114&lt;CE114),-ABS(CF114/CE114-1),CF114/CE114-1)))</f>
        <v>NM</v>
      </c>
      <c r="CG155" s="979">
        <f t="shared" si="441"/>
        <v>2.7744188033358368</v>
      </c>
      <c r="CH155" s="979">
        <f t="shared" si="441"/>
        <v>-0.26347127871682074</v>
      </c>
      <c r="CI155" s="979">
        <f t="shared" si="441"/>
        <v>0.43400045679829291</v>
      </c>
      <c r="CJ155" s="979">
        <f t="shared" si="441"/>
        <v>0.60886265312653287</v>
      </c>
      <c r="CK155" s="979">
        <f t="shared" si="441"/>
        <v>0.22454000086910075</v>
      </c>
      <c r="CL155" s="979">
        <f t="shared" si="441"/>
        <v>1.2219431243903465</v>
      </c>
      <c r="CM155" s="979">
        <f t="shared" si="441"/>
        <v>-0.45099627392227681</v>
      </c>
      <c r="CN155" s="979">
        <f t="shared" si="441"/>
        <v>1.5209391539424564</v>
      </c>
      <c r="CO155" s="979">
        <f t="shared" si="441"/>
        <v>-0.45082351719845659</v>
      </c>
      <c r="CP155" s="979">
        <f t="shared" si="441"/>
        <v>1.5851404616021112</v>
      </c>
      <c r="CQ155" s="979">
        <f t="shared" si="441"/>
        <v>-9.8100958719961051E-3</v>
      </c>
      <c r="CR155" s="979">
        <f t="shared" si="441"/>
        <v>-4.9708707924081774E-2</v>
      </c>
      <c r="CS155" s="979">
        <f t="shared" si="441"/>
        <v>4.2841457026248309E-2</v>
      </c>
      <c r="CT155" s="979">
        <f t="shared" si="441"/>
        <v>-0.30513587997617309</v>
      </c>
      <c r="CU155" s="979">
        <f t="shared" si="441"/>
        <v>0.56451545685053706</v>
      </c>
      <c r="CV155" s="979">
        <f t="shared" si="441"/>
        <v>0.4909404675567044</v>
      </c>
      <c r="CW155" s="979">
        <f t="shared" si="441"/>
        <v>-0.25134456190675891</v>
      </c>
      <c r="CX155" s="979">
        <f t="shared" si="441"/>
        <v>7.555008435410171E-2</v>
      </c>
      <c r="CY155" s="979">
        <f t="shared" si="441"/>
        <v>1.3994975228460493E-2</v>
      </c>
      <c r="CZ155" s="979">
        <f t="shared" si="441"/>
        <v>3.3002659782324306E-2</v>
      </c>
      <c r="DA155" s="979">
        <f t="shared" si="441"/>
        <v>-1.8776634223627298E-2</v>
      </c>
      <c r="DB155" s="979">
        <f t="shared" si="441"/>
        <v>2.7875605647999402E-2</v>
      </c>
      <c r="DC155" s="979">
        <f t="shared" si="441"/>
        <v>3.1651464132202101E-2</v>
      </c>
      <c r="DD155" s="1517"/>
      <c r="DE155" s="1483"/>
      <c r="DF155" s="24"/>
      <c r="DG155" s="23"/>
      <c r="DH155" s="24"/>
      <c r="DI155" s="24"/>
      <c r="DJ155" s="24"/>
      <c r="DK155" s="24"/>
      <c r="DL155" s="141"/>
      <c r="DM155" s="24"/>
      <c r="DN155" s="24"/>
      <c r="DO155" s="24"/>
      <c r="DP155" s="979">
        <f>IF(AND(DP114&gt;0,DO114&lt;0),"NM",IF(AND(DP114&lt;0,DP114&gt;DO114),ABS(DP114/DO114-1),IF(AND(DP114&lt;0,DP114&lt;DO114),-ABS(DP114/DO114-1),DP114/DO114-1)))</f>
        <v>0.15208795574909439</v>
      </c>
      <c r="DQ155" s="979">
        <f>IF(AND(DQ114&gt;0,DP114&lt;0),"NM",IF(AND(DQ114&lt;0,DQ114&gt;DP114),ABS(DQ114/DP114-1),IF(AND(DQ114&lt;0,DQ114&lt;DP114),-ABS(DQ114/DP114-1),DQ114/DP114-1)))</f>
        <v>-0.14879174548269292</v>
      </c>
      <c r="DR155" s="979">
        <f>IF(AND(DR114&gt;0,DQ114&lt;0),"NM",IF(AND(DR114&lt;0,DR114&gt;DQ114),ABS(DR114/DQ114-1),IF(AND(DR114&lt;0,DR114&lt;DQ114),-ABS(DR114/DQ114-1),DR114/DQ114-1)))</f>
        <v>1.5203149828411675</v>
      </c>
      <c r="DS155" s="978"/>
      <c r="DT155" s="979"/>
      <c r="DU155" s="979"/>
      <c r="DV155" s="979"/>
      <c r="DW155" s="980"/>
      <c r="DX155" s="979"/>
      <c r="DY155" s="979"/>
      <c r="DZ155" s="1561"/>
    </row>
    <row r="156" spans="1:136" ht="11.25" customHeight="1">
      <c r="A156" s="3"/>
      <c r="B156" s="207"/>
      <c r="C156" s="201"/>
      <c r="D156" s="201"/>
      <c r="E156" s="202"/>
      <c r="F156" s="201"/>
      <c r="G156" s="201"/>
      <c r="H156" s="201"/>
      <c r="I156" s="202"/>
      <c r="J156" s="207"/>
      <c r="K156" s="201"/>
      <c r="L156" s="201"/>
      <c r="M156" s="202"/>
      <c r="N156" s="207"/>
      <c r="O156" s="201"/>
      <c r="P156" s="201"/>
      <c r="Q156" s="202"/>
      <c r="R156" s="207"/>
      <c r="S156" s="201"/>
      <c r="T156" s="201"/>
      <c r="U156" s="202"/>
      <c r="V156" s="207"/>
      <c r="W156" s="201"/>
      <c r="X156" s="201"/>
      <c r="Y156" s="202"/>
      <c r="Z156" s="207"/>
      <c r="AA156" s="201"/>
      <c r="AB156" s="201"/>
      <c r="AC156" s="202"/>
      <c r="AD156" s="207"/>
      <c r="AE156" s="201"/>
      <c r="AF156" s="201"/>
      <c r="AG156" s="201"/>
      <c r="AH156" s="207"/>
      <c r="AI156" s="201"/>
      <c r="AJ156" s="201"/>
      <c r="AK156" s="202"/>
      <c r="AL156" s="207"/>
      <c r="AM156" s="201"/>
      <c r="AN156" s="201"/>
      <c r="AO156" s="202"/>
      <c r="AP156" s="207"/>
      <c r="AQ156" s="201"/>
      <c r="AR156" s="201"/>
      <c r="AS156" s="202"/>
      <c r="AT156" s="207"/>
      <c r="AU156" s="201"/>
      <c r="AV156" s="201"/>
      <c r="AW156" s="202"/>
      <c r="AX156" s="207"/>
      <c r="AY156" s="201"/>
      <c r="AZ156" s="201"/>
      <c r="BA156" s="202"/>
      <c r="BB156" s="207"/>
      <c r="BC156" s="201"/>
      <c r="BD156" s="201"/>
      <c r="BE156" s="202"/>
      <c r="BF156" s="201"/>
      <c r="BG156" s="201"/>
      <c r="BH156" s="201"/>
      <c r="BI156" s="202"/>
      <c r="BJ156" s="201"/>
      <c r="BK156" s="201"/>
      <c r="BL156" s="201"/>
      <c r="BM156" s="202"/>
      <c r="BN156" s="207"/>
      <c r="BO156" s="201"/>
      <c r="BP156" s="201"/>
      <c r="BQ156" s="202"/>
      <c r="BR156" s="201"/>
      <c r="BS156" s="201"/>
      <c r="BT156" s="201"/>
      <c r="BU156" s="202"/>
      <c r="BV156" s="201"/>
      <c r="BW156" s="201"/>
      <c r="BX156" s="201"/>
      <c r="BY156" s="202"/>
      <c r="BZ156" s="201"/>
      <c r="CA156" s="201"/>
      <c r="CB156" s="201"/>
      <c r="CC156" s="202"/>
      <c r="CD156" s="9"/>
      <c r="CE156" s="201"/>
      <c r="CF156" s="201"/>
      <c r="CG156" s="201"/>
      <c r="CH156" s="201"/>
      <c r="CI156" s="201"/>
      <c r="CJ156" s="201"/>
      <c r="CK156" s="201"/>
      <c r="CL156" s="201"/>
      <c r="CM156" s="201"/>
      <c r="CN156" s="201"/>
      <c r="CO156" s="761"/>
      <c r="CP156" s="761"/>
      <c r="CQ156" s="761"/>
      <c r="CR156" s="761"/>
      <c r="CS156" s="201"/>
      <c r="CT156" s="201"/>
      <c r="CU156" s="201"/>
      <c r="CV156" s="201"/>
      <c r="CW156" s="201"/>
      <c r="CX156" s="201"/>
      <c r="CY156" s="201"/>
      <c r="CZ156" s="201"/>
      <c r="DA156" s="201"/>
      <c r="DB156" s="201"/>
      <c r="DC156" s="201"/>
      <c r="DD156" s="1517"/>
      <c r="DE156" s="1483"/>
      <c r="DF156" s="24"/>
      <c r="DG156" s="23"/>
      <c r="DH156" s="24"/>
      <c r="DI156" s="24"/>
      <c r="DJ156" s="24"/>
      <c r="DK156" s="24"/>
      <c r="DL156" s="141"/>
      <c r="DM156" s="24"/>
      <c r="DN156" s="24"/>
      <c r="DO156" s="24"/>
      <c r="DP156" s="24"/>
      <c r="DQ156" s="24"/>
      <c r="DR156" s="24"/>
      <c r="DS156" s="23"/>
      <c r="DT156" s="24"/>
      <c r="DU156" s="24"/>
      <c r="DV156" s="24"/>
      <c r="DW156" s="25"/>
      <c r="DX156" s="24"/>
      <c r="DY156" s="24"/>
      <c r="DZ156" s="1561"/>
    </row>
    <row r="157" spans="1:136" ht="11.25" customHeight="1">
      <c r="A157" s="3"/>
      <c r="B157" s="209" t="s">
        <v>312</v>
      </c>
      <c r="C157" s="188"/>
      <c r="D157" s="188"/>
      <c r="E157" s="198"/>
      <c r="F157" s="188"/>
      <c r="G157" s="188"/>
      <c r="H157" s="188"/>
      <c r="I157" s="198"/>
      <c r="J157" s="209"/>
      <c r="K157" s="188"/>
      <c r="L157" s="188"/>
      <c r="M157" s="198"/>
      <c r="N157" s="209"/>
      <c r="O157" s="188"/>
      <c r="P157" s="188"/>
      <c r="Q157" s="198"/>
      <c r="R157" s="209"/>
      <c r="S157" s="188"/>
      <c r="T157" s="188"/>
      <c r="U157" s="198"/>
      <c r="V157" s="209"/>
      <c r="W157" s="188"/>
      <c r="X157" s="188"/>
      <c r="Y157" s="198"/>
      <c r="Z157" s="209"/>
      <c r="AA157" s="188"/>
      <c r="AB157" s="188"/>
      <c r="AC157" s="198"/>
      <c r="AD157" s="983"/>
      <c r="AE157" s="984"/>
      <c r="AF157" s="984"/>
      <c r="AG157" s="984"/>
      <c r="AH157" s="983"/>
      <c r="AI157" s="984"/>
      <c r="AJ157" s="984"/>
      <c r="AK157" s="744"/>
      <c r="AL157" s="983"/>
      <c r="AM157" s="984"/>
      <c r="AN157" s="984"/>
      <c r="AO157" s="744"/>
      <c r="AP157" s="983"/>
      <c r="AQ157" s="984"/>
      <c r="AR157" s="984"/>
      <c r="AS157" s="744"/>
      <c r="AT157" s="983"/>
      <c r="AU157" s="984"/>
      <c r="AV157" s="984"/>
      <c r="AW157" s="744"/>
      <c r="AX157" s="983"/>
      <c r="AY157" s="984"/>
      <c r="AZ157" s="984"/>
      <c r="BA157" s="744"/>
      <c r="BB157" s="983"/>
      <c r="BC157" s="984"/>
      <c r="BD157" s="984"/>
      <c r="BE157" s="744"/>
      <c r="BF157" s="984"/>
      <c r="BG157" s="984"/>
      <c r="BH157" s="984"/>
      <c r="BI157" s="744"/>
      <c r="BJ157" s="984"/>
      <c r="BK157" s="984"/>
      <c r="BL157" s="984"/>
      <c r="BM157" s="744"/>
      <c r="BN157" s="983"/>
      <c r="BO157" s="1539"/>
      <c r="BP157" s="1539"/>
      <c r="BQ157" s="1540"/>
      <c r="BR157" s="1539"/>
      <c r="BS157" s="1539"/>
      <c r="BT157" s="1539"/>
      <c r="BU157" s="1540"/>
      <c r="BV157" s="1539"/>
      <c r="BW157" s="1539"/>
      <c r="BX157" s="1539"/>
      <c r="BY157" s="1540"/>
      <c r="BZ157" s="1539"/>
      <c r="CA157" s="1539"/>
      <c r="CB157" s="1539"/>
      <c r="CC157" s="1540"/>
      <c r="CD157" s="22"/>
      <c r="CE157" s="984"/>
      <c r="CF157" s="984"/>
      <c r="CG157" s="984"/>
      <c r="CH157" s="984"/>
      <c r="CI157" s="984"/>
      <c r="CJ157" s="984"/>
      <c r="CK157" s="984"/>
      <c r="CL157" s="984"/>
      <c r="CM157" s="984"/>
      <c r="CN157" s="984"/>
      <c r="CO157" s="188"/>
      <c r="CP157" s="188"/>
      <c r="CQ157" s="188"/>
      <c r="CR157" s="188"/>
      <c r="CS157" s="984"/>
      <c r="CT157" s="984"/>
      <c r="CU157" s="984"/>
      <c r="CV157" s="984"/>
      <c r="CW157" s="984"/>
      <c r="CX157" s="984"/>
      <c r="CY157" s="984"/>
      <c r="CZ157" s="984"/>
      <c r="DA157" s="984"/>
      <c r="DB157" s="984"/>
      <c r="DC157" s="984"/>
      <c r="DD157" s="1517"/>
      <c r="DE157" s="1483"/>
      <c r="DF157" s="24"/>
      <c r="DG157" s="23"/>
      <c r="DH157" s="24"/>
      <c r="DI157" s="24"/>
      <c r="DJ157" s="24"/>
      <c r="DK157" s="24"/>
      <c r="DL157" s="141"/>
      <c r="DM157" s="24"/>
      <c r="DN157" s="24"/>
      <c r="DO157" s="24"/>
      <c r="DP157" s="24"/>
      <c r="DQ157" s="24"/>
      <c r="DR157" s="24"/>
      <c r="DS157" s="23"/>
      <c r="DT157" s="24"/>
      <c r="DU157" s="24"/>
      <c r="DV157" s="24"/>
      <c r="DW157" s="25"/>
      <c r="DX157" s="24"/>
      <c r="DY157" s="24"/>
      <c r="DZ157" s="1561"/>
    </row>
    <row r="158" spans="1:136" s="152" customFormat="1" ht="11.25" customHeight="1">
      <c r="A158" s="49"/>
      <c r="B158" s="209"/>
      <c r="C158" s="188" t="s">
        <v>36</v>
      </c>
      <c r="D158" s="188"/>
      <c r="E158" s="198"/>
      <c r="F158" s="1031"/>
      <c r="G158" s="1031">
        <f t="shared" ref="G158:AL158" si="442">G11/F11-1</f>
        <v>0.32331525145746842</v>
      </c>
      <c r="H158" s="1031">
        <f t="shared" si="442"/>
        <v>-8.8763644781594486E-2</v>
      </c>
      <c r="I158" s="1199">
        <f t="shared" si="442"/>
        <v>-0.10941466379271603</v>
      </c>
      <c r="J158" s="1031">
        <f t="shared" si="442"/>
        <v>-3.2453212736404891E-2</v>
      </c>
      <c r="K158" s="1031">
        <f t="shared" si="442"/>
        <v>0.30327502647734517</v>
      </c>
      <c r="L158" s="1031">
        <f t="shared" si="442"/>
        <v>3.5144890703739939E-2</v>
      </c>
      <c r="M158" s="1199">
        <f t="shared" si="442"/>
        <v>-9.1103961667751698E-2</v>
      </c>
      <c r="N158" s="1031">
        <f t="shared" si="442"/>
        <v>7.8119966887579828E-2</v>
      </c>
      <c r="O158" s="1031">
        <f t="shared" si="442"/>
        <v>0.28577195325427152</v>
      </c>
      <c r="P158" s="1031">
        <f t="shared" si="442"/>
        <v>-5.8239549812209912E-2</v>
      </c>
      <c r="Q158" s="1199">
        <f t="shared" si="442"/>
        <v>-3.6235155633284499E-2</v>
      </c>
      <c r="R158" s="1031">
        <f t="shared" si="442"/>
        <v>4.9925616277488372E-2</v>
      </c>
      <c r="S158" s="1031">
        <f t="shared" si="442"/>
        <v>0.16884306474889632</v>
      </c>
      <c r="T158" s="1031">
        <f t="shared" si="442"/>
        <v>-0.10292776180904206</v>
      </c>
      <c r="U158" s="1199">
        <f t="shared" si="442"/>
        <v>-1.3024745710088492E-4</v>
      </c>
      <c r="V158" s="1031">
        <f t="shared" si="442"/>
        <v>9.9871415175706524E-2</v>
      </c>
      <c r="W158" s="1031">
        <f t="shared" si="442"/>
        <v>0.15948559247685523</v>
      </c>
      <c r="X158" s="1031">
        <f t="shared" si="442"/>
        <v>-3.668302851527061E-2</v>
      </c>
      <c r="Y158" s="1199">
        <f t="shared" si="442"/>
        <v>2.225417906706495E-2</v>
      </c>
      <c r="Z158" s="1031">
        <f t="shared" si="442"/>
        <v>7.3947608884263216E-2</v>
      </c>
      <c r="AA158" s="1031">
        <f t="shared" si="442"/>
        <v>0.10611144498413516</v>
      </c>
      <c r="AB158" s="1031">
        <f t="shared" si="442"/>
        <v>1.0476140580033544E-2</v>
      </c>
      <c r="AC158" s="1199">
        <f t="shared" si="442"/>
        <v>-3.8315465842584273E-2</v>
      </c>
      <c r="AD158" s="1031">
        <f t="shared" si="442"/>
        <v>0.16441714129293206</v>
      </c>
      <c r="AE158" s="1031">
        <f t="shared" si="442"/>
        <v>0.1297241529990083</v>
      </c>
      <c r="AF158" s="1031">
        <f t="shared" si="442"/>
        <v>-1.2563455763278997E-2</v>
      </c>
      <c r="AG158" s="1031">
        <f t="shared" si="442"/>
        <v>-3.0724173296654556E-2</v>
      </c>
      <c r="AH158" s="1208">
        <f t="shared" si="442"/>
        <v>0.29214789416222398</v>
      </c>
      <c r="AI158" s="1031">
        <f t="shared" si="442"/>
        <v>0.24808486464393442</v>
      </c>
      <c r="AJ158" s="1031">
        <f t="shared" si="442"/>
        <v>-4.2228852709378928E-2</v>
      </c>
      <c r="AK158" s="1199">
        <f t="shared" si="442"/>
        <v>-5.5878930473551525E-2</v>
      </c>
      <c r="AL158" s="1208">
        <f t="shared" si="442"/>
        <v>5.8164106697331075E-2</v>
      </c>
      <c r="AM158" s="1031">
        <f t="shared" ref="AM158:BR158" si="443">AM11/AL11-1</f>
        <v>-0.13570574902370047</v>
      </c>
      <c r="AN158" s="1031">
        <f t="shared" si="443"/>
        <v>-0.12667175399636077</v>
      </c>
      <c r="AO158" s="1199">
        <f t="shared" si="443"/>
        <v>0.21125463507805842</v>
      </c>
      <c r="AP158" s="1031">
        <f t="shared" si="443"/>
        <v>0.14511740312249577</v>
      </c>
      <c r="AQ158" s="1031">
        <f t="shared" si="443"/>
        <v>0.18614130434782616</v>
      </c>
      <c r="AR158" s="1031">
        <f t="shared" si="443"/>
        <v>8.4001527300496814E-3</v>
      </c>
      <c r="AS158" s="1199">
        <f t="shared" si="443"/>
        <v>-9.8068913290420334E-2</v>
      </c>
      <c r="AT158" s="1031">
        <f t="shared" si="443"/>
        <v>2.7287993282955503E-2</v>
      </c>
      <c r="AU158" s="1031">
        <f t="shared" si="443"/>
        <v>1.1442582754393138E-2</v>
      </c>
      <c r="AV158" s="1031">
        <f t="shared" si="443"/>
        <v>-9.0101010101010126E-2</v>
      </c>
      <c r="AW158" s="1199">
        <f t="shared" si="443"/>
        <v>6.7051509769094242E-2</v>
      </c>
      <c r="AX158" s="1208">
        <f t="shared" si="443"/>
        <v>0.12109862671660432</v>
      </c>
      <c r="AY158" s="1031">
        <f t="shared" si="443"/>
        <v>-0.25946547884187088</v>
      </c>
      <c r="AZ158" s="1031">
        <f t="shared" si="443"/>
        <v>0.52130325814536338</v>
      </c>
      <c r="BA158" s="1199">
        <f t="shared" si="443"/>
        <v>0.5663920922570016</v>
      </c>
      <c r="BB158" s="1031">
        <f t="shared" si="443"/>
        <v>-0.15124106015986538</v>
      </c>
      <c r="BC158" s="1031">
        <f t="shared" si="443"/>
        <v>-5.2292441140024737E-2</v>
      </c>
      <c r="BD158" s="1031">
        <f t="shared" si="443"/>
        <v>-1.5690376569037712E-2</v>
      </c>
      <c r="BE158" s="1199">
        <f t="shared" si="443"/>
        <v>-9.5642933049946421E-3</v>
      </c>
      <c r="BF158" s="1031">
        <f t="shared" si="443"/>
        <v>2.0386266094420513E-2</v>
      </c>
      <c r="BG158" s="1031">
        <f t="shared" si="443"/>
        <v>4.4164037854889537E-2</v>
      </c>
      <c r="BH158" s="1031">
        <f t="shared" si="443"/>
        <v>-6.7724068479355526E-2</v>
      </c>
      <c r="BI158" s="1199">
        <f t="shared" si="443"/>
        <v>-1.4042668106940326E-2</v>
      </c>
      <c r="BJ158" s="1031">
        <f t="shared" si="443"/>
        <v>7.9978088195015173E-2</v>
      </c>
      <c r="BK158" s="1031">
        <f t="shared" si="443"/>
        <v>-1.3948769972102482E-2</v>
      </c>
      <c r="BL158" s="1031">
        <f t="shared" si="443"/>
        <v>-8.6934156378600802E-2</v>
      </c>
      <c r="BM158" s="1199">
        <f t="shared" si="443"/>
        <v>-0.10112676056338032</v>
      </c>
      <c r="BN158" s="1208">
        <f t="shared" si="443"/>
        <v>5.2961454089627047E-2</v>
      </c>
      <c r="BO158" s="1031">
        <f t="shared" si="443"/>
        <v>-1.2797619047619002E-2</v>
      </c>
      <c r="BP158" s="1031">
        <f t="shared" si="443"/>
        <v>-0.14923123304190533</v>
      </c>
      <c r="BQ158" s="1199">
        <f t="shared" si="443"/>
        <v>0.23848334514528702</v>
      </c>
      <c r="BR158" s="1031">
        <f t="shared" si="443"/>
        <v>0.34878397711015729</v>
      </c>
      <c r="BS158" s="1031">
        <f t="shared" ref="BS158:BY158" si="444">BS11/BR11-1</f>
        <v>3.6911327959270324E-2</v>
      </c>
      <c r="BT158" s="1031">
        <f t="shared" si="444"/>
        <v>-4.8895253682487705E-2</v>
      </c>
      <c r="BU158" s="1199">
        <f t="shared" si="444"/>
        <v>4.1514304151430315E-2</v>
      </c>
      <c r="BV158" s="1031">
        <f t="shared" si="444"/>
        <v>7.0012391573729849E-2</v>
      </c>
      <c r="BW158" s="1031">
        <f t="shared" si="444"/>
        <v>2.9917004439297346E-2</v>
      </c>
      <c r="BX158" s="1031">
        <f t="shared" si="444"/>
        <v>-8.0004001124437951E-2</v>
      </c>
      <c r="BY158" s="1199">
        <f t="shared" si="444"/>
        <v>1.0027562310244154E-3</v>
      </c>
      <c r="BZ158" s="1031">
        <f t="shared" ref="BZ158:CC161" si="445">BZ11/BY11-1</f>
        <v>3.1845621478942876E-2</v>
      </c>
      <c r="CA158" s="1031">
        <f t="shared" si="445"/>
        <v>-1.5857148658877551E-2</v>
      </c>
      <c r="CB158" s="1031">
        <f t="shared" si="445"/>
        <v>-7.1383823109051336E-2</v>
      </c>
      <c r="CC158" s="1199">
        <f t="shared" si="445"/>
        <v>-5.3466794555721453E-2</v>
      </c>
      <c r="CD158" s="239"/>
      <c r="CE158" s="1031"/>
      <c r="CF158" s="1031"/>
      <c r="CG158" s="1031"/>
      <c r="CH158" s="1031"/>
      <c r="CI158" s="1031"/>
      <c r="CJ158" s="1031"/>
      <c r="CK158" s="1031"/>
      <c r="CL158" s="1031"/>
      <c r="CM158" s="1031"/>
      <c r="CN158" s="1031"/>
      <c r="CO158" s="422"/>
      <c r="CP158" s="422"/>
      <c r="CQ158" s="422"/>
      <c r="CR158" s="422"/>
      <c r="CS158" s="1031"/>
      <c r="CT158" s="1031"/>
      <c r="CU158" s="1031"/>
      <c r="CV158" s="1031"/>
      <c r="CW158" s="1031"/>
      <c r="CX158" s="1031"/>
      <c r="CY158" s="1031"/>
      <c r="CZ158" s="1031"/>
      <c r="DA158" s="1031"/>
      <c r="DB158" s="1031"/>
      <c r="DC158" s="1031"/>
      <c r="DD158" s="1508"/>
      <c r="DE158" s="1553"/>
      <c r="DF158" s="30"/>
      <c r="DG158" s="36"/>
      <c r="DH158" s="30"/>
      <c r="DI158" s="30"/>
      <c r="DJ158" s="30"/>
      <c r="DK158" s="30"/>
      <c r="DL158" s="181"/>
      <c r="DM158" s="30"/>
      <c r="DN158" s="30"/>
      <c r="DO158" s="30"/>
      <c r="DP158" s="30"/>
      <c r="DQ158" s="30"/>
      <c r="DR158" s="30"/>
      <c r="DS158" s="36"/>
      <c r="DT158" s="30"/>
      <c r="DU158" s="30"/>
      <c r="DV158" s="30"/>
      <c r="DW158" s="37"/>
      <c r="DX158" s="30"/>
      <c r="DY158" s="30"/>
      <c r="DZ158" s="1556"/>
      <c r="EA158"/>
      <c r="EB158"/>
      <c r="EC158"/>
      <c r="ED158"/>
      <c r="EE158"/>
      <c r="EF158"/>
    </row>
    <row r="159" spans="1:136" s="52" customFormat="1" ht="11.25" customHeight="1">
      <c r="A159" s="11"/>
      <c r="B159" s="207"/>
      <c r="C159" s="52" t="s">
        <v>970</v>
      </c>
      <c r="E159" s="145"/>
      <c r="F159" s="436"/>
      <c r="G159" s="436"/>
      <c r="H159" s="436"/>
      <c r="I159" s="437"/>
      <c r="J159" s="436"/>
      <c r="K159" s="436"/>
      <c r="L159" s="436"/>
      <c r="M159" s="437"/>
      <c r="N159" s="436"/>
      <c r="O159" s="436"/>
      <c r="P159" s="436"/>
      <c r="Q159" s="437"/>
      <c r="R159" s="436"/>
      <c r="S159" s="436"/>
      <c r="T159" s="436"/>
      <c r="U159" s="437"/>
      <c r="V159" s="436"/>
      <c r="W159" s="436"/>
      <c r="X159" s="436"/>
      <c r="Y159" s="437"/>
      <c r="Z159" s="436"/>
      <c r="AA159" s="436"/>
      <c r="AB159" s="436"/>
      <c r="AC159" s="437"/>
      <c r="AD159" s="436"/>
      <c r="AE159" s="436"/>
      <c r="AF159" s="436"/>
      <c r="AG159" s="436"/>
      <c r="AH159" s="435"/>
      <c r="AI159" s="436"/>
      <c r="AJ159" s="436"/>
      <c r="AK159" s="437"/>
      <c r="AL159" s="435"/>
      <c r="AM159" s="436"/>
      <c r="AN159" s="436"/>
      <c r="AO159" s="437"/>
      <c r="AP159" s="436"/>
      <c r="AQ159" s="436"/>
      <c r="AR159" s="436"/>
      <c r="AS159" s="437"/>
      <c r="AT159" s="436"/>
      <c r="AU159" s="436"/>
      <c r="AV159" s="436"/>
      <c r="AW159" s="437"/>
      <c r="AX159" s="435"/>
      <c r="AY159" s="436"/>
      <c r="AZ159" s="436"/>
      <c r="BA159" s="437"/>
      <c r="BB159" s="436"/>
      <c r="BC159" s="436">
        <f t="shared" ref="BC159:BY159" si="446">BC12/BB12-1</f>
        <v>-0.14754716981132077</v>
      </c>
      <c r="BD159" s="436">
        <f t="shared" si="446"/>
        <v>-4.0283311199645899E-2</v>
      </c>
      <c r="BE159" s="437">
        <f t="shared" si="446"/>
        <v>-2.7214022140221394E-2</v>
      </c>
      <c r="BF159" s="436">
        <f t="shared" si="446"/>
        <v>4.2200094831673862E-2</v>
      </c>
      <c r="BG159" s="436">
        <f t="shared" si="446"/>
        <v>1.2738853503184711E-2</v>
      </c>
      <c r="BH159" s="436">
        <f t="shared" si="446"/>
        <v>-4.4923629829290213E-2</v>
      </c>
      <c r="BI159" s="437">
        <f t="shared" si="446"/>
        <v>2.0696142991533328E-2</v>
      </c>
      <c r="BJ159" s="436">
        <f t="shared" si="446"/>
        <v>3.9170506912442393E-2</v>
      </c>
      <c r="BK159" s="436">
        <f t="shared" si="446"/>
        <v>-7.3614190687361414E-2</v>
      </c>
      <c r="BL159" s="436">
        <f t="shared" si="446"/>
        <v>-0.12876974629009097</v>
      </c>
      <c r="BM159" s="437">
        <f t="shared" si="446"/>
        <v>-0.15054945054945057</v>
      </c>
      <c r="BN159" s="435">
        <f t="shared" si="446"/>
        <v>8.020698576972829E-2</v>
      </c>
      <c r="BO159" s="436">
        <f t="shared" si="446"/>
        <v>-5.329341317365266E-2</v>
      </c>
      <c r="BP159" s="436">
        <f t="shared" si="446"/>
        <v>-0.13345983554712204</v>
      </c>
      <c r="BQ159" s="437">
        <f t="shared" si="446"/>
        <v>0.1562043795620438</v>
      </c>
      <c r="BR159" s="436">
        <f t="shared" si="446"/>
        <v>0.4987373737373737</v>
      </c>
      <c r="BS159" s="436">
        <f t="shared" si="446"/>
        <v>1.8534119629317614E-2</v>
      </c>
      <c r="BT159" s="436">
        <f t="shared" si="446"/>
        <v>-4.1356492969396141E-2</v>
      </c>
      <c r="BU159" s="437">
        <f t="shared" si="446"/>
        <v>3.9689387402933596E-2</v>
      </c>
      <c r="BV159" s="436">
        <f t="shared" si="446"/>
        <v>0.11037344398340254</v>
      </c>
      <c r="BW159" s="436">
        <f t="shared" si="446"/>
        <v>-1.0837070254110626E-2</v>
      </c>
      <c r="BX159" s="436">
        <f t="shared" si="446"/>
        <v>-7.3650000000000215E-2</v>
      </c>
      <c r="BY159" s="437">
        <f t="shared" si="446"/>
        <v>-9.9999999999998979E-3</v>
      </c>
      <c r="BZ159" s="436">
        <f t="shared" si="445"/>
        <v>1.5200000000000102E-2</v>
      </c>
      <c r="CA159" s="436">
        <f t="shared" si="445"/>
        <v>-2.0800000000000041E-2</v>
      </c>
      <c r="CB159" s="436">
        <f t="shared" si="445"/>
        <v>-6.8799999999999972E-2</v>
      </c>
      <c r="CC159" s="437">
        <f t="shared" si="445"/>
        <v>-5.920000000000003E-2</v>
      </c>
      <c r="CD159" s="22"/>
      <c r="CE159" s="436"/>
      <c r="CF159" s="436"/>
      <c r="CG159" s="436"/>
      <c r="CH159" s="436"/>
      <c r="CI159" s="436"/>
      <c r="CJ159" s="436"/>
      <c r="CK159" s="436"/>
      <c r="CL159" s="436"/>
      <c r="CM159" s="436"/>
      <c r="CN159" s="436"/>
      <c r="CO159" s="337"/>
      <c r="CP159" s="337"/>
      <c r="CQ159" s="337"/>
      <c r="CR159" s="337"/>
      <c r="CS159" s="436"/>
      <c r="CT159" s="436"/>
      <c r="CU159" s="436"/>
      <c r="CV159" s="436"/>
      <c r="CW159" s="436"/>
      <c r="CX159" s="436"/>
      <c r="CY159" s="436"/>
      <c r="CZ159" s="436"/>
      <c r="DA159" s="436"/>
      <c r="DB159" s="436"/>
      <c r="DC159" s="436"/>
      <c r="DD159" s="1509"/>
      <c r="DE159" s="1521"/>
      <c r="DF159" s="29"/>
      <c r="DG159" s="57"/>
      <c r="DH159" s="29"/>
      <c r="DI159" s="29"/>
      <c r="DJ159" s="29"/>
      <c r="DK159" s="29"/>
      <c r="DL159" s="141"/>
      <c r="DM159" s="29"/>
      <c r="DN159" s="29"/>
      <c r="DO159" s="29"/>
      <c r="DP159" s="29"/>
      <c r="DQ159" s="29"/>
      <c r="DR159" s="29"/>
      <c r="DS159" s="57"/>
      <c r="DT159" s="29"/>
      <c r="DU159" s="29"/>
      <c r="DV159" s="29"/>
      <c r="DW159" s="58"/>
      <c r="DX159" s="29"/>
      <c r="DY159" s="29"/>
      <c r="DZ159" s="1559"/>
      <c r="EA159"/>
      <c r="EB159"/>
      <c r="EC159"/>
      <c r="ED159"/>
      <c r="EE159"/>
      <c r="EF159"/>
    </row>
    <row r="160" spans="1:136" s="52" customFormat="1" ht="11.25" customHeight="1">
      <c r="A160" s="11"/>
      <c r="B160" s="207"/>
      <c r="C160" s="52" t="s">
        <v>944</v>
      </c>
      <c r="E160" s="145"/>
      <c r="F160" s="436"/>
      <c r="G160" s="436"/>
      <c r="H160" s="436"/>
      <c r="I160" s="437"/>
      <c r="J160" s="436"/>
      <c r="K160" s="436"/>
      <c r="L160" s="436"/>
      <c r="M160" s="437"/>
      <c r="N160" s="436"/>
      <c r="O160" s="436"/>
      <c r="P160" s="436"/>
      <c r="Q160" s="437"/>
      <c r="R160" s="436"/>
      <c r="S160" s="436"/>
      <c r="T160" s="436"/>
      <c r="U160" s="437"/>
      <c r="V160" s="436"/>
      <c r="W160" s="436"/>
      <c r="X160" s="436"/>
      <c r="Y160" s="437"/>
      <c r="Z160" s="436"/>
      <c r="AA160" s="436"/>
      <c r="AB160" s="436"/>
      <c r="AC160" s="437"/>
      <c r="AD160" s="436"/>
      <c r="AE160" s="436"/>
      <c r="AF160" s="436"/>
      <c r="AG160" s="436"/>
      <c r="AH160" s="435"/>
      <c r="AI160" s="436"/>
      <c r="AJ160" s="436"/>
      <c r="AK160" s="437"/>
      <c r="AL160" s="435"/>
      <c r="AM160" s="436"/>
      <c r="AN160" s="436"/>
      <c r="AO160" s="437"/>
      <c r="AP160" s="436"/>
      <c r="AQ160" s="436"/>
      <c r="AR160" s="436"/>
      <c r="AS160" s="437"/>
      <c r="AT160" s="436"/>
      <c r="AU160" s="436"/>
      <c r="AV160" s="436"/>
      <c r="AW160" s="437"/>
      <c r="AX160" s="435"/>
      <c r="AY160" s="436"/>
      <c r="AZ160" s="436"/>
      <c r="BA160" s="437"/>
      <c r="BB160" s="436"/>
      <c r="BC160" s="436">
        <f t="shared" ref="BC160:BY160" si="447">BC13/BB13-1</f>
        <v>0.1359999999999999</v>
      </c>
      <c r="BD160" s="436">
        <f t="shared" si="447"/>
        <v>-0.11971830985915488</v>
      </c>
      <c r="BE160" s="437">
        <f t="shared" si="447"/>
        <v>-0.19799999999999995</v>
      </c>
      <c r="BF160" s="436">
        <f t="shared" si="447"/>
        <v>0.13466334164588534</v>
      </c>
      <c r="BG160" s="436">
        <f t="shared" si="447"/>
        <v>0.19340659340659339</v>
      </c>
      <c r="BH160" s="436">
        <f t="shared" si="447"/>
        <v>-0.11786372007366486</v>
      </c>
      <c r="BI160" s="437">
        <f t="shared" si="447"/>
        <v>-7.3068893528183687E-2</v>
      </c>
      <c r="BJ160" s="436">
        <f t="shared" si="447"/>
        <v>0.13513513513513509</v>
      </c>
      <c r="BK160" s="436">
        <f t="shared" si="447"/>
        <v>4.7619047619047672E-2</v>
      </c>
      <c r="BL160" s="436">
        <f t="shared" si="447"/>
        <v>-0.14393939393939392</v>
      </c>
      <c r="BM160" s="437">
        <f t="shared" si="447"/>
        <v>-0.19026548672566368</v>
      </c>
      <c r="BN160" s="435">
        <f t="shared" si="447"/>
        <v>9.0163934426229497E-2</v>
      </c>
      <c r="BO160" s="436">
        <f t="shared" si="447"/>
        <v>0.15037593984962405</v>
      </c>
      <c r="BP160" s="436">
        <f t="shared" si="447"/>
        <v>-0.24618736383442263</v>
      </c>
      <c r="BQ160" s="437">
        <f t="shared" si="447"/>
        <v>0.92485549132947975</v>
      </c>
      <c r="BR160" s="436">
        <f t="shared" si="447"/>
        <v>0.46546546546546552</v>
      </c>
      <c r="BS160" s="436">
        <f t="shared" si="447"/>
        <v>0.10245901639344268</v>
      </c>
      <c r="BT160" s="436">
        <f t="shared" si="447"/>
        <v>-6.7843866171003686E-2</v>
      </c>
      <c r="BU160" s="437">
        <f t="shared" si="447"/>
        <v>9.9700897308074854E-3</v>
      </c>
      <c r="BV160" s="436">
        <f t="shared" si="447"/>
        <v>0.12142152023691999</v>
      </c>
      <c r="BW160" s="436">
        <f t="shared" si="447"/>
        <v>0.10475352112676051</v>
      </c>
      <c r="BX160" s="436">
        <f t="shared" si="447"/>
        <v>-0.14459999999999995</v>
      </c>
      <c r="BY160" s="437">
        <f t="shared" si="447"/>
        <v>-2.0000000000000018E-2</v>
      </c>
      <c r="BZ160" s="436">
        <f t="shared" si="445"/>
        <v>5.4499999999999993E-2</v>
      </c>
      <c r="CA160" s="436">
        <f t="shared" si="445"/>
        <v>3.949999999999676E-3</v>
      </c>
      <c r="CB160" s="436">
        <f t="shared" si="445"/>
        <v>-7.8800000000000092E-2</v>
      </c>
      <c r="CC160" s="437">
        <f t="shared" si="445"/>
        <v>-2.5150000000000117E-2</v>
      </c>
      <c r="CD160" s="22"/>
      <c r="CE160" s="436"/>
      <c r="CF160" s="436"/>
      <c r="CG160" s="436"/>
      <c r="CH160" s="436"/>
      <c r="CI160" s="436"/>
      <c r="CJ160" s="436"/>
      <c r="CK160" s="436"/>
      <c r="CL160" s="436"/>
      <c r="CM160" s="436"/>
      <c r="CN160" s="436"/>
      <c r="CO160" s="337"/>
      <c r="CP160" s="337"/>
      <c r="CQ160" s="337"/>
      <c r="CR160" s="337"/>
      <c r="CS160" s="436"/>
      <c r="CT160" s="436"/>
      <c r="CU160" s="436"/>
      <c r="CV160" s="436"/>
      <c r="CW160" s="436"/>
      <c r="CX160" s="436"/>
      <c r="CY160" s="436"/>
      <c r="CZ160" s="436"/>
      <c r="DA160" s="436"/>
      <c r="DB160" s="436"/>
      <c r="DC160" s="436"/>
      <c r="DD160" s="1509"/>
      <c r="DE160" s="1521"/>
      <c r="DF160" s="29"/>
      <c r="DG160" s="57"/>
      <c r="DH160" s="29"/>
      <c r="DI160" s="29"/>
      <c r="DJ160" s="29"/>
      <c r="DK160" s="29"/>
      <c r="DL160" s="141"/>
      <c r="DM160" s="29"/>
      <c r="DN160" s="29"/>
      <c r="DO160" s="29"/>
      <c r="DP160" s="29"/>
      <c r="DQ160" s="29"/>
      <c r="DR160" s="29"/>
      <c r="DS160" s="57"/>
      <c r="DT160" s="29"/>
      <c r="DU160" s="29"/>
      <c r="DV160" s="29"/>
      <c r="DW160" s="58"/>
      <c r="DX160" s="29"/>
      <c r="DY160" s="29"/>
      <c r="DZ160" s="1559"/>
      <c r="EA160"/>
      <c r="EB160"/>
      <c r="EC160"/>
      <c r="ED160"/>
      <c r="EE160"/>
      <c r="EF160"/>
    </row>
    <row r="161" spans="1:136" s="52" customFormat="1" ht="11.25" customHeight="1">
      <c r="A161" s="11"/>
      <c r="B161" s="207"/>
      <c r="C161" s="145" t="s">
        <v>971</v>
      </c>
      <c r="D161" s="145"/>
      <c r="F161" s="436"/>
      <c r="G161" s="436"/>
      <c r="H161" s="436"/>
      <c r="I161" s="437"/>
      <c r="J161" s="436"/>
      <c r="K161" s="436"/>
      <c r="L161" s="436"/>
      <c r="M161" s="437"/>
      <c r="N161" s="436"/>
      <c r="O161" s="436"/>
      <c r="P161" s="436"/>
      <c r="Q161" s="437"/>
      <c r="R161" s="436"/>
      <c r="S161" s="436"/>
      <c r="T161" s="436"/>
      <c r="U161" s="437"/>
      <c r="V161" s="436"/>
      <c r="W161" s="436"/>
      <c r="X161" s="436"/>
      <c r="Y161" s="437"/>
      <c r="Z161" s="436"/>
      <c r="AA161" s="436"/>
      <c r="AB161" s="436"/>
      <c r="AC161" s="437"/>
      <c r="AD161" s="436"/>
      <c r="AE161" s="436"/>
      <c r="AF161" s="436"/>
      <c r="AG161" s="436"/>
      <c r="AH161" s="435"/>
      <c r="AI161" s="436"/>
      <c r="AJ161" s="436"/>
      <c r="AK161" s="437"/>
      <c r="AL161" s="435"/>
      <c r="AM161" s="436"/>
      <c r="AN161" s="436"/>
      <c r="AO161" s="437"/>
      <c r="AP161" s="436"/>
      <c r="AQ161" s="436"/>
      <c r="AR161" s="436"/>
      <c r="AS161" s="437"/>
      <c r="AT161" s="436"/>
      <c r="AU161" s="436"/>
      <c r="AV161" s="436"/>
      <c r="AW161" s="437"/>
      <c r="AX161" s="435"/>
      <c r="AY161" s="436"/>
      <c r="AZ161" s="436"/>
      <c r="BA161" s="437"/>
      <c r="BB161" s="436"/>
      <c r="BC161" s="436">
        <f t="shared" ref="BC161:BY161" si="448">BC14/BB14-1</f>
        <v>0.12655367231638426</v>
      </c>
      <c r="BD161" s="436">
        <f t="shared" si="448"/>
        <v>9.9297893681043137E-2</v>
      </c>
      <c r="BE161" s="437">
        <f t="shared" si="448"/>
        <v>0.11131386861313874</v>
      </c>
      <c r="BF161" s="436">
        <f t="shared" si="448"/>
        <v>-5.5008210180623962E-2</v>
      </c>
      <c r="BG161" s="436">
        <f t="shared" si="448"/>
        <v>4.517810599478711E-2</v>
      </c>
      <c r="BH161" s="436">
        <f t="shared" si="448"/>
        <v>-8.7281795511221949E-2</v>
      </c>
      <c r="BI161" s="437">
        <f t="shared" si="448"/>
        <v>-5.555555555555558E-2</v>
      </c>
      <c r="BJ161" s="436">
        <f t="shared" si="448"/>
        <v>0.14175506268080995</v>
      </c>
      <c r="BK161" s="436">
        <f t="shared" si="448"/>
        <v>7.3479729729729826E-2</v>
      </c>
      <c r="BL161" s="436">
        <f t="shared" si="448"/>
        <v>5.5074744295831035E-3</v>
      </c>
      <c r="BM161" s="437">
        <f t="shared" si="448"/>
        <v>7.8247261345842922E-4</v>
      </c>
      <c r="BN161" s="435">
        <f t="shared" si="448"/>
        <v>9.3823299452697739E-3</v>
      </c>
      <c r="BO161" s="436">
        <f t="shared" si="448"/>
        <v>-1.0844306738962084E-2</v>
      </c>
      <c r="BP161" s="436">
        <f t="shared" si="448"/>
        <v>-0.1339075959279562</v>
      </c>
      <c r="BQ161" s="437">
        <f t="shared" si="448"/>
        <v>0.12567811934900552</v>
      </c>
      <c r="BR161" s="436">
        <f t="shared" si="448"/>
        <v>9.5582329317269066E-2</v>
      </c>
      <c r="BS161" s="436">
        <f t="shared" si="448"/>
        <v>2.1994134897360684E-2</v>
      </c>
      <c r="BT161" s="436">
        <f t="shared" si="448"/>
        <v>-4.7345767575322828E-2</v>
      </c>
      <c r="BU161" s="437">
        <f t="shared" si="448"/>
        <v>6.8524096385542244E-2</v>
      </c>
      <c r="BV161" s="436">
        <f t="shared" si="448"/>
        <v>-3.5236081747709647E-2</v>
      </c>
      <c r="BW161" s="436">
        <f t="shared" si="448"/>
        <v>4.7479912344777109E-2</v>
      </c>
      <c r="BX161" s="436">
        <f t="shared" si="448"/>
        <v>-3.520000000000012E-2</v>
      </c>
      <c r="BY161" s="437">
        <f t="shared" si="448"/>
        <v>3.6799999999999944E-2</v>
      </c>
      <c r="BZ161" s="436">
        <f t="shared" si="445"/>
        <v>4.3400000000000105E-2</v>
      </c>
      <c r="CA161" s="436">
        <f t="shared" si="445"/>
        <v>-2.2399999999999975E-2</v>
      </c>
      <c r="CB161" s="436">
        <f t="shared" si="445"/>
        <v>-7.0000000000000173E-2</v>
      </c>
      <c r="CC161" s="437">
        <f t="shared" si="445"/>
        <v>-6.5350000000000019E-2</v>
      </c>
      <c r="CD161" s="22"/>
      <c r="CE161" s="436"/>
      <c r="CF161" s="436"/>
      <c r="CG161" s="436"/>
      <c r="CH161" s="436"/>
      <c r="CI161" s="436"/>
      <c r="CJ161" s="436"/>
      <c r="CK161" s="436"/>
      <c r="CL161" s="436"/>
      <c r="CM161" s="436"/>
      <c r="CN161" s="436"/>
      <c r="CO161" s="337"/>
      <c r="CP161" s="337"/>
      <c r="CQ161" s="337"/>
      <c r="CR161" s="337"/>
      <c r="CS161" s="436"/>
      <c r="CT161" s="436"/>
      <c r="CU161" s="436"/>
      <c r="CV161" s="436"/>
      <c r="CW161" s="436"/>
      <c r="CX161" s="436"/>
      <c r="CY161" s="436"/>
      <c r="CZ161" s="436"/>
      <c r="DA161" s="436"/>
      <c r="DB161" s="436"/>
      <c r="DC161" s="436"/>
      <c r="DD161" s="1509"/>
      <c r="DE161" s="1521"/>
      <c r="DF161" s="29"/>
      <c r="DG161" s="57"/>
      <c r="DH161" s="29"/>
      <c r="DI161" s="29"/>
      <c r="DJ161" s="29"/>
      <c r="DK161" s="29"/>
      <c r="DL161" s="141"/>
      <c r="DM161" s="29"/>
      <c r="DN161" s="29"/>
      <c r="DO161" s="29"/>
      <c r="DP161" s="29"/>
      <c r="DQ161" s="29"/>
      <c r="DR161" s="29"/>
      <c r="DS161" s="57"/>
      <c r="DT161" s="29"/>
      <c r="DU161" s="29"/>
      <c r="DV161" s="29"/>
      <c r="DW161" s="58"/>
      <c r="DX161" s="29"/>
      <c r="DY161" s="29"/>
      <c r="DZ161" s="1559"/>
      <c r="EA161"/>
      <c r="EB161"/>
      <c r="EC161"/>
      <c r="ED161"/>
      <c r="EE161"/>
      <c r="EF161"/>
    </row>
    <row r="162" spans="1:136" ht="5.25" customHeight="1">
      <c r="A162" s="3"/>
      <c r="B162" s="207"/>
      <c r="C162" s="201"/>
      <c r="D162" s="201"/>
      <c r="E162" s="202"/>
      <c r="F162" s="852"/>
      <c r="G162" s="852"/>
      <c r="H162" s="852"/>
      <c r="I162" s="851"/>
      <c r="J162" s="492"/>
      <c r="K162" s="492"/>
      <c r="L162" s="492"/>
      <c r="M162" s="493"/>
      <c r="N162" s="852"/>
      <c r="O162" s="852"/>
      <c r="P162" s="852"/>
      <c r="Q162" s="851"/>
      <c r="R162" s="852"/>
      <c r="S162" s="852"/>
      <c r="T162" s="852"/>
      <c r="U162" s="851"/>
      <c r="V162" s="852"/>
      <c r="W162" s="852"/>
      <c r="X162" s="852"/>
      <c r="Y162" s="851"/>
      <c r="Z162" s="852"/>
      <c r="AA162" s="852"/>
      <c r="AB162" s="852"/>
      <c r="AC162" s="851"/>
      <c r="AD162" s="852"/>
      <c r="AE162" s="852"/>
      <c r="AF162" s="852"/>
      <c r="AG162" s="852"/>
      <c r="AH162" s="850"/>
      <c r="AI162" s="852"/>
      <c r="AJ162" s="852"/>
      <c r="AK162" s="851"/>
      <c r="AL162" s="852"/>
      <c r="AM162" s="852"/>
      <c r="AN162" s="852"/>
      <c r="AO162" s="851"/>
      <c r="AP162" s="852"/>
      <c r="AQ162" s="852"/>
      <c r="AR162" s="852"/>
      <c r="AS162" s="851"/>
      <c r="AT162" s="852"/>
      <c r="AU162" s="852"/>
      <c r="AV162" s="852"/>
      <c r="AW162" s="851"/>
      <c r="AX162" s="852"/>
      <c r="AY162" s="852"/>
      <c r="AZ162" s="852"/>
      <c r="BA162" s="851"/>
      <c r="BB162" s="852"/>
      <c r="BC162" s="852"/>
      <c r="BD162" s="852"/>
      <c r="BE162" s="851"/>
      <c r="BF162" s="852"/>
      <c r="BG162" s="852"/>
      <c r="BH162" s="852"/>
      <c r="BI162" s="851"/>
      <c r="BJ162" s="852"/>
      <c r="BK162" s="852"/>
      <c r="BL162" s="852"/>
      <c r="BM162" s="851"/>
      <c r="BN162" s="850"/>
      <c r="BO162" s="852"/>
      <c r="BP162" s="852"/>
      <c r="BQ162" s="851"/>
      <c r="BR162" s="852"/>
      <c r="BS162" s="852"/>
      <c r="BT162" s="852"/>
      <c r="BU162" s="851"/>
      <c r="BV162" s="852"/>
      <c r="BW162" s="852"/>
      <c r="BX162" s="852"/>
      <c r="BY162" s="851"/>
      <c r="BZ162" s="852"/>
      <c r="CA162" s="852"/>
      <c r="CB162" s="852"/>
      <c r="CC162" s="851"/>
      <c r="CD162" s="9"/>
      <c r="CE162" s="852"/>
      <c r="CF162" s="852"/>
      <c r="CG162" s="852"/>
      <c r="CH162" s="852"/>
      <c r="CI162" s="852"/>
      <c r="CJ162" s="852"/>
      <c r="CK162" s="852"/>
      <c r="CL162" s="852"/>
      <c r="CM162" s="852"/>
      <c r="CN162" s="852"/>
      <c r="CO162" s="852"/>
      <c r="CP162" s="852"/>
      <c r="CQ162" s="852"/>
      <c r="CR162" s="852"/>
      <c r="CS162" s="852"/>
      <c r="CT162" s="852"/>
      <c r="CU162" s="852"/>
      <c r="CV162" s="852"/>
      <c r="CW162" s="852"/>
      <c r="CX162" s="852"/>
      <c r="CY162" s="852"/>
      <c r="CZ162" s="852"/>
      <c r="DA162" s="852"/>
      <c r="DB162" s="852"/>
      <c r="DC162" s="852"/>
      <c r="DD162" s="1517"/>
      <c r="DE162" s="1483"/>
      <c r="DF162" s="24"/>
      <c r="DG162" s="23"/>
      <c r="DH162" s="24"/>
      <c r="DI162" s="24"/>
      <c r="DJ162" s="24"/>
      <c r="DK162" s="24"/>
      <c r="DL162" s="141"/>
      <c r="DM162" s="24"/>
      <c r="DN162" s="24"/>
      <c r="DO162" s="24"/>
      <c r="DP162" s="24"/>
      <c r="DQ162" s="24"/>
      <c r="DR162" s="24"/>
      <c r="DS162" s="23"/>
      <c r="DT162" s="24"/>
      <c r="DU162" s="24"/>
      <c r="DV162" s="24"/>
      <c r="DW162" s="25"/>
      <c r="DX162" s="24"/>
      <c r="DY162" s="24"/>
      <c r="DZ162" s="1561"/>
    </row>
    <row r="163" spans="1:136" ht="11.25" customHeight="1">
      <c r="A163" s="145"/>
      <c r="B163" s="227"/>
      <c r="C163" s="201" t="s">
        <v>55</v>
      </c>
      <c r="D163" s="201"/>
      <c r="E163" s="197"/>
      <c r="F163" s="368"/>
      <c r="G163" s="368">
        <f t="shared" ref="G163:AL163" si="449">IF(AND(G53&gt;0,F53&lt;0),"NM",IF(AND(G53&lt;0,G53&gt;F53),ABS(G53/F53-1),IF(AND(G53&lt;0,G53&lt;F53),-ABS(G53/F53-1),G53/F53-1)))</f>
        <v>1.6041409623689122</v>
      </c>
      <c r="H163" s="368">
        <f t="shared" si="449"/>
        <v>-6.2865518721962776E-2</v>
      </c>
      <c r="I163" s="378">
        <f t="shared" si="449"/>
        <v>-0.19478631803459923</v>
      </c>
      <c r="J163" s="368">
        <f t="shared" si="449"/>
        <v>9.8909076639328131E-2</v>
      </c>
      <c r="K163" s="368">
        <f t="shared" si="449"/>
        <v>0.25980680986305149</v>
      </c>
      <c r="L163" s="368">
        <f t="shared" si="449"/>
        <v>0.14824278381924416</v>
      </c>
      <c r="M163" s="378">
        <f t="shared" si="449"/>
        <v>-8.6397331715395542E-2</v>
      </c>
      <c r="N163" s="368">
        <f t="shared" si="449"/>
        <v>0.13003970300523715</v>
      </c>
      <c r="O163" s="368">
        <f t="shared" si="449"/>
        <v>0.72254607981978536</v>
      </c>
      <c r="P163" s="368">
        <f t="shared" si="449"/>
        <v>-0.15310909697016117</v>
      </c>
      <c r="Q163" s="378">
        <f t="shared" si="449"/>
        <v>-8.4758306762586666E-2</v>
      </c>
      <c r="R163" s="368">
        <f t="shared" si="449"/>
        <v>-0.13836718014348259</v>
      </c>
      <c r="S163" s="368">
        <f t="shared" si="449"/>
        <v>0.47363129905175239</v>
      </c>
      <c r="T163" s="368">
        <f t="shared" si="449"/>
        <v>-0.13546560808704944</v>
      </c>
      <c r="U163" s="378">
        <f t="shared" si="449"/>
        <v>-0.17693628520815241</v>
      </c>
      <c r="V163" s="368">
        <f t="shared" si="449"/>
        <v>0.12090974152447198</v>
      </c>
      <c r="W163" s="368">
        <f t="shared" si="449"/>
        <v>0.32825005382821293</v>
      </c>
      <c r="X163" s="368">
        <f t="shared" si="449"/>
        <v>0.11163552649828334</v>
      </c>
      <c r="Y163" s="378">
        <f t="shared" si="449"/>
        <v>-4.5081923292979109E-2</v>
      </c>
      <c r="Z163" s="368">
        <f t="shared" si="449"/>
        <v>0.11813032539775614</v>
      </c>
      <c r="AA163" s="368">
        <f t="shared" si="449"/>
        <v>0.28020799822218834</v>
      </c>
      <c r="AB163" s="368">
        <f t="shared" si="449"/>
        <v>-4.5549401310865267E-2</v>
      </c>
      <c r="AC163" s="378">
        <f t="shared" si="449"/>
        <v>-0.1213996874421045</v>
      </c>
      <c r="AD163" s="368">
        <f t="shared" si="449"/>
        <v>0.13884709762437542</v>
      </c>
      <c r="AE163" s="368">
        <f t="shared" si="449"/>
        <v>0.16959346743508497</v>
      </c>
      <c r="AF163" s="368">
        <f t="shared" si="449"/>
        <v>-0.1291925975040038</v>
      </c>
      <c r="AG163" s="368">
        <f t="shared" si="449"/>
        <v>-7.8016559873760549E-2</v>
      </c>
      <c r="AH163" s="943">
        <f t="shared" si="449"/>
        <v>0.57780315670850979</v>
      </c>
      <c r="AI163" s="368">
        <f t="shared" si="449"/>
        <v>0.58923148424066341</v>
      </c>
      <c r="AJ163" s="368">
        <f t="shared" si="449"/>
        <v>-7.1491347483713885E-2</v>
      </c>
      <c r="AK163" s="378">
        <f t="shared" si="449"/>
        <v>-0.10814347927432755</v>
      </c>
      <c r="AL163" s="943">
        <f t="shared" si="449"/>
        <v>-2.5294003445225366E-3</v>
      </c>
      <c r="AM163" s="368">
        <f t="shared" ref="AM163:BE163" si="450">IF(AND(AM53&gt;0,AL53&lt;0),"NM",IF(AND(AM53&lt;0,AM53&gt;AL53),ABS(AM53/AL53-1),IF(AND(AM53&lt;0,AM53&lt;AL53),-ABS(AM53/AL53-1),AM53/AL53-1)))</f>
        <v>-0.31652187778561236</v>
      </c>
      <c r="AN163" s="368">
        <f t="shared" si="450"/>
        <v>-0.12731981069460374</v>
      </c>
      <c r="AO163" s="378">
        <f t="shared" si="450"/>
        <v>0.46381286000413691</v>
      </c>
      <c r="AP163" s="368">
        <f t="shared" si="450"/>
        <v>0.39105221579489902</v>
      </c>
      <c r="AQ163" s="368">
        <f t="shared" si="450"/>
        <v>0.33593865429607517</v>
      </c>
      <c r="AR163" s="368">
        <f t="shared" si="450"/>
        <v>-3.2126088514277229E-2</v>
      </c>
      <c r="AS163" s="378">
        <f t="shared" si="450"/>
        <v>-0.19415183396034941</v>
      </c>
      <c r="AT163" s="368">
        <f t="shared" si="450"/>
        <v>-0.16697688841741876</v>
      </c>
      <c r="AU163" s="368">
        <f t="shared" si="450"/>
        <v>6.4010456679760575E-2</v>
      </c>
      <c r="AV163" s="368">
        <f t="shared" si="450"/>
        <v>-0.13778701219132217</v>
      </c>
      <c r="AW163" s="378">
        <f t="shared" si="450"/>
        <v>0.14451984100706849</v>
      </c>
      <c r="AX163" s="943">
        <f t="shared" si="450"/>
        <v>0.15367257422292258</v>
      </c>
      <c r="AY163" s="368">
        <f t="shared" si="450"/>
        <v>0.19751980108699962</v>
      </c>
      <c r="AZ163" s="368">
        <f t="shared" si="450"/>
        <v>0.66133157823239297</v>
      </c>
      <c r="BA163" s="378">
        <f t="shared" si="450"/>
        <v>0.40284034977579042</v>
      </c>
      <c r="BB163" s="368">
        <f t="shared" si="450"/>
        <v>-0.18510340725053931</v>
      </c>
      <c r="BC163" s="368">
        <f t="shared" si="450"/>
        <v>-0.10920230458073299</v>
      </c>
      <c r="BD163" s="368">
        <f t="shared" si="450"/>
        <v>1.8964008402355681E-3</v>
      </c>
      <c r="BE163" s="378">
        <f t="shared" si="450"/>
        <v>-1.2740729930188932E-2</v>
      </c>
      <c r="BF163" s="368">
        <f t="shared" ref="BF163:BY163" si="451">IF(AND(BF21&gt;0,BE21&lt;0),"NM",IF(AND(BF21&lt;0,BF21&gt;BE21),ABS(BF21/BE21-1),IF(AND(BF21&lt;0,BF21&lt;BE21),-ABS(BF21/BE21-1),BF21/BE21-1)))</f>
        <v>4.5918222546575294E-2</v>
      </c>
      <c r="BG163" s="368">
        <f t="shared" si="451"/>
        <v>5.3524266604831894E-2</v>
      </c>
      <c r="BH163" s="368">
        <f t="shared" si="451"/>
        <v>-6.7581851509921353E-2</v>
      </c>
      <c r="BI163" s="378">
        <f t="shared" si="451"/>
        <v>-3.2912768338881793E-2</v>
      </c>
      <c r="BJ163" s="368">
        <f t="shared" si="451"/>
        <v>0.10654079068171485</v>
      </c>
      <c r="BK163" s="368">
        <f t="shared" si="451"/>
        <v>1.4331282255861666E-3</v>
      </c>
      <c r="BL163" s="368">
        <f t="shared" si="451"/>
        <v>-0.10461760944812304</v>
      </c>
      <c r="BM163" s="378">
        <f t="shared" si="451"/>
        <v>-0.10927557444835767</v>
      </c>
      <c r="BN163" s="943">
        <f t="shared" si="451"/>
        <v>2.5438557371200377E-2</v>
      </c>
      <c r="BO163" s="368">
        <f t="shared" si="451"/>
        <v>-3.2758576581646937E-2</v>
      </c>
      <c r="BP163" s="368">
        <f t="shared" si="451"/>
        <v>-0.15758625705859808</v>
      </c>
      <c r="BQ163" s="378">
        <f t="shared" si="451"/>
        <v>0.37107226282872463</v>
      </c>
      <c r="BR163" s="368">
        <f t="shared" si="451"/>
        <v>0.46424115852820758</v>
      </c>
      <c r="BS163" s="368">
        <f t="shared" si="451"/>
        <v>0.12091975507895869</v>
      </c>
      <c r="BT163" s="368">
        <f t="shared" si="451"/>
        <v>1.9099222983135489E-2</v>
      </c>
      <c r="BU163" s="378">
        <f t="shared" si="451"/>
        <v>9.4191588959057437E-2</v>
      </c>
      <c r="BV163" s="368">
        <f t="shared" si="451"/>
        <v>9.6987253243994154E-2</v>
      </c>
      <c r="BW163" s="368">
        <f t="shared" si="451"/>
        <v>5.2236337548161149E-2</v>
      </c>
      <c r="BX163" s="368">
        <f t="shared" si="451"/>
        <v>-9.5456241870306768E-2</v>
      </c>
      <c r="BY163" s="378">
        <f t="shared" si="451"/>
        <v>-6.6096232298698321E-2</v>
      </c>
      <c r="BZ163" s="368">
        <f>IF(AND(BZ21&gt;0,BY21&lt;0),"NM",IF(AND(BZ21&lt;0,BZ21&gt;BY21),ABS(BZ21/BY21-1),IF(AND(BZ21&lt;0,BZ21&lt;BY21),-ABS(BZ21/BY21-1),BZ21/BY21-1)))</f>
        <v>8.8595140423397556E-3</v>
      </c>
      <c r="CA163" s="368">
        <f>IF(AND(CA21&gt;0,BZ21&lt;0),"NM",IF(AND(CA21&lt;0,CA21&gt;BZ21),ABS(CA21/BZ21-1),IF(AND(CA21&lt;0,CA21&lt;BZ21),-ABS(CA21/BZ21-1),CA21/BZ21-1)))</f>
        <v>-5.4052762005699972E-2</v>
      </c>
      <c r="CB163" s="368">
        <f>IF(AND(CB21&gt;0,CA21&lt;0),"NM",IF(AND(CB21&lt;0,CB21&gt;CA21),ABS(CB21/CA21-1),IF(AND(CB21&lt;0,CB21&lt;CA21),-ABS(CB21/CA21-1),CB21/CA21-1)))</f>
        <v>-9.6089286207807989E-2</v>
      </c>
      <c r="CC163" s="378">
        <f>IF(AND(CC21&gt;0,CB21&lt;0),"NM",IF(AND(CC21&lt;0,CC21&gt;CB21),ABS(CC21/CB21-1),IF(AND(CC21&lt;0,CC21&lt;CB21),-ABS(CC21/CB21-1),CC21/CB21-1)))</f>
        <v>-7.5749337104557002E-2</v>
      </c>
      <c r="CD163" s="743"/>
      <c r="CE163" s="368"/>
      <c r="CF163" s="368"/>
      <c r="CG163" s="368"/>
      <c r="CH163" s="368"/>
      <c r="CI163" s="368"/>
      <c r="CJ163" s="368"/>
      <c r="CK163" s="368"/>
      <c r="CL163" s="368"/>
      <c r="CM163" s="368"/>
      <c r="CN163" s="368"/>
      <c r="CO163" s="364"/>
      <c r="CP163" s="364"/>
      <c r="CQ163" s="364"/>
      <c r="CR163" s="364"/>
      <c r="CS163" s="368"/>
      <c r="CT163" s="368"/>
      <c r="CU163" s="368"/>
      <c r="CV163" s="368"/>
      <c r="CW163" s="368"/>
      <c r="CX163" s="368"/>
      <c r="CY163" s="368"/>
      <c r="CZ163" s="368"/>
      <c r="DA163" s="368"/>
      <c r="DB163" s="368"/>
      <c r="DC163" s="368"/>
      <c r="DD163" s="1505"/>
      <c r="DE163" s="1551"/>
      <c r="DF163" s="141"/>
      <c r="DG163" s="215"/>
      <c r="DH163" s="141"/>
      <c r="DI163" s="141"/>
      <c r="DJ163" s="141"/>
      <c r="DK163" s="141"/>
      <c r="DL163" s="141"/>
      <c r="DM163" s="141"/>
      <c r="DN163" s="141"/>
      <c r="DO163" s="141"/>
      <c r="DP163" s="141"/>
      <c r="DQ163" s="141"/>
      <c r="DR163" s="141"/>
      <c r="DS163" s="215"/>
      <c r="DT163" s="141"/>
      <c r="DU163" s="141"/>
      <c r="DV163" s="141"/>
      <c r="DW163" s="216"/>
      <c r="DX163" s="141"/>
      <c r="DY163" s="141"/>
      <c r="DZ163" s="1676"/>
    </row>
    <row r="164" spans="1:136" ht="11.25" customHeight="1">
      <c r="A164" s="3"/>
      <c r="B164" s="207"/>
      <c r="C164" s="201" t="s">
        <v>689</v>
      </c>
      <c r="D164" s="201"/>
      <c r="E164" s="198"/>
      <c r="F164" s="492"/>
      <c r="G164" s="492">
        <f t="shared" ref="G164:AL164" si="452">G68/F68-1</f>
        <v>5.0498421924314751E-2</v>
      </c>
      <c r="H164" s="492">
        <f t="shared" si="452"/>
        <v>-4.5572180741886403E-2</v>
      </c>
      <c r="I164" s="493">
        <f t="shared" si="452"/>
        <v>-0.51132928159576119</v>
      </c>
      <c r="J164" s="492">
        <f t="shared" si="452"/>
        <v>0.83972192104088239</v>
      </c>
      <c r="K164" s="492">
        <f t="shared" si="452"/>
        <v>1.2723175593690517E-2</v>
      </c>
      <c r="L164" s="492">
        <f t="shared" si="452"/>
        <v>0.13672463371217325</v>
      </c>
      <c r="M164" s="493">
        <f t="shared" si="452"/>
        <v>-7.763657170390903E-2</v>
      </c>
      <c r="N164" s="492">
        <f t="shared" si="452"/>
        <v>4.1987723651560671E-2</v>
      </c>
      <c r="O164" s="492">
        <f t="shared" si="452"/>
        <v>7.8210189885316694E-2</v>
      </c>
      <c r="P164" s="492">
        <f t="shared" si="452"/>
        <v>9.1833769253124586E-3</v>
      </c>
      <c r="Q164" s="493">
        <f t="shared" si="452"/>
        <v>-3.0985428785348379E-2</v>
      </c>
      <c r="R164" s="492">
        <f t="shared" si="452"/>
        <v>0.89301634472511204</v>
      </c>
      <c r="S164" s="492">
        <f t="shared" si="452"/>
        <v>-0.30926216640502358</v>
      </c>
      <c r="T164" s="492">
        <f t="shared" si="452"/>
        <v>5.6818181818181879E-2</v>
      </c>
      <c r="U164" s="493">
        <f t="shared" si="452"/>
        <v>6.4516129032257119E-3</v>
      </c>
      <c r="V164" s="492">
        <f t="shared" si="452"/>
        <v>0.15384615384615397</v>
      </c>
      <c r="W164" s="492">
        <f t="shared" si="452"/>
        <v>0.10555555555555562</v>
      </c>
      <c r="X164" s="492">
        <f t="shared" si="452"/>
        <v>1.675041876046901E-2</v>
      </c>
      <c r="Y164" s="493">
        <f t="shared" si="452"/>
        <v>5.6013179571663851E-2</v>
      </c>
      <c r="Z164" s="492">
        <f t="shared" si="452"/>
        <v>9.2043681747270067E-2</v>
      </c>
      <c r="AA164" s="492">
        <f t="shared" si="452"/>
        <v>8.8571428571428523E-2</v>
      </c>
      <c r="AB164" s="492">
        <f t="shared" si="452"/>
        <v>3.2808398950131323E-2</v>
      </c>
      <c r="AC164" s="493">
        <f t="shared" si="452"/>
        <v>-9.0216010165184324E-2</v>
      </c>
      <c r="AD164" s="492">
        <f t="shared" si="452"/>
        <v>4.748603351955305E-2</v>
      </c>
      <c r="AE164" s="492">
        <f t="shared" si="452"/>
        <v>2.6666666666666616E-2</v>
      </c>
      <c r="AF164" s="492">
        <f t="shared" si="452"/>
        <v>-2.5974025974025983E-2</v>
      </c>
      <c r="AG164" s="492">
        <f t="shared" si="452"/>
        <v>5.3333333333333233E-2</v>
      </c>
      <c r="AH164" s="497">
        <f t="shared" si="452"/>
        <v>0.15189873417721511</v>
      </c>
      <c r="AI164" s="492">
        <f t="shared" si="452"/>
        <v>0.34065934065934056</v>
      </c>
      <c r="AJ164" s="492">
        <f t="shared" si="452"/>
        <v>8.1967213114753079E-3</v>
      </c>
      <c r="AK164" s="493">
        <f t="shared" si="452"/>
        <v>4.0650406504065151E-2</v>
      </c>
      <c r="AL164" s="497">
        <f t="shared" si="452"/>
        <v>3.90625E-2</v>
      </c>
      <c r="AM164" s="492">
        <f t="shared" ref="AM164:BR164" si="453">AM68/AL68-1</f>
        <v>1.5037593984962516E-2</v>
      </c>
      <c r="AN164" s="492">
        <f t="shared" si="453"/>
        <v>-7.407407407407407E-2</v>
      </c>
      <c r="AO164" s="493">
        <f t="shared" si="453"/>
        <v>5.600000000000005E-2</v>
      </c>
      <c r="AP164" s="492">
        <f t="shared" si="453"/>
        <v>7.575757575757569E-2</v>
      </c>
      <c r="AQ164" s="492">
        <f t="shared" si="453"/>
        <v>8.4507042253521236E-2</v>
      </c>
      <c r="AR164" s="492">
        <f t="shared" si="453"/>
        <v>3.8961038961038863E-2</v>
      </c>
      <c r="AS164" s="493">
        <f t="shared" si="453"/>
        <v>-3.7499999999999978E-2</v>
      </c>
      <c r="AT164" s="492">
        <f t="shared" si="453"/>
        <v>8.4415584415584499E-2</v>
      </c>
      <c r="AU164" s="492">
        <f t="shared" si="453"/>
        <v>1.1976047904191711E-2</v>
      </c>
      <c r="AV164" s="492">
        <f t="shared" si="453"/>
        <v>5.9171597633136175E-2</v>
      </c>
      <c r="AW164" s="493">
        <f t="shared" si="453"/>
        <v>5.027932960893855E-2</v>
      </c>
      <c r="AX164" s="497">
        <f t="shared" si="453"/>
        <v>2.659574468085113E-2</v>
      </c>
      <c r="AY164" s="492">
        <f t="shared" si="453"/>
        <v>-1.0362694300518172E-2</v>
      </c>
      <c r="AZ164" s="492">
        <f t="shared" si="453"/>
        <v>0.38743455497382207</v>
      </c>
      <c r="BA164" s="493">
        <f t="shared" si="453"/>
        <v>0.53207547169811331</v>
      </c>
      <c r="BB164" s="492">
        <f t="shared" si="453"/>
        <v>-2.4630541871921152E-2</v>
      </c>
      <c r="BC164" s="492">
        <f t="shared" si="453"/>
        <v>-4.5454545454545414E-2</v>
      </c>
      <c r="BD164" s="492">
        <f t="shared" si="453"/>
        <v>4.7619047619047672E-2</v>
      </c>
      <c r="BE164" s="493">
        <f t="shared" si="453"/>
        <v>1.5151515151515138E-2</v>
      </c>
      <c r="BF164" s="492">
        <f t="shared" si="453"/>
        <v>-2.4875621890547706E-3</v>
      </c>
      <c r="BG164" s="492">
        <f t="shared" si="453"/>
        <v>4.9875311720698257E-2</v>
      </c>
      <c r="BH164" s="492">
        <f t="shared" si="453"/>
        <v>-7.1258907363420665E-3</v>
      </c>
      <c r="BI164" s="493">
        <f t="shared" si="453"/>
        <v>2.6315789473684292E-2</v>
      </c>
      <c r="BJ164" s="492">
        <f t="shared" si="453"/>
        <v>1.8648018648018683E-2</v>
      </c>
      <c r="BK164" s="492">
        <f t="shared" si="453"/>
        <v>-2.517162471395884E-2</v>
      </c>
      <c r="BL164" s="492">
        <f t="shared" si="453"/>
        <v>-5.633802816901412E-2</v>
      </c>
      <c r="BM164" s="493">
        <f t="shared" si="453"/>
        <v>-5.2238805970149294E-2</v>
      </c>
      <c r="BN164" s="497">
        <f t="shared" si="453"/>
        <v>1.049868766404205E-2</v>
      </c>
      <c r="BO164" s="492">
        <f t="shared" si="453"/>
        <v>1.0389610389610393E-2</v>
      </c>
      <c r="BP164" s="492">
        <f t="shared" si="453"/>
        <v>-7.7120822622107954E-2</v>
      </c>
      <c r="BQ164" s="493">
        <f t="shared" si="453"/>
        <v>0.37604456824512544</v>
      </c>
      <c r="BR164" s="492">
        <f t="shared" si="453"/>
        <v>0.29352226720647767</v>
      </c>
      <c r="BS164" s="492">
        <f t="shared" ref="BS164:BY164" si="454">BS68/BR68-1</f>
        <v>-8.4507042253521125E-2</v>
      </c>
      <c r="BT164" s="492">
        <f t="shared" si="454"/>
        <v>4.7863247863247915E-2</v>
      </c>
      <c r="BU164" s="493">
        <f t="shared" si="454"/>
        <v>-1.4681892332789603E-2</v>
      </c>
      <c r="BV164" s="492">
        <f t="shared" si="454"/>
        <v>-1.9867549668874163E-2</v>
      </c>
      <c r="BW164" s="492">
        <f t="shared" si="454"/>
        <v>6.25E-2</v>
      </c>
      <c r="BX164" s="492">
        <f t="shared" si="454"/>
        <v>-4.7837781717011252E-2</v>
      </c>
      <c r="BY164" s="493">
        <f t="shared" si="454"/>
        <v>-7.2021843938201435E-3</v>
      </c>
      <c r="BZ164" s="492">
        <f t="shared" ref="BZ164:CC165" si="455">BZ68/BY68-1</f>
        <v>-1.9320277106789852E-2</v>
      </c>
      <c r="CA164" s="492">
        <f t="shared" si="455"/>
        <v>-1.5857148658877329E-2</v>
      </c>
      <c r="CB164" s="492">
        <f t="shared" si="455"/>
        <v>9.3654096640745088E-3</v>
      </c>
      <c r="CC164" s="493">
        <f t="shared" si="455"/>
        <v>-9.132812277349267E-2</v>
      </c>
      <c r="CD164" s="22"/>
      <c r="CE164" s="492"/>
      <c r="CF164" s="492"/>
      <c r="CG164" s="492"/>
      <c r="CH164" s="492"/>
      <c r="CI164" s="492"/>
      <c r="CJ164" s="492"/>
      <c r="CK164" s="492"/>
      <c r="CL164" s="492"/>
      <c r="CM164" s="492"/>
      <c r="CN164" s="492"/>
      <c r="CO164" s="333"/>
      <c r="CP164" s="333"/>
      <c r="CQ164" s="333"/>
      <c r="CR164" s="333"/>
      <c r="CS164" s="492"/>
      <c r="CT164" s="492"/>
      <c r="CU164" s="492"/>
      <c r="CV164" s="492"/>
      <c r="CW164" s="492"/>
      <c r="CX164" s="492"/>
      <c r="CY164" s="492"/>
      <c r="CZ164" s="492"/>
      <c r="DA164" s="492"/>
      <c r="DB164" s="492"/>
      <c r="DC164" s="492"/>
      <c r="DD164" s="1517"/>
      <c r="DE164" s="1483"/>
      <c r="DF164" s="24"/>
      <c r="DG164" s="23"/>
      <c r="DH164" s="24"/>
      <c r="DI164" s="24"/>
      <c r="DJ164" s="24"/>
      <c r="DK164" s="24"/>
      <c r="DL164" s="141"/>
      <c r="DM164" s="19"/>
      <c r="DN164" s="19"/>
      <c r="DO164" s="19"/>
      <c r="DP164" s="24"/>
      <c r="DQ164" s="24"/>
      <c r="DR164" s="24"/>
      <c r="DS164" s="23"/>
      <c r="DT164" s="24"/>
      <c r="DU164" s="24"/>
      <c r="DV164" s="24"/>
      <c r="DW164" s="25"/>
      <c r="DX164" s="24"/>
      <c r="DY164" s="24"/>
      <c r="DZ164" s="1561"/>
    </row>
    <row r="165" spans="1:136" ht="11.25" customHeight="1">
      <c r="A165" s="3"/>
      <c r="B165" s="207"/>
      <c r="C165" s="201" t="s">
        <v>0</v>
      </c>
      <c r="D165" s="201"/>
      <c r="E165" s="228"/>
      <c r="F165" s="492"/>
      <c r="G165" s="492">
        <f t="shared" ref="G165:AL165" si="456">G69/F69-1</f>
        <v>8.1360295362937318E-2</v>
      </c>
      <c r="H165" s="492">
        <f t="shared" si="456"/>
        <v>-5.324980422866088E-2</v>
      </c>
      <c r="I165" s="493">
        <f t="shared" si="456"/>
        <v>-0.2006947890818862</v>
      </c>
      <c r="J165" s="492">
        <f t="shared" si="456"/>
        <v>0.13282834554410394</v>
      </c>
      <c r="K165" s="492">
        <f t="shared" si="456"/>
        <v>4.1142940660625626E-2</v>
      </c>
      <c r="L165" s="492">
        <f t="shared" si="456"/>
        <v>4.4430406401347655E-2</v>
      </c>
      <c r="M165" s="493">
        <f t="shared" si="456"/>
        <v>-0.12093413978494627</v>
      </c>
      <c r="N165" s="492">
        <f t="shared" si="456"/>
        <v>1.0817629295516218E-2</v>
      </c>
      <c r="O165" s="492">
        <f t="shared" si="456"/>
        <v>0.27166843140220842</v>
      </c>
      <c r="P165" s="492">
        <f t="shared" si="456"/>
        <v>-0.1017901748542881</v>
      </c>
      <c r="Q165" s="493">
        <f t="shared" si="456"/>
        <v>3.0392319152458436E-2</v>
      </c>
      <c r="R165" s="492">
        <f t="shared" si="456"/>
        <v>-0.11319602866047629</v>
      </c>
      <c r="S165" s="492">
        <f t="shared" si="456"/>
        <v>-3.9855072463768182E-2</v>
      </c>
      <c r="T165" s="492">
        <f t="shared" si="456"/>
        <v>2.6415094339622636E-2</v>
      </c>
      <c r="U165" s="493">
        <f t="shared" si="456"/>
        <v>-0.10661764705882348</v>
      </c>
      <c r="V165" s="492">
        <f t="shared" si="456"/>
        <v>0.14814814814814814</v>
      </c>
      <c r="W165" s="492">
        <f t="shared" si="456"/>
        <v>0.21505376344086025</v>
      </c>
      <c r="X165" s="492">
        <f t="shared" si="456"/>
        <v>5.0147492625368884E-2</v>
      </c>
      <c r="Y165" s="493">
        <f t="shared" si="456"/>
        <v>6.7415730337078594E-2</v>
      </c>
      <c r="Z165" s="492">
        <f t="shared" si="456"/>
        <v>6.315789473684208E-2</v>
      </c>
      <c r="AA165" s="492">
        <f t="shared" si="456"/>
        <v>0.18316831683168311</v>
      </c>
      <c r="AB165" s="492">
        <f t="shared" si="456"/>
        <v>-0.19456066945606687</v>
      </c>
      <c r="AC165" s="493">
        <f t="shared" si="456"/>
        <v>7.7922077922076838E-3</v>
      </c>
      <c r="AD165" s="492">
        <f t="shared" si="456"/>
        <v>0.13402061855670122</v>
      </c>
      <c r="AE165" s="492">
        <f t="shared" si="456"/>
        <v>0.27272727272727271</v>
      </c>
      <c r="AF165" s="492">
        <f t="shared" si="456"/>
        <v>-0.4285714285714286</v>
      </c>
      <c r="AG165" s="492">
        <f t="shared" si="456"/>
        <v>0.46875</v>
      </c>
      <c r="AH165" s="497">
        <f t="shared" si="456"/>
        <v>2.1276595744680771E-2</v>
      </c>
      <c r="AI165" s="492">
        <f t="shared" si="456"/>
        <v>0.22916666666666674</v>
      </c>
      <c r="AJ165" s="492">
        <f t="shared" si="456"/>
        <v>-5.084745762711862E-2</v>
      </c>
      <c r="AK165" s="493">
        <f t="shared" si="456"/>
        <v>0</v>
      </c>
      <c r="AL165" s="497">
        <f t="shared" si="456"/>
        <v>1.7857142857142794E-2</v>
      </c>
      <c r="AM165" s="492">
        <f t="shared" ref="AM165:BR165" si="457">AM69/AL69-1</f>
        <v>-0.15789473684210531</v>
      </c>
      <c r="AN165" s="492">
        <f t="shared" si="457"/>
        <v>2.0833333333333259E-2</v>
      </c>
      <c r="AO165" s="493">
        <f t="shared" si="457"/>
        <v>6.1224489795918435E-2</v>
      </c>
      <c r="AP165" s="492">
        <f t="shared" si="457"/>
        <v>1.9230769230769162E-2</v>
      </c>
      <c r="AQ165" s="492">
        <f t="shared" si="457"/>
        <v>0.13207547169811318</v>
      </c>
      <c r="AR165" s="492">
        <f t="shared" si="457"/>
        <v>6.6666666666666652E-2</v>
      </c>
      <c r="AS165" s="493">
        <f t="shared" si="457"/>
        <v>-4.6875E-2</v>
      </c>
      <c r="AT165" s="492">
        <f t="shared" si="457"/>
        <v>-3.2786885245901676E-2</v>
      </c>
      <c r="AU165" s="492">
        <f t="shared" si="457"/>
        <v>0.11864406779661008</v>
      </c>
      <c r="AV165" s="492">
        <f t="shared" si="457"/>
        <v>-4.5454545454545414E-2</v>
      </c>
      <c r="AW165" s="493">
        <f t="shared" si="457"/>
        <v>0.17460317460317465</v>
      </c>
      <c r="AX165" s="497">
        <f t="shared" si="457"/>
        <v>-8.108108108108103E-2</v>
      </c>
      <c r="AY165" s="492">
        <f t="shared" si="457"/>
        <v>0.20588235294117641</v>
      </c>
      <c r="AZ165" s="492">
        <f t="shared" si="457"/>
        <v>0.43902439024390238</v>
      </c>
      <c r="BA165" s="493">
        <f t="shared" si="457"/>
        <v>0.40677966101694918</v>
      </c>
      <c r="BB165" s="492">
        <f t="shared" si="457"/>
        <v>1.2048192771084265E-2</v>
      </c>
      <c r="BC165" s="492">
        <f t="shared" si="457"/>
        <v>-0.10119047619047616</v>
      </c>
      <c r="BD165" s="492">
        <f t="shared" si="457"/>
        <v>7.9470198675496651E-2</v>
      </c>
      <c r="BE165" s="493">
        <f t="shared" si="457"/>
        <v>-6.1349693251533388E-3</v>
      </c>
      <c r="BF165" s="492">
        <f t="shared" si="457"/>
        <v>6.7901234567901314E-2</v>
      </c>
      <c r="BG165" s="492">
        <f t="shared" si="457"/>
        <v>0.12716763005780352</v>
      </c>
      <c r="BH165" s="492">
        <f t="shared" si="457"/>
        <v>-6.1538461538461542E-2</v>
      </c>
      <c r="BI165" s="493">
        <f t="shared" si="457"/>
        <v>-7.6502732240437132E-2</v>
      </c>
      <c r="BJ165" s="492">
        <f t="shared" si="457"/>
        <v>-3.5502958579881616E-2</v>
      </c>
      <c r="BK165" s="492">
        <f t="shared" si="457"/>
        <v>-6.1349693251533721E-2</v>
      </c>
      <c r="BL165" s="492">
        <f t="shared" si="457"/>
        <v>5.8823529411764719E-2</v>
      </c>
      <c r="BM165" s="493">
        <f t="shared" si="457"/>
        <v>-9.8765432098765427E-2</v>
      </c>
      <c r="BN165" s="492">
        <f t="shared" si="457"/>
        <v>0</v>
      </c>
      <c r="BO165" s="492">
        <f t="shared" si="457"/>
        <v>-0.11643835616438358</v>
      </c>
      <c r="BP165" s="492">
        <f t="shared" si="457"/>
        <v>-0.30232558139534882</v>
      </c>
      <c r="BQ165" s="493">
        <f t="shared" si="457"/>
        <v>0.6333333333333333</v>
      </c>
      <c r="BR165" s="492">
        <f t="shared" si="457"/>
        <v>0.52380952380952372</v>
      </c>
      <c r="BS165" s="492">
        <f t="shared" ref="BS165:BY165" si="458">BS69/BR69-1</f>
        <v>-5.3571428571428603E-2</v>
      </c>
      <c r="BT165" s="492">
        <f t="shared" si="458"/>
        <v>-6.6037735849056589E-2</v>
      </c>
      <c r="BU165" s="493">
        <f t="shared" si="458"/>
        <v>5.0505050505050608E-2</v>
      </c>
      <c r="BV165" s="492">
        <f t="shared" si="458"/>
        <v>9.1346153846153744E-2</v>
      </c>
      <c r="BW165" s="492">
        <f t="shared" si="458"/>
        <v>3.9647577092511099E-2</v>
      </c>
      <c r="BX165" s="492">
        <f t="shared" si="458"/>
        <v>4.0063273305084524E-2</v>
      </c>
      <c r="BY165" s="493">
        <f t="shared" si="458"/>
        <v>-7.9077464267457653E-2</v>
      </c>
      <c r="BZ165" s="492">
        <f t="shared" si="455"/>
        <v>9.414194925052799E-3</v>
      </c>
      <c r="CA165" s="492">
        <f t="shared" si="455"/>
        <v>-3.7726989799791388E-2</v>
      </c>
      <c r="CB165" s="492">
        <f t="shared" si="455"/>
        <v>-2.9173996886735498E-2</v>
      </c>
      <c r="CC165" s="493">
        <f t="shared" si="455"/>
        <v>-9.4620412183733626E-2</v>
      </c>
      <c r="CD165" s="22"/>
      <c r="CE165" s="492"/>
      <c r="CF165" s="492"/>
      <c r="CG165" s="492"/>
      <c r="CH165" s="492"/>
      <c r="CI165" s="492"/>
      <c r="CJ165" s="492"/>
      <c r="CK165" s="492"/>
      <c r="CL165" s="492"/>
      <c r="CM165" s="492"/>
      <c r="CN165" s="492"/>
      <c r="CO165" s="333"/>
      <c r="CP165" s="333"/>
      <c r="CQ165" s="333"/>
      <c r="CR165" s="333"/>
      <c r="CS165" s="492"/>
      <c r="CT165" s="492"/>
      <c r="CU165" s="492"/>
      <c r="CV165" s="492"/>
      <c r="CW165" s="492"/>
      <c r="CX165" s="492"/>
      <c r="CY165" s="492"/>
      <c r="CZ165" s="492"/>
      <c r="DA165" s="492"/>
      <c r="DB165" s="492"/>
      <c r="DC165" s="492"/>
      <c r="DD165" s="1517"/>
      <c r="DE165" s="1483"/>
      <c r="DF165" s="24"/>
      <c r="DG165" s="23"/>
      <c r="DH165" s="24"/>
      <c r="DI165" s="24"/>
      <c r="DJ165" s="24"/>
      <c r="DK165" s="24"/>
      <c r="DL165" s="141"/>
      <c r="DM165" s="141"/>
      <c r="DN165" s="141"/>
      <c r="DO165" s="141"/>
      <c r="DP165" s="24"/>
      <c r="DQ165" s="24"/>
      <c r="DR165" s="24"/>
      <c r="DS165" s="23"/>
      <c r="DT165" s="24"/>
      <c r="DU165" s="24"/>
      <c r="DV165" s="24"/>
      <c r="DW165" s="25"/>
      <c r="DX165" s="24"/>
      <c r="DY165" s="24"/>
      <c r="DZ165" s="1561"/>
    </row>
    <row r="166" spans="1:136" ht="11.25" customHeight="1">
      <c r="A166" s="145"/>
      <c r="B166" s="227"/>
      <c r="C166" s="201" t="s">
        <v>79</v>
      </c>
      <c r="D166" s="201"/>
      <c r="E166" s="202"/>
      <c r="F166" s="368"/>
      <c r="G166" s="368">
        <f t="shared" ref="G166:AL166" si="459">G67/F67-1</f>
        <v>6.530784734412598E-2</v>
      </c>
      <c r="H166" s="368">
        <f t="shared" si="459"/>
        <v>-4.9311891611485748E-2</v>
      </c>
      <c r="I166" s="378">
        <f t="shared" si="459"/>
        <v>-0.36064837104798597</v>
      </c>
      <c r="J166" s="368">
        <f t="shared" si="459"/>
        <v>0.41103971082885704</v>
      </c>
      <c r="K166" s="368">
        <f t="shared" si="459"/>
        <v>2.6559692597797779E-2</v>
      </c>
      <c r="L166" s="368">
        <f t="shared" si="459"/>
        <v>9.1151699996534274E-2</v>
      </c>
      <c r="M166" s="378">
        <f t="shared" si="459"/>
        <v>-9.8100562208175979E-2</v>
      </c>
      <c r="N166" s="368">
        <f t="shared" si="459"/>
        <v>2.7628590043846657E-2</v>
      </c>
      <c r="O166" s="368">
        <f t="shared" si="459"/>
        <v>0.16587271667980374</v>
      </c>
      <c r="P166" s="368">
        <f t="shared" si="459"/>
        <v>-4.566565742673212E-2</v>
      </c>
      <c r="Q166" s="378">
        <f t="shared" si="459"/>
        <v>-2.4333523278557978E-3</v>
      </c>
      <c r="R166" s="368">
        <f t="shared" si="459"/>
        <v>0.40953792475259787</v>
      </c>
      <c r="S166" s="368">
        <f t="shared" si="459"/>
        <v>-0.2278203723986858</v>
      </c>
      <c r="T166" s="368">
        <f t="shared" si="459"/>
        <v>4.5390070921985881E-2</v>
      </c>
      <c r="U166" s="378">
        <f t="shared" si="459"/>
        <v>-3.5278154681139817E-2</v>
      </c>
      <c r="V166" s="368">
        <f t="shared" si="459"/>
        <v>0.15189873417721533</v>
      </c>
      <c r="W166" s="368">
        <f t="shared" si="459"/>
        <v>0.14285714285714279</v>
      </c>
      <c r="X166" s="368">
        <f t="shared" si="459"/>
        <v>2.8846153846153966E-2</v>
      </c>
      <c r="Y166" s="378">
        <f t="shared" si="459"/>
        <v>6.0228452751817096E-2</v>
      </c>
      <c r="Z166" s="368">
        <f t="shared" si="459"/>
        <v>8.1292850146915008E-2</v>
      </c>
      <c r="AA166" s="368">
        <f t="shared" si="459"/>
        <v>0.12318840579710133</v>
      </c>
      <c r="AB166" s="368">
        <f t="shared" si="459"/>
        <v>-5.4838709677419328E-2</v>
      </c>
      <c r="AC166" s="378">
        <f t="shared" si="459"/>
        <v>-5.8020477815699745E-2</v>
      </c>
      <c r="AD166" s="368">
        <f t="shared" si="459"/>
        <v>7.7898550724637694E-2</v>
      </c>
      <c r="AE166" s="368">
        <f t="shared" si="459"/>
        <v>0.11764705882352944</v>
      </c>
      <c r="AF166" s="368">
        <f t="shared" si="459"/>
        <v>-0.19548872180451127</v>
      </c>
      <c r="AG166" s="368">
        <f t="shared" si="459"/>
        <v>0.17757009345794383</v>
      </c>
      <c r="AH166" s="943">
        <f t="shared" si="459"/>
        <v>0.10317460317460325</v>
      </c>
      <c r="AI166" s="368">
        <f t="shared" si="459"/>
        <v>0.30215827338129486</v>
      </c>
      <c r="AJ166" s="368">
        <f t="shared" si="459"/>
        <v>-1.1049723756906049E-2</v>
      </c>
      <c r="AK166" s="378">
        <f t="shared" si="459"/>
        <v>2.7932960893854775E-2</v>
      </c>
      <c r="AL166" s="943">
        <f t="shared" si="459"/>
        <v>3.2608695652173836E-2</v>
      </c>
      <c r="AM166" s="368">
        <f t="shared" ref="AM166:BR166" si="460">AM67/AL67-1</f>
        <v>-3.6842105263157898E-2</v>
      </c>
      <c r="AN166" s="368">
        <f t="shared" si="460"/>
        <v>-4.9180327868852514E-2</v>
      </c>
      <c r="AO166" s="378">
        <f t="shared" si="460"/>
        <v>5.7471264367816133E-2</v>
      </c>
      <c r="AP166" s="368">
        <f t="shared" si="460"/>
        <v>5.9782608695652106E-2</v>
      </c>
      <c r="AQ166" s="368">
        <f t="shared" si="460"/>
        <v>9.7435897435897534E-2</v>
      </c>
      <c r="AR166" s="368">
        <f t="shared" si="460"/>
        <v>4.6728971962616717E-2</v>
      </c>
      <c r="AS166" s="378">
        <f t="shared" si="460"/>
        <v>-4.0178571428571397E-2</v>
      </c>
      <c r="AT166" s="368">
        <f t="shared" si="460"/>
        <v>5.1162790697674376E-2</v>
      </c>
      <c r="AU166" s="368">
        <f t="shared" si="460"/>
        <v>3.9823008849557473E-2</v>
      </c>
      <c r="AV166" s="368">
        <f t="shared" si="460"/>
        <v>2.9787234042553123E-2</v>
      </c>
      <c r="AW166" s="378">
        <f t="shared" si="460"/>
        <v>8.2644628099173501E-2</v>
      </c>
      <c r="AX166" s="943">
        <f t="shared" si="460"/>
        <v>-3.8167938931297218E-3</v>
      </c>
      <c r="AY166" s="368">
        <f t="shared" si="460"/>
        <v>4.5977011494252817E-2</v>
      </c>
      <c r="AZ166" s="368">
        <f t="shared" si="460"/>
        <v>0.40293040293040283</v>
      </c>
      <c r="BA166" s="378">
        <f t="shared" si="460"/>
        <v>0.49347258485639678</v>
      </c>
      <c r="BB166" s="368">
        <f t="shared" si="460"/>
        <v>-1.3986013986013957E-2</v>
      </c>
      <c r="BC166" s="368">
        <f t="shared" si="460"/>
        <v>-6.2056737588652489E-2</v>
      </c>
      <c r="BD166" s="368">
        <f t="shared" si="460"/>
        <v>5.6710775047259077E-2</v>
      </c>
      <c r="BE166" s="378">
        <f t="shared" si="460"/>
        <v>8.9445438282647061E-3</v>
      </c>
      <c r="BF166" s="436">
        <f t="shared" si="460"/>
        <v>1.7730496453900679E-2</v>
      </c>
      <c r="BG166" s="436">
        <f t="shared" si="460"/>
        <v>7.3170731707317138E-2</v>
      </c>
      <c r="BH166" s="436">
        <f t="shared" si="460"/>
        <v>-2.4350649350649345E-2</v>
      </c>
      <c r="BI166" s="437">
        <f t="shared" si="460"/>
        <v>-4.991680532445919E-3</v>
      </c>
      <c r="BJ166" s="436">
        <f t="shared" si="460"/>
        <v>3.3444816053511683E-3</v>
      </c>
      <c r="BK166" s="436">
        <f t="shared" si="460"/>
        <v>-3.5000000000000031E-2</v>
      </c>
      <c r="BL166" s="436">
        <f t="shared" si="460"/>
        <v>-2.5906735751295318E-2</v>
      </c>
      <c r="BM166" s="437">
        <f t="shared" si="460"/>
        <v>-6.560283687943258E-2</v>
      </c>
      <c r="BN166" s="436">
        <f t="shared" si="460"/>
        <v>7.5901328273244584E-3</v>
      </c>
      <c r="BO166" s="436">
        <f t="shared" si="460"/>
        <v>-2.4482109227871973E-2</v>
      </c>
      <c r="BP166" s="436">
        <f t="shared" si="460"/>
        <v>-0.13320463320463316</v>
      </c>
      <c r="BQ166" s="437">
        <f t="shared" si="460"/>
        <v>0.42761692650334071</v>
      </c>
      <c r="BR166" s="436">
        <f t="shared" si="460"/>
        <v>0.34633385335413425</v>
      </c>
      <c r="BS166" s="436">
        <f t="shared" ref="BS166:BY166" si="461">BS67/BR67-1</f>
        <v>-7.6477404403244464E-2</v>
      </c>
      <c r="BT166" s="436">
        <f t="shared" si="461"/>
        <v>1.7565872020075313E-2</v>
      </c>
      <c r="BU166" s="437">
        <f t="shared" si="461"/>
        <v>1.2330456226881115E-3</v>
      </c>
      <c r="BV166" s="436">
        <f t="shared" si="461"/>
        <v>8.6206896551723755E-3</v>
      </c>
      <c r="BW166" s="436">
        <f t="shared" si="461"/>
        <v>5.6166056166056189E-2</v>
      </c>
      <c r="BX166" s="436">
        <f t="shared" si="461"/>
        <v>-2.3855528554913463E-2</v>
      </c>
      <c r="BY166" s="437">
        <f t="shared" si="461"/>
        <v>-2.8096161101272776E-2</v>
      </c>
      <c r="BZ166" s="436">
        <f>BZ67/BY67-1</f>
        <v>-1.1405392595025043E-2</v>
      </c>
      <c r="CA166" s="436">
        <f>CA67/BZ67-1</f>
        <v>-2.2008041479759322E-2</v>
      </c>
      <c r="CB166" s="436">
        <f>CB67/CA67-1</f>
        <v>-1.2995833436968418E-3</v>
      </c>
      <c r="CC166" s="437">
        <f>CC67/CB67-1</f>
        <v>-9.2213767878001951E-2</v>
      </c>
      <c r="CD166" s="743"/>
      <c r="CE166" s="368"/>
      <c r="CF166" s="368"/>
      <c r="CG166" s="368"/>
      <c r="CH166" s="368"/>
      <c r="CI166" s="368"/>
      <c r="CJ166" s="368"/>
      <c r="CK166" s="368"/>
      <c r="CL166" s="368"/>
      <c r="CM166" s="368"/>
      <c r="CN166" s="368"/>
      <c r="CO166" s="364"/>
      <c r="CP166" s="364"/>
      <c r="CQ166" s="364"/>
      <c r="CR166" s="364"/>
      <c r="CS166" s="368"/>
      <c r="CT166" s="368"/>
      <c r="CU166" s="368"/>
      <c r="CV166" s="368"/>
      <c r="CW166" s="368"/>
      <c r="CX166" s="368"/>
      <c r="CY166" s="368"/>
      <c r="CZ166" s="368"/>
      <c r="DA166" s="368"/>
      <c r="DB166" s="368"/>
      <c r="DC166" s="368"/>
      <c r="DD166" s="1505"/>
      <c r="DE166" s="1551"/>
      <c r="DF166" s="141"/>
      <c r="DG166" s="215"/>
      <c r="DH166" s="141"/>
      <c r="DI166" s="141"/>
      <c r="DJ166" s="141"/>
      <c r="DK166" s="141"/>
      <c r="DL166" s="141"/>
      <c r="DM166" s="141"/>
      <c r="DN166" s="141"/>
      <c r="DO166" s="141"/>
      <c r="DP166" s="141"/>
      <c r="DQ166" s="141"/>
      <c r="DR166" s="141"/>
      <c r="DS166" s="215"/>
      <c r="DT166" s="141"/>
      <c r="DU166" s="141"/>
      <c r="DV166" s="141"/>
      <c r="DW166" s="216"/>
      <c r="DX166" s="141"/>
      <c r="DY166" s="141"/>
      <c r="DZ166" s="1676"/>
    </row>
    <row r="167" spans="1:136" ht="11.25" customHeight="1">
      <c r="A167" s="3"/>
      <c r="B167" s="207"/>
      <c r="C167" s="201" t="s">
        <v>47</v>
      </c>
      <c r="D167" s="201"/>
      <c r="E167" s="202"/>
      <c r="F167" s="852"/>
      <c r="G167" s="852" t="str">
        <f t="shared" ref="G167:AL167" si="462">IF(AND(G71&gt;0,F71&lt;0),"NM",IF(AND(G71&lt;0,G71&gt;F71),ABS(G71/F71-1),IF(AND(G71&lt;0,G71&lt;F71),-ABS(G71/F71-1),G71/F71-1)))</f>
        <v>NM</v>
      </c>
      <c r="H167" s="852">
        <f t="shared" si="462"/>
        <v>-0.50725362681344111</v>
      </c>
      <c r="I167" s="851">
        <f t="shared" si="462"/>
        <v>10.297461928934521</v>
      </c>
      <c r="J167" s="852">
        <f t="shared" si="462"/>
        <v>-1.0185118619698048</v>
      </c>
      <c r="K167" s="852" t="str">
        <f t="shared" si="462"/>
        <v>NM</v>
      </c>
      <c r="L167" s="852">
        <f t="shared" si="462"/>
        <v>0.40458406012435755</v>
      </c>
      <c r="M167" s="851">
        <f t="shared" si="462"/>
        <v>-4.5575413237203266E-2</v>
      </c>
      <c r="N167" s="852">
        <f t="shared" si="462"/>
        <v>0.46759990347911384</v>
      </c>
      <c r="O167" s="852">
        <f t="shared" si="462"/>
        <v>2.0073388821444142</v>
      </c>
      <c r="P167" s="852">
        <f t="shared" si="462"/>
        <v>-0.24924405184725595</v>
      </c>
      <c r="Q167" s="851">
        <f t="shared" si="462"/>
        <v>-0.1783925476371292</v>
      </c>
      <c r="R167" s="852">
        <f t="shared" si="462"/>
        <v>-0.89500159770661003</v>
      </c>
      <c r="S167" s="852">
        <f t="shared" si="462"/>
        <v>13.477499969131719</v>
      </c>
      <c r="T167" s="852">
        <f t="shared" si="462"/>
        <v>-0.31429205086596923</v>
      </c>
      <c r="U167" s="851">
        <f t="shared" si="462"/>
        <v>-0.39047679736154561</v>
      </c>
      <c r="V167" s="852">
        <f t="shared" si="462"/>
        <v>4.6973375135644702E-2</v>
      </c>
      <c r="W167" s="852">
        <f t="shared" si="462"/>
        <v>0.81490644512727228</v>
      </c>
      <c r="X167" s="852">
        <f t="shared" si="462"/>
        <v>0.24848451870017629</v>
      </c>
      <c r="Y167" s="851">
        <f t="shared" si="462"/>
        <v>-0.18853354171060466</v>
      </c>
      <c r="Z167" s="852">
        <f t="shared" si="462"/>
        <v>0.18369245133387402</v>
      </c>
      <c r="AA167" s="852">
        <f t="shared" si="462"/>
        <v>0.53549074823339571</v>
      </c>
      <c r="AB167" s="852">
        <f t="shared" si="462"/>
        <v>-3.4502094604173972E-2</v>
      </c>
      <c r="AC167" s="851">
        <f t="shared" si="462"/>
        <v>-0.19518576791842857</v>
      </c>
      <c r="AD167" s="852">
        <f t="shared" si="462"/>
        <v>0.22189655363336991</v>
      </c>
      <c r="AE167" s="852">
        <f t="shared" si="462"/>
        <v>0.23203483578478168</v>
      </c>
      <c r="AF167" s="852">
        <f t="shared" si="462"/>
        <v>-5.6901184033872565E-2</v>
      </c>
      <c r="AG167" s="852">
        <f t="shared" si="462"/>
        <v>-0.31576172003794556</v>
      </c>
      <c r="AH167" s="850">
        <f t="shared" si="462"/>
        <v>1.3376162535422118</v>
      </c>
      <c r="AI167" s="852">
        <f t="shared" si="462"/>
        <v>0.80611004231863048</v>
      </c>
      <c r="AJ167" s="852">
        <f t="shared" si="462"/>
        <v>-0.10441284943291074</v>
      </c>
      <c r="AK167" s="851">
        <f t="shared" si="462"/>
        <v>-0.18998865003317966</v>
      </c>
      <c r="AL167" s="850">
        <f t="shared" si="462"/>
        <v>-2.934960160301725E-2</v>
      </c>
      <c r="AM167" s="852">
        <f t="shared" ref="AM167:BR167" si="463">IF(AND(AM71&gt;0,AL71&lt;0),"NM",IF(AND(AM71&lt;0,AM71&gt;AL71),ABS(AM71/AL71-1),IF(AND(AM71&lt;0,AM71&lt;AL71),-ABS(AM71/AL71-1),AM71/AL71-1)))</f>
        <v>-0.54362222907902691</v>
      </c>
      <c r="AN167" s="852">
        <f t="shared" si="463"/>
        <v>-0.26122588765977628</v>
      </c>
      <c r="AO167" s="851">
        <f t="shared" si="463"/>
        <v>1.3600181967360458</v>
      </c>
      <c r="AP167" s="852">
        <f t="shared" si="463"/>
        <v>0.7184313982455337</v>
      </c>
      <c r="AQ167" s="852">
        <f t="shared" si="463"/>
        <v>0.48129950625449336</v>
      </c>
      <c r="AR167" s="852">
        <f t="shared" si="463"/>
        <v>-6.7731819751826294E-2</v>
      </c>
      <c r="AS167" s="851">
        <f t="shared" si="463"/>
        <v>-0.27221192185436993</v>
      </c>
      <c r="AT167" s="852">
        <f t="shared" si="463"/>
        <v>-0.31282603700327127</v>
      </c>
      <c r="AU167" s="852">
        <f t="shared" si="463"/>
        <v>8.8748341174765377E-2</v>
      </c>
      <c r="AV167" s="852">
        <f t="shared" si="463"/>
        <v>-0.30147307519984257</v>
      </c>
      <c r="AW167" s="851">
        <f t="shared" si="463"/>
        <v>0.23362143795968193</v>
      </c>
      <c r="AX167" s="850">
        <f t="shared" si="463"/>
        <v>0.35270509316939935</v>
      </c>
      <c r="AY167" s="852">
        <f t="shared" si="463"/>
        <v>0.33856040770258256</v>
      </c>
      <c r="AZ167" s="852">
        <f t="shared" si="463"/>
        <v>0.84925786772103029</v>
      </c>
      <c r="BA167" s="851">
        <f t="shared" si="463"/>
        <v>0.35283523869541655</v>
      </c>
      <c r="BB167" s="852">
        <f t="shared" si="463"/>
        <v>-0.28985220601347172</v>
      </c>
      <c r="BC167" s="852">
        <f t="shared" si="463"/>
        <v>-0.14821487479382234</v>
      </c>
      <c r="BD167" s="852">
        <f t="shared" si="463"/>
        <v>-4.988156967056856E-2</v>
      </c>
      <c r="BE167" s="851">
        <f t="shared" si="463"/>
        <v>-3.4243681909138846E-2</v>
      </c>
      <c r="BF167" s="852">
        <f t="shared" si="463"/>
        <v>7.6418449921149767E-2</v>
      </c>
      <c r="BG167" s="852">
        <f t="shared" si="463"/>
        <v>3.3425050911632725E-2</v>
      </c>
      <c r="BH167" s="852">
        <f t="shared" si="463"/>
        <v>-0.11351030657578898</v>
      </c>
      <c r="BI167" s="851">
        <f t="shared" si="463"/>
        <v>-6.5559290905977896E-2</v>
      </c>
      <c r="BJ167" s="852">
        <f t="shared" si="463"/>
        <v>0.23502321417417926</v>
      </c>
      <c r="BK167" s="852">
        <f t="shared" si="463"/>
        <v>3.8284271250214941E-2</v>
      </c>
      <c r="BL167" s="852">
        <f t="shared" si="463"/>
        <v>-0.17861225125993663</v>
      </c>
      <c r="BM167" s="851">
        <f t="shared" si="463"/>
        <v>-0.1579642851495171</v>
      </c>
      <c r="BN167" s="852">
        <f t="shared" si="463"/>
        <v>4.7519557728310513E-2</v>
      </c>
      <c r="BO167" s="852">
        <f t="shared" si="463"/>
        <v>-4.2607428987618157E-2</v>
      </c>
      <c r="BP167" s="852">
        <f t="shared" si="463"/>
        <v>-0.18714925242121916</v>
      </c>
      <c r="BQ167" s="851">
        <f t="shared" si="463"/>
        <v>0.29796118182341802</v>
      </c>
      <c r="BR167" s="852">
        <f t="shared" si="463"/>
        <v>0.63192154948638879</v>
      </c>
      <c r="BS167" s="852">
        <f t="shared" ref="BS167:BY167" si="464">IF(AND(BS71&gt;0,BR71&lt;0),"NM",IF(AND(BS71&lt;0,BS71&gt;BR71),ABS(BS71/BR71-1),IF(AND(BS71&lt;0,BS71&lt;BR71),-ABS(BS71/BR71-1),BS71/BR71-1)))</f>
        <v>0.35251836705838824</v>
      </c>
      <c r="BT167" s="852">
        <f t="shared" si="464"/>
        <v>2.0327626292527823E-2</v>
      </c>
      <c r="BU167" s="851">
        <f t="shared" si="464"/>
        <v>0.16846127777624509</v>
      </c>
      <c r="BV167" s="852">
        <f t="shared" si="464"/>
        <v>0.15748387330670788</v>
      </c>
      <c r="BW167" s="852">
        <f t="shared" si="464"/>
        <v>4.989201414560096E-2</v>
      </c>
      <c r="BX167" s="852">
        <f t="shared" si="464"/>
        <v>-0.13842581020702704</v>
      </c>
      <c r="BY167" s="851">
        <f t="shared" si="464"/>
        <v>-9.1933671688662399E-2</v>
      </c>
      <c r="BZ167" s="852">
        <f>IF(AND(BZ71&gt;0,BY71&lt;0),"NM",IF(AND(BZ71&lt;0,BZ71&gt;BY71),ABS(BZ71/BY71-1),IF(AND(BZ71&lt;0,BZ71&lt;BY71),-ABS(BZ71/BY71-1),BZ71/BY71-1)))</f>
        <v>2.3606911777513284E-2</v>
      </c>
      <c r="CA167" s="852">
        <f>IF(AND(CA71&gt;0,BZ71&lt;0),"NM",IF(AND(CA71&lt;0,CA71&gt;BZ71),ABS(CA71/BZ71-1),IF(AND(CA71&lt;0,CA71&lt;BZ71),-ABS(CA71/BZ71-1),CA71/BZ71-1)))</f>
        <v>-7.6575039326286398E-2</v>
      </c>
      <c r="CB167" s="852">
        <f>IF(AND(CB71&gt;0,CA71&lt;0),"NM",IF(AND(CB71&lt;0,CB71&gt;CA71),ABS(CB71/CA71-1),IF(AND(CB71&lt;0,CB71&lt;CA71),-ABS(CB71/CA71-1),CB71/CA71-1)))</f>
        <v>-0.16664799903857164</v>
      </c>
      <c r="CC167" s="851">
        <f>IF(AND(CC71&gt;0,CB71&lt;0),"NM",IF(AND(CC71&lt;0,CC71&gt;CB71),ABS(CC71/CB71-1),IF(AND(CC71&lt;0,CC71&lt;CB71),-ABS(CC71/CB71-1),CC71/CB71-1)))</f>
        <v>-6.1062003596373038E-2</v>
      </c>
      <c r="CD167" s="22"/>
      <c r="CE167" s="852"/>
      <c r="CF167" s="852"/>
      <c r="CG167" s="852"/>
      <c r="CH167" s="852"/>
      <c r="CI167" s="852"/>
      <c r="CJ167" s="852"/>
      <c r="CK167" s="852"/>
      <c r="CL167" s="852"/>
      <c r="CM167" s="852"/>
      <c r="CN167" s="852"/>
      <c r="CO167" s="332"/>
      <c r="CP167" s="332"/>
      <c r="CQ167" s="332"/>
      <c r="CR167" s="332"/>
      <c r="CS167" s="852"/>
      <c r="CT167" s="852"/>
      <c r="CU167" s="852"/>
      <c r="CV167" s="852"/>
      <c r="CW167" s="852"/>
      <c r="CX167" s="852"/>
      <c r="CY167" s="852"/>
      <c r="CZ167" s="852"/>
      <c r="DA167" s="852"/>
      <c r="DB167" s="852"/>
      <c r="DC167" s="852"/>
      <c r="DD167" s="1517"/>
      <c r="DE167" s="1483"/>
      <c r="DF167" s="24"/>
      <c r="DG167" s="23"/>
      <c r="DH167" s="24"/>
      <c r="DI167" s="24"/>
      <c r="DJ167" s="24"/>
      <c r="DK167" s="24"/>
      <c r="DL167" s="141"/>
      <c r="DM167" s="141"/>
      <c r="DN167" s="141"/>
      <c r="DO167" s="141"/>
      <c r="DP167" s="24"/>
      <c r="DQ167" s="24"/>
      <c r="DR167" s="24"/>
      <c r="DS167" s="23"/>
      <c r="DT167" s="24"/>
      <c r="DU167" s="24"/>
      <c r="DV167" s="24"/>
      <c r="DW167" s="25"/>
      <c r="DX167" s="24"/>
      <c r="DY167" s="24"/>
      <c r="DZ167" s="1561"/>
    </row>
    <row r="168" spans="1:136" ht="11.25" customHeight="1">
      <c r="A168" s="3"/>
      <c r="B168" s="207"/>
      <c r="C168" s="201" t="s">
        <v>42</v>
      </c>
      <c r="D168" s="201"/>
      <c r="E168" s="228"/>
      <c r="F168" s="852"/>
      <c r="G168" s="852" t="str">
        <f t="shared" ref="G168:AL168" si="465">IF(AND(G78&gt;0,F78&lt;0),"NM",IF(AND(G78&lt;0,G78&gt;F78),ABS(G78/F78-1),IF(AND(G78&lt;0,G78&lt;F78),-ABS(G78/F78-1),G78/F78-1)))</f>
        <v>NM</v>
      </c>
      <c r="H168" s="852">
        <f t="shared" si="465"/>
        <v>-0.63460183227627276</v>
      </c>
      <c r="I168" s="851">
        <f t="shared" si="465"/>
        <v>-40.851494696240799</v>
      </c>
      <c r="J168" s="852">
        <f t="shared" si="465"/>
        <v>0.98652180225523911</v>
      </c>
      <c r="K168" s="852" t="str">
        <f t="shared" si="465"/>
        <v>NM</v>
      </c>
      <c r="L168" s="852">
        <f t="shared" si="465"/>
        <v>0.13691902497366293</v>
      </c>
      <c r="M168" s="851">
        <f t="shared" si="465"/>
        <v>-4.9415060170203695E-2</v>
      </c>
      <c r="N168" s="852">
        <f t="shared" si="465"/>
        <v>0.43878976378155099</v>
      </c>
      <c r="O168" s="852">
        <f t="shared" si="465"/>
        <v>2.1337661723456303</v>
      </c>
      <c r="P168" s="852">
        <f t="shared" si="465"/>
        <v>-0.24566200802688121</v>
      </c>
      <c r="Q168" s="851">
        <f t="shared" si="465"/>
        <v>-0.17029659143649045</v>
      </c>
      <c r="R168" s="852">
        <f t="shared" si="465"/>
        <v>-0.88907857303809834</v>
      </c>
      <c r="S168" s="852">
        <f t="shared" si="465"/>
        <v>12.646237409490766</v>
      </c>
      <c r="T168" s="852">
        <f t="shared" si="465"/>
        <v>-0.31288952632178968</v>
      </c>
      <c r="U168" s="851">
        <f t="shared" si="465"/>
        <v>-0.39376214357966199</v>
      </c>
      <c r="V168" s="852">
        <f t="shared" si="465"/>
        <v>5.0498516087449374E-2</v>
      </c>
      <c r="W168" s="852">
        <f t="shared" si="465"/>
        <v>0.84054747076829783</v>
      </c>
      <c r="X168" s="852">
        <f t="shared" si="465"/>
        <v>0.26417822549110426</v>
      </c>
      <c r="Y168" s="851">
        <f t="shared" si="465"/>
        <v>-0.17257920380799341</v>
      </c>
      <c r="Z168" s="852">
        <f t="shared" si="465"/>
        <v>0.17210590702761031</v>
      </c>
      <c r="AA168" s="852">
        <f t="shared" si="465"/>
        <v>0.52073714306403218</v>
      </c>
      <c r="AB168" s="852">
        <f t="shared" si="465"/>
        <v>-1.4919986972975696E-2</v>
      </c>
      <c r="AC168" s="851">
        <f t="shared" si="465"/>
        <v>-0.17776951680013753</v>
      </c>
      <c r="AD168" s="852">
        <f t="shared" si="465"/>
        <v>0.22230233531039256</v>
      </c>
      <c r="AE168" s="852">
        <f t="shared" si="465"/>
        <v>0.24501381022166169</v>
      </c>
      <c r="AF168" s="852">
        <f t="shared" si="465"/>
        <v>-6.0166987793209503E-2</v>
      </c>
      <c r="AG168" s="852">
        <f t="shared" si="465"/>
        <v>-0.28478645196914099</v>
      </c>
      <c r="AH168" s="850">
        <f t="shared" si="465"/>
        <v>1.1079164026177613</v>
      </c>
      <c r="AI168" s="852">
        <f t="shared" si="465"/>
        <v>0.69156651787163836</v>
      </c>
      <c r="AJ168" s="852">
        <f t="shared" si="465"/>
        <v>-8.4402346108791937E-2</v>
      </c>
      <c r="AK168" s="851">
        <f t="shared" si="465"/>
        <v>-0.18142500290418417</v>
      </c>
      <c r="AL168" s="850">
        <f t="shared" si="465"/>
        <v>-2.9844817877732854E-2</v>
      </c>
      <c r="AM168" s="852">
        <f t="shared" ref="AM168:BR168" si="466">IF(AND(AM78&gt;0,AL78&lt;0),"NM",IF(AND(AM78&lt;0,AM78&gt;AL78),ABS(AM78/AL78-1),IF(AND(AM78&lt;0,AM78&lt;AL78),-ABS(AM78/AL78-1),AM78/AL78-1)))</f>
        <v>-0.5748170479472654</v>
      </c>
      <c r="AN168" s="852">
        <f t="shared" si="466"/>
        <v>-0.2239107031466252</v>
      </c>
      <c r="AO168" s="851">
        <f t="shared" si="466"/>
        <v>1.4269561365187293</v>
      </c>
      <c r="AP168" s="852">
        <f t="shared" si="466"/>
        <v>0.7262325250124142</v>
      </c>
      <c r="AQ168" s="852">
        <f t="shared" si="466"/>
        <v>0.48432703413829303</v>
      </c>
      <c r="AR168" s="852">
        <f t="shared" si="466"/>
        <v>-6.5899942346546947E-2</v>
      </c>
      <c r="AS168" s="851">
        <f t="shared" si="466"/>
        <v>-0.27237572741752858</v>
      </c>
      <c r="AT168" s="852">
        <f t="shared" si="466"/>
        <v>-0.31111220105418114</v>
      </c>
      <c r="AU168" s="852">
        <f t="shared" si="466"/>
        <v>8.4222867190262729E-2</v>
      </c>
      <c r="AV168" s="852">
        <f t="shared" si="466"/>
        <v>-0.29438353702206888</v>
      </c>
      <c r="AW168" s="851">
        <f t="shared" si="466"/>
        <v>0.220408896159769</v>
      </c>
      <c r="AX168" s="850">
        <f t="shared" si="466"/>
        <v>0.3544146485385562</v>
      </c>
      <c r="AY168" s="852">
        <f t="shared" si="466"/>
        <v>0.33619334378492494</v>
      </c>
      <c r="AZ168" s="852">
        <f t="shared" si="466"/>
        <v>0.84845041864130977</v>
      </c>
      <c r="BA168" s="851">
        <f t="shared" si="466"/>
        <v>0.35053340794279464</v>
      </c>
      <c r="BB168" s="852">
        <f t="shared" si="466"/>
        <v>-0.29953889480552576</v>
      </c>
      <c r="BC168" s="852">
        <f t="shared" si="466"/>
        <v>-0.14526650329300073</v>
      </c>
      <c r="BD168" s="852">
        <f t="shared" si="466"/>
        <v>-5.2567352171960846E-2</v>
      </c>
      <c r="BE168" s="851">
        <f t="shared" si="466"/>
        <v>-3.1173399909215527E-2</v>
      </c>
      <c r="BF168" s="852">
        <f t="shared" si="466"/>
        <v>7.5808901331022582E-2</v>
      </c>
      <c r="BG168" s="852">
        <f t="shared" si="466"/>
        <v>3.2216948040376669E-2</v>
      </c>
      <c r="BH168" s="852">
        <f t="shared" si="466"/>
        <v>-0.11922141119221452</v>
      </c>
      <c r="BI168" s="851">
        <f t="shared" si="466"/>
        <v>-5.1292594130233238E-2</v>
      </c>
      <c r="BJ168" s="852">
        <f t="shared" si="466"/>
        <v>0.22907996886242676</v>
      </c>
      <c r="BK168" s="852">
        <f t="shared" si="466"/>
        <v>4.0585832788422982E-2</v>
      </c>
      <c r="BL168" s="852">
        <f t="shared" si="466"/>
        <v>-0.18260778017581725</v>
      </c>
      <c r="BM168" s="851">
        <f t="shared" si="466"/>
        <v>-0.15881291054868651</v>
      </c>
      <c r="BN168" s="852">
        <f t="shared" si="466"/>
        <v>4.8429061025282438E-2</v>
      </c>
      <c r="BO168" s="852">
        <f t="shared" si="466"/>
        <v>-4.1103314507387578E-2</v>
      </c>
      <c r="BP168" s="852">
        <f t="shared" si="466"/>
        <v>-0.1926465776244165</v>
      </c>
      <c r="BQ168" s="851">
        <f t="shared" si="466"/>
        <v>-0.28747862995932294</v>
      </c>
      <c r="BR168" s="852">
        <f t="shared" si="466"/>
        <v>1.1038183096843586</v>
      </c>
      <c r="BS168" s="852">
        <f t="shared" ref="BS168:BY168" si="467">IF(AND(BS78&gt;0,BR78&lt;0),"NM",IF(AND(BS78&lt;0,BS78&gt;BR78),ABS(BS78/BR78-1),IF(AND(BS78&lt;0,BS78&lt;BR78),-ABS(BS78/BR78-1),BS78/BR78-1)))</f>
        <v>0.52166723035417895</v>
      </c>
      <c r="BT168" s="852">
        <f t="shared" si="467"/>
        <v>4.5516396524921676E-2</v>
      </c>
      <c r="BU168" s="851">
        <f t="shared" si="467"/>
        <v>0.22247724564812166</v>
      </c>
      <c r="BV168" s="852">
        <f t="shared" si="467"/>
        <v>0.18581768659062958</v>
      </c>
      <c r="BW168" s="852">
        <f t="shared" si="467"/>
        <v>7.5451991490922188E-2</v>
      </c>
      <c r="BX168" s="852">
        <f t="shared" si="467"/>
        <v>-0.15867926349337258</v>
      </c>
      <c r="BY168" s="851">
        <f t="shared" si="467"/>
        <v>-0.10151994956470434</v>
      </c>
      <c r="BZ168" s="852">
        <f>IF(AND(BZ78&gt;0,BY78&lt;0),"NM",IF(AND(BZ78&lt;0,BZ78&gt;BY78),ABS(BZ78/BY78-1),IF(AND(BZ78&lt;0,BZ78&lt;BY78),-ABS(BZ78/BY78-1),BZ78/BY78-1)))</f>
        <v>6.2326315900039564E-2</v>
      </c>
      <c r="CA168" s="852">
        <f>IF(AND(CA78&gt;0,BZ78&lt;0),"NM",IF(AND(CA78&lt;0,CA78&gt;BZ78),ABS(CA78/BZ78-1),IF(AND(CA78&lt;0,CA78&lt;BZ78),-ABS(CA78/BZ78-1),CA78/BZ78-1)))</f>
        <v>-8.3963300140042274E-2</v>
      </c>
      <c r="CB168" s="852">
        <f>IF(AND(CB78&gt;0,CA78&lt;0),"NM",IF(AND(CB78&lt;0,CB78&gt;CA78),ABS(CB78/CA78-1),IF(AND(CB78&lt;0,CB78&lt;CA78),-ABS(CB78/CA78-1),CB78/CA78-1)))</f>
        <v>-0.18775578397548698</v>
      </c>
      <c r="CC168" s="851">
        <f>IF(AND(CC78&gt;0,CB78&lt;0),"NM",IF(AND(CC78&lt;0,CC78&gt;CB78),ABS(CC78/CB78-1),IF(AND(CC78&lt;0,CC78&lt;CB78),-ABS(CC78/CB78-1),CC78/CB78-1)))</f>
        <v>-6.7826896393255121E-2</v>
      </c>
      <c r="CD168" s="22"/>
      <c r="CE168" s="852"/>
      <c r="CF168" s="852"/>
      <c r="CG168" s="852"/>
      <c r="CH168" s="852"/>
      <c r="CI168" s="852"/>
      <c r="CJ168" s="852"/>
      <c r="CK168" s="852"/>
      <c r="CL168" s="852"/>
      <c r="CM168" s="852"/>
      <c r="CN168" s="852"/>
      <c r="CO168" s="332"/>
      <c r="CP168" s="332"/>
      <c r="CQ168" s="332"/>
      <c r="CR168" s="332"/>
      <c r="CS168" s="852"/>
      <c r="CT168" s="852"/>
      <c r="CU168" s="852"/>
      <c r="CV168" s="852"/>
      <c r="CW168" s="852"/>
      <c r="CX168" s="852"/>
      <c r="CY168" s="852"/>
      <c r="CZ168" s="852"/>
      <c r="DA168" s="852"/>
      <c r="DB168" s="852"/>
      <c r="DC168" s="852"/>
      <c r="DD168" s="1517"/>
      <c r="DE168" s="1483"/>
      <c r="DF168" s="24"/>
      <c r="DG168" s="23"/>
      <c r="DH168" s="24"/>
      <c r="DI168" s="24"/>
      <c r="DJ168" s="24"/>
      <c r="DK168" s="24"/>
      <c r="DL168" s="141"/>
      <c r="DM168" s="19"/>
      <c r="DN168" s="19"/>
      <c r="DO168" s="19"/>
      <c r="DP168" s="24"/>
      <c r="DQ168" s="24"/>
      <c r="DR168" s="24"/>
      <c r="DS168" s="23"/>
      <c r="DT168" s="24"/>
      <c r="DU168" s="24"/>
      <c r="DV168" s="24"/>
      <c r="DW168" s="25"/>
      <c r="DX168" s="24"/>
      <c r="DY168" s="24"/>
      <c r="DZ168" s="1561"/>
    </row>
    <row r="169" spans="1:136" ht="11.25" customHeight="1">
      <c r="A169" s="3"/>
      <c r="B169" s="207"/>
      <c r="C169" s="201" t="s">
        <v>610</v>
      </c>
      <c r="D169" s="201"/>
      <c r="E169" s="202"/>
      <c r="F169" s="852"/>
      <c r="G169" s="852" t="str">
        <f t="shared" ref="G169:AL169" si="468">IF(AND(G85&gt;0,F85&lt;0),"NM",IF(AND(G85&lt;0,G85&gt;F85),ABS(G85/F85-1),IF(AND(G85&lt;0,G85&lt;F85),-ABS(G85/F85-1),G85/F85-1)))</f>
        <v>NM</v>
      </c>
      <c r="H169" s="852">
        <f t="shared" si="468"/>
        <v>-0.63460183227627276</v>
      </c>
      <c r="I169" s="851">
        <f t="shared" si="468"/>
        <v>-40.851494696240799</v>
      </c>
      <c r="J169" s="852">
        <f t="shared" si="468"/>
        <v>0.98652180225523911</v>
      </c>
      <c r="K169" s="852" t="str">
        <f t="shared" si="468"/>
        <v>NM</v>
      </c>
      <c r="L169" s="852">
        <f t="shared" si="468"/>
        <v>0.13691902497366293</v>
      </c>
      <c r="M169" s="851">
        <f t="shared" si="468"/>
        <v>-7.6978150924914002E-2</v>
      </c>
      <c r="N169" s="852">
        <f t="shared" si="468"/>
        <v>0.37063664468420865</v>
      </c>
      <c r="O169" s="852">
        <f t="shared" si="468"/>
        <v>2.2877553667594039</v>
      </c>
      <c r="P169" s="852">
        <f t="shared" si="468"/>
        <v>-0.25379617619671824</v>
      </c>
      <c r="Q169" s="851">
        <f t="shared" si="468"/>
        <v>-0.17302575419792987</v>
      </c>
      <c r="R169" s="852">
        <f t="shared" si="468"/>
        <v>-0.88851273127438235</v>
      </c>
      <c r="S169" s="852">
        <f t="shared" si="468"/>
        <v>12.691859857088732</v>
      </c>
      <c r="T169" s="852">
        <f t="shared" si="468"/>
        <v>-0.30391022131894774</v>
      </c>
      <c r="U169" s="851">
        <f t="shared" si="468"/>
        <v>-0.38192564158584752</v>
      </c>
      <c r="V169" s="852">
        <f t="shared" si="468"/>
        <v>2.7020617066680908E-2</v>
      </c>
      <c r="W169" s="852">
        <f t="shared" si="468"/>
        <v>0.84293029894641092</v>
      </c>
      <c r="X169" s="852">
        <f t="shared" si="468"/>
        <v>0.26364006501499326</v>
      </c>
      <c r="Y169" s="851">
        <f t="shared" si="468"/>
        <v>-0.15154175577135243</v>
      </c>
      <c r="Z169" s="852">
        <f t="shared" si="468"/>
        <v>0.14546901025146353</v>
      </c>
      <c r="AA169" s="852">
        <f t="shared" si="468"/>
        <v>0.51540583248281657</v>
      </c>
      <c r="AB169" s="852">
        <f t="shared" si="468"/>
        <v>-1.3402504072079435E-2</v>
      </c>
      <c r="AC169" s="851">
        <f t="shared" si="468"/>
        <v>-0.17448576724683662</v>
      </c>
      <c r="AD169" s="852">
        <f t="shared" si="468"/>
        <v>0.21288347255663198</v>
      </c>
      <c r="AE169" s="852">
        <f t="shared" si="468"/>
        <v>0.28127675909264505</v>
      </c>
      <c r="AF169" s="852">
        <f t="shared" si="468"/>
        <v>-6.7744466863408515E-2</v>
      </c>
      <c r="AG169" s="852">
        <f t="shared" si="468"/>
        <v>-0.2860426584455118</v>
      </c>
      <c r="AH169" s="850">
        <f t="shared" si="468"/>
        <v>1.0224531601871258</v>
      </c>
      <c r="AI169" s="852">
        <f t="shared" si="468"/>
        <v>0.7185848431191697</v>
      </c>
      <c r="AJ169" s="852">
        <f t="shared" si="468"/>
        <v>-8.416790999073287E-2</v>
      </c>
      <c r="AK169" s="851">
        <f t="shared" si="468"/>
        <v>-0.18433712774225453</v>
      </c>
      <c r="AL169" s="850">
        <f t="shared" si="468"/>
        <v>-7.486973171925404E-2</v>
      </c>
      <c r="AM169" s="852">
        <f t="shared" ref="AM169:BR169" si="469">IF(AND(AM85&gt;0,AL85&lt;0),"NM",IF(AND(AM85&lt;0,AM85&gt;AL85),ABS(AM85/AL85-1),IF(AND(AM85&lt;0,AM85&lt;AL85),-ABS(AM85/AL85-1),AM85/AL85-1)))</f>
        <v>-0.56496597230573009</v>
      </c>
      <c r="AN169" s="852">
        <f t="shared" si="469"/>
        <v>-0.26033675259432576</v>
      </c>
      <c r="AO169" s="851">
        <f t="shared" si="469"/>
        <v>1.5509125412866078</v>
      </c>
      <c r="AP169" s="852">
        <f t="shared" si="469"/>
        <v>0.66842525905353978</v>
      </c>
      <c r="AQ169" s="852">
        <f t="shared" si="469"/>
        <v>0.48794526617421696</v>
      </c>
      <c r="AR169" s="852">
        <f t="shared" si="469"/>
        <v>-6.7685766982941931E-2</v>
      </c>
      <c r="AS169" s="851">
        <f t="shared" si="469"/>
        <v>-0.26712431829174621</v>
      </c>
      <c r="AT169" s="852">
        <f t="shared" si="469"/>
        <v>-0.29545354446706174</v>
      </c>
      <c r="AU169" s="852">
        <f t="shared" si="469"/>
        <v>8.9919888836957007E-2</v>
      </c>
      <c r="AV169" s="852">
        <f t="shared" si="469"/>
        <v>-0.30822048854083495</v>
      </c>
      <c r="AW169" s="851">
        <f t="shared" si="469"/>
        <v>0.24517812605995237</v>
      </c>
      <c r="AX169" s="850">
        <f t="shared" si="469"/>
        <v>0.34027760666737805</v>
      </c>
      <c r="AY169" s="852">
        <f t="shared" si="469"/>
        <v>0.37607926128945746</v>
      </c>
      <c r="AZ169" s="852">
        <f t="shared" si="469"/>
        <v>0.72770315553270581</v>
      </c>
      <c r="BA169" s="851">
        <f t="shared" si="469"/>
        <v>0.40849448209424155</v>
      </c>
      <c r="BB169" s="852">
        <f t="shared" si="469"/>
        <v>-0.31900034191555915</v>
      </c>
      <c r="BC169" s="852">
        <f t="shared" si="469"/>
        <v>-0.13612476847954225</v>
      </c>
      <c r="BD169" s="852">
        <f t="shared" si="469"/>
        <v>1.2951815154507162E-3</v>
      </c>
      <c r="BE169" s="851">
        <f t="shared" si="469"/>
        <v>-7.1015339095227725E-2</v>
      </c>
      <c r="BF169" s="852">
        <f t="shared" si="469"/>
        <v>7.7177844178377031E-2</v>
      </c>
      <c r="BG169" s="852">
        <f t="shared" si="469"/>
        <v>3.4535750175754165E-2</v>
      </c>
      <c r="BH169" s="852">
        <f t="shared" si="469"/>
        <v>-0.116233942056019</v>
      </c>
      <c r="BI169" s="851">
        <f t="shared" si="469"/>
        <v>-5.2548041735459572E-2</v>
      </c>
      <c r="BJ169" s="852">
        <f t="shared" si="469"/>
        <v>0.23328467808942088</v>
      </c>
      <c r="BK169" s="852">
        <f t="shared" si="469"/>
        <v>7.5947661482099305E-2</v>
      </c>
      <c r="BL169" s="852">
        <f t="shared" si="469"/>
        <v>-0.20309221125597399</v>
      </c>
      <c r="BM169" s="851">
        <f t="shared" si="469"/>
        <v>-0.1675815891407022</v>
      </c>
      <c r="BN169" s="852">
        <f t="shared" si="469"/>
        <v>5.1641336029031981E-2</v>
      </c>
      <c r="BO169" s="852">
        <f t="shared" si="469"/>
        <v>-2.1863060221966046E-2</v>
      </c>
      <c r="BP169" s="852">
        <f t="shared" si="469"/>
        <v>-0.21316923458474157</v>
      </c>
      <c r="BQ169" s="851">
        <f t="shared" si="469"/>
        <v>-0.1529660215596037</v>
      </c>
      <c r="BR169" s="852">
        <f t="shared" si="469"/>
        <v>0.6654485915230901</v>
      </c>
      <c r="BS169" s="852">
        <f t="shared" ref="BS169:BY169" si="470">IF(AND(BS85&gt;0,BR85&lt;0),"NM",IF(AND(BS85&lt;0,BS85&gt;BR85),ABS(BS85/BR85-1),IF(AND(BS85&lt;0,BS85&lt;BR85),-ABS(BS85/BR85-1),BS85/BR85-1)))</f>
        <v>0.50786270321479265</v>
      </c>
      <c r="BT169" s="852">
        <f t="shared" si="470"/>
        <v>6.1084413939035853E-2</v>
      </c>
      <c r="BU169" s="851">
        <f t="shared" si="470"/>
        <v>0.23042386562320161</v>
      </c>
      <c r="BV169" s="852">
        <f t="shared" si="470"/>
        <v>0.23583409849536419</v>
      </c>
      <c r="BW169" s="852">
        <f t="shared" si="470"/>
        <v>0.1097427137432101</v>
      </c>
      <c r="BX169" s="852">
        <f t="shared" si="470"/>
        <v>-0.17008021916564631</v>
      </c>
      <c r="BY169" s="851">
        <f t="shared" si="470"/>
        <v>-0.10151994956470434</v>
      </c>
      <c r="BZ169" s="852">
        <f>IF(AND(BZ85&gt;0,BY85&lt;0),"NM",IF(AND(BZ85&lt;0,BZ85&gt;BY85),ABS(BZ85/BY85-1),IF(AND(BZ85&lt;0,BZ85&lt;BY85),-ABS(BZ85/BY85-1),BZ85/BY85-1)))</f>
        <v>6.2326315900039564E-2</v>
      </c>
      <c r="CA169" s="852">
        <f>IF(AND(CA85&gt;0,BZ85&lt;0),"NM",IF(AND(CA85&lt;0,CA85&gt;BZ85),ABS(CA85/BZ85-1),IF(AND(CA85&lt;0,CA85&lt;BZ85),-ABS(CA85/BZ85-1),CA85/BZ85-1)))</f>
        <v>-8.3963300140042385E-2</v>
      </c>
      <c r="CB169" s="852">
        <f>IF(AND(CB85&gt;0,CA85&lt;0),"NM",IF(AND(CB85&lt;0,CB85&gt;CA85),ABS(CB85/CA85-1),IF(AND(CB85&lt;0,CB85&lt;CA85),-ABS(CB85/CA85-1),CB85/CA85-1)))</f>
        <v>-0.18775578397548698</v>
      </c>
      <c r="CC169" s="851">
        <f>IF(AND(CC85&gt;0,CB85&lt;0),"NM",IF(AND(CC85&lt;0,CC85&gt;CB85),ABS(CC85/CB85-1),IF(AND(CC85&lt;0,CC85&lt;CB85),-ABS(CC85/CB85-1),CC85/CB85-1)))</f>
        <v>-6.7826896393255121E-2</v>
      </c>
      <c r="CD169" s="22"/>
      <c r="CE169" s="852"/>
      <c r="CF169" s="852"/>
      <c r="CG169" s="852"/>
      <c r="CH169" s="852"/>
      <c r="CI169" s="852"/>
      <c r="CJ169" s="852"/>
      <c r="CK169" s="852"/>
      <c r="CL169" s="852"/>
      <c r="CM169" s="852"/>
      <c r="CN169" s="852"/>
      <c r="CO169" s="332"/>
      <c r="CP169" s="332"/>
      <c r="CQ169" s="332"/>
      <c r="CR169" s="332"/>
      <c r="CS169" s="852"/>
      <c r="CT169" s="852"/>
      <c r="CU169" s="852"/>
      <c r="CV169" s="852"/>
      <c r="CW169" s="852"/>
      <c r="CX169" s="852"/>
      <c r="CY169" s="852"/>
      <c r="CZ169" s="852"/>
      <c r="DA169" s="852"/>
      <c r="DB169" s="852"/>
      <c r="DC169" s="852"/>
      <c r="DD169" s="1517"/>
      <c r="DE169" s="1483"/>
      <c r="DF169" s="24"/>
      <c r="DG169" s="23"/>
      <c r="DH169" s="24"/>
      <c r="DI169" s="24"/>
      <c r="DJ169" s="24"/>
      <c r="DK169" s="24"/>
      <c r="DL169" s="141"/>
      <c r="DM169" s="141"/>
      <c r="DN169" s="141"/>
      <c r="DO169" s="141"/>
      <c r="DP169" s="24"/>
      <c r="DQ169" s="24"/>
      <c r="DR169" s="24"/>
      <c r="DS169" s="23"/>
      <c r="DT169" s="24"/>
      <c r="DU169" s="24"/>
      <c r="DV169" s="24"/>
      <c r="DW169" s="25"/>
      <c r="DX169" s="24"/>
      <c r="DY169" s="24"/>
      <c r="DZ169" s="1561"/>
    </row>
    <row r="170" spans="1:136" ht="11.25" customHeight="1">
      <c r="A170" s="3"/>
      <c r="B170" s="207"/>
      <c r="C170" s="201" t="s">
        <v>898</v>
      </c>
      <c r="D170" s="201"/>
      <c r="E170" s="202"/>
      <c r="F170" s="852"/>
      <c r="G170" s="852" t="str">
        <f t="shared" ref="G170:AL170" si="471">IF(AND(G114&gt;0,F114&lt;0),"NM",IF(AND(G114&lt;0,G114&gt;F114),ABS(G114/F114-1),IF(AND(G114&lt;0,G114&lt;F114),-ABS(G114/F114-1),G114/F114-1)))</f>
        <v>NM</v>
      </c>
      <c r="H170" s="852">
        <f t="shared" si="471"/>
        <v>-0.64785645959244553</v>
      </c>
      <c r="I170" s="851">
        <f t="shared" si="471"/>
        <v>-40.760833066271772</v>
      </c>
      <c r="J170" s="852">
        <f t="shared" si="471"/>
        <v>0.98714373404176292</v>
      </c>
      <c r="K170" s="852" t="str">
        <f t="shared" si="471"/>
        <v>NM</v>
      </c>
      <c r="L170" s="852">
        <f t="shared" si="471"/>
        <v>9.8338691949046986E-2</v>
      </c>
      <c r="M170" s="851">
        <f t="shared" si="471"/>
        <v>-7.3985661747328568E-2</v>
      </c>
      <c r="N170" s="852">
        <f t="shared" si="471"/>
        <v>0.37684139336913658</v>
      </c>
      <c r="O170" s="852">
        <f t="shared" si="471"/>
        <v>2.1701761905894301</v>
      </c>
      <c r="P170" s="852">
        <f t="shared" si="471"/>
        <v>-0.26673199473244646</v>
      </c>
      <c r="Q170" s="851">
        <f t="shared" si="471"/>
        <v>-0.19475742635827509</v>
      </c>
      <c r="R170" s="852">
        <f t="shared" si="471"/>
        <v>-0.88983983771544228</v>
      </c>
      <c r="S170" s="852">
        <f t="shared" si="471"/>
        <v>12.566188816638169</v>
      </c>
      <c r="T170" s="852">
        <f t="shared" si="471"/>
        <v>-0.30263005620872985</v>
      </c>
      <c r="U170" s="851">
        <f t="shared" si="471"/>
        <v>-0.37618945264464887</v>
      </c>
      <c r="V170" s="852">
        <f t="shared" si="471"/>
        <v>4.1029835267496262E-2</v>
      </c>
      <c r="W170" s="852">
        <f t="shared" si="471"/>
        <v>0.83430234810864667</v>
      </c>
      <c r="X170" s="852">
        <f t="shared" si="471"/>
        <v>0.23417246404756575</v>
      </c>
      <c r="Y170" s="851">
        <f t="shared" si="471"/>
        <v>-0.16640692716619399</v>
      </c>
      <c r="Z170" s="852">
        <f t="shared" si="471"/>
        <v>0.15324017042956029</v>
      </c>
      <c r="AA170" s="852">
        <f t="shared" si="471"/>
        <v>0.51266920795463089</v>
      </c>
      <c r="AB170" s="852">
        <f t="shared" si="471"/>
        <v>-3.6457912927537861E-2</v>
      </c>
      <c r="AC170" s="851">
        <f t="shared" si="471"/>
        <v>-0.16825131946504901</v>
      </c>
      <c r="AD170" s="852">
        <f t="shared" si="471"/>
        <v>0.21342253187776827</v>
      </c>
      <c r="AE170" s="852">
        <f t="shared" si="471"/>
        <v>0.27560739290196956</v>
      </c>
      <c r="AF170" s="852">
        <f t="shared" si="471"/>
        <v>-6.7744466863408515E-2</v>
      </c>
      <c r="AG170" s="852">
        <f t="shared" si="471"/>
        <v>-0.28286951470526966</v>
      </c>
      <c r="AH170" s="850">
        <f t="shared" si="471"/>
        <v>1.0314819689379613</v>
      </c>
      <c r="AI170" s="852">
        <f t="shared" si="471"/>
        <v>0.70337612769333635</v>
      </c>
      <c r="AJ170" s="852">
        <f t="shared" si="471"/>
        <v>-8.8202412589892587E-2</v>
      </c>
      <c r="AK170" s="851">
        <f t="shared" si="471"/>
        <v>-0.18433712774225441</v>
      </c>
      <c r="AL170" s="850">
        <f t="shared" si="471"/>
        <v>-7.0776234956949957E-2</v>
      </c>
      <c r="AM170" s="852">
        <f t="shared" ref="AM170:BR170" si="472">IF(AND(AM114&gt;0,AL114&lt;0),"NM",IF(AND(AM114&lt;0,AM114&gt;AL114),ABS(AM114/AL114-1),IF(AND(AM114&lt;0,AM114&lt;AL114),-ABS(AM114/AL114-1),AM114/AL114-1)))</f>
        <v>-0.56108173991560273</v>
      </c>
      <c r="AN170" s="852">
        <f t="shared" si="472"/>
        <v>-0.26688244504924319</v>
      </c>
      <c r="AO170" s="851">
        <f t="shared" si="472"/>
        <v>1.5396750411047284</v>
      </c>
      <c r="AP170" s="852">
        <f t="shared" si="472"/>
        <v>0.64666319045718934</v>
      </c>
      <c r="AQ170" s="852">
        <f t="shared" si="472"/>
        <v>0.47511815181064621</v>
      </c>
      <c r="AR170" s="852">
        <f t="shared" si="472"/>
        <v>-7.5654264701036533E-2</v>
      </c>
      <c r="AS170" s="851">
        <f t="shared" si="472"/>
        <v>-0.27024293821390899</v>
      </c>
      <c r="AT170" s="852">
        <f t="shared" si="472"/>
        <v>-0.29244266217845938</v>
      </c>
      <c r="AU170" s="852">
        <f t="shared" si="472"/>
        <v>8.5281931863182781E-2</v>
      </c>
      <c r="AV170" s="852">
        <f t="shared" si="472"/>
        <v>-0.31115175765718739</v>
      </c>
      <c r="AW170" s="851">
        <f t="shared" si="472"/>
        <v>0.23992420991623975</v>
      </c>
      <c r="AX170" s="850">
        <f t="shared" si="472"/>
        <v>0.34027760666737827</v>
      </c>
      <c r="AY170" s="852">
        <f t="shared" si="472"/>
        <v>0.37607926128945746</v>
      </c>
      <c r="AZ170" s="852">
        <f t="shared" si="472"/>
        <v>0.66449450350102146</v>
      </c>
      <c r="BA170" s="851">
        <f t="shared" si="472"/>
        <v>0.33265247151993615</v>
      </c>
      <c r="BB170" s="852">
        <f t="shared" si="472"/>
        <v>-0.29738130515097361</v>
      </c>
      <c r="BC170" s="852">
        <f t="shared" si="472"/>
        <v>-0.11505464088148243</v>
      </c>
      <c r="BD170" s="852">
        <f t="shared" si="472"/>
        <v>5.3821006236771662E-3</v>
      </c>
      <c r="BE170" s="851">
        <f t="shared" si="472"/>
        <v>-6.3369374807945578E-2</v>
      </c>
      <c r="BF170" s="436">
        <f t="shared" si="472"/>
        <v>8.1628992294816571E-2</v>
      </c>
      <c r="BG170" s="436">
        <f t="shared" si="472"/>
        <v>3.0278401409598921E-2</v>
      </c>
      <c r="BH170" s="436">
        <f t="shared" si="472"/>
        <v>-0.11258201619674646</v>
      </c>
      <c r="BI170" s="437">
        <f t="shared" si="472"/>
        <v>-4.8616705809050642E-2</v>
      </c>
      <c r="BJ170" s="436">
        <f t="shared" si="472"/>
        <v>0.23842336424812682</v>
      </c>
      <c r="BK170" s="436">
        <f t="shared" si="472"/>
        <v>8.4989238469343809E-2</v>
      </c>
      <c r="BL170" s="436">
        <f t="shared" si="472"/>
        <v>-0.19633875541916024</v>
      </c>
      <c r="BM170" s="437">
        <f t="shared" si="472"/>
        <v>-0.16403938313704569</v>
      </c>
      <c r="BN170" s="436">
        <f t="shared" si="472"/>
        <v>5.613552977274594E-2</v>
      </c>
      <c r="BO170" s="436">
        <f t="shared" si="472"/>
        <v>-2.1863060221965935E-2</v>
      </c>
      <c r="BP170" s="436">
        <f t="shared" si="472"/>
        <v>-0.21316923458474157</v>
      </c>
      <c r="BQ170" s="437">
        <f t="shared" si="472"/>
        <v>-0.24636520549409624</v>
      </c>
      <c r="BR170" s="436">
        <f t="shared" si="472"/>
        <v>0.51038958472611307</v>
      </c>
      <c r="BS170" s="436">
        <f t="shared" ref="BS170:BY170" si="473">IF(AND(BS114&gt;0,BR114&lt;0),"NM",IF(AND(BS114&lt;0,BS114&gt;BR114),ABS(BS114/BR114-1),IF(AND(BS114&lt;0,BS114&lt;BR114),-ABS(BS114/BR114-1),BS114/BR114-1)))</f>
        <v>0.48734756439554383</v>
      </c>
      <c r="BT170" s="436">
        <f t="shared" si="473"/>
        <v>4.3340527418316288E-2</v>
      </c>
      <c r="BU170" s="437">
        <f t="shared" si="473"/>
        <v>0.22224829176524019</v>
      </c>
      <c r="BV170" s="436">
        <f t="shared" si="473"/>
        <v>0.21564073087289093</v>
      </c>
      <c r="BW170" s="436">
        <f t="shared" si="473"/>
        <v>0.1097427137432101</v>
      </c>
      <c r="BX170" s="436">
        <f t="shared" si="473"/>
        <v>-0.1762070132930863</v>
      </c>
      <c r="BY170" s="437">
        <f t="shared" si="473"/>
        <v>-9.9305165506420212E-2</v>
      </c>
      <c r="BZ170" s="436">
        <f>IF(AND(BZ114&gt;0,BY114&lt;0),"NM",IF(AND(BZ114&lt;0,BZ114&gt;BY114),ABS(BZ114/BY114-1),IF(AND(BZ114&lt;0,BZ114&lt;BY114),-ABS(BZ114/BY114-1),BZ114/BY114-1)))</f>
        <v>5.700973927397901E-2</v>
      </c>
      <c r="CA170" s="436">
        <f>IF(AND(CA114&gt;0,BZ114&lt;0),"NM",IF(AND(CA114&lt;0,CA114&gt;BZ114),ABS(CA114/BZ114-1),IF(AND(CA114&lt;0,CA114&lt;BZ114),-ABS(CA114/BZ114-1),CA114/BZ114-1)))</f>
        <v>-8.7850594306360663E-2</v>
      </c>
      <c r="CB170" s="436">
        <f>IF(AND(CB114&gt;0,CA114&lt;0),"NM",IF(AND(CB114&lt;0,CB114&gt;CA114),ABS(CB114/CA114-1),IF(AND(CB114&lt;0,CB114&lt;CA114),-ABS(CB114/CA114-1),CB114/CA114-1)))</f>
        <v>-0.19255974215842442</v>
      </c>
      <c r="CC170" s="437">
        <f>IF(AND(CC114&gt;0,CB114&lt;0),"NM",IF(AND(CC114&lt;0,CC114&gt;CB114),ABS(CC114/CB114-1),IF(AND(CC114&lt;0,CC114&lt;CB114),-ABS(CC114/CB114-1),CC114/CB114-1)))</f>
        <v>-7.4914464784300638E-2</v>
      </c>
      <c r="CD170" s="22"/>
      <c r="CE170" s="852"/>
      <c r="CF170" s="852"/>
      <c r="CG170" s="852"/>
      <c r="CH170" s="852"/>
      <c r="CI170" s="852"/>
      <c r="CJ170" s="852"/>
      <c r="CK170" s="852"/>
      <c r="CL170" s="852"/>
      <c r="CM170" s="852"/>
      <c r="CN170" s="852"/>
      <c r="CO170" s="332"/>
      <c r="CP170" s="332"/>
      <c r="CQ170" s="332"/>
      <c r="CR170" s="332"/>
      <c r="CS170" s="852"/>
      <c r="CT170" s="852"/>
      <c r="CU170" s="852"/>
      <c r="CV170" s="852"/>
      <c r="CW170" s="852"/>
      <c r="CX170" s="852"/>
      <c r="CY170" s="852"/>
      <c r="CZ170" s="852"/>
      <c r="DA170" s="852"/>
      <c r="DB170" s="852"/>
      <c r="DC170" s="852"/>
      <c r="DD170" s="1517"/>
      <c r="DE170" s="1483"/>
      <c r="DF170" s="24"/>
      <c r="DG170" s="23"/>
      <c r="DH170" s="24"/>
      <c r="DI170" s="24"/>
      <c r="DJ170" s="24"/>
      <c r="DK170" s="24"/>
      <c r="DL170" s="141"/>
      <c r="DM170" s="141"/>
      <c r="DN170" s="141"/>
      <c r="DO170" s="141"/>
      <c r="DP170" s="24"/>
      <c r="DQ170" s="24"/>
      <c r="DR170" s="24"/>
      <c r="DS170" s="23"/>
      <c r="DT170" s="24"/>
      <c r="DU170" s="24"/>
      <c r="DV170" s="24"/>
      <c r="DW170" s="25"/>
      <c r="DX170" s="24"/>
      <c r="DY170" s="24"/>
      <c r="DZ170" s="1561"/>
    </row>
    <row r="171" spans="1:136" ht="11.25" hidden="1" customHeight="1" outlineLevel="1">
      <c r="A171" s="3"/>
      <c r="B171" s="423"/>
      <c r="C171" s="423"/>
      <c r="D171" s="423"/>
      <c r="E171" s="423"/>
      <c r="F171" s="423"/>
      <c r="G171" s="423"/>
      <c r="H171" s="423"/>
      <c r="I171" s="423"/>
      <c r="J171" s="423"/>
      <c r="K171" s="423"/>
      <c r="L171" s="423"/>
      <c r="M171" s="423"/>
      <c r="N171" s="423"/>
      <c r="O171" s="423"/>
      <c r="P171" s="423"/>
      <c r="Q171" s="423"/>
      <c r="R171" s="423"/>
      <c r="S171" s="423"/>
      <c r="T171" s="423"/>
      <c r="U171" s="423"/>
      <c r="V171" s="423"/>
      <c r="W171" s="423"/>
      <c r="X171" s="423"/>
      <c r="Y171" s="423"/>
      <c r="Z171" s="423"/>
      <c r="AA171" s="423"/>
      <c r="AB171" s="423"/>
      <c r="AC171" s="423"/>
      <c r="AD171" s="423"/>
      <c r="AE171" s="423"/>
      <c r="AF171" s="423"/>
      <c r="AG171" s="423"/>
      <c r="AH171" s="423"/>
      <c r="AI171" s="423"/>
      <c r="AJ171" s="423"/>
      <c r="AK171" s="423"/>
      <c r="AL171" s="423"/>
      <c r="AM171" s="423"/>
      <c r="AN171" s="423"/>
      <c r="AO171" s="423"/>
      <c r="AP171" s="423"/>
      <c r="AQ171" s="423"/>
      <c r="AR171" s="423"/>
      <c r="AS171" s="423"/>
      <c r="AT171" s="423"/>
      <c r="AU171" s="423"/>
      <c r="AV171" s="423"/>
      <c r="AW171" s="423"/>
      <c r="AX171" s="423"/>
      <c r="AY171" s="423"/>
      <c r="AZ171" s="423"/>
      <c r="BA171" s="423"/>
      <c r="BB171" s="423"/>
      <c r="BC171" s="423"/>
      <c r="BD171" s="423"/>
      <c r="BE171" s="423"/>
      <c r="BF171" s="423"/>
      <c r="BG171" s="423"/>
      <c r="BH171" s="423"/>
      <c r="BI171" s="423"/>
      <c r="BJ171" s="423"/>
      <c r="BK171" s="423"/>
      <c r="BL171" s="423"/>
      <c r="BM171" s="423"/>
      <c r="BN171" s="423"/>
      <c r="BO171" s="423"/>
      <c r="BP171" s="423"/>
      <c r="BQ171" s="423"/>
      <c r="BR171" s="423"/>
      <c r="BS171" s="423"/>
      <c r="BT171" s="423"/>
      <c r="BU171" s="423"/>
      <c r="BV171" s="423"/>
      <c r="BW171" s="423"/>
      <c r="BX171" s="423"/>
      <c r="BY171" s="423"/>
      <c r="BZ171" s="423"/>
      <c r="CA171" s="423"/>
      <c r="CB171" s="423"/>
      <c r="CC171" s="423"/>
      <c r="CD171" s="18"/>
      <c r="CE171" s="423"/>
      <c r="CF171" s="423"/>
      <c r="CG171" s="423"/>
      <c r="CH171" s="423"/>
      <c r="CI171" s="423"/>
      <c r="CJ171" s="423"/>
      <c r="CK171" s="423"/>
      <c r="CL171" s="423"/>
      <c r="CM171" s="423"/>
      <c r="CN171" s="423"/>
      <c r="CO171" s="423"/>
      <c r="CP171" s="423"/>
      <c r="CQ171" s="423"/>
      <c r="CR171" s="423"/>
      <c r="CS171" s="423"/>
      <c r="CT171" s="423"/>
      <c r="CU171" s="423"/>
      <c r="CV171" s="423"/>
      <c r="CW171" s="423"/>
      <c r="CX171" s="423"/>
      <c r="CY171" s="423"/>
      <c r="CZ171" s="423"/>
      <c r="DA171" s="423"/>
      <c r="DB171" s="423"/>
      <c r="DC171" s="423"/>
      <c r="DD171" s="423"/>
      <c r="DE171" s="1483"/>
      <c r="DF171" s="24"/>
      <c r="DG171" s="423"/>
      <c r="DH171" s="423"/>
      <c r="DI171" s="423"/>
      <c r="DJ171" s="423"/>
      <c r="DK171" s="423"/>
      <c r="DL171" s="423"/>
      <c r="DM171" s="423"/>
      <c r="DN171" s="423"/>
      <c r="DO171" s="423"/>
      <c r="DP171" s="423"/>
      <c r="DQ171" s="423"/>
      <c r="DR171" s="423"/>
      <c r="DS171" s="423"/>
      <c r="DT171" s="423"/>
      <c r="DU171" s="423"/>
      <c r="DV171" s="423"/>
      <c r="DW171" s="423"/>
      <c r="DX171" s="3"/>
      <c r="DY171" s="3"/>
      <c r="DZ171" s="1483"/>
    </row>
    <row r="172" spans="1:136" ht="11.25" hidden="1" customHeight="1" outlineLevel="1">
      <c r="A172" s="4"/>
      <c r="B172" s="1608" t="s">
        <v>929</v>
      </c>
      <c r="C172" s="1228"/>
      <c r="D172" s="1228"/>
      <c r="E172" s="1609"/>
      <c r="F172" s="188"/>
      <c r="G172" s="188"/>
      <c r="H172" s="188"/>
      <c r="I172" s="198"/>
      <c r="J172" s="209"/>
      <c r="K172" s="188"/>
      <c r="L172" s="188"/>
      <c r="M172" s="198"/>
      <c r="N172" s="209"/>
      <c r="O172" s="188"/>
      <c r="P172" s="188"/>
      <c r="Q172" s="198"/>
      <c r="R172" s="209"/>
      <c r="S172" s="188"/>
      <c r="T172" s="188"/>
      <c r="U172" s="1212"/>
      <c r="V172" s="1213"/>
      <c r="W172" s="1214"/>
      <c r="X172" s="1214"/>
      <c r="Y172" s="1212"/>
      <c r="Z172" s="1213"/>
      <c r="AA172" s="1214"/>
      <c r="AB172" s="1214"/>
      <c r="AC172" s="1212"/>
      <c r="AD172" s="1213"/>
      <c r="AE172" s="1214"/>
      <c r="AF172" s="1214"/>
      <c r="AG172" s="1214"/>
      <c r="AH172" s="1213"/>
      <c r="AI172" s="1214"/>
      <c r="AJ172" s="1214"/>
      <c r="AK172" s="1212"/>
      <c r="AL172" s="1213"/>
      <c r="AM172" s="1214"/>
      <c r="AN172" s="1214"/>
      <c r="AO172" s="1212"/>
      <c r="AP172" s="1213"/>
      <c r="AQ172" s="1214"/>
      <c r="AR172" s="1610"/>
      <c r="AS172" s="1611"/>
      <c r="AT172" s="1612"/>
      <c r="AU172" s="1610"/>
      <c r="AV172" s="1610"/>
      <c r="AW172" s="1611"/>
      <c r="AX172" s="1612"/>
      <c r="AY172" s="1610"/>
      <c r="AZ172" s="1610"/>
      <c r="BA172" s="1611"/>
      <c r="BB172" s="1612"/>
      <c r="BC172" s="1610"/>
      <c r="BD172" s="1610"/>
      <c r="BE172" s="1611"/>
      <c r="BF172" s="1610"/>
      <c r="BG172" s="1610"/>
      <c r="BH172" s="1610"/>
      <c r="BI172" s="1611"/>
      <c r="BJ172" s="1610"/>
      <c r="BK172" s="1610"/>
      <c r="BL172" s="1610"/>
      <c r="BM172" s="1611"/>
      <c r="BN172" s="1610"/>
      <c r="BO172" s="1610"/>
      <c r="BP172" s="1610"/>
      <c r="BQ172" s="1611"/>
      <c r="BR172" s="1610"/>
      <c r="BS172" s="1610"/>
      <c r="BT172" s="1610"/>
      <c r="BU172" s="1611"/>
      <c r="BV172" s="1610"/>
      <c r="BW172" s="1610"/>
      <c r="BX172" s="1610"/>
      <c r="BY172" s="1611"/>
      <c r="BZ172" s="1610"/>
      <c r="CA172" s="1610"/>
      <c r="CB172" s="1610"/>
      <c r="CC172" s="1611"/>
      <c r="CD172" s="22"/>
      <c r="CE172" s="1204"/>
      <c r="CF172" s="1204"/>
      <c r="CG172" s="1204"/>
      <c r="CH172" s="1204"/>
      <c r="CI172" s="1204"/>
      <c r="CJ172" s="1204"/>
      <c r="CK172" s="1204"/>
      <c r="CL172" s="1204"/>
      <c r="CM172" s="1204"/>
      <c r="CN172" s="1616"/>
      <c r="CO172" s="1616"/>
      <c r="CP172" s="1616"/>
      <c r="CQ172" s="1616"/>
      <c r="CR172" s="1616"/>
      <c r="CS172" s="1610"/>
      <c r="CT172" s="1610"/>
      <c r="CU172" s="1610"/>
      <c r="CV172" s="1610"/>
      <c r="CW172" s="1610"/>
      <c r="CX172" s="1610"/>
      <c r="CY172" s="1610"/>
      <c r="CZ172" s="1610"/>
      <c r="DA172" s="1610"/>
      <c r="DB172" s="1610"/>
      <c r="DC172" s="1610"/>
      <c r="DD172" s="1523"/>
      <c r="DE172" s="1483"/>
      <c r="DF172" s="24"/>
      <c r="DG172" s="648"/>
      <c r="DH172" s="1204"/>
      <c r="DI172" s="1204"/>
      <c r="DJ172" s="1204"/>
      <c r="DK172" s="1204"/>
      <c r="DL172" s="1215"/>
      <c r="DM172" s="1215"/>
      <c r="DN172" s="1215"/>
      <c r="DO172" s="1215"/>
      <c r="DP172" s="1616"/>
      <c r="DQ172" s="1616"/>
      <c r="DR172" s="1616"/>
      <c r="DS172" s="648"/>
      <c r="DT172" s="31"/>
      <c r="DU172" s="31"/>
      <c r="DV172" s="31"/>
      <c r="DW172" s="55"/>
      <c r="DX172" s="31"/>
      <c r="DY172" s="31"/>
      <c r="DZ172" s="1565"/>
    </row>
    <row r="173" spans="1:136" ht="11.25" hidden="1" customHeight="1" outlineLevel="1">
      <c r="A173" s="4"/>
      <c r="B173" s="224" t="s">
        <v>930</v>
      </c>
      <c r="C173" s="188"/>
      <c r="D173" s="188"/>
      <c r="E173" s="1209"/>
      <c r="F173" s="188"/>
      <c r="G173" s="188"/>
      <c r="H173" s="188"/>
      <c r="I173" s="198"/>
      <c r="J173" s="209"/>
      <c r="K173" s="188"/>
      <c r="L173" s="188"/>
      <c r="M173" s="198"/>
      <c r="N173" s="209"/>
      <c r="O173" s="188"/>
      <c r="P173" s="188"/>
      <c r="Q173" s="198"/>
      <c r="R173" s="209"/>
      <c r="S173" s="188"/>
      <c r="T173" s="188"/>
      <c r="U173" s="1212"/>
      <c r="V173" s="1213"/>
      <c r="W173" s="1214"/>
      <c r="X173" s="1214"/>
      <c r="Y173" s="1212"/>
      <c r="Z173" s="1213"/>
      <c r="AA173" s="1214"/>
      <c r="AB173" s="1214"/>
      <c r="AC173" s="1212"/>
      <c r="AD173" s="1213"/>
      <c r="AE173" s="1214"/>
      <c r="AF173" s="1214"/>
      <c r="AG173" s="1214"/>
      <c r="AH173" s="1213"/>
      <c r="AI173" s="1214"/>
      <c r="AJ173" s="1214"/>
      <c r="AK173" s="1212"/>
      <c r="AL173" s="1213"/>
      <c r="AM173" s="1214"/>
      <c r="AN173" s="1214"/>
      <c r="AO173" s="1212"/>
      <c r="AP173" s="1213"/>
      <c r="AQ173" s="1214"/>
      <c r="AR173" s="1610">
        <f>SUM(AR174, AR177, AR180)</f>
        <v>8854.1</v>
      </c>
      <c r="AS173" s="1611">
        <f t="shared" ref="AS173:BW173" si="474">SUM(AS174, AS177, AS180)</f>
        <v>8107.9750000000004</v>
      </c>
      <c r="AT173" s="1612">
        <f t="shared" si="474"/>
        <v>8153.1</v>
      </c>
      <c r="AU173" s="1610">
        <f t="shared" si="474"/>
        <v>8374.65</v>
      </c>
      <c r="AV173" s="1610">
        <f t="shared" si="474"/>
        <v>7962.82</v>
      </c>
      <c r="AW173" s="1611">
        <f t="shared" si="474"/>
        <v>8155.7074124999999</v>
      </c>
      <c r="AX173" s="1612">
        <f t="shared" si="474"/>
        <v>8870.2586152500007</v>
      </c>
      <c r="AY173" s="1610">
        <f t="shared" si="474"/>
        <v>8125.0352774309995</v>
      </c>
      <c r="AZ173" s="1610">
        <f t="shared" si="474"/>
        <v>10302.176258244812</v>
      </c>
      <c r="BA173" s="1611">
        <f t="shared" si="474"/>
        <v>10321.413941743755</v>
      </c>
      <c r="BB173" s="1612">
        <f t="shared" si="474"/>
        <v>8678.0848551648069</v>
      </c>
      <c r="BC173" s="1610">
        <f t="shared" si="474"/>
        <v>8370.6804029970117</v>
      </c>
      <c r="BD173" s="1610">
        <f t="shared" si="474"/>
        <v>8234.2686281532315</v>
      </c>
      <c r="BE173" s="1611">
        <f t="shared" si="474"/>
        <v>8038.9583148727397</v>
      </c>
      <c r="BF173" s="1610">
        <f t="shared" si="474"/>
        <v>8301.1924418153285</v>
      </c>
      <c r="BG173" s="1610">
        <f t="shared" si="474"/>
        <v>8440.1851691600405</v>
      </c>
      <c r="BH173" s="1610">
        <f t="shared" si="474"/>
        <v>8140.7973314380015</v>
      </c>
      <c r="BI173" s="1611">
        <f t="shared" si="474"/>
        <v>7997.5826249978081</v>
      </c>
      <c r="BJ173" s="1610">
        <f t="shared" si="474"/>
        <v>8656.8384317137661</v>
      </c>
      <c r="BK173" s="1610">
        <f t="shared" si="474"/>
        <v>8397.5625971509526</v>
      </c>
      <c r="BL173" s="1610">
        <f t="shared" si="474"/>
        <v>7533.9706923083786</v>
      </c>
      <c r="BM173" s="1611">
        <f t="shared" si="474"/>
        <v>6613.0733383253828</v>
      </c>
      <c r="BN173" s="1610">
        <f t="shared" si="474"/>
        <v>6853.8991365165493</v>
      </c>
      <c r="BO173" s="1610">
        <f t="shared" si="474"/>
        <v>6647.8983006376111</v>
      </c>
      <c r="BP173" s="1610">
        <f t="shared" si="474"/>
        <v>5829.3120403555731</v>
      </c>
      <c r="BQ173" s="1611">
        <f t="shared" si="474"/>
        <v>5923.957765717546</v>
      </c>
      <c r="BR173" s="1610">
        <f t="shared" si="474"/>
        <v>6689.1092660896666</v>
      </c>
      <c r="BS173" s="1610">
        <f t="shared" si="474"/>
        <v>6639.3155872818443</v>
      </c>
      <c r="BT173" s="1610">
        <f t="shared" si="474"/>
        <v>5966.8450973709405</v>
      </c>
      <c r="BU173" s="1611">
        <f t="shared" si="474"/>
        <v>5749.2230657040836</v>
      </c>
      <c r="BV173" s="1610">
        <f t="shared" si="474"/>
        <v>6197.7939788351769</v>
      </c>
      <c r="BW173" s="1610">
        <f t="shared" si="474"/>
        <v>5977.7939419797813</v>
      </c>
      <c r="BX173" s="1610"/>
      <c r="BY173" s="1611"/>
      <c r="BZ173" s="1610"/>
      <c r="CA173" s="1610"/>
      <c r="CB173" s="1610"/>
      <c r="CC173" s="1611"/>
      <c r="CD173" s="22"/>
      <c r="CE173" s="1204"/>
      <c r="CF173" s="1204"/>
      <c r="CG173" s="1204"/>
      <c r="CH173" s="1204"/>
      <c r="CI173" s="1204"/>
      <c r="CJ173" s="1204"/>
      <c r="CK173" s="1204"/>
      <c r="CL173" s="1204"/>
      <c r="CM173" s="1204"/>
      <c r="CN173" s="1616">
        <f t="shared" ref="CN173:CN182" si="475">SUM(AP173:AS173)</f>
        <v>16962.075000000001</v>
      </c>
      <c r="CO173" s="1616">
        <f t="shared" ref="CO173:CO182" si="476">SUM(AT173:AW173)</f>
        <v>32646.2774125</v>
      </c>
      <c r="CP173" s="1616">
        <f t="shared" ref="CP173:CP182" si="477">SUM(AX173:BA173)</f>
        <v>37618.88409266957</v>
      </c>
      <c r="CQ173" s="1616">
        <f t="shared" ref="CQ173:CQ182" si="478">SUM(BB173:BE173)</f>
        <v>33321.992201187786</v>
      </c>
      <c r="CR173" s="1616">
        <f t="shared" ref="CR173:CR182" si="479">SUM(BF173:BI173)</f>
        <v>32879.757567411172</v>
      </c>
      <c r="CS173" s="1610">
        <f t="shared" ref="CS173:CS182" si="480">SUM(BJ173:BM173)</f>
        <v>31201.445059498481</v>
      </c>
      <c r="CT173" s="1610">
        <f t="shared" ref="CT173:CT182" si="481">SUM(BN173:BQ173)</f>
        <v>25255.06724322728</v>
      </c>
      <c r="CU173" s="1610">
        <f t="shared" ref="CU173:CU182" si="482">SUM(BR173:BU173)</f>
        <v>25044.493016446533</v>
      </c>
      <c r="CV173" s="1610"/>
      <c r="CW173" s="1610"/>
      <c r="CX173" s="1610"/>
      <c r="CY173" s="1610"/>
      <c r="CZ173" s="1610"/>
      <c r="DA173" s="1610"/>
      <c r="DB173" s="1610"/>
      <c r="DC173" s="1610"/>
      <c r="DD173" s="1523"/>
      <c r="DE173" s="1562"/>
      <c r="DF173" s="1204"/>
      <c r="DG173" s="648"/>
      <c r="DH173" s="1204"/>
      <c r="DI173" s="1204"/>
      <c r="DJ173" s="1204"/>
      <c r="DK173" s="1204"/>
      <c r="DL173" s="1215"/>
      <c r="DM173" s="1215"/>
      <c r="DN173" s="1215"/>
      <c r="DO173" s="1215"/>
      <c r="DP173" s="1616">
        <f t="shared" ref="DP173:DP182" si="483">SUM(AR173:AU173)</f>
        <v>33489.825000000004</v>
      </c>
      <c r="DQ173" s="1616">
        <f t="shared" ref="DQ173:DQ182" si="484">SUM(AV173:AY173)</f>
        <v>33113.821305181002</v>
      </c>
      <c r="DR173" s="1616">
        <f t="shared" ref="DR173:DR182" si="485">SUM(AZ173:BC173)</f>
        <v>37672.355458150385</v>
      </c>
      <c r="DS173" s="1619">
        <f t="shared" ref="DS173:DS182" si="486">SUM(BD173:BG173)</f>
        <v>33014.604554001337</v>
      </c>
      <c r="DT173" s="1616">
        <f t="shared" ref="DT173:DT182" si="487">SUM(BH173:BK173)</f>
        <v>33192.780985300524</v>
      </c>
      <c r="DU173" s="1616">
        <f t="shared" ref="DU173:DU182" si="488">SUM(BL173:BO173)</f>
        <v>27648.841467787923</v>
      </c>
      <c r="DV173" s="1616">
        <f t="shared" ref="DV173:DV182" si="489">SUM(BP173:BS173)</f>
        <v>25081.694659444634</v>
      </c>
      <c r="DW173" s="1624">
        <f t="shared" ref="DW173:DW182" si="490">SUM(BT173:BW173)</f>
        <v>23891.656083889982</v>
      </c>
      <c r="DX173" s="1616"/>
      <c r="DY173" s="1616"/>
      <c r="DZ173" s="1565"/>
    </row>
    <row r="174" spans="1:136" ht="11.25" hidden="1" customHeight="1" outlineLevel="1">
      <c r="A174" s="4"/>
      <c r="B174" s="1210"/>
      <c r="C174" s="152" t="s">
        <v>575</v>
      </c>
      <c r="D174" s="152"/>
      <c r="E174" s="1197"/>
      <c r="F174" s="188"/>
      <c r="G174" s="188"/>
      <c r="H174" s="188"/>
      <c r="I174" s="198"/>
      <c r="J174" s="209"/>
      <c r="K174" s="188"/>
      <c r="L174" s="188"/>
      <c r="M174" s="198"/>
      <c r="N174" s="209"/>
      <c r="O174" s="188"/>
      <c r="P174" s="188"/>
      <c r="Q174" s="198"/>
      <c r="R174" s="209"/>
      <c r="S174" s="188"/>
      <c r="T174" s="188"/>
      <c r="U174" s="1212"/>
      <c r="V174" s="1213"/>
      <c r="W174" s="1214"/>
      <c r="X174" s="1214"/>
      <c r="Y174" s="1212"/>
      <c r="Z174" s="1213"/>
      <c r="AA174" s="1214"/>
      <c r="AB174" s="1214"/>
      <c r="AC174" s="1212"/>
      <c r="AD174" s="1213"/>
      <c r="AE174" s="1214"/>
      <c r="AF174" s="1214"/>
      <c r="AG174" s="1214"/>
      <c r="AH174" s="1213"/>
      <c r="AI174" s="1214"/>
      <c r="AJ174" s="1214"/>
      <c r="AK174" s="1212"/>
      <c r="AL174" s="1213"/>
      <c r="AM174" s="1214"/>
      <c r="AN174" s="1214"/>
      <c r="AO174" s="1212"/>
      <c r="AP174" s="1213"/>
      <c r="AQ174" s="1214"/>
      <c r="AR174" s="1610">
        <v>1591.875</v>
      </c>
      <c r="AS174" s="1611">
        <v>1473.7750000000001</v>
      </c>
      <c r="AT174" s="1612">
        <v>1549.15</v>
      </c>
      <c r="AU174" s="1610">
        <v>1625.25</v>
      </c>
      <c r="AV174" s="1610">
        <v>1626.8175000000001</v>
      </c>
      <c r="AW174" s="1611">
        <v>1697.2411499999998</v>
      </c>
      <c r="AX174" s="1612">
        <v>1724.3103239999998</v>
      </c>
      <c r="AY174" s="1610">
        <v>1954.0259541</v>
      </c>
      <c r="AZ174" s="1610">
        <v>2627.6306624568001</v>
      </c>
      <c r="BA174" s="1611">
        <v>2521.7569084081374</v>
      </c>
      <c r="BB174" s="1612">
        <v>1841.013795185514</v>
      </c>
      <c r="BC174" s="1610">
        <v>1975.3069286699526</v>
      </c>
      <c r="BD174" s="1610">
        <v>2034.7641158396382</v>
      </c>
      <c r="BE174" s="1611">
        <v>2129.9664036401391</v>
      </c>
      <c r="BF174" s="1610">
        <v>2101.659244871169</v>
      </c>
      <c r="BG174" s="1610">
        <v>2107.7161412991481</v>
      </c>
      <c r="BH174" s="1610">
        <v>2095.0925269266336</v>
      </c>
      <c r="BI174" s="1611">
        <v>2065.7731591583465</v>
      </c>
      <c r="BJ174" s="1610">
        <v>2326.3784334480697</v>
      </c>
      <c r="BK174" s="1610">
        <v>2406.0896684995328</v>
      </c>
      <c r="BL174" s="1610">
        <v>2361.7063704863499</v>
      </c>
      <c r="BM174" s="1611">
        <v>2136.5098106585501</v>
      </c>
      <c r="BN174" s="1610">
        <v>2077.3740024369263</v>
      </c>
      <c r="BO174" s="1610">
        <v>2111.6524137299066</v>
      </c>
      <c r="BP174" s="1610">
        <v>1955.5206045193718</v>
      </c>
      <c r="BQ174" s="1611">
        <v>2093.5860486209704</v>
      </c>
      <c r="BR174" s="1610">
        <v>2212.2494419323602</v>
      </c>
      <c r="BS174" s="1610">
        <v>2198.4797100533478</v>
      </c>
      <c r="BT174" s="1610">
        <v>2003.0783305926543</v>
      </c>
      <c r="BU174" s="1611">
        <v>1966.5514668065302</v>
      </c>
      <c r="BV174" s="1610">
        <v>2050.9988319081294</v>
      </c>
      <c r="BW174" s="1610">
        <v>2024.275469755856</v>
      </c>
      <c r="BX174" s="1610"/>
      <c r="BY174" s="1611"/>
      <c r="BZ174" s="1610"/>
      <c r="CA174" s="1610"/>
      <c r="CB174" s="1610"/>
      <c r="CC174" s="1611"/>
      <c r="CD174" s="412"/>
      <c r="CE174" s="1204"/>
      <c r="CF174" s="1204"/>
      <c r="CG174" s="1204"/>
      <c r="CH174" s="1204"/>
      <c r="CI174" s="1204"/>
      <c r="CJ174" s="1204"/>
      <c r="CK174" s="1204"/>
      <c r="CL174" s="1204"/>
      <c r="CM174" s="1204"/>
      <c r="CN174" s="1616">
        <f t="shared" si="475"/>
        <v>3065.65</v>
      </c>
      <c r="CO174" s="1616">
        <f t="shared" si="476"/>
        <v>6498.4586500000005</v>
      </c>
      <c r="CP174" s="1616">
        <f t="shared" si="477"/>
        <v>8827.7238489649371</v>
      </c>
      <c r="CQ174" s="1616">
        <f t="shared" si="478"/>
        <v>7981.0512433352442</v>
      </c>
      <c r="CR174" s="1616">
        <f t="shared" si="479"/>
        <v>8370.2410722552977</v>
      </c>
      <c r="CS174" s="1610">
        <f t="shared" si="480"/>
        <v>9230.6842830925034</v>
      </c>
      <c r="CT174" s="1610">
        <f t="shared" si="481"/>
        <v>8238.1330693071759</v>
      </c>
      <c r="CU174" s="1610">
        <f t="shared" si="482"/>
        <v>8380.3589493848922</v>
      </c>
      <c r="CV174" s="1610"/>
      <c r="CW174" s="1610"/>
      <c r="CX174" s="1610"/>
      <c r="CY174" s="1610"/>
      <c r="CZ174" s="1610"/>
      <c r="DA174" s="1610"/>
      <c r="DB174" s="1610"/>
      <c r="DC174" s="1610"/>
      <c r="DD174" s="1523"/>
      <c r="DE174" s="1562"/>
      <c r="DF174" s="1204"/>
      <c r="DG174" s="648"/>
      <c r="DH174" s="1204"/>
      <c r="DI174" s="1204"/>
      <c r="DJ174" s="1204"/>
      <c r="DK174" s="1204"/>
      <c r="DL174" s="1215"/>
      <c r="DM174" s="1215"/>
      <c r="DN174" s="1215"/>
      <c r="DO174" s="1215"/>
      <c r="DP174" s="1616">
        <f t="shared" si="483"/>
        <v>6240.05</v>
      </c>
      <c r="DQ174" s="1616">
        <f t="shared" si="484"/>
        <v>7002.3949281000005</v>
      </c>
      <c r="DR174" s="1616">
        <f t="shared" si="485"/>
        <v>8965.7082947204035</v>
      </c>
      <c r="DS174" s="1619">
        <f t="shared" si="486"/>
        <v>8374.1059056500944</v>
      </c>
      <c r="DT174" s="1620">
        <f t="shared" si="487"/>
        <v>8893.3337880325835</v>
      </c>
      <c r="DU174" s="1620">
        <f t="shared" si="488"/>
        <v>8687.2425973117333</v>
      </c>
      <c r="DV174" s="1620">
        <f t="shared" si="489"/>
        <v>8459.8358051260511</v>
      </c>
      <c r="DW174" s="1621">
        <f t="shared" si="490"/>
        <v>8044.9040990631693</v>
      </c>
      <c r="DX174" s="1620"/>
      <c r="DY174" s="1620"/>
      <c r="DZ174" s="1565"/>
    </row>
    <row r="175" spans="1:136" ht="11.25" hidden="1" customHeight="1" outlineLevel="1">
      <c r="A175" s="3"/>
      <c r="B175" s="502"/>
      <c r="C175" s="52"/>
      <c r="D175" s="52" t="s">
        <v>663</v>
      </c>
      <c r="E175" s="741"/>
      <c r="F175" s="201"/>
      <c r="G175" s="201"/>
      <c r="H175" s="201"/>
      <c r="I175" s="202"/>
      <c r="J175" s="207"/>
      <c r="K175" s="201"/>
      <c r="L175" s="201"/>
      <c r="M175" s="202"/>
      <c r="N175" s="207"/>
      <c r="O175" s="201"/>
      <c r="P175" s="201"/>
      <c r="Q175" s="202"/>
      <c r="R175" s="207"/>
      <c r="S175" s="201"/>
      <c r="T175" s="201"/>
      <c r="U175" s="365"/>
      <c r="V175" s="1211"/>
      <c r="W175" s="364"/>
      <c r="X175" s="364"/>
      <c r="Y175" s="365"/>
      <c r="Z175" s="1211"/>
      <c r="AA175" s="364"/>
      <c r="AB175" s="364"/>
      <c r="AC175" s="365"/>
      <c r="AD175" s="1211"/>
      <c r="AE175" s="364"/>
      <c r="AF175" s="364"/>
      <c r="AG175" s="364"/>
      <c r="AH175" s="1211"/>
      <c r="AI175" s="364"/>
      <c r="AJ175" s="364"/>
      <c r="AK175" s="365"/>
      <c r="AL175" s="1211"/>
      <c r="AM175" s="364"/>
      <c r="AN175" s="364"/>
      <c r="AO175" s="365"/>
      <c r="AP175" s="1211"/>
      <c r="AQ175" s="364"/>
      <c r="AR175" s="1613">
        <v>1111.875</v>
      </c>
      <c r="AS175" s="1614">
        <v>1004.575</v>
      </c>
      <c r="AT175" s="1615">
        <v>1004.65</v>
      </c>
      <c r="AU175" s="1613">
        <v>1123.5</v>
      </c>
      <c r="AV175" s="1613">
        <v>1112.2650000000001</v>
      </c>
      <c r="AW175" s="1614">
        <v>1103.2559999999999</v>
      </c>
      <c r="AX175" s="1615">
        <v>1100.3599529999999</v>
      </c>
      <c r="AY175" s="1613">
        <v>1306.6774441875</v>
      </c>
      <c r="AZ175" s="1613">
        <v>1685.0912320242001</v>
      </c>
      <c r="BA175" s="1614">
        <v>1536.8032036060704</v>
      </c>
      <c r="BB175" s="1615">
        <v>1150.7582388602254</v>
      </c>
      <c r="BC175" s="1613">
        <v>1204.1534211433402</v>
      </c>
      <c r="BD175" s="1613">
        <v>1179.7091066941302</v>
      </c>
      <c r="BE175" s="1614">
        <v>1166.3194083331518</v>
      </c>
      <c r="BF175" s="1613">
        <v>1199.2096156481471</v>
      </c>
      <c r="BG175" s="1613">
        <v>1187.2175194916656</v>
      </c>
      <c r="BH175" s="1613">
        <v>1128.5689740287771</v>
      </c>
      <c r="BI175" s="1614">
        <v>1050.923428615597</v>
      </c>
      <c r="BJ175" s="1613">
        <v>1100.9473838176998</v>
      </c>
      <c r="BK175" s="1613">
        <v>1067.9189623031687</v>
      </c>
      <c r="BL175" s="1613">
        <v>1093.655809294675</v>
      </c>
      <c r="BM175" s="1614">
        <v>982.82472958075266</v>
      </c>
      <c r="BN175" s="1613">
        <v>929.45734676451775</v>
      </c>
      <c r="BO175" s="1613">
        <v>847.10742584118145</v>
      </c>
      <c r="BP175" s="1613">
        <v>709.94379144897732</v>
      </c>
      <c r="BQ175" s="1614">
        <v>695.1769605868385</v>
      </c>
      <c r="BR175" s="1613">
        <v>729.93580861618057</v>
      </c>
      <c r="BS175" s="1613">
        <v>830.1559951391821</v>
      </c>
      <c r="BT175" s="1613">
        <v>730.53727572248022</v>
      </c>
      <c r="BU175" s="1614">
        <v>694.01041193635626</v>
      </c>
      <c r="BV175" s="1613">
        <v>714.83072429444701</v>
      </c>
      <c r="BW175" s="1613">
        <v>714.83072429444701</v>
      </c>
      <c r="BX175" s="1613"/>
      <c r="BY175" s="1614"/>
      <c r="BZ175" s="1613"/>
      <c r="CA175" s="1613"/>
      <c r="CB175" s="1613"/>
      <c r="CC175" s="1614"/>
      <c r="CD175" s="338"/>
      <c r="CE175" s="333"/>
      <c r="CF175" s="333"/>
      <c r="CG175" s="333"/>
      <c r="CH175" s="333"/>
      <c r="CI175" s="333"/>
      <c r="CJ175" s="333"/>
      <c r="CK175" s="333"/>
      <c r="CL175" s="333"/>
      <c r="CM175" s="333"/>
      <c r="CN175" s="1617">
        <f t="shared" si="475"/>
        <v>2116.4499999999998</v>
      </c>
      <c r="CO175" s="1617">
        <f t="shared" si="476"/>
        <v>4343.6710000000003</v>
      </c>
      <c r="CP175" s="1617">
        <f t="shared" si="477"/>
        <v>5628.9318328177706</v>
      </c>
      <c r="CQ175" s="1617">
        <f t="shared" si="478"/>
        <v>4700.940175030848</v>
      </c>
      <c r="CR175" s="1617">
        <f t="shared" si="479"/>
        <v>4565.919537784187</v>
      </c>
      <c r="CS175" s="1613">
        <f t="shared" si="480"/>
        <v>4245.3468849962956</v>
      </c>
      <c r="CT175" s="1613">
        <f t="shared" si="481"/>
        <v>3181.6855246415148</v>
      </c>
      <c r="CU175" s="1613">
        <f t="shared" si="482"/>
        <v>2984.6394914141993</v>
      </c>
      <c r="CV175" s="1613"/>
      <c r="CW175" s="1613"/>
      <c r="CX175" s="1613"/>
      <c r="CY175" s="1613"/>
      <c r="CZ175" s="1613"/>
      <c r="DA175" s="1613"/>
      <c r="DB175" s="1613"/>
      <c r="DC175" s="1613"/>
      <c r="DD175" s="1507"/>
      <c r="DE175" s="1552"/>
      <c r="DF175" s="333"/>
      <c r="DG175" s="349"/>
      <c r="DH175" s="333"/>
      <c r="DI175" s="333"/>
      <c r="DJ175" s="333"/>
      <c r="DK175" s="333"/>
      <c r="DL175" s="578"/>
      <c r="DM175" s="578"/>
      <c r="DN175" s="578"/>
      <c r="DO175" s="578"/>
      <c r="DP175" s="1617">
        <f t="shared" si="483"/>
        <v>4244.6000000000004</v>
      </c>
      <c r="DQ175" s="1617">
        <f t="shared" si="484"/>
        <v>4622.5583971875003</v>
      </c>
      <c r="DR175" s="1617">
        <f t="shared" si="485"/>
        <v>5576.8060956338359</v>
      </c>
      <c r="DS175" s="1622">
        <f t="shared" si="486"/>
        <v>4732.455650167095</v>
      </c>
      <c r="DT175" s="158">
        <f t="shared" si="487"/>
        <v>4348.358748765243</v>
      </c>
      <c r="DU175" s="158">
        <f t="shared" si="488"/>
        <v>3853.0453114811266</v>
      </c>
      <c r="DV175" s="158">
        <f t="shared" si="489"/>
        <v>2965.2125557911786</v>
      </c>
      <c r="DW175" s="1623">
        <f t="shared" si="490"/>
        <v>2854.2091362477304</v>
      </c>
      <c r="DX175" s="158"/>
      <c r="DY175" s="158"/>
      <c r="DZ175" s="1561"/>
    </row>
    <row r="176" spans="1:136" ht="11.25" hidden="1" customHeight="1" outlineLevel="1">
      <c r="A176" s="3"/>
      <c r="B176" s="502"/>
      <c r="C176" s="52"/>
      <c r="D176" s="52" t="s">
        <v>664</v>
      </c>
      <c r="E176" s="741"/>
      <c r="F176" s="201"/>
      <c r="G176" s="201"/>
      <c r="H176" s="201"/>
      <c r="I176" s="202"/>
      <c r="J176" s="207"/>
      <c r="K176" s="201"/>
      <c r="L176" s="201"/>
      <c r="M176" s="202"/>
      <c r="N176" s="207"/>
      <c r="O176" s="201"/>
      <c r="P176" s="201"/>
      <c r="Q176" s="202"/>
      <c r="R176" s="207"/>
      <c r="S176" s="201"/>
      <c r="T176" s="201"/>
      <c r="U176" s="365"/>
      <c r="V176" s="1211"/>
      <c r="W176" s="364"/>
      <c r="X176" s="364"/>
      <c r="Y176" s="365"/>
      <c r="Z176" s="1211"/>
      <c r="AA176" s="364"/>
      <c r="AB176" s="364"/>
      <c r="AC176" s="365"/>
      <c r="AD176" s="1211"/>
      <c r="AE176" s="364"/>
      <c r="AF176" s="364"/>
      <c r="AG176" s="364"/>
      <c r="AH176" s="1211"/>
      <c r="AI176" s="364"/>
      <c r="AJ176" s="364"/>
      <c r="AK176" s="365"/>
      <c r="AL176" s="1211"/>
      <c r="AM176" s="364"/>
      <c r="AN176" s="364"/>
      <c r="AO176" s="365"/>
      <c r="AP176" s="1211"/>
      <c r="AQ176" s="364"/>
      <c r="AR176" s="1613">
        <v>480</v>
      </c>
      <c r="AS176" s="1614">
        <v>469.2</v>
      </c>
      <c r="AT176" s="1615">
        <v>544.5</v>
      </c>
      <c r="AU176" s="1613">
        <v>501.75</v>
      </c>
      <c r="AV176" s="1613">
        <v>514.5524999999999</v>
      </c>
      <c r="AW176" s="1614">
        <v>593.98514999999998</v>
      </c>
      <c r="AX176" s="1615">
        <v>623.9503709999999</v>
      </c>
      <c r="AY176" s="1613">
        <v>647.34850991250005</v>
      </c>
      <c r="AZ176" s="1613">
        <v>942.53943043259994</v>
      </c>
      <c r="BA176" s="1614">
        <v>984.95370480206702</v>
      </c>
      <c r="BB176" s="1615">
        <v>690.25555632528847</v>
      </c>
      <c r="BC176" s="1613">
        <v>771.15350752661243</v>
      </c>
      <c r="BD176" s="1613">
        <v>855.05500914550794</v>
      </c>
      <c r="BE176" s="1614">
        <v>963.64699530698738</v>
      </c>
      <c r="BF176" s="1613">
        <v>902.44962922302182</v>
      </c>
      <c r="BG176" s="1613">
        <v>920.49862180748232</v>
      </c>
      <c r="BH176" s="1613">
        <v>966.52355289785658</v>
      </c>
      <c r="BI176" s="1614">
        <v>1014.8497305427494</v>
      </c>
      <c r="BJ176" s="1613">
        <v>1225.4310496303697</v>
      </c>
      <c r="BK176" s="1613">
        <v>1338.1707061963641</v>
      </c>
      <c r="BL176" s="1613">
        <v>1268.0505611916749</v>
      </c>
      <c r="BM176" s="1614">
        <v>1153.6850810777973</v>
      </c>
      <c r="BN176" s="1613">
        <v>1147.9166556724083</v>
      </c>
      <c r="BO176" s="1613">
        <v>1264.5449878887252</v>
      </c>
      <c r="BP176" s="1613">
        <v>1245.5768130703943</v>
      </c>
      <c r="BQ176" s="1614">
        <v>1398.4090880341316</v>
      </c>
      <c r="BR176" s="1613">
        <v>1482.3136333161797</v>
      </c>
      <c r="BS176" s="1613">
        <v>1368.3237149141657</v>
      </c>
      <c r="BT176" s="1613">
        <v>1272.5410548701741</v>
      </c>
      <c r="BU176" s="1614">
        <v>1272.5410548701741</v>
      </c>
      <c r="BV176" s="1613">
        <v>1336.1681076136827</v>
      </c>
      <c r="BW176" s="1613">
        <v>1309.444745461409</v>
      </c>
      <c r="BX176" s="1613"/>
      <c r="BY176" s="1614"/>
      <c r="BZ176" s="1613"/>
      <c r="CA176" s="1613"/>
      <c r="CB176" s="1613"/>
      <c r="CC176" s="1614"/>
      <c r="CD176" s="338"/>
      <c r="CE176" s="333"/>
      <c r="CF176" s="333"/>
      <c r="CG176" s="333"/>
      <c r="CH176" s="333"/>
      <c r="CI176" s="333"/>
      <c r="CJ176" s="333"/>
      <c r="CK176" s="333"/>
      <c r="CL176" s="333"/>
      <c r="CM176" s="333"/>
      <c r="CN176" s="1617">
        <f t="shared" si="475"/>
        <v>949.2</v>
      </c>
      <c r="CO176" s="1617">
        <f t="shared" si="476"/>
        <v>2154.7876499999998</v>
      </c>
      <c r="CP176" s="1617">
        <f t="shared" si="477"/>
        <v>3198.792016147167</v>
      </c>
      <c r="CQ176" s="1617">
        <f t="shared" si="478"/>
        <v>3280.1110683043962</v>
      </c>
      <c r="CR176" s="1617">
        <f t="shared" si="479"/>
        <v>3804.3215344711102</v>
      </c>
      <c r="CS176" s="1613">
        <f t="shared" si="480"/>
        <v>4985.337398096206</v>
      </c>
      <c r="CT176" s="1613">
        <f t="shared" si="481"/>
        <v>5056.4475446656597</v>
      </c>
      <c r="CU176" s="1613">
        <f t="shared" si="482"/>
        <v>5395.7194579706929</v>
      </c>
      <c r="CV176" s="1613"/>
      <c r="CW176" s="1613"/>
      <c r="CX176" s="1613"/>
      <c r="CY176" s="1613"/>
      <c r="CZ176" s="1613"/>
      <c r="DA176" s="1613"/>
      <c r="DB176" s="1613"/>
      <c r="DC176" s="1613"/>
      <c r="DD176" s="1507"/>
      <c r="DE176" s="1552"/>
      <c r="DF176" s="333"/>
      <c r="DG176" s="349"/>
      <c r="DH176" s="333"/>
      <c r="DI176" s="333"/>
      <c r="DJ176" s="333"/>
      <c r="DK176" s="333"/>
      <c r="DL176" s="578"/>
      <c r="DM176" s="578"/>
      <c r="DN176" s="578"/>
      <c r="DO176" s="578"/>
      <c r="DP176" s="1617">
        <f t="shared" si="483"/>
        <v>1995.45</v>
      </c>
      <c r="DQ176" s="1617">
        <f t="shared" si="484"/>
        <v>2379.8365309124997</v>
      </c>
      <c r="DR176" s="1617">
        <f t="shared" si="485"/>
        <v>3388.9021990865681</v>
      </c>
      <c r="DS176" s="1622">
        <f t="shared" si="486"/>
        <v>3641.6502554829995</v>
      </c>
      <c r="DT176" s="158">
        <f t="shared" si="487"/>
        <v>4544.9750392673395</v>
      </c>
      <c r="DU176" s="158">
        <f t="shared" si="488"/>
        <v>4834.1972858306053</v>
      </c>
      <c r="DV176" s="158">
        <f t="shared" si="489"/>
        <v>5494.6232493348716</v>
      </c>
      <c r="DW176" s="1623">
        <f t="shared" si="490"/>
        <v>5190.6949628154398</v>
      </c>
      <c r="DX176" s="158"/>
      <c r="DY176" s="158"/>
      <c r="DZ176" s="1561"/>
    </row>
    <row r="177" spans="1:136" ht="11.25" hidden="1" customHeight="1" outlineLevel="1">
      <c r="A177" s="4"/>
      <c r="B177" s="1210"/>
      <c r="C177" s="152" t="s">
        <v>186</v>
      </c>
      <c r="D177" s="152"/>
      <c r="E177" s="1197"/>
      <c r="F177" s="188"/>
      <c r="G177" s="188"/>
      <c r="H177" s="188"/>
      <c r="I177" s="198"/>
      <c r="J177" s="209"/>
      <c r="K177" s="188"/>
      <c r="L177" s="188"/>
      <c r="M177" s="198"/>
      <c r="N177" s="209"/>
      <c r="O177" s="188"/>
      <c r="P177" s="188"/>
      <c r="Q177" s="198"/>
      <c r="R177" s="209"/>
      <c r="S177" s="188"/>
      <c r="T177" s="188"/>
      <c r="U177" s="1212"/>
      <c r="V177" s="1213"/>
      <c r="W177" s="1214"/>
      <c r="X177" s="1214"/>
      <c r="Y177" s="1212"/>
      <c r="Z177" s="1213"/>
      <c r="AA177" s="1214"/>
      <c r="AB177" s="1214"/>
      <c r="AC177" s="1212"/>
      <c r="AD177" s="1213"/>
      <c r="AE177" s="1214"/>
      <c r="AF177" s="1214"/>
      <c r="AG177" s="1214"/>
      <c r="AH177" s="1213"/>
      <c r="AI177" s="1214"/>
      <c r="AJ177" s="1214"/>
      <c r="AK177" s="1212"/>
      <c r="AL177" s="1213"/>
      <c r="AM177" s="1214"/>
      <c r="AN177" s="1214"/>
      <c r="AO177" s="1212"/>
      <c r="AP177" s="1213"/>
      <c r="AQ177" s="1214"/>
      <c r="AR177" s="1610">
        <v>5725</v>
      </c>
      <c r="AS177" s="1611">
        <v>4756.2</v>
      </c>
      <c r="AT177" s="1612">
        <v>5101.95</v>
      </c>
      <c r="AU177" s="1610">
        <v>4981.25</v>
      </c>
      <c r="AV177" s="1610">
        <v>4662.32</v>
      </c>
      <c r="AW177" s="1611">
        <v>4883.8405874999999</v>
      </c>
      <c r="AX177" s="1612">
        <v>5411.2233727500006</v>
      </c>
      <c r="AY177" s="1610">
        <v>4828.7059860487498</v>
      </c>
      <c r="AZ177" s="1610">
        <v>6036.0741048581713</v>
      </c>
      <c r="BA177" s="1611">
        <v>6212.7161441336439</v>
      </c>
      <c r="BB177" s="1612">
        <v>4950.292223645687</v>
      </c>
      <c r="BC177" s="1610">
        <v>4527.540206299318</v>
      </c>
      <c r="BD177" s="1610">
        <v>4472.0500257559943</v>
      </c>
      <c r="BE177" s="1611">
        <v>4344.9927083067787</v>
      </c>
      <c r="BF177" s="1610">
        <v>4399.0357484393926</v>
      </c>
      <c r="BG177" s="1610">
        <v>4398.5958448645488</v>
      </c>
      <c r="BH177" s="1610">
        <v>4298.7508772398651</v>
      </c>
      <c r="BI177" s="1611">
        <v>4247.4138739771943</v>
      </c>
      <c r="BJ177" s="1610">
        <v>4494.6753985350369</v>
      </c>
      <c r="BK177" s="1610">
        <v>4232.2056827564966</v>
      </c>
      <c r="BL177" s="1610">
        <v>3657.8773708619588</v>
      </c>
      <c r="BM177" s="1611">
        <v>3020.1944735683091</v>
      </c>
      <c r="BN177" s="1610">
        <v>3134.6598441165479</v>
      </c>
      <c r="BO177" s="1610">
        <v>3159.5801033840999</v>
      </c>
      <c r="BP177" s="1610">
        <v>2809.0705069001042</v>
      </c>
      <c r="BQ177" s="1611">
        <v>2525.0734786525036</v>
      </c>
      <c r="BR177" s="1610">
        <v>2823.4160789870512</v>
      </c>
      <c r="BS177" s="1610">
        <v>3164.4396412403285</v>
      </c>
      <c r="BT177" s="1610">
        <v>2904.3148172131087</v>
      </c>
      <c r="BU177" s="1611">
        <v>2649.022120209559</v>
      </c>
      <c r="BV177" s="1610">
        <v>2877.1077307964943</v>
      </c>
      <c r="BW177" s="1610">
        <v>2890.0399228105061</v>
      </c>
      <c r="BX177" s="1610"/>
      <c r="BY177" s="1611"/>
      <c r="BZ177" s="1610"/>
      <c r="CA177" s="1610"/>
      <c r="CB177" s="1610"/>
      <c r="CC177" s="1611"/>
      <c r="CD177" s="412"/>
      <c r="CE177" s="1204"/>
      <c r="CF177" s="1204"/>
      <c r="CG177" s="1204"/>
      <c r="CH177" s="1204"/>
      <c r="CI177" s="1204"/>
      <c r="CJ177" s="1204"/>
      <c r="CK177" s="1204"/>
      <c r="CL177" s="1204"/>
      <c r="CM177" s="1204"/>
      <c r="CN177" s="1616">
        <f t="shared" si="475"/>
        <v>10481.200000000001</v>
      </c>
      <c r="CO177" s="1616">
        <f t="shared" si="476"/>
        <v>19629.360587499999</v>
      </c>
      <c r="CP177" s="1616">
        <f t="shared" si="477"/>
        <v>22488.719607790565</v>
      </c>
      <c r="CQ177" s="1616">
        <f t="shared" si="478"/>
        <v>18294.875164007779</v>
      </c>
      <c r="CR177" s="1616">
        <f t="shared" si="479"/>
        <v>17343.796344521001</v>
      </c>
      <c r="CS177" s="1610">
        <f t="shared" si="480"/>
        <v>15404.952925721802</v>
      </c>
      <c r="CT177" s="1610">
        <f t="shared" si="481"/>
        <v>11628.383933053254</v>
      </c>
      <c r="CU177" s="1610">
        <f t="shared" si="482"/>
        <v>11541.192657650048</v>
      </c>
      <c r="CV177" s="1610"/>
      <c r="CW177" s="1610"/>
      <c r="CX177" s="1610"/>
      <c r="CY177" s="1610"/>
      <c r="CZ177" s="1610"/>
      <c r="DA177" s="1610"/>
      <c r="DB177" s="1610"/>
      <c r="DC177" s="1610"/>
      <c r="DD177" s="1523"/>
      <c r="DE177" s="1562"/>
      <c r="DF177" s="1204"/>
      <c r="DG177" s="648"/>
      <c r="DH177" s="1204"/>
      <c r="DI177" s="1204"/>
      <c r="DJ177" s="1204"/>
      <c r="DK177" s="1204"/>
      <c r="DL177" s="1215"/>
      <c r="DM177" s="1215"/>
      <c r="DN177" s="1215"/>
      <c r="DO177" s="1215"/>
      <c r="DP177" s="1616">
        <f t="shared" si="483"/>
        <v>20564.400000000001</v>
      </c>
      <c r="DQ177" s="1616">
        <f t="shared" si="484"/>
        <v>19786.089946298751</v>
      </c>
      <c r="DR177" s="1616">
        <f t="shared" si="485"/>
        <v>21726.622678936823</v>
      </c>
      <c r="DS177" s="1619">
        <f t="shared" si="486"/>
        <v>17614.674327366716</v>
      </c>
      <c r="DT177" s="1620">
        <f t="shared" si="487"/>
        <v>17273.045832508593</v>
      </c>
      <c r="DU177" s="1620">
        <f t="shared" si="488"/>
        <v>12972.311791930915</v>
      </c>
      <c r="DV177" s="1620">
        <f t="shared" si="489"/>
        <v>11321.999705779988</v>
      </c>
      <c r="DW177" s="1621">
        <f t="shared" si="490"/>
        <v>11320.484591029668</v>
      </c>
      <c r="DX177" s="1620"/>
      <c r="DY177" s="1620"/>
      <c r="DZ177" s="1565"/>
    </row>
    <row r="178" spans="1:136" ht="11.25" hidden="1" customHeight="1" outlineLevel="1">
      <c r="A178" s="3"/>
      <c r="B178" s="502"/>
      <c r="C178" s="52"/>
      <c r="D178" s="52" t="s">
        <v>680</v>
      </c>
      <c r="E178" s="741"/>
      <c r="F178" s="201"/>
      <c r="G178" s="201"/>
      <c r="H178" s="201"/>
      <c r="I178" s="202"/>
      <c r="J178" s="207"/>
      <c r="K178" s="201"/>
      <c r="L178" s="201"/>
      <c r="M178" s="202"/>
      <c r="N178" s="207"/>
      <c r="O178" s="201"/>
      <c r="P178" s="201"/>
      <c r="Q178" s="202"/>
      <c r="R178" s="207"/>
      <c r="S178" s="201"/>
      <c r="T178" s="201"/>
      <c r="U178" s="365"/>
      <c r="V178" s="1211"/>
      <c r="W178" s="364"/>
      <c r="X178" s="364"/>
      <c r="Y178" s="365"/>
      <c r="Z178" s="1211"/>
      <c r="AA178" s="364"/>
      <c r="AB178" s="364"/>
      <c r="AC178" s="365"/>
      <c r="AD178" s="1211"/>
      <c r="AE178" s="364"/>
      <c r="AF178" s="364"/>
      <c r="AG178" s="364"/>
      <c r="AH178" s="1211"/>
      <c r="AI178" s="364"/>
      <c r="AJ178" s="364"/>
      <c r="AK178" s="365"/>
      <c r="AL178" s="1211"/>
      <c r="AM178" s="364"/>
      <c r="AN178" s="364"/>
      <c r="AO178" s="365"/>
      <c r="AP178" s="1211"/>
      <c r="AQ178" s="364"/>
      <c r="AR178" s="1613">
        <v>3149</v>
      </c>
      <c r="AS178" s="1614">
        <v>2635.2</v>
      </c>
      <c r="AT178" s="1615">
        <v>2919</v>
      </c>
      <c r="AU178" s="1613">
        <v>2801.25</v>
      </c>
      <c r="AV178" s="1613">
        <v>2642.72</v>
      </c>
      <c r="AW178" s="1614">
        <v>2834.9365874999999</v>
      </c>
      <c r="AX178" s="1615">
        <v>3300.8522527499999</v>
      </c>
      <c r="AY178" s="1613">
        <v>3119.30537884875</v>
      </c>
      <c r="AZ178" s="1613">
        <v>3791.2037574527712</v>
      </c>
      <c r="BA178" s="1614">
        <v>3843.1432489298736</v>
      </c>
      <c r="BB178" s="1615">
        <v>3062.2165407473231</v>
      </c>
      <c r="BC178" s="1613">
        <v>2588.1088648261184</v>
      </c>
      <c r="BD178" s="1613">
        <v>2561.7101544048924</v>
      </c>
      <c r="BE178" s="1614">
        <v>2510.7321223322347</v>
      </c>
      <c r="BF178" s="1613">
        <v>2510.4810491200019</v>
      </c>
      <c r="BG178" s="1613">
        <v>2510.2300010150898</v>
      </c>
      <c r="BH178" s="1613">
        <v>2410.5738699747913</v>
      </c>
      <c r="BI178" s="1614">
        <v>2434.197493900544</v>
      </c>
      <c r="BJ178" s="1613">
        <v>2640.0088920098347</v>
      </c>
      <c r="BK178" s="1613">
        <v>2561.3366270279421</v>
      </c>
      <c r="BL178" s="1613">
        <v>2218.7578531629547</v>
      </c>
      <c r="BM178" s="1614">
        <v>1819.6809719038001</v>
      </c>
      <c r="BN178" s="1613">
        <v>1888.646880738954</v>
      </c>
      <c r="BO178" s="1613">
        <v>1888.646880738954</v>
      </c>
      <c r="BP178" s="1613">
        <v>1664.0867666190925</v>
      </c>
      <c r="BQ178" s="1614">
        <v>1495.8475945139021</v>
      </c>
      <c r="BR178" s="1613">
        <v>1660.3908299104316</v>
      </c>
      <c r="BS178" s="1613">
        <v>1930.7024570198503</v>
      </c>
      <c r="BT178" s="1613">
        <v>1756.9392358880639</v>
      </c>
      <c r="BU178" s="1614">
        <v>1616.3840970170188</v>
      </c>
      <c r="BV178" s="1613">
        <v>1761.8586657485505</v>
      </c>
      <c r="BW178" s="1613">
        <v>1797.0958390635215</v>
      </c>
      <c r="BX178" s="1613"/>
      <c r="BY178" s="1614"/>
      <c r="BZ178" s="1613"/>
      <c r="CA178" s="1613"/>
      <c r="CB178" s="1613"/>
      <c r="CC178" s="1614"/>
      <c r="CD178" s="338"/>
      <c r="CE178" s="333"/>
      <c r="CF178" s="333"/>
      <c r="CG178" s="333"/>
      <c r="CH178" s="333"/>
      <c r="CI178" s="333"/>
      <c r="CJ178" s="333"/>
      <c r="CK178" s="333"/>
      <c r="CL178" s="333"/>
      <c r="CM178" s="333"/>
      <c r="CN178" s="1617">
        <f t="shared" si="475"/>
        <v>5784.2</v>
      </c>
      <c r="CO178" s="1617">
        <f t="shared" si="476"/>
        <v>11197.9065875</v>
      </c>
      <c r="CP178" s="1617">
        <f t="shared" si="477"/>
        <v>14054.504637981394</v>
      </c>
      <c r="CQ178" s="1617">
        <f t="shared" si="478"/>
        <v>10722.767682310568</v>
      </c>
      <c r="CR178" s="1617">
        <f t="shared" si="479"/>
        <v>9865.4824140104283</v>
      </c>
      <c r="CS178" s="1613">
        <f t="shared" si="480"/>
        <v>9239.7843441045334</v>
      </c>
      <c r="CT178" s="1613">
        <f t="shared" si="481"/>
        <v>6937.2281226109026</v>
      </c>
      <c r="CU178" s="1613">
        <f t="shared" si="482"/>
        <v>6964.4166198353641</v>
      </c>
      <c r="CV178" s="1613"/>
      <c r="CW178" s="1613"/>
      <c r="CX178" s="1613"/>
      <c r="CY178" s="1613"/>
      <c r="CZ178" s="1613"/>
      <c r="DA178" s="1613"/>
      <c r="DB178" s="1613"/>
      <c r="DC178" s="1613"/>
      <c r="DD178" s="1507"/>
      <c r="DE178" s="1552"/>
      <c r="DF178" s="333"/>
      <c r="DG178" s="349"/>
      <c r="DH178" s="333"/>
      <c r="DI178" s="333"/>
      <c r="DJ178" s="333"/>
      <c r="DK178" s="333"/>
      <c r="DL178" s="578"/>
      <c r="DM178" s="578"/>
      <c r="DN178" s="578"/>
      <c r="DO178" s="578"/>
      <c r="DP178" s="1617">
        <f t="shared" si="483"/>
        <v>11504.45</v>
      </c>
      <c r="DQ178" s="1617">
        <f t="shared" si="484"/>
        <v>11897.814219098751</v>
      </c>
      <c r="DR178" s="1617">
        <f t="shared" si="485"/>
        <v>13284.672411956086</v>
      </c>
      <c r="DS178" s="1622">
        <f t="shared" si="486"/>
        <v>10093.15332687222</v>
      </c>
      <c r="DT178" s="158">
        <f t="shared" si="487"/>
        <v>10046.116882913113</v>
      </c>
      <c r="DU178" s="158">
        <f t="shared" si="488"/>
        <v>7815.7325865446628</v>
      </c>
      <c r="DV178" s="158">
        <f t="shared" si="489"/>
        <v>6751.0276480632765</v>
      </c>
      <c r="DW178" s="1623">
        <f t="shared" si="490"/>
        <v>6932.2778377171544</v>
      </c>
      <c r="DX178" s="158"/>
      <c r="DY178" s="158"/>
      <c r="DZ178" s="1561"/>
    </row>
    <row r="179" spans="1:136" ht="11.25" hidden="1" customHeight="1" outlineLevel="1">
      <c r="A179" s="3"/>
      <c r="B179" s="502"/>
      <c r="C179" s="52"/>
      <c r="D179" s="52" t="s">
        <v>679</v>
      </c>
      <c r="E179" s="741"/>
      <c r="F179" s="201"/>
      <c r="G179" s="201"/>
      <c r="H179" s="201"/>
      <c r="I179" s="202"/>
      <c r="J179" s="207"/>
      <c r="K179" s="201"/>
      <c r="L179" s="201"/>
      <c r="M179" s="202"/>
      <c r="N179" s="207"/>
      <c r="O179" s="201"/>
      <c r="P179" s="201"/>
      <c r="Q179" s="202"/>
      <c r="R179" s="207"/>
      <c r="S179" s="201"/>
      <c r="T179" s="201"/>
      <c r="U179" s="365"/>
      <c r="V179" s="1211"/>
      <c r="W179" s="364"/>
      <c r="X179" s="364"/>
      <c r="Y179" s="365"/>
      <c r="Z179" s="1211"/>
      <c r="AA179" s="364"/>
      <c r="AB179" s="364"/>
      <c r="AC179" s="365"/>
      <c r="AD179" s="1211"/>
      <c r="AE179" s="364"/>
      <c r="AF179" s="364"/>
      <c r="AG179" s="364"/>
      <c r="AH179" s="1211"/>
      <c r="AI179" s="364"/>
      <c r="AJ179" s="364"/>
      <c r="AK179" s="365"/>
      <c r="AL179" s="1211"/>
      <c r="AM179" s="364"/>
      <c r="AN179" s="364"/>
      <c r="AO179" s="365"/>
      <c r="AP179" s="1211"/>
      <c r="AQ179" s="364"/>
      <c r="AR179" s="1613">
        <v>2576</v>
      </c>
      <c r="AS179" s="1614">
        <v>2121</v>
      </c>
      <c r="AT179" s="1615">
        <v>2182.9499999999998</v>
      </c>
      <c r="AU179" s="1613">
        <v>2180</v>
      </c>
      <c r="AV179" s="1613">
        <v>2019.6</v>
      </c>
      <c r="AW179" s="1614">
        <v>2048.904</v>
      </c>
      <c r="AX179" s="1615">
        <v>2110.3711200000002</v>
      </c>
      <c r="AY179" s="1613">
        <v>1709.4006072000002</v>
      </c>
      <c r="AZ179" s="1613">
        <v>2244.8703474054005</v>
      </c>
      <c r="BA179" s="1614">
        <v>2369.5728952037703</v>
      </c>
      <c r="BB179" s="1615">
        <v>1888.0756828983642</v>
      </c>
      <c r="BC179" s="1613">
        <v>1939.4313414731998</v>
      </c>
      <c r="BD179" s="1613">
        <v>1910.3398713511017</v>
      </c>
      <c r="BE179" s="1614">
        <v>1834.2605859745443</v>
      </c>
      <c r="BF179" s="1613">
        <v>1888.5546993193909</v>
      </c>
      <c r="BG179" s="1613">
        <v>1888.365843849459</v>
      </c>
      <c r="BH179" s="1613">
        <v>1888.1770072650741</v>
      </c>
      <c r="BI179" s="1614">
        <v>1813.21638007665</v>
      </c>
      <c r="BJ179" s="1613">
        <v>1854.6665065252023</v>
      </c>
      <c r="BK179" s="1613">
        <v>1670.8690557285547</v>
      </c>
      <c r="BL179" s="1613">
        <v>1439.1195176990041</v>
      </c>
      <c r="BM179" s="1614">
        <v>1200.513501664509</v>
      </c>
      <c r="BN179" s="1613">
        <v>1246.0129633775937</v>
      </c>
      <c r="BO179" s="1613">
        <v>1270.9332226451459</v>
      </c>
      <c r="BP179" s="1613">
        <v>1144.9837402810117</v>
      </c>
      <c r="BQ179" s="1614">
        <v>1029.2258841386013</v>
      </c>
      <c r="BR179" s="1613">
        <v>1163.0252490766195</v>
      </c>
      <c r="BS179" s="1613">
        <v>1233.737184220478</v>
      </c>
      <c r="BT179" s="1613">
        <v>1147.3755813250445</v>
      </c>
      <c r="BU179" s="1614">
        <v>1032.63802319254</v>
      </c>
      <c r="BV179" s="1613">
        <v>1115.2490650479435</v>
      </c>
      <c r="BW179" s="1613">
        <v>1092.9440837469847</v>
      </c>
      <c r="BX179" s="1613"/>
      <c r="BY179" s="1614"/>
      <c r="BZ179" s="1613"/>
      <c r="CA179" s="1613"/>
      <c r="CB179" s="1613"/>
      <c r="CC179" s="1614"/>
      <c r="CD179" s="338"/>
      <c r="CE179" s="333"/>
      <c r="CF179" s="333"/>
      <c r="CG179" s="333"/>
      <c r="CH179" s="333"/>
      <c r="CI179" s="333"/>
      <c r="CJ179" s="333"/>
      <c r="CK179" s="333"/>
      <c r="CL179" s="333"/>
      <c r="CM179" s="333"/>
      <c r="CN179" s="1617">
        <f t="shared" si="475"/>
        <v>4697</v>
      </c>
      <c r="CO179" s="1617">
        <f t="shared" si="476"/>
        <v>8431.4539999999997</v>
      </c>
      <c r="CP179" s="1617">
        <f t="shared" si="477"/>
        <v>8434.2149698091707</v>
      </c>
      <c r="CQ179" s="1617">
        <f t="shared" si="478"/>
        <v>7572.1074816972105</v>
      </c>
      <c r="CR179" s="1617">
        <f t="shared" si="479"/>
        <v>7478.3139305105742</v>
      </c>
      <c r="CS179" s="1613">
        <f t="shared" si="480"/>
        <v>6165.1685816172703</v>
      </c>
      <c r="CT179" s="1613">
        <f t="shared" si="481"/>
        <v>4691.155810442352</v>
      </c>
      <c r="CU179" s="1613">
        <f t="shared" si="482"/>
        <v>4576.7760378146813</v>
      </c>
      <c r="CV179" s="1613"/>
      <c r="CW179" s="1613"/>
      <c r="CX179" s="1613"/>
      <c r="CY179" s="1613"/>
      <c r="CZ179" s="1613"/>
      <c r="DA179" s="1613"/>
      <c r="DB179" s="1613"/>
      <c r="DC179" s="1613"/>
      <c r="DD179" s="1507"/>
      <c r="DE179" s="1552"/>
      <c r="DF179" s="333"/>
      <c r="DG179" s="349"/>
      <c r="DH179" s="333"/>
      <c r="DI179" s="333"/>
      <c r="DJ179" s="333"/>
      <c r="DK179" s="333"/>
      <c r="DL179" s="578"/>
      <c r="DM179" s="578"/>
      <c r="DN179" s="578"/>
      <c r="DO179" s="578"/>
      <c r="DP179" s="1617">
        <f t="shared" si="483"/>
        <v>9059.9500000000007</v>
      </c>
      <c r="DQ179" s="1617">
        <f t="shared" si="484"/>
        <v>7888.2757272000008</v>
      </c>
      <c r="DR179" s="1617">
        <f t="shared" si="485"/>
        <v>8441.9502669807353</v>
      </c>
      <c r="DS179" s="1622">
        <f t="shared" si="486"/>
        <v>7521.5210004944965</v>
      </c>
      <c r="DT179" s="158">
        <f t="shared" si="487"/>
        <v>7226.9289495954808</v>
      </c>
      <c r="DU179" s="158">
        <f t="shared" si="488"/>
        <v>5156.5792053862524</v>
      </c>
      <c r="DV179" s="158">
        <f t="shared" si="489"/>
        <v>4570.97205771671</v>
      </c>
      <c r="DW179" s="1623">
        <f t="shared" si="490"/>
        <v>4388.2067533125128</v>
      </c>
      <c r="DX179" s="158"/>
      <c r="DY179" s="158"/>
      <c r="DZ179" s="1561"/>
    </row>
    <row r="180" spans="1:136" ht="11.25" hidden="1" customHeight="1" outlineLevel="1">
      <c r="A180" s="4"/>
      <c r="B180" s="1210"/>
      <c r="C180" s="152" t="s">
        <v>189</v>
      </c>
      <c r="D180" s="152"/>
      <c r="E180" s="1197"/>
      <c r="F180" s="188"/>
      <c r="G180" s="188"/>
      <c r="H180" s="188"/>
      <c r="I180" s="198"/>
      <c r="J180" s="209"/>
      <c r="K180" s="188"/>
      <c r="L180" s="188"/>
      <c r="M180" s="198"/>
      <c r="N180" s="209"/>
      <c r="O180" s="188"/>
      <c r="P180" s="188"/>
      <c r="Q180" s="198"/>
      <c r="R180" s="209"/>
      <c r="S180" s="188"/>
      <c r="T180" s="188"/>
      <c r="U180" s="1212"/>
      <c r="V180" s="1213"/>
      <c r="W180" s="1214"/>
      <c r="X180" s="1214"/>
      <c r="Y180" s="1212"/>
      <c r="Z180" s="1213"/>
      <c r="AA180" s="1214"/>
      <c r="AB180" s="1214"/>
      <c r="AC180" s="1212"/>
      <c r="AD180" s="1213"/>
      <c r="AE180" s="1214"/>
      <c r="AF180" s="1214"/>
      <c r="AG180" s="1214"/>
      <c r="AH180" s="1213"/>
      <c r="AI180" s="1214"/>
      <c r="AJ180" s="1214"/>
      <c r="AK180" s="1212"/>
      <c r="AL180" s="1213"/>
      <c r="AM180" s="1214"/>
      <c r="AN180" s="1214"/>
      <c r="AO180" s="1212"/>
      <c r="AP180" s="1213"/>
      <c r="AQ180" s="1214"/>
      <c r="AR180" s="1610">
        <v>1537.2249999999999</v>
      </c>
      <c r="AS180" s="1611">
        <v>1878</v>
      </c>
      <c r="AT180" s="1612">
        <v>1502</v>
      </c>
      <c r="AU180" s="1610">
        <v>1768.15</v>
      </c>
      <c r="AV180" s="1610">
        <v>1673.6824999999999</v>
      </c>
      <c r="AW180" s="1611">
        <v>1574.625675</v>
      </c>
      <c r="AX180" s="1612">
        <v>1734.7249184999998</v>
      </c>
      <c r="AY180" s="1610">
        <v>1342.3033372822501</v>
      </c>
      <c r="AZ180" s="1610">
        <v>1638.4714909298395</v>
      </c>
      <c r="BA180" s="1611">
        <v>1586.9408892019737</v>
      </c>
      <c r="BB180" s="1612">
        <v>1886.7788363336063</v>
      </c>
      <c r="BC180" s="1610">
        <v>1867.8332680277417</v>
      </c>
      <c r="BD180" s="1610">
        <v>1727.4544865575986</v>
      </c>
      <c r="BE180" s="1611">
        <v>1563.9992029258217</v>
      </c>
      <c r="BF180" s="1610">
        <v>1800.497448504766</v>
      </c>
      <c r="BG180" s="1610">
        <v>1933.8731829963435</v>
      </c>
      <c r="BH180" s="1610">
        <v>1746.9539272715028</v>
      </c>
      <c r="BI180" s="1611">
        <v>1684.3955918622678</v>
      </c>
      <c r="BJ180" s="1610">
        <v>1835.7845997306599</v>
      </c>
      <c r="BK180" s="1610">
        <v>1759.2672458949241</v>
      </c>
      <c r="BL180" s="1610">
        <v>1514.3869509600702</v>
      </c>
      <c r="BM180" s="1611">
        <v>1456.3690540985231</v>
      </c>
      <c r="BN180" s="1610">
        <v>1641.8652899630752</v>
      </c>
      <c r="BO180" s="1610">
        <v>1376.6657835236047</v>
      </c>
      <c r="BP180" s="1610">
        <v>1064.7209289360976</v>
      </c>
      <c r="BQ180" s="1611">
        <v>1305.298238444072</v>
      </c>
      <c r="BR180" s="1610">
        <v>1653.4437451702552</v>
      </c>
      <c r="BS180" s="1610">
        <v>1276.3962359881684</v>
      </c>
      <c r="BT180" s="1610">
        <v>1059.4519495651775</v>
      </c>
      <c r="BU180" s="1611">
        <v>1133.6494786879941</v>
      </c>
      <c r="BV180" s="1610">
        <v>1269.6874161305534</v>
      </c>
      <c r="BW180" s="1610">
        <v>1063.4785494134192</v>
      </c>
      <c r="BX180" s="1610"/>
      <c r="BY180" s="1611"/>
      <c r="BZ180" s="1610"/>
      <c r="CA180" s="1610"/>
      <c r="CB180" s="1610"/>
      <c r="CC180" s="1611"/>
      <c r="CD180" s="412"/>
      <c r="CE180" s="1204"/>
      <c r="CF180" s="1204"/>
      <c r="CG180" s="1204"/>
      <c r="CH180" s="1204"/>
      <c r="CI180" s="1204"/>
      <c r="CJ180" s="1204"/>
      <c r="CK180" s="1204"/>
      <c r="CL180" s="1204"/>
      <c r="CM180" s="1204"/>
      <c r="CN180" s="1616">
        <f t="shared" si="475"/>
        <v>3415.2249999999999</v>
      </c>
      <c r="CO180" s="1616">
        <f t="shared" si="476"/>
        <v>6518.4581750000007</v>
      </c>
      <c r="CP180" s="1616">
        <f t="shared" si="477"/>
        <v>6302.4406359140639</v>
      </c>
      <c r="CQ180" s="1616">
        <f t="shared" si="478"/>
        <v>7046.0657938447685</v>
      </c>
      <c r="CR180" s="1616">
        <f t="shared" si="479"/>
        <v>7165.7201506348802</v>
      </c>
      <c r="CS180" s="1610">
        <f t="shared" si="480"/>
        <v>6565.8078506841775</v>
      </c>
      <c r="CT180" s="1610">
        <f t="shared" si="481"/>
        <v>5388.550240866849</v>
      </c>
      <c r="CU180" s="1610">
        <f t="shared" si="482"/>
        <v>5122.9414094115955</v>
      </c>
      <c r="CV180" s="1610"/>
      <c r="CW180" s="1610"/>
      <c r="CX180" s="1610"/>
      <c r="CY180" s="1610"/>
      <c r="CZ180" s="1610"/>
      <c r="DA180" s="1610"/>
      <c r="DB180" s="1610"/>
      <c r="DC180" s="1610"/>
      <c r="DD180" s="1523"/>
      <c r="DE180" s="1562"/>
      <c r="DF180" s="1204"/>
      <c r="DG180" s="648"/>
      <c r="DH180" s="1204"/>
      <c r="DI180" s="1204"/>
      <c r="DJ180" s="1204"/>
      <c r="DK180" s="1204"/>
      <c r="DL180" s="1215"/>
      <c r="DM180" s="1215"/>
      <c r="DN180" s="1215"/>
      <c r="DO180" s="1215"/>
      <c r="DP180" s="1616">
        <f t="shared" si="483"/>
        <v>6685.375</v>
      </c>
      <c r="DQ180" s="1616">
        <f t="shared" si="484"/>
        <v>6325.3364307822503</v>
      </c>
      <c r="DR180" s="1616">
        <f t="shared" si="485"/>
        <v>6980.0244844931613</v>
      </c>
      <c r="DS180" s="1619">
        <f t="shared" si="486"/>
        <v>7025.8243209845295</v>
      </c>
      <c r="DT180" s="1620">
        <f t="shared" si="487"/>
        <v>7026.4013647593547</v>
      </c>
      <c r="DU180" s="1620">
        <f t="shared" si="488"/>
        <v>5989.2870785452733</v>
      </c>
      <c r="DV180" s="1620">
        <f t="shared" si="489"/>
        <v>5299.8591485385932</v>
      </c>
      <c r="DW180" s="1621">
        <f t="shared" si="490"/>
        <v>4526.267393797144</v>
      </c>
      <c r="DX180" s="1620"/>
      <c r="DY180" s="1620"/>
      <c r="DZ180" s="1565"/>
    </row>
    <row r="181" spans="1:136" ht="11.25" hidden="1" customHeight="1" outlineLevel="1">
      <c r="A181" s="3"/>
      <c r="B181" s="502"/>
      <c r="C181" s="52"/>
      <c r="D181" s="52" t="s">
        <v>576</v>
      </c>
      <c r="E181" s="741"/>
      <c r="F181" s="201"/>
      <c r="G181" s="201"/>
      <c r="H181" s="201"/>
      <c r="I181" s="202"/>
      <c r="J181" s="207"/>
      <c r="K181" s="201"/>
      <c r="L181" s="201"/>
      <c r="M181" s="202"/>
      <c r="N181" s="207"/>
      <c r="O181" s="201"/>
      <c r="P181" s="201"/>
      <c r="Q181" s="202"/>
      <c r="R181" s="207"/>
      <c r="S181" s="201"/>
      <c r="T181" s="201"/>
      <c r="U181" s="365"/>
      <c r="V181" s="1211"/>
      <c r="W181" s="364"/>
      <c r="X181" s="364"/>
      <c r="Y181" s="365"/>
      <c r="Z181" s="1211"/>
      <c r="AA181" s="364"/>
      <c r="AB181" s="364"/>
      <c r="AC181" s="365"/>
      <c r="AD181" s="1211"/>
      <c r="AE181" s="364"/>
      <c r="AF181" s="364"/>
      <c r="AG181" s="364"/>
      <c r="AH181" s="1211"/>
      <c r="AI181" s="364"/>
      <c r="AJ181" s="364"/>
      <c r="AK181" s="365"/>
      <c r="AL181" s="1211"/>
      <c r="AM181" s="364"/>
      <c r="AN181" s="364"/>
      <c r="AO181" s="365"/>
      <c r="AP181" s="1211"/>
      <c r="AQ181" s="364"/>
      <c r="AR181" s="1613">
        <v>658.75</v>
      </c>
      <c r="AS181" s="1614">
        <v>800</v>
      </c>
      <c r="AT181" s="1615">
        <v>671.5</v>
      </c>
      <c r="AU181" s="1613">
        <v>650.65</v>
      </c>
      <c r="AV181" s="1613">
        <v>644.6825</v>
      </c>
      <c r="AW181" s="1614">
        <v>638.23567500000001</v>
      </c>
      <c r="AX181" s="1615">
        <v>696.05231849999996</v>
      </c>
      <c r="AY181" s="1613">
        <v>667.16614728224999</v>
      </c>
      <c r="AZ181" s="1613">
        <v>804.00192408983946</v>
      </c>
      <c r="BA181" s="1614">
        <v>763.3194267308935</v>
      </c>
      <c r="BB181" s="1615">
        <v>937.96691156692191</v>
      </c>
      <c r="BC181" s="1613">
        <v>738.36755278548094</v>
      </c>
      <c r="BD181" s="1613">
        <v>709.12819769517591</v>
      </c>
      <c r="BE181" s="1614">
        <v>702.03691571822412</v>
      </c>
      <c r="BF181" s="1613">
        <v>861.82051773569208</v>
      </c>
      <c r="BG181" s="1613">
        <v>835.62117399652709</v>
      </c>
      <c r="BH181" s="1613">
        <v>703.17521791807746</v>
      </c>
      <c r="BI181" s="1614">
        <v>801.61974842660845</v>
      </c>
      <c r="BJ181" s="1613">
        <v>825.66834087940663</v>
      </c>
      <c r="BK181" s="1613">
        <v>718.84749927813345</v>
      </c>
      <c r="BL181" s="1613">
        <v>577.07280123300347</v>
      </c>
      <c r="BM181" s="1614">
        <v>565.35822336797344</v>
      </c>
      <c r="BN181" s="1613">
        <v>630.65709816697438</v>
      </c>
      <c r="BO181" s="1613">
        <v>517.13882049691904</v>
      </c>
      <c r="BP181" s="1613">
        <v>383.97557421896232</v>
      </c>
      <c r="BQ181" s="1614">
        <v>523.5506954475552</v>
      </c>
      <c r="BR181" s="1613">
        <v>713.86137324274171</v>
      </c>
      <c r="BS181" s="1613">
        <v>509.69702049531747</v>
      </c>
      <c r="BT181" s="1613">
        <v>407.75761639625404</v>
      </c>
      <c r="BU181" s="1614">
        <v>468.92125885569209</v>
      </c>
      <c r="BV181" s="1613">
        <v>525.19180991837527</v>
      </c>
      <c r="BW181" s="1613">
        <v>430.65728413306778</v>
      </c>
      <c r="BX181" s="1613"/>
      <c r="BY181" s="1614"/>
      <c r="BZ181" s="1613"/>
      <c r="CA181" s="1613"/>
      <c r="CB181" s="1613"/>
      <c r="CC181" s="1614"/>
      <c r="CD181" s="338"/>
      <c r="CE181" s="333"/>
      <c r="CF181" s="333"/>
      <c r="CG181" s="333"/>
      <c r="CH181" s="333"/>
      <c r="CI181" s="333"/>
      <c r="CJ181" s="333"/>
      <c r="CK181" s="333"/>
      <c r="CL181" s="333"/>
      <c r="CM181" s="333"/>
      <c r="CN181" s="1617">
        <f t="shared" si="475"/>
        <v>1458.75</v>
      </c>
      <c r="CO181" s="1617">
        <f t="shared" si="476"/>
        <v>2605.0681749999999</v>
      </c>
      <c r="CP181" s="1617">
        <f t="shared" si="477"/>
        <v>2930.5398166029831</v>
      </c>
      <c r="CQ181" s="1617">
        <f t="shared" si="478"/>
        <v>3087.4995777658028</v>
      </c>
      <c r="CR181" s="1617">
        <f t="shared" si="479"/>
        <v>3202.2366580769053</v>
      </c>
      <c r="CS181" s="1613">
        <f t="shared" si="480"/>
        <v>2686.9468647585172</v>
      </c>
      <c r="CT181" s="1613">
        <f t="shared" si="481"/>
        <v>2055.3221883304109</v>
      </c>
      <c r="CU181" s="1613">
        <f t="shared" si="482"/>
        <v>2100.2372689900053</v>
      </c>
      <c r="CV181" s="1613"/>
      <c r="CW181" s="1613"/>
      <c r="CX181" s="1613"/>
      <c r="CY181" s="1613"/>
      <c r="CZ181" s="1613"/>
      <c r="DA181" s="1613"/>
      <c r="DB181" s="1613"/>
      <c r="DC181" s="1613"/>
      <c r="DD181" s="1507"/>
      <c r="DE181" s="1552"/>
      <c r="DF181" s="333"/>
      <c r="DG181" s="349"/>
      <c r="DH181" s="333"/>
      <c r="DI181" s="333"/>
      <c r="DJ181" s="333"/>
      <c r="DK181" s="333"/>
      <c r="DL181" s="578"/>
      <c r="DM181" s="578"/>
      <c r="DN181" s="578"/>
      <c r="DO181" s="578"/>
      <c r="DP181" s="1617">
        <f t="shared" si="483"/>
        <v>2780.9</v>
      </c>
      <c r="DQ181" s="1617">
        <f t="shared" si="484"/>
        <v>2646.1366407822497</v>
      </c>
      <c r="DR181" s="1617">
        <f t="shared" si="485"/>
        <v>3243.655815173136</v>
      </c>
      <c r="DS181" s="1622">
        <f t="shared" si="486"/>
        <v>3108.6068051456191</v>
      </c>
      <c r="DT181" s="158">
        <f t="shared" si="487"/>
        <v>3049.3108065022261</v>
      </c>
      <c r="DU181" s="158">
        <f t="shared" si="488"/>
        <v>2290.22694326487</v>
      </c>
      <c r="DV181" s="158">
        <f t="shared" si="489"/>
        <v>2131.0846634045765</v>
      </c>
      <c r="DW181" s="1623">
        <f t="shared" si="490"/>
        <v>1832.5279693033892</v>
      </c>
      <c r="DX181" s="158"/>
      <c r="DY181" s="158"/>
      <c r="DZ181" s="1561"/>
    </row>
    <row r="182" spans="1:136" ht="11.25" hidden="1" customHeight="1" outlineLevel="1">
      <c r="A182" s="3"/>
      <c r="B182" s="502"/>
      <c r="C182" s="52"/>
      <c r="D182" s="52" t="s">
        <v>565</v>
      </c>
      <c r="E182" s="741"/>
      <c r="F182" s="201"/>
      <c r="G182" s="201"/>
      <c r="H182" s="201"/>
      <c r="I182" s="202"/>
      <c r="J182" s="207"/>
      <c r="K182" s="201"/>
      <c r="L182" s="201"/>
      <c r="M182" s="202"/>
      <c r="N182" s="207"/>
      <c r="O182" s="201"/>
      <c r="P182" s="201"/>
      <c r="Q182" s="202"/>
      <c r="R182" s="207"/>
      <c r="S182" s="201"/>
      <c r="T182" s="201"/>
      <c r="U182" s="365"/>
      <c r="V182" s="1211"/>
      <c r="W182" s="364"/>
      <c r="X182" s="364"/>
      <c r="Y182" s="365"/>
      <c r="Z182" s="1211"/>
      <c r="AA182" s="364"/>
      <c r="AB182" s="364"/>
      <c r="AC182" s="365"/>
      <c r="AD182" s="1211"/>
      <c r="AE182" s="364"/>
      <c r="AF182" s="364"/>
      <c r="AG182" s="364"/>
      <c r="AH182" s="1211"/>
      <c r="AI182" s="364"/>
      <c r="AJ182" s="364"/>
      <c r="AK182" s="365"/>
      <c r="AL182" s="1211"/>
      <c r="AM182" s="364"/>
      <c r="AN182" s="364"/>
      <c r="AO182" s="365"/>
      <c r="AP182" s="1211"/>
      <c r="AQ182" s="364"/>
      <c r="AR182" s="1613">
        <v>878.47500000000002</v>
      </c>
      <c r="AS182" s="1614">
        <v>1078</v>
      </c>
      <c r="AT182" s="1615">
        <v>830.5</v>
      </c>
      <c r="AU182" s="1613">
        <v>1117.5</v>
      </c>
      <c r="AV182" s="1613">
        <v>1029</v>
      </c>
      <c r="AW182" s="1614">
        <v>936.39</v>
      </c>
      <c r="AX182" s="1615">
        <v>1038.6725999999999</v>
      </c>
      <c r="AY182" s="1613">
        <v>675.13719000000003</v>
      </c>
      <c r="AZ182" s="1613">
        <v>834.46956684000008</v>
      </c>
      <c r="BA182" s="1614">
        <v>823.62146247108012</v>
      </c>
      <c r="BB182" s="1615">
        <v>948.81192476668423</v>
      </c>
      <c r="BC182" s="1613">
        <v>1129.4657152422608</v>
      </c>
      <c r="BD182" s="1613">
        <v>1018.3262888624225</v>
      </c>
      <c r="BE182" s="1614">
        <v>861.96228720759757</v>
      </c>
      <c r="BF182" s="1613">
        <v>938.67693076907381</v>
      </c>
      <c r="BG182" s="1613">
        <v>1098.2520089998163</v>
      </c>
      <c r="BH182" s="1613">
        <v>1043.7787093534253</v>
      </c>
      <c r="BI182" s="1614">
        <v>882.77584343565945</v>
      </c>
      <c r="BJ182" s="1613">
        <v>1010.1162588512532</v>
      </c>
      <c r="BK182" s="1613">
        <v>1040.4197466167907</v>
      </c>
      <c r="BL182" s="1613">
        <v>937.31414972706671</v>
      </c>
      <c r="BM182" s="1614">
        <v>891.01083073054963</v>
      </c>
      <c r="BN182" s="1613">
        <v>1011.2081917961008</v>
      </c>
      <c r="BO182" s="1613">
        <v>859.52696302668562</v>
      </c>
      <c r="BP182" s="1613">
        <v>680.74535471713523</v>
      </c>
      <c r="BQ182" s="1614">
        <v>781.7475429965167</v>
      </c>
      <c r="BR182" s="1613">
        <v>939.58237192751335</v>
      </c>
      <c r="BS182" s="1613">
        <v>766.69921549285095</v>
      </c>
      <c r="BT182" s="1613">
        <v>651.69433316892344</v>
      </c>
      <c r="BU182" s="1614">
        <v>664.72821983230199</v>
      </c>
      <c r="BV182" s="1613">
        <v>744.49560621217813</v>
      </c>
      <c r="BW182" s="1613">
        <v>632.82126528035144</v>
      </c>
      <c r="BX182" s="1613"/>
      <c r="BY182" s="1614"/>
      <c r="BZ182" s="1613"/>
      <c r="CA182" s="1613"/>
      <c r="CB182" s="1613"/>
      <c r="CC182" s="1614"/>
      <c r="CD182" s="338"/>
      <c r="CE182" s="333"/>
      <c r="CF182" s="333"/>
      <c r="CG182" s="333"/>
      <c r="CH182" s="333"/>
      <c r="CI182" s="333"/>
      <c r="CJ182" s="333"/>
      <c r="CK182" s="333"/>
      <c r="CL182" s="333"/>
      <c r="CM182" s="333"/>
      <c r="CN182" s="1617">
        <f t="shared" si="475"/>
        <v>1956.4749999999999</v>
      </c>
      <c r="CO182" s="1617">
        <f t="shared" si="476"/>
        <v>3913.39</v>
      </c>
      <c r="CP182" s="1617">
        <f t="shared" si="477"/>
        <v>3371.9008193110799</v>
      </c>
      <c r="CQ182" s="1617">
        <f t="shared" si="478"/>
        <v>3958.5662160789652</v>
      </c>
      <c r="CR182" s="1617">
        <f t="shared" si="479"/>
        <v>3963.4834925579744</v>
      </c>
      <c r="CS182" s="1613">
        <f t="shared" si="480"/>
        <v>3878.8609859256603</v>
      </c>
      <c r="CT182" s="1613">
        <f t="shared" si="481"/>
        <v>3333.2280525364381</v>
      </c>
      <c r="CU182" s="1613">
        <f t="shared" si="482"/>
        <v>3022.7041404215897</v>
      </c>
      <c r="CV182" s="1613"/>
      <c r="CW182" s="1613"/>
      <c r="CX182" s="1613"/>
      <c r="CY182" s="1613"/>
      <c r="CZ182" s="1613"/>
      <c r="DA182" s="1613"/>
      <c r="DB182" s="1613"/>
      <c r="DC182" s="1613"/>
      <c r="DD182" s="1507"/>
      <c r="DE182" s="1552"/>
      <c r="DF182" s="333"/>
      <c r="DG182" s="349"/>
      <c r="DH182" s="333"/>
      <c r="DI182" s="333"/>
      <c r="DJ182" s="333"/>
      <c r="DK182" s="333"/>
      <c r="DL182" s="578"/>
      <c r="DM182" s="578"/>
      <c r="DN182" s="578"/>
      <c r="DO182" s="578"/>
      <c r="DP182" s="1617">
        <f t="shared" si="483"/>
        <v>3904.4749999999999</v>
      </c>
      <c r="DQ182" s="1617">
        <f t="shared" si="484"/>
        <v>3679.1997899999997</v>
      </c>
      <c r="DR182" s="1617">
        <f t="shared" si="485"/>
        <v>3736.3686693200252</v>
      </c>
      <c r="DS182" s="1622">
        <f t="shared" si="486"/>
        <v>3917.21751583891</v>
      </c>
      <c r="DT182" s="158">
        <f t="shared" si="487"/>
        <v>3977.0905582571286</v>
      </c>
      <c r="DU182" s="158">
        <f t="shared" si="488"/>
        <v>3699.0601352804028</v>
      </c>
      <c r="DV182" s="158">
        <f t="shared" si="489"/>
        <v>3168.7744851340167</v>
      </c>
      <c r="DW182" s="1623">
        <f t="shared" si="490"/>
        <v>2693.739424493755</v>
      </c>
      <c r="DX182" s="158"/>
      <c r="DY182" s="158"/>
      <c r="DZ182" s="1561"/>
    </row>
    <row r="183" spans="1:136" ht="11.25" hidden="1" customHeight="1" outlineLevel="1">
      <c r="A183" s="3"/>
      <c r="B183" s="502"/>
      <c r="C183" s="1231"/>
      <c r="D183" s="1231"/>
      <c r="E183" s="741"/>
      <c r="F183" s="201"/>
      <c r="G183" s="201"/>
      <c r="H183" s="201"/>
      <c r="I183" s="202"/>
      <c r="J183" s="207"/>
      <c r="K183" s="201"/>
      <c r="L183" s="201"/>
      <c r="M183" s="202"/>
      <c r="N183" s="207"/>
      <c r="O183" s="201"/>
      <c r="P183" s="201"/>
      <c r="Q183" s="202"/>
      <c r="R183" s="207"/>
      <c r="S183" s="201"/>
      <c r="T183" s="201"/>
      <c r="U183" s="202"/>
      <c r="V183" s="207"/>
      <c r="W183" s="201"/>
      <c r="X183" s="201"/>
      <c r="Y183" s="202"/>
      <c r="Z183" s="207"/>
      <c r="AA183" s="201"/>
      <c r="AB183" s="201"/>
      <c r="AC183" s="202"/>
      <c r="AD183" s="207"/>
      <c r="AE183" s="201"/>
      <c r="AF183" s="201"/>
      <c r="AG183" s="201"/>
      <c r="AH183" s="207"/>
      <c r="AI183" s="201"/>
      <c r="AJ183" s="201"/>
      <c r="AK183" s="202"/>
      <c r="AL183" s="207"/>
      <c r="AM183" s="201"/>
      <c r="AN183" s="201"/>
      <c r="AO183" s="202"/>
      <c r="AP183" s="207"/>
      <c r="AQ183" s="201"/>
      <c r="AR183" s="201"/>
      <c r="AS183" s="202"/>
      <c r="AT183" s="207"/>
      <c r="AU183" s="201"/>
      <c r="AV183" s="201"/>
      <c r="AW183" s="202"/>
      <c r="AX183" s="207"/>
      <c r="AY183" s="201"/>
      <c r="AZ183" s="201"/>
      <c r="BA183" s="202"/>
      <c r="BB183" s="207"/>
      <c r="BC183" s="201"/>
      <c r="BD183" s="201"/>
      <c r="BE183" s="202"/>
      <c r="BF183" s="201"/>
      <c r="BG183" s="201"/>
      <c r="BH183" s="201"/>
      <c r="BI183" s="202"/>
      <c r="BJ183" s="201"/>
      <c r="BK183" s="201"/>
      <c r="BL183" s="201"/>
      <c r="BM183" s="202"/>
      <c r="BN183" s="201"/>
      <c r="BO183" s="201"/>
      <c r="BP183" s="201"/>
      <c r="BQ183" s="202"/>
      <c r="BR183" s="201"/>
      <c r="BS183" s="201"/>
      <c r="BT183" s="201"/>
      <c r="BU183" s="202"/>
      <c r="BV183" s="201"/>
      <c r="BW183" s="201"/>
      <c r="BX183" s="201"/>
      <c r="BY183" s="202"/>
      <c r="BZ183" s="201"/>
      <c r="CA183" s="201"/>
      <c r="CB183" s="201"/>
      <c r="CC183" s="202"/>
      <c r="CD183" s="9"/>
      <c r="CE183" s="24"/>
      <c r="CF183" s="24"/>
      <c r="CG183" s="24"/>
      <c r="CH183" s="24"/>
      <c r="CI183" s="24"/>
      <c r="CJ183" s="24"/>
      <c r="CK183" s="24"/>
      <c r="CL183" s="24"/>
      <c r="CM183" s="24"/>
      <c r="CN183" s="158"/>
      <c r="CO183" s="158"/>
      <c r="CP183" s="158"/>
      <c r="CQ183" s="158"/>
      <c r="CR183" s="158"/>
      <c r="CS183" s="1618"/>
      <c r="CT183" s="1618"/>
      <c r="CU183" s="1618"/>
      <c r="CV183" s="1618"/>
      <c r="CW183" s="1618"/>
      <c r="CX183" s="1618"/>
      <c r="CY183" s="1618"/>
      <c r="CZ183" s="1618"/>
      <c r="DA183" s="1618"/>
      <c r="DB183" s="1618"/>
      <c r="DC183" s="1618"/>
      <c r="DD183" s="1517"/>
      <c r="DE183" s="1483"/>
      <c r="DF183" s="24"/>
      <c r="DG183" s="23"/>
      <c r="DH183" s="24"/>
      <c r="DI183" s="24"/>
      <c r="DJ183" s="24"/>
      <c r="DK183" s="24"/>
      <c r="DL183" s="141"/>
      <c r="DM183" s="141"/>
      <c r="DN183" s="141"/>
      <c r="DO183" s="141"/>
      <c r="DP183" s="24"/>
      <c r="DQ183" s="24"/>
      <c r="DR183" s="24"/>
      <c r="DS183" s="23"/>
      <c r="DT183" s="24"/>
      <c r="DU183" s="24"/>
      <c r="DV183" s="24"/>
      <c r="DW183" s="25"/>
      <c r="DX183" s="24"/>
      <c r="DY183" s="24"/>
      <c r="DZ183" s="1561"/>
    </row>
    <row r="184" spans="1:136" ht="11.25" hidden="1" customHeight="1" outlineLevel="1">
      <c r="A184" s="3"/>
      <c r="B184" s="224" t="s">
        <v>931</v>
      </c>
      <c r="C184" s="188"/>
      <c r="D184" s="188"/>
      <c r="E184" s="1209"/>
      <c r="F184" s="201"/>
      <c r="G184" s="201"/>
      <c r="H184" s="201"/>
      <c r="I184" s="202"/>
      <c r="J184" s="207"/>
      <c r="K184" s="201"/>
      <c r="L184" s="201"/>
      <c r="M184" s="202"/>
      <c r="N184" s="207"/>
      <c r="O184" s="201"/>
      <c r="P184" s="201"/>
      <c r="Q184" s="202"/>
      <c r="R184" s="207"/>
      <c r="S184" s="201"/>
      <c r="T184" s="201"/>
      <c r="U184" s="202"/>
      <c r="V184" s="207"/>
      <c r="W184" s="201"/>
      <c r="X184" s="201"/>
      <c r="Y184" s="202"/>
      <c r="Z184" s="207"/>
      <c r="AA184" s="201"/>
      <c r="AB184" s="201"/>
      <c r="AC184" s="202"/>
      <c r="AD184" s="207"/>
      <c r="AE184" s="201"/>
      <c r="AF184" s="201"/>
      <c r="AG184" s="201"/>
      <c r="AH184" s="207"/>
      <c r="AI184" s="201"/>
      <c r="AJ184" s="201"/>
      <c r="AK184" s="202"/>
      <c r="AL184" s="207"/>
      <c r="AM184" s="201"/>
      <c r="AN184" s="201"/>
      <c r="AO184" s="202"/>
      <c r="AP184" s="207"/>
      <c r="AQ184" s="201"/>
      <c r="AR184" s="1610">
        <f t="shared" ref="AR184:BW184" si="491">SUM(AR185, AR188, AR191)</f>
        <v>162050</v>
      </c>
      <c r="AS184" s="1611">
        <f t="shared" si="491"/>
        <v>157625</v>
      </c>
      <c r="AT184" s="1612">
        <f t="shared" si="491"/>
        <v>164500</v>
      </c>
      <c r="AU184" s="1610">
        <f t="shared" si="491"/>
        <v>167400</v>
      </c>
      <c r="AV184" s="1610">
        <f t="shared" si="491"/>
        <v>159800</v>
      </c>
      <c r="AW184" s="1611">
        <f t="shared" si="491"/>
        <v>165700</v>
      </c>
      <c r="AX184" s="1612">
        <f t="shared" si="491"/>
        <v>176800</v>
      </c>
      <c r="AY184" s="1610">
        <f t="shared" si="491"/>
        <v>118812</v>
      </c>
      <c r="AZ184" s="1610">
        <f t="shared" si="491"/>
        <v>144884.6</v>
      </c>
      <c r="BA184" s="1611">
        <f t="shared" si="491"/>
        <v>157052.478</v>
      </c>
      <c r="BB184" s="1612">
        <f t="shared" si="491"/>
        <v>139084.25784000001</v>
      </c>
      <c r="BC184" s="1610">
        <f t="shared" si="491"/>
        <v>135593.52361200002</v>
      </c>
      <c r="BD184" s="1610">
        <f t="shared" si="491"/>
        <v>135699.130882692</v>
      </c>
      <c r="BE184" s="1611">
        <f t="shared" si="491"/>
        <v>133175.3260839259</v>
      </c>
      <c r="BF184" s="1610">
        <f t="shared" si="491"/>
        <v>139921.44539112784</v>
      </c>
      <c r="BG184" s="1610">
        <f t="shared" si="491"/>
        <v>142179.21029408457</v>
      </c>
      <c r="BH184" s="1610">
        <f t="shared" si="491"/>
        <v>137537.01552377327</v>
      </c>
      <c r="BI184" s="1611">
        <f t="shared" si="491"/>
        <v>137290.3118769927</v>
      </c>
      <c r="BJ184" s="1610">
        <f t="shared" si="491"/>
        <v>147209.06726769681</v>
      </c>
      <c r="BK184" s="1610">
        <f t="shared" si="491"/>
        <v>140866.21002715561</v>
      </c>
      <c r="BL184" s="1610">
        <f t="shared" si="491"/>
        <v>124455.1707247608</v>
      </c>
      <c r="BM184" s="1611">
        <f t="shared" si="491"/>
        <v>110778.91550713954</v>
      </c>
      <c r="BN184" s="1610">
        <f t="shared" si="491"/>
        <v>119224.61695940196</v>
      </c>
      <c r="BO184" s="1610">
        <f t="shared" si="491"/>
        <v>115233.03059473605</v>
      </c>
      <c r="BP184" s="1610">
        <f t="shared" si="491"/>
        <v>101116.543625598</v>
      </c>
      <c r="BQ184" s="1611">
        <f t="shared" si="491"/>
        <v>98908.694733145414</v>
      </c>
      <c r="BR184" s="1610">
        <f t="shared" si="491"/>
        <v>113278.875887278</v>
      </c>
      <c r="BS184" s="1610">
        <f t="shared" si="491"/>
        <v>111881.73550072598</v>
      </c>
      <c r="BT184" s="1610">
        <f t="shared" si="491"/>
        <v>100469.49214121878</v>
      </c>
      <c r="BU184" s="1611">
        <f t="shared" si="491"/>
        <v>95863.949638787482</v>
      </c>
      <c r="BV184" s="1610">
        <f t="shared" si="491"/>
        <v>104115.69354223264</v>
      </c>
      <c r="BW184" s="1610">
        <f t="shared" si="491"/>
        <v>100542.03438851712</v>
      </c>
      <c r="BX184" s="201"/>
      <c r="BY184" s="202"/>
      <c r="BZ184" s="1610"/>
      <c r="CA184" s="1610"/>
      <c r="CB184" s="201"/>
      <c r="CC184" s="202"/>
      <c r="CD184" s="9"/>
      <c r="CE184" s="24"/>
      <c r="CF184" s="24"/>
      <c r="CG184" s="24"/>
      <c r="CH184" s="24"/>
      <c r="CI184" s="24"/>
      <c r="CJ184" s="24"/>
      <c r="CK184" s="24"/>
      <c r="CL184" s="24"/>
      <c r="CM184" s="24"/>
      <c r="CN184" s="1616">
        <f t="shared" ref="CN184:CN193" si="492">SUM(AP184:AS184)</f>
        <v>319675</v>
      </c>
      <c r="CO184" s="1616">
        <f t="shared" ref="CO184:CO193" si="493">SUM(AT184:AW184)</f>
        <v>657400</v>
      </c>
      <c r="CP184" s="1616">
        <f t="shared" ref="CP184:CP193" si="494">SUM(AX184:BA184)</f>
        <v>597549.07799999998</v>
      </c>
      <c r="CQ184" s="1616">
        <f t="shared" ref="CQ184:CQ193" si="495">SUM(BB184:BE184)</f>
        <v>543552.23841861798</v>
      </c>
      <c r="CR184" s="1616">
        <f t="shared" ref="CR184:CR193" si="496">SUM(BF184:BI184)</f>
        <v>556927.98308597831</v>
      </c>
      <c r="CS184" s="1610">
        <f t="shared" ref="CS184:CS193" si="497">SUM(BJ184:BM184)</f>
        <v>523309.36352675274</v>
      </c>
      <c r="CT184" s="1610">
        <f t="shared" ref="CT184:CT193" si="498">SUM(BN184:BQ184)</f>
        <v>434482.88591288141</v>
      </c>
      <c r="CU184" s="1610">
        <f t="shared" ref="CU184:CU193" si="499">SUM(BR184:BU184)</f>
        <v>421494.05316801026</v>
      </c>
      <c r="CV184" s="1610"/>
      <c r="CW184" s="1618"/>
      <c r="CX184" s="1618"/>
      <c r="CY184" s="1618"/>
      <c r="CZ184" s="1618"/>
      <c r="DA184" s="1618"/>
      <c r="DB184" s="1618"/>
      <c r="DC184" s="1618"/>
      <c r="DD184" s="1517"/>
      <c r="DE184" s="1483"/>
      <c r="DF184" s="24"/>
      <c r="DG184" s="23"/>
      <c r="DH184" s="24"/>
      <c r="DI184" s="24"/>
      <c r="DJ184" s="24"/>
      <c r="DK184" s="24"/>
      <c r="DL184" s="141"/>
      <c r="DM184" s="141"/>
      <c r="DN184" s="141"/>
      <c r="DO184" s="141"/>
      <c r="DP184" s="1616">
        <f t="shared" ref="DP184:DP193" si="500">SUM(AR184:AU184)</f>
        <v>651575</v>
      </c>
      <c r="DQ184" s="1616">
        <f t="shared" ref="DQ184:DQ193" si="501">SUM(AV184:AY184)</f>
        <v>621112</v>
      </c>
      <c r="DR184" s="1616">
        <f t="shared" ref="DR184:DR193" si="502">SUM(AZ184:BC184)</f>
        <v>576614.859452</v>
      </c>
      <c r="DS184" s="1619">
        <f t="shared" ref="DS184:DS193" si="503">SUM(BD184:BG184)</f>
        <v>550975.11265183031</v>
      </c>
      <c r="DT184" s="1616">
        <f t="shared" ref="DT184:DT193" si="504">SUM(BH184:BK184)</f>
        <v>562902.60469561839</v>
      </c>
      <c r="DU184" s="1616">
        <f t="shared" ref="DU184:DU193" si="505">SUM(BL184:BO184)</f>
        <v>469691.7337860383</v>
      </c>
      <c r="DV184" s="1616">
        <f t="shared" ref="DV184:DV193" si="506">SUM(BP184:BS184)</f>
        <v>425185.84974674741</v>
      </c>
      <c r="DW184" s="1624">
        <f t="shared" ref="DW184:DW193" si="507">SUM(BT184:BW184)</f>
        <v>400991.16971075605</v>
      </c>
      <c r="DX184" s="1616"/>
      <c r="DY184" s="1616"/>
      <c r="DZ184" s="1561"/>
    </row>
    <row r="185" spans="1:136" ht="11.25" hidden="1" customHeight="1" outlineLevel="1">
      <c r="A185" s="4"/>
      <c r="B185" s="1210"/>
      <c r="C185" s="152" t="s">
        <v>575</v>
      </c>
      <c r="D185" s="152"/>
      <c r="E185" s="1197"/>
      <c r="F185" s="188"/>
      <c r="G185" s="188"/>
      <c r="H185" s="188"/>
      <c r="I185" s="198"/>
      <c r="J185" s="209"/>
      <c r="K185" s="188"/>
      <c r="L185" s="188"/>
      <c r="M185" s="198"/>
      <c r="N185" s="209"/>
      <c r="O185" s="188"/>
      <c r="P185" s="188"/>
      <c r="Q185" s="198"/>
      <c r="R185" s="209"/>
      <c r="S185" s="188"/>
      <c r="T185" s="188"/>
      <c r="U185" s="1212"/>
      <c r="V185" s="1213"/>
      <c r="W185" s="1214"/>
      <c r="X185" s="1214"/>
      <c r="Y185" s="1212"/>
      <c r="Z185" s="1213"/>
      <c r="AA185" s="1214"/>
      <c r="AB185" s="1214"/>
      <c r="AC185" s="1212"/>
      <c r="AD185" s="1213"/>
      <c r="AE185" s="1214"/>
      <c r="AF185" s="1214"/>
      <c r="AG185" s="1214"/>
      <c r="AH185" s="1213"/>
      <c r="AI185" s="1214"/>
      <c r="AJ185" s="1214"/>
      <c r="AK185" s="1212"/>
      <c r="AL185" s="1213"/>
      <c r="AM185" s="1214"/>
      <c r="AN185" s="1214"/>
      <c r="AO185" s="1212"/>
      <c r="AP185" s="1213"/>
      <c r="AQ185" s="1214"/>
      <c r="AR185" s="1610">
        <v>12500</v>
      </c>
      <c r="AS185" s="1611">
        <v>12125</v>
      </c>
      <c r="AT185" s="1612">
        <v>13100</v>
      </c>
      <c r="AU185" s="1610">
        <v>13600</v>
      </c>
      <c r="AV185" s="1610">
        <v>13800</v>
      </c>
      <c r="AW185" s="1611">
        <v>14700</v>
      </c>
      <c r="AX185" s="1612">
        <v>14800</v>
      </c>
      <c r="AY185" s="1610">
        <v>13232</v>
      </c>
      <c r="AZ185" s="1610">
        <v>17324</v>
      </c>
      <c r="BA185" s="1611">
        <v>17753.531999999999</v>
      </c>
      <c r="BB185" s="1612">
        <v>13406.775960000001</v>
      </c>
      <c r="BC185" s="1610">
        <v>14935.300466400004</v>
      </c>
      <c r="BD185" s="1610">
        <v>15892.015463424004</v>
      </c>
      <c r="BE185" s="1611">
        <v>17043.410350394501</v>
      </c>
      <c r="BF185" s="1610">
        <v>16965.403602082766</v>
      </c>
      <c r="BG185" s="1610">
        <v>17139.796770570727</v>
      </c>
      <c r="BH185" s="1610">
        <v>16974.881867017029</v>
      </c>
      <c r="BI185" s="1611">
        <v>16651.648656051788</v>
      </c>
      <c r="BJ185" s="1610">
        <v>18606.364160037949</v>
      </c>
      <c r="BK185" s="1610">
        <v>19015.490533310702</v>
      </c>
      <c r="BL185" s="1610">
        <v>18541.526894173236</v>
      </c>
      <c r="BM185" s="1611">
        <v>17022.152767654225</v>
      </c>
      <c r="BN185" s="1610">
        <v>16696.185790324551</v>
      </c>
      <c r="BO185" s="1610">
        <v>16869.749423454508</v>
      </c>
      <c r="BP185" s="1610">
        <v>15744.872333284664</v>
      </c>
      <c r="BQ185" s="1611">
        <v>16352.621248741103</v>
      </c>
      <c r="BR185" s="1610">
        <v>17274.01559976114</v>
      </c>
      <c r="BS185" s="1610">
        <v>16950.756589876553</v>
      </c>
      <c r="BT185" s="1610">
        <v>15414.366412779626</v>
      </c>
      <c r="BU185" s="1611">
        <v>15106.509662870725</v>
      </c>
      <c r="BV185" s="1610">
        <v>15744.849581048882</v>
      </c>
      <c r="BW185" s="1610">
        <v>15550.447721342247</v>
      </c>
      <c r="BX185" s="1214"/>
      <c r="BY185" s="1212"/>
      <c r="BZ185" s="1610"/>
      <c r="CA185" s="1610"/>
      <c r="CB185" s="1214"/>
      <c r="CC185" s="1212"/>
      <c r="CD185" s="412"/>
      <c r="CE185" s="1204"/>
      <c r="CF185" s="1204"/>
      <c r="CG185" s="1204"/>
      <c r="CH185" s="1204"/>
      <c r="CI185" s="1204"/>
      <c r="CJ185" s="1204"/>
      <c r="CK185" s="1204"/>
      <c r="CL185" s="1204"/>
      <c r="CM185" s="1204"/>
      <c r="CN185" s="1616">
        <f t="shared" si="492"/>
        <v>24625</v>
      </c>
      <c r="CO185" s="1616">
        <f t="shared" si="493"/>
        <v>55200</v>
      </c>
      <c r="CP185" s="1616">
        <f t="shared" si="494"/>
        <v>63109.531999999999</v>
      </c>
      <c r="CQ185" s="1616">
        <f t="shared" si="495"/>
        <v>61277.502240218506</v>
      </c>
      <c r="CR185" s="1616">
        <f t="shared" si="496"/>
        <v>67731.730895722314</v>
      </c>
      <c r="CS185" s="1610">
        <f t="shared" si="497"/>
        <v>73185.534355176118</v>
      </c>
      <c r="CT185" s="1610">
        <f t="shared" si="498"/>
        <v>65663.428795804823</v>
      </c>
      <c r="CU185" s="1610">
        <f t="shared" si="499"/>
        <v>64745.648265288037</v>
      </c>
      <c r="CV185" s="1610"/>
      <c r="CW185" s="1610"/>
      <c r="CX185" s="1610"/>
      <c r="CY185" s="1610"/>
      <c r="CZ185" s="1610"/>
      <c r="DA185" s="1610"/>
      <c r="DB185" s="1610"/>
      <c r="DC185" s="1610"/>
      <c r="DD185" s="1523"/>
      <c r="DE185" s="1562"/>
      <c r="DF185" s="1204"/>
      <c r="DG185" s="648"/>
      <c r="DH185" s="1204"/>
      <c r="DI185" s="1204"/>
      <c r="DJ185" s="1204"/>
      <c r="DK185" s="1204"/>
      <c r="DL185" s="1215"/>
      <c r="DM185" s="1215"/>
      <c r="DN185" s="1215"/>
      <c r="DO185" s="1215"/>
      <c r="DP185" s="1616">
        <f t="shared" si="500"/>
        <v>51325</v>
      </c>
      <c r="DQ185" s="1616">
        <f t="shared" si="501"/>
        <v>56532</v>
      </c>
      <c r="DR185" s="1616">
        <f t="shared" si="502"/>
        <v>63419.608426400002</v>
      </c>
      <c r="DS185" s="1619">
        <f t="shared" si="503"/>
        <v>67040.626186472</v>
      </c>
      <c r="DT185" s="1620">
        <f t="shared" si="504"/>
        <v>71248.38521641746</v>
      </c>
      <c r="DU185" s="1620">
        <f t="shared" si="505"/>
        <v>69129.614875606523</v>
      </c>
      <c r="DV185" s="1620">
        <f t="shared" si="506"/>
        <v>66322.265771663457</v>
      </c>
      <c r="DW185" s="1621">
        <f t="shared" si="507"/>
        <v>61816.17337804148</v>
      </c>
      <c r="DX185" s="1620"/>
      <c r="DY185" s="1620"/>
      <c r="DZ185" s="1565"/>
    </row>
    <row r="186" spans="1:136" ht="11.25" hidden="1" customHeight="1" outlineLevel="1">
      <c r="A186" s="3"/>
      <c r="B186" s="502"/>
      <c r="C186" s="52"/>
      <c r="D186" s="52" t="s">
        <v>663</v>
      </c>
      <c r="E186" s="741"/>
      <c r="F186" s="201"/>
      <c r="G186" s="201"/>
      <c r="H186" s="201"/>
      <c r="I186" s="202"/>
      <c r="J186" s="207"/>
      <c r="K186" s="201"/>
      <c r="L186" s="201"/>
      <c r="M186" s="202"/>
      <c r="N186" s="207"/>
      <c r="O186" s="201"/>
      <c r="P186" s="201"/>
      <c r="Q186" s="202"/>
      <c r="R186" s="207"/>
      <c r="S186" s="201"/>
      <c r="T186" s="201"/>
      <c r="U186" s="365"/>
      <c r="V186" s="1211"/>
      <c r="W186" s="364"/>
      <c r="X186" s="364"/>
      <c r="Y186" s="365"/>
      <c r="Z186" s="1211"/>
      <c r="AA186" s="364"/>
      <c r="AB186" s="364"/>
      <c r="AC186" s="365"/>
      <c r="AD186" s="1211"/>
      <c r="AE186" s="364"/>
      <c r="AF186" s="364"/>
      <c r="AG186" s="364"/>
      <c r="AH186" s="1211"/>
      <c r="AI186" s="364"/>
      <c r="AJ186" s="364"/>
      <c r="AK186" s="365"/>
      <c r="AL186" s="1211"/>
      <c r="AM186" s="364"/>
      <c r="AN186" s="364"/>
      <c r="AO186" s="365"/>
      <c r="AP186" s="1211"/>
      <c r="AQ186" s="364"/>
      <c r="AR186" s="1613">
        <v>7500</v>
      </c>
      <c r="AS186" s="1614">
        <v>7025</v>
      </c>
      <c r="AT186" s="1615">
        <v>7100</v>
      </c>
      <c r="AU186" s="1613">
        <v>8025</v>
      </c>
      <c r="AV186" s="1613">
        <v>8025</v>
      </c>
      <c r="AW186" s="1614">
        <v>8000</v>
      </c>
      <c r="AX186" s="1615">
        <v>7900</v>
      </c>
      <c r="AY186" s="1613">
        <v>7505</v>
      </c>
      <c r="AZ186" s="1613">
        <v>9306.2000000000007</v>
      </c>
      <c r="BA186" s="1614">
        <v>8933.9520000000011</v>
      </c>
      <c r="BB186" s="1615">
        <v>6968.4825600000013</v>
      </c>
      <c r="BC186" s="1613">
        <v>7595.6459904000021</v>
      </c>
      <c r="BD186" s="1613">
        <v>7671.6024503040026</v>
      </c>
      <c r="BE186" s="1614">
        <v>7779.0048846082591</v>
      </c>
      <c r="BF186" s="1613">
        <v>8245.7451776847556</v>
      </c>
      <c r="BG186" s="1613">
        <v>8245.7451776847556</v>
      </c>
      <c r="BH186" s="1613">
        <v>8080.8302741310599</v>
      </c>
      <c r="BI186" s="1614">
        <v>7757.5970631658174</v>
      </c>
      <c r="BJ186" s="1613">
        <v>8378.2048282190826</v>
      </c>
      <c r="BK186" s="1613">
        <v>8378.2048282190826</v>
      </c>
      <c r="BL186" s="1613">
        <v>8755.2240454889416</v>
      </c>
      <c r="BM186" s="1614">
        <v>8028.5404497133595</v>
      </c>
      <c r="BN186" s="1613">
        <v>7747.5415339733918</v>
      </c>
      <c r="BO186" s="1613">
        <v>7205.213626595254</v>
      </c>
      <c r="BP186" s="1613">
        <v>6225.3045733782992</v>
      </c>
      <c r="BQ186" s="1614">
        <v>5976.2923904431673</v>
      </c>
      <c r="BR186" s="1613">
        <v>6275.1070099653261</v>
      </c>
      <c r="BS186" s="1613">
        <v>6996.7443161113388</v>
      </c>
      <c r="BT186" s="1613">
        <v>6157.1349981779786</v>
      </c>
      <c r="BU186" s="1614">
        <v>5849.2782482690791</v>
      </c>
      <c r="BV186" s="1613">
        <v>6024.7565957171519</v>
      </c>
      <c r="BW186" s="1613">
        <v>6024.7565957171519</v>
      </c>
      <c r="BX186" s="364"/>
      <c r="BY186" s="365"/>
      <c r="BZ186" s="1613"/>
      <c r="CA186" s="1613"/>
      <c r="CB186" s="364"/>
      <c r="CC186" s="365"/>
      <c r="CD186" s="338"/>
      <c r="CE186" s="333"/>
      <c r="CF186" s="333"/>
      <c r="CG186" s="333"/>
      <c r="CH186" s="333"/>
      <c r="CI186" s="333"/>
      <c r="CJ186" s="333"/>
      <c r="CK186" s="333"/>
      <c r="CL186" s="333"/>
      <c r="CM186" s="333"/>
      <c r="CN186" s="1617">
        <f t="shared" si="492"/>
        <v>14525</v>
      </c>
      <c r="CO186" s="1617">
        <f t="shared" si="493"/>
        <v>31150</v>
      </c>
      <c r="CP186" s="1617">
        <f t="shared" si="494"/>
        <v>33645.152000000002</v>
      </c>
      <c r="CQ186" s="1617">
        <f t="shared" si="495"/>
        <v>30014.735885312264</v>
      </c>
      <c r="CR186" s="1617">
        <f t="shared" si="496"/>
        <v>32329.917692666389</v>
      </c>
      <c r="CS186" s="1613">
        <f t="shared" si="497"/>
        <v>33540.174151640465</v>
      </c>
      <c r="CT186" s="1613">
        <f t="shared" si="498"/>
        <v>27154.352124390112</v>
      </c>
      <c r="CU186" s="1613">
        <f t="shared" si="499"/>
        <v>25278.26457252372</v>
      </c>
      <c r="CV186" s="1613"/>
      <c r="CW186" s="1613"/>
      <c r="CX186" s="1613"/>
      <c r="CY186" s="1613"/>
      <c r="CZ186" s="1613"/>
      <c r="DA186" s="1613"/>
      <c r="DB186" s="1613"/>
      <c r="DC186" s="1613"/>
      <c r="DD186" s="1507"/>
      <c r="DE186" s="1552"/>
      <c r="DF186" s="333"/>
      <c r="DG186" s="349"/>
      <c r="DH186" s="333"/>
      <c r="DI186" s="333"/>
      <c r="DJ186" s="333"/>
      <c r="DK186" s="333"/>
      <c r="DL186" s="578"/>
      <c r="DM186" s="578"/>
      <c r="DN186" s="578"/>
      <c r="DO186" s="578"/>
      <c r="DP186" s="1617">
        <f t="shared" si="500"/>
        <v>29650</v>
      </c>
      <c r="DQ186" s="1617">
        <f t="shared" si="501"/>
        <v>31430</v>
      </c>
      <c r="DR186" s="1617">
        <f t="shared" si="502"/>
        <v>32804.280550400006</v>
      </c>
      <c r="DS186" s="1622">
        <f t="shared" si="503"/>
        <v>31942.097690281775</v>
      </c>
      <c r="DT186" s="158">
        <f t="shared" si="504"/>
        <v>32594.836993735044</v>
      </c>
      <c r="DU186" s="158">
        <f t="shared" si="505"/>
        <v>31736.519655770946</v>
      </c>
      <c r="DV186" s="158">
        <f t="shared" si="506"/>
        <v>25473.44828989813</v>
      </c>
      <c r="DW186" s="1623">
        <f t="shared" si="507"/>
        <v>24055.92643788136</v>
      </c>
      <c r="DX186" s="158"/>
      <c r="DY186" s="158"/>
      <c r="DZ186" s="1561"/>
    </row>
    <row r="187" spans="1:136" s="52" customFormat="1" ht="11.25" hidden="1" customHeight="1" outlineLevel="1">
      <c r="A187" s="3"/>
      <c r="B187" s="502"/>
      <c r="D187" s="52" t="s">
        <v>664</v>
      </c>
      <c r="E187" s="741"/>
      <c r="F187" s="201"/>
      <c r="G187" s="201"/>
      <c r="H187" s="201"/>
      <c r="I187" s="202"/>
      <c r="J187" s="207"/>
      <c r="K187" s="201"/>
      <c r="L187" s="201"/>
      <c r="M187" s="202"/>
      <c r="N187" s="207"/>
      <c r="O187" s="201"/>
      <c r="P187" s="201"/>
      <c r="Q187" s="202"/>
      <c r="R187" s="207"/>
      <c r="S187" s="201"/>
      <c r="T187" s="201"/>
      <c r="U187" s="365"/>
      <c r="V187" s="1211"/>
      <c r="W187" s="364"/>
      <c r="X187" s="364"/>
      <c r="Y187" s="365"/>
      <c r="Z187" s="1211"/>
      <c r="AA187" s="364"/>
      <c r="AB187" s="364"/>
      <c r="AC187" s="365"/>
      <c r="AD187" s="1211"/>
      <c r="AE187" s="364"/>
      <c r="AF187" s="364"/>
      <c r="AG187" s="364"/>
      <c r="AH187" s="1211"/>
      <c r="AI187" s="364"/>
      <c r="AJ187" s="364"/>
      <c r="AK187" s="365"/>
      <c r="AL187" s="1211"/>
      <c r="AM187" s="364"/>
      <c r="AN187" s="364"/>
      <c r="AO187" s="365"/>
      <c r="AP187" s="1211"/>
      <c r="AQ187" s="364"/>
      <c r="AR187" s="1613">
        <v>5000</v>
      </c>
      <c r="AS187" s="1614">
        <v>5100</v>
      </c>
      <c r="AT187" s="1615">
        <v>6000</v>
      </c>
      <c r="AU187" s="1613">
        <v>5575</v>
      </c>
      <c r="AV187" s="1613">
        <v>5775</v>
      </c>
      <c r="AW187" s="1614">
        <v>6700</v>
      </c>
      <c r="AX187" s="1615">
        <v>6900</v>
      </c>
      <c r="AY187" s="1613">
        <v>5727</v>
      </c>
      <c r="AZ187" s="1613">
        <v>8017.7999999999993</v>
      </c>
      <c r="BA187" s="1614">
        <v>8819.58</v>
      </c>
      <c r="BB187" s="1615">
        <v>6438.2933999999996</v>
      </c>
      <c r="BC187" s="1613">
        <v>7339.6544760000006</v>
      </c>
      <c r="BD187" s="1613">
        <v>8220.4130131200018</v>
      </c>
      <c r="BE187" s="1614">
        <v>9264.4054657862416</v>
      </c>
      <c r="BF187" s="1613">
        <v>8719.6584243980105</v>
      </c>
      <c r="BG187" s="1613">
        <v>8894.0515928859713</v>
      </c>
      <c r="BH187" s="1613">
        <v>8894.0515928859713</v>
      </c>
      <c r="BI187" s="1614">
        <v>8894.0515928859713</v>
      </c>
      <c r="BJ187" s="1613">
        <v>10228.159331818866</v>
      </c>
      <c r="BK187" s="1613">
        <v>10637.285705091621</v>
      </c>
      <c r="BL187" s="1613">
        <v>9786.3028486842923</v>
      </c>
      <c r="BM187" s="1614">
        <v>8993.6123179408642</v>
      </c>
      <c r="BN187" s="1613">
        <v>8948.6442563511591</v>
      </c>
      <c r="BO187" s="1613">
        <v>9664.5357968592525</v>
      </c>
      <c r="BP187" s="1613">
        <v>9519.5677599063638</v>
      </c>
      <c r="BQ187" s="1614">
        <v>10376.328858297937</v>
      </c>
      <c r="BR187" s="1613">
        <v>10998.908589795814</v>
      </c>
      <c r="BS187" s="1613">
        <v>9954.0122737652127</v>
      </c>
      <c r="BT187" s="1613">
        <v>9257.231414601647</v>
      </c>
      <c r="BU187" s="1614">
        <v>9257.231414601647</v>
      </c>
      <c r="BV187" s="1613">
        <v>9720.0929853317302</v>
      </c>
      <c r="BW187" s="1613">
        <v>9525.6911256250951</v>
      </c>
      <c r="BX187" s="364"/>
      <c r="BY187" s="365"/>
      <c r="BZ187" s="1613"/>
      <c r="CA187" s="1613"/>
      <c r="CB187" s="364"/>
      <c r="CC187" s="365"/>
      <c r="CD187" s="338"/>
      <c r="CE187" s="333"/>
      <c r="CF187" s="333"/>
      <c r="CG187" s="333"/>
      <c r="CH187" s="333"/>
      <c r="CI187" s="333"/>
      <c r="CJ187" s="333"/>
      <c r="CK187" s="333"/>
      <c r="CL187" s="333"/>
      <c r="CM187" s="333"/>
      <c r="CN187" s="1617">
        <f t="shared" si="492"/>
        <v>10100</v>
      </c>
      <c r="CO187" s="1617">
        <f t="shared" si="493"/>
        <v>24050</v>
      </c>
      <c r="CP187" s="1617">
        <f t="shared" si="494"/>
        <v>29464.379999999997</v>
      </c>
      <c r="CQ187" s="1617">
        <f t="shared" si="495"/>
        <v>31262.766354906242</v>
      </c>
      <c r="CR187" s="1617">
        <f t="shared" si="496"/>
        <v>35401.813203055921</v>
      </c>
      <c r="CS187" s="1613">
        <f t="shared" si="497"/>
        <v>39645.360203535645</v>
      </c>
      <c r="CT187" s="1613">
        <f t="shared" si="498"/>
        <v>38509.07667141471</v>
      </c>
      <c r="CU187" s="1613">
        <f t="shared" si="499"/>
        <v>39467.383692764321</v>
      </c>
      <c r="CV187" s="1613"/>
      <c r="CW187" s="1613"/>
      <c r="CX187" s="1613"/>
      <c r="CY187" s="1613"/>
      <c r="CZ187" s="1613"/>
      <c r="DA187" s="1613"/>
      <c r="DB187" s="1613"/>
      <c r="DC187" s="1613"/>
      <c r="DD187" s="1507"/>
      <c r="DE187" s="1552"/>
      <c r="DF187" s="333"/>
      <c r="DG187" s="349"/>
      <c r="DH187" s="333"/>
      <c r="DI187" s="333"/>
      <c r="DJ187" s="333"/>
      <c r="DK187" s="333"/>
      <c r="DL187" s="578"/>
      <c r="DM187" s="578"/>
      <c r="DN187" s="578"/>
      <c r="DO187" s="578"/>
      <c r="DP187" s="1617">
        <f t="shared" si="500"/>
        <v>21675</v>
      </c>
      <c r="DQ187" s="1617">
        <f t="shared" si="501"/>
        <v>25102</v>
      </c>
      <c r="DR187" s="1617">
        <f t="shared" si="502"/>
        <v>30615.327875999996</v>
      </c>
      <c r="DS187" s="1622">
        <f t="shared" si="503"/>
        <v>35098.528496190222</v>
      </c>
      <c r="DT187" s="158">
        <f t="shared" si="504"/>
        <v>38653.548222682432</v>
      </c>
      <c r="DU187" s="158">
        <f t="shared" si="505"/>
        <v>37393.095219835566</v>
      </c>
      <c r="DV187" s="158">
        <f t="shared" si="506"/>
        <v>40848.817481765327</v>
      </c>
      <c r="DW187" s="1623">
        <f t="shared" si="507"/>
        <v>37760.246940160119</v>
      </c>
      <c r="DX187" s="158"/>
      <c r="DY187" s="158"/>
      <c r="DZ187" s="1561"/>
      <c r="EA187"/>
      <c r="EB187"/>
      <c r="EC187"/>
      <c r="ED187"/>
      <c r="EE187"/>
      <c r="EF187"/>
    </row>
    <row r="188" spans="1:136" s="152" customFormat="1" ht="11.25" hidden="1" customHeight="1" outlineLevel="1">
      <c r="A188" s="4"/>
      <c r="B188" s="1210"/>
      <c r="C188" s="152" t="s">
        <v>186</v>
      </c>
      <c r="E188" s="1197"/>
      <c r="F188" s="188"/>
      <c r="G188" s="188"/>
      <c r="H188" s="188"/>
      <c r="I188" s="198"/>
      <c r="J188" s="209"/>
      <c r="K188" s="188"/>
      <c r="L188" s="188"/>
      <c r="M188" s="198"/>
      <c r="N188" s="209"/>
      <c r="O188" s="188"/>
      <c r="P188" s="188"/>
      <c r="Q188" s="198"/>
      <c r="R188" s="209"/>
      <c r="S188" s="188"/>
      <c r="T188" s="188"/>
      <c r="U188" s="1212"/>
      <c r="V188" s="1213"/>
      <c r="W188" s="1214"/>
      <c r="X188" s="1214"/>
      <c r="Y188" s="1212"/>
      <c r="Z188" s="1213"/>
      <c r="AA188" s="1214"/>
      <c r="AB188" s="1214"/>
      <c r="AC188" s="1212"/>
      <c r="AD188" s="1213"/>
      <c r="AE188" s="1214"/>
      <c r="AF188" s="1214"/>
      <c r="AG188" s="1214"/>
      <c r="AH188" s="1213"/>
      <c r="AI188" s="1214"/>
      <c r="AJ188" s="1214"/>
      <c r="AK188" s="1212"/>
      <c r="AL188" s="1213"/>
      <c r="AM188" s="1214"/>
      <c r="AN188" s="1214"/>
      <c r="AO188" s="1212"/>
      <c r="AP188" s="1213"/>
      <c r="AQ188" s="1214"/>
      <c r="AR188" s="1610">
        <v>123000</v>
      </c>
      <c r="AS188" s="1611">
        <v>111500</v>
      </c>
      <c r="AT188" s="1612">
        <v>123400</v>
      </c>
      <c r="AU188" s="1610">
        <v>122000</v>
      </c>
      <c r="AV188" s="1610">
        <v>115000</v>
      </c>
      <c r="AW188" s="1611">
        <v>121000</v>
      </c>
      <c r="AX188" s="1612">
        <v>130000</v>
      </c>
      <c r="AY188" s="1610">
        <v>85800</v>
      </c>
      <c r="AZ188" s="1610">
        <v>104208</v>
      </c>
      <c r="BA188" s="1611">
        <v>115376.82</v>
      </c>
      <c r="BB188" s="1612">
        <v>95762.760600000009</v>
      </c>
      <c r="BC188" s="1610">
        <v>91682.871696000017</v>
      </c>
      <c r="BD188" s="1610">
        <v>92198.720598660002</v>
      </c>
      <c r="BE188" s="1611">
        <v>90274.283856923401</v>
      </c>
      <c r="BF188" s="1610">
        <v>92337.863257891149</v>
      </c>
      <c r="BG188" s="1610">
        <v>93261.241890470061</v>
      </c>
      <c r="BH188" s="1610">
        <v>92089.194933947132</v>
      </c>
      <c r="BI188" s="1611">
        <v>91878.418578634708</v>
      </c>
      <c r="BJ188" s="1610">
        <v>97678.656777211028</v>
      </c>
      <c r="BK188" s="1610">
        <v>92859.660265648767</v>
      </c>
      <c r="BL188" s="1610">
        <v>81065.950213001488</v>
      </c>
      <c r="BM188" s="1611">
        <v>69011.176011642834</v>
      </c>
      <c r="BN188" s="1610">
        <v>73841.958332457842</v>
      </c>
      <c r="BO188" s="1610">
        <v>74438.394030454234</v>
      </c>
      <c r="BP188" s="1610">
        <v>66858.53509906058</v>
      </c>
      <c r="BQ188" s="1611">
        <v>59504.096238163926</v>
      </c>
      <c r="BR188" s="1610">
        <v>66542.261161605376</v>
      </c>
      <c r="BS188" s="1610">
        <v>73074.341718804804</v>
      </c>
      <c r="BT188" s="1610">
        <v>67076.688853240834</v>
      </c>
      <c r="BU188" s="1611">
        <v>61172.048508092099</v>
      </c>
      <c r="BV188" s="1610">
        <v>66435.205517220136</v>
      </c>
      <c r="BW188" s="1610">
        <v>66717.055447051389</v>
      </c>
      <c r="BX188" s="1214"/>
      <c r="BY188" s="1212"/>
      <c r="BZ188" s="1610"/>
      <c r="CA188" s="1610"/>
      <c r="CB188" s="1214"/>
      <c r="CC188" s="1212"/>
      <c r="CD188" s="412"/>
      <c r="CE188" s="1204"/>
      <c r="CF188" s="1204"/>
      <c r="CG188" s="1204"/>
      <c r="CH188" s="1204"/>
      <c r="CI188" s="1204"/>
      <c r="CJ188" s="1204"/>
      <c r="CK188" s="1204"/>
      <c r="CL188" s="1204"/>
      <c r="CM188" s="1204"/>
      <c r="CN188" s="1616">
        <f t="shared" si="492"/>
        <v>234500</v>
      </c>
      <c r="CO188" s="1616">
        <f t="shared" si="493"/>
        <v>481400</v>
      </c>
      <c r="CP188" s="1616">
        <f t="shared" si="494"/>
        <v>435384.82</v>
      </c>
      <c r="CQ188" s="1616">
        <f t="shared" si="495"/>
        <v>369918.63675158343</v>
      </c>
      <c r="CR188" s="1616">
        <f t="shared" si="496"/>
        <v>369566.71866094309</v>
      </c>
      <c r="CS188" s="1610">
        <f t="shared" si="497"/>
        <v>340615.44326750416</v>
      </c>
      <c r="CT188" s="1610">
        <f t="shared" si="498"/>
        <v>274642.9837001366</v>
      </c>
      <c r="CU188" s="1610">
        <f t="shared" si="499"/>
        <v>267865.34024174314</v>
      </c>
      <c r="CV188" s="1610"/>
      <c r="CW188" s="1610"/>
      <c r="CX188" s="1610"/>
      <c r="CY188" s="1610"/>
      <c r="CZ188" s="1610"/>
      <c r="DA188" s="1610"/>
      <c r="DB188" s="1610"/>
      <c r="DC188" s="1610"/>
      <c r="DD188" s="1523"/>
      <c r="DE188" s="1562"/>
      <c r="DF188" s="1204"/>
      <c r="DG188" s="648"/>
      <c r="DH188" s="1204"/>
      <c r="DI188" s="1204"/>
      <c r="DJ188" s="1204"/>
      <c r="DK188" s="1204"/>
      <c r="DL188" s="1215"/>
      <c r="DM188" s="1215"/>
      <c r="DN188" s="1215"/>
      <c r="DO188" s="1215"/>
      <c r="DP188" s="1616">
        <f t="shared" si="500"/>
        <v>479900</v>
      </c>
      <c r="DQ188" s="1616">
        <f t="shared" si="501"/>
        <v>451800</v>
      </c>
      <c r="DR188" s="1616">
        <f t="shared" si="502"/>
        <v>407030.45229599997</v>
      </c>
      <c r="DS188" s="1619">
        <f t="shared" si="503"/>
        <v>368072.10960394458</v>
      </c>
      <c r="DT188" s="1620">
        <f t="shared" si="504"/>
        <v>374505.93055544165</v>
      </c>
      <c r="DU188" s="1620">
        <f t="shared" si="505"/>
        <v>298357.4785875564</v>
      </c>
      <c r="DV188" s="1620">
        <f t="shared" si="506"/>
        <v>265979.23421763466</v>
      </c>
      <c r="DW188" s="1621">
        <f t="shared" si="507"/>
        <v>261400.99832560445</v>
      </c>
      <c r="DX188" s="1620"/>
      <c r="DY188" s="1620"/>
      <c r="DZ188" s="1565"/>
      <c r="EA188"/>
      <c r="EB188"/>
      <c r="EC188"/>
      <c r="ED188"/>
      <c r="EE188"/>
      <c r="EF188"/>
    </row>
    <row r="189" spans="1:136" s="52" customFormat="1" ht="11.25" hidden="1" customHeight="1" outlineLevel="1">
      <c r="A189" s="3"/>
      <c r="B189" s="502"/>
      <c r="D189" s="52" t="s">
        <v>680</v>
      </c>
      <c r="E189" s="741"/>
      <c r="F189" s="201"/>
      <c r="G189" s="201"/>
      <c r="H189" s="201"/>
      <c r="I189" s="202"/>
      <c r="J189" s="207"/>
      <c r="K189" s="201"/>
      <c r="L189" s="201"/>
      <c r="M189" s="202"/>
      <c r="N189" s="207"/>
      <c r="O189" s="201"/>
      <c r="P189" s="201"/>
      <c r="Q189" s="202"/>
      <c r="R189" s="207"/>
      <c r="S189" s="201"/>
      <c r="T189" s="201"/>
      <c r="U189" s="365"/>
      <c r="V189" s="1211"/>
      <c r="W189" s="364"/>
      <c r="X189" s="364"/>
      <c r="Y189" s="365"/>
      <c r="Z189" s="1211"/>
      <c r="AA189" s="364"/>
      <c r="AB189" s="364"/>
      <c r="AC189" s="365"/>
      <c r="AD189" s="1211"/>
      <c r="AE189" s="364"/>
      <c r="AF189" s="364"/>
      <c r="AG189" s="364"/>
      <c r="AH189" s="1211"/>
      <c r="AI189" s="364"/>
      <c r="AJ189" s="364"/>
      <c r="AK189" s="365"/>
      <c r="AL189" s="1211"/>
      <c r="AM189" s="364"/>
      <c r="AN189" s="364"/>
      <c r="AO189" s="365"/>
      <c r="AP189" s="1211"/>
      <c r="AQ189" s="364"/>
      <c r="AR189" s="1613">
        <v>67000</v>
      </c>
      <c r="AS189" s="1614">
        <v>61000</v>
      </c>
      <c r="AT189" s="1615">
        <v>69500</v>
      </c>
      <c r="AU189" s="1613">
        <v>67500</v>
      </c>
      <c r="AV189" s="1613">
        <v>64000</v>
      </c>
      <c r="AW189" s="1614">
        <v>69000</v>
      </c>
      <c r="AX189" s="1615">
        <v>78000</v>
      </c>
      <c r="AY189" s="1613">
        <v>54600</v>
      </c>
      <c r="AZ189" s="1613">
        <v>64428</v>
      </c>
      <c r="BA189" s="1614">
        <v>70226.52</v>
      </c>
      <c r="BB189" s="1615">
        <v>58288.011599999998</v>
      </c>
      <c r="BC189" s="1613">
        <v>51584.890266000002</v>
      </c>
      <c r="BD189" s="1613">
        <v>52100.739168660002</v>
      </c>
      <c r="BE189" s="1614">
        <v>51579.7317769734</v>
      </c>
      <c r="BF189" s="1613">
        <v>52095.529094743135</v>
      </c>
      <c r="BG189" s="1613">
        <v>52616.484385690565</v>
      </c>
      <c r="BH189" s="1613">
        <v>51037.989854119849</v>
      </c>
      <c r="BI189" s="1614">
        <v>52058.749651202248</v>
      </c>
      <c r="BJ189" s="1613">
        <v>56744.037119810455</v>
      </c>
      <c r="BK189" s="1613">
        <v>55609.156377414241</v>
      </c>
      <c r="BL189" s="1613">
        <v>48658.011830237461</v>
      </c>
      <c r="BM189" s="1614">
        <v>41140.349002465773</v>
      </c>
      <c r="BN189" s="1613">
        <v>44020.173432638381</v>
      </c>
      <c r="BO189" s="1613">
        <v>44020.173432638381</v>
      </c>
      <c r="BP189" s="1613">
        <v>39177.954355048161</v>
      </c>
      <c r="BQ189" s="1614">
        <v>34868.379375992867</v>
      </c>
      <c r="BR189" s="1613">
        <v>38703.901107352089</v>
      </c>
      <c r="BS189" s="1613">
        <v>44122.447262381385</v>
      </c>
      <c r="BT189" s="1613">
        <v>40151.427008767059</v>
      </c>
      <c r="BU189" s="1614">
        <v>36939.312848065696</v>
      </c>
      <c r="BV189" s="1613">
        <v>40263.85100439161</v>
      </c>
      <c r="BW189" s="1613">
        <v>41069.12802447944</v>
      </c>
      <c r="BX189" s="364"/>
      <c r="BY189" s="365"/>
      <c r="BZ189" s="1613"/>
      <c r="CA189" s="1613"/>
      <c r="CB189" s="364"/>
      <c r="CC189" s="365"/>
      <c r="CD189" s="338"/>
      <c r="CE189" s="333"/>
      <c r="CF189" s="333"/>
      <c r="CG189" s="333"/>
      <c r="CH189" s="333"/>
      <c r="CI189" s="333"/>
      <c r="CJ189" s="333"/>
      <c r="CK189" s="333"/>
      <c r="CL189" s="333"/>
      <c r="CM189" s="333"/>
      <c r="CN189" s="1617">
        <f t="shared" si="492"/>
        <v>128000</v>
      </c>
      <c r="CO189" s="1617">
        <f t="shared" si="493"/>
        <v>270000</v>
      </c>
      <c r="CP189" s="1617">
        <f t="shared" si="494"/>
        <v>267254.52</v>
      </c>
      <c r="CQ189" s="1617">
        <f t="shared" si="495"/>
        <v>213553.3728116334</v>
      </c>
      <c r="CR189" s="1617">
        <f t="shared" si="496"/>
        <v>207808.7529857558</v>
      </c>
      <c r="CS189" s="1613">
        <f t="shared" si="497"/>
        <v>202151.55432992795</v>
      </c>
      <c r="CT189" s="1613">
        <f t="shared" si="498"/>
        <v>162086.6805963178</v>
      </c>
      <c r="CU189" s="1613">
        <f t="shared" si="499"/>
        <v>159917.08822656624</v>
      </c>
      <c r="CV189" s="1613"/>
      <c r="CW189" s="1613"/>
      <c r="CX189" s="1613"/>
      <c r="CY189" s="1613"/>
      <c r="CZ189" s="1613"/>
      <c r="DA189" s="1613"/>
      <c r="DB189" s="1613"/>
      <c r="DC189" s="1613"/>
      <c r="DD189" s="1507"/>
      <c r="DE189" s="1552"/>
      <c r="DF189" s="333"/>
      <c r="DG189" s="349"/>
      <c r="DH189" s="333"/>
      <c r="DI189" s="333"/>
      <c r="DJ189" s="333"/>
      <c r="DK189" s="333"/>
      <c r="DL189" s="578"/>
      <c r="DM189" s="578"/>
      <c r="DN189" s="578"/>
      <c r="DO189" s="578"/>
      <c r="DP189" s="1617">
        <f t="shared" si="500"/>
        <v>265000</v>
      </c>
      <c r="DQ189" s="1617">
        <f t="shared" si="501"/>
        <v>265600</v>
      </c>
      <c r="DR189" s="1617">
        <f t="shared" si="502"/>
        <v>244527.42186600002</v>
      </c>
      <c r="DS189" s="1622">
        <f t="shared" si="503"/>
        <v>208392.48442606709</v>
      </c>
      <c r="DT189" s="158">
        <f t="shared" si="504"/>
        <v>215449.93300254678</v>
      </c>
      <c r="DU189" s="158">
        <f t="shared" si="505"/>
        <v>177838.70769797999</v>
      </c>
      <c r="DV189" s="158">
        <f t="shared" si="506"/>
        <v>156872.68210077449</v>
      </c>
      <c r="DW189" s="1623">
        <f t="shared" si="507"/>
        <v>158423.7188857038</v>
      </c>
      <c r="DX189" s="158"/>
      <c r="DY189" s="158"/>
      <c r="DZ189" s="1561"/>
      <c r="EA189"/>
      <c r="EB189"/>
      <c r="EC189"/>
      <c r="ED189"/>
      <c r="EE189"/>
      <c r="EF189"/>
    </row>
    <row r="190" spans="1:136" s="52" customFormat="1" ht="11.25" hidden="1" customHeight="1" outlineLevel="1">
      <c r="A190" s="3"/>
      <c r="B190" s="502"/>
      <c r="D190" s="52" t="s">
        <v>679</v>
      </c>
      <c r="E190" s="741"/>
      <c r="F190" s="201"/>
      <c r="G190" s="201"/>
      <c r="H190" s="201"/>
      <c r="I190" s="202"/>
      <c r="J190" s="207"/>
      <c r="K190" s="201"/>
      <c r="L190" s="201"/>
      <c r="M190" s="202"/>
      <c r="N190" s="207"/>
      <c r="O190" s="201"/>
      <c r="P190" s="201"/>
      <c r="Q190" s="202"/>
      <c r="R190" s="207"/>
      <c r="S190" s="201"/>
      <c r="T190" s="201"/>
      <c r="U190" s="365"/>
      <c r="V190" s="1211"/>
      <c r="W190" s="364"/>
      <c r="X190" s="364"/>
      <c r="Y190" s="365"/>
      <c r="Z190" s="1211"/>
      <c r="AA190" s="364"/>
      <c r="AB190" s="364"/>
      <c r="AC190" s="365"/>
      <c r="AD190" s="1211"/>
      <c r="AE190" s="364"/>
      <c r="AF190" s="364"/>
      <c r="AG190" s="364"/>
      <c r="AH190" s="1211"/>
      <c r="AI190" s="364"/>
      <c r="AJ190" s="364"/>
      <c r="AK190" s="365"/>
      <c r="AL190" s="1211"/>
      <c r="AM190" s="364"/>
      <c r="AN190" s="364"/>
      <c r="AO190" s="365"/>
      <c r="AP190" s="1211"/>
      <c r="AQ190" s="364"/>
      <c r="AR190" s="1613">
        <v>56000</v>
      </c>
      <c r="AS190" s="1614">
        <v>50500</v>
      </c>
      <c r="AT190" s="1615">
        <v>53900</v>
      </c>
      <c r="AU190" s="1613">
        <v>54500</v>
      </c>
      <c r="AV190" s="1613">
        <v>51000</v>
      </c>
      <c r="AW190" s="1614">
        <v>52000</v>
      </c>
      <c r="AX190" s="1615">
        <v>52000</v>
      </c>
      <c r="AY190" s="1613">
        <v>31200</v>
      </c>
      <c r="AZ190" s="1613">
        <v>39780</v>
      </c>
      <c r="BA190" s="1614">
        <v>45150.3</v>
      </c>
      <c r="BB190" s="1615">
        <v>37474.749000000003</v>
      </c>
      <c r="BC190" s="1613">
        <v>40097.981430000007</v>
      </c>
      <c r="BD190" s="1613">
        <v>40097.981430000007</v>
      </c>
      <c r="BE190" s="1614">
        <v>38694.552079950008</v>
      </c>
      <c r="BF190" s="1613">
        <v>40242.334163148007</v>
      </c>
      <c r="BG190" s="1613">
        <v>40644.757504779489</v>
      </c>
      <c r="BH190" s="1613">
        <v>41051.205079827283</v>
      </c>
      <c r="BI190" s="1614">
        <v>39819.66892743246</v>
      </c>
      <c r="BJ190" s="1613">
        <v>40934.619657400566</v>
      </c>
      <c r="BK190" s="1613">
        <v>37250.503888234518</v>
      </c>
      <c r="BL190" s="1613">
        <v>32407.93838276403</v>
      </c>
      <c r="BM190" s="1614">
        <v>27870.827009177065</v>
      </c>
      <c r="BN190" s="1613">
        <v>29821.78489981946</v>
      </c>
      <c r="BO190" s="1613">
        <v>30418.220597815849</v>
      </c>
      <c r="BP190" s="1613">
        <v>27680.580744012423</v>
      </c>
      <c r="BQ190" s="1614">
        <v>24635.716862171055</v>
      </c>
      <c r="BR190" s="1613">
        <v>27838.360054253291</v>
      </c>
      <c r="BS190" s="1613">
        <v>28951.894456423423</v>
      </c>
      <c r="BT190" s="1613">
        <v>26925.261844473782</v>
      </c>
      <c r="BU190" s="1614">
        <v>24232.735660026403</v>
      </c>
      <c r="BV190" s="1613">
        <v>26171.354512828519</v>
      </c>
      <c r="BW190" s="1613">
        <v>25647.927422571949</v>
      </c>
      <c r="BX190" s="364"/>
      <c r="BY190" s="365"/>
      <c r="BZ190" s="1613"/>
      <c r="CA190" s="1613"/>
      <c r="CB190" s="364"/>
      <c r="CC190" s="365"/>
      <c r="CD190" s="338"/>
      <c r="CE190" s="333"/>
      <c r="CF190" s="333"/>
      <c r="CG190" s="333"/>
      <c r="CH190" s="333"/>
      <c r="CI190" s="333"/>
      <c r="CJ190" s="333"/>
      <c r="CK190" s="333"/>
      <c r="CL190" s="333"/>
      <c r="CM190" s="333"/>
      <c r="CN190" s="1617">
        <f t="shared" si="492"/>
        <v>106500</v>
      </c>
      <c r="CO190" s="1617">
        <f t="shared" si="493"/>
        <v>211400</v>
      </c>
      <c r="CP190" s="1617">
        <f t="shared" si="494"/>
        <v>168130.3</v>
      </c>
      <c r="CQ190" s="1617">
        <f t="shared" si="495"/>
        <v>156365.26393995003</v>
      </c>
      <c r="CR190" s="1617">
        <f t="shared" si="496"/>
        <v>161757.96567518724</v>
      </c>
      <c r="CS190" s="1613">
        <f t="shared" si="497"/>
        <v>138463.88893757618</v>
      </c>
      <c r="CT190" s="1613">
        <f t="shared" si="498"/>
        <v>112556.30310381879</v>
      </c>
      <c r="CU190" s="1613">
        <f t="shared" si="499"/>
        <v>107948.2520151769</v>
      </c>
      <c r="CV190" s="1613"/>
      <c r="CW190" s="1613"/>
      <c r="CX190" s="1613"/>
      <c r="CY190" s="1613"/>
      <c r="CZ190" s="1613"/>
      <c r="DA190" s="1613"/>
      <c r="DB190" s="1613"/>
      <c r="DC190" s="1613"/>
      <c r="DD190" s="1507"/>
      <c r="DE190" s="1552"/>
      <c r="DF190" s="333"/>
      <c r="DG190" s="349"/>
      <c r="DH190" s="333"/>
      <c r="DI190" s="333"/>
      <c r="DJ190" s="333"/>
      <c r="DK190" s="333"/>
      <c r="DL190" s="578"/>
      <c r="DM190" s="578"/>
      <c r="DN190" s="578"/>
      <c r="DO190" s="578"/>
      <c r="DP190" s="1617">
        <f t="shared" si="500"/>
        <v>214900</v>
      </c>
      <c r="DQ190" s="1617">
        <f t="shared" si="501"/>
        <v>186200</v>
      </c>
      <c r="DR190" s="1617">
        <f t="shared" si="502"/>
        <v>162503.03043000001</v>
      </c>
      <c r="DS190" s="1622">
        <f t="shared" si="503"/>
        <v>159679.62517787752</v>
      </c>
      <c r="DT190" s="158">
        <f t="shared" si="504"/>
        <v>159055.99755289484</v>
      </c>
      <c r="DU190" s="158">
        <f t="shared" si="505"/>
        <v>120518.77088957641</v>
      </c>
      <c r="DV190" s="158">
        <f t="shared" si="506"/>
        <v>109106.5521168602</v>
      </c>
      <c r="DW190" s="1623">
        <f t="shared" si="507"/>
        <v>102977.27943990065</v>
      </c>
      <c r="DX190" s="158"/>
      <c r="DY190" s="158"/>
      <c r="DZ190" s="1561"/>
      <c r="EA190"/>
      <c r="EB190"/>
      <c r="EC190"/>
      <c r="ED190"/>
      <c r="EE190"/>
      <c r="EF190"/>
    </row>
    <row r="191" spans="1:136" s="152" customFormat="1" ht="11.25" hidden="1" customHeight="1" outlineLevel="1">
      <c r="A191" s="4"/>
      <c r="B191" s="1210"/>
      <c r="C191" s="152" t="s">
        <v>189</v>
      </c>
      <c r="E191" s="1197"/>
      <c r="F191" s="188"/>
      <c r="G191" s="188"/>
      <c r="H191" s="188"/>
      <c r="I191" s="198"/>
      <c r="J191" s="209"/>
      <c r="K191" s="188"/>
      <c r="L191" s="188"/>
      <c r="M191" s="198"/>
      <c r="N191" s="209"/>
      <c r="O191" s="188"/>
      <c r="P191" s="188"/>
      <c r="Q191" s="198"/>
      <c r="R191" s="209"/>
      <c r="S191" s="188"/>
      <c r="T191" s="188"/>
      <c r="U191" s="1212"/>
      <c r="V191" s="1213"/>
      <c r="W191" s="1214"/>
      <c r="X191" s="1214"/>
      <c r="Y191" s="1212"/>
      <c r="Z191" s="1213"/>
      <c r="AA191" s="1214"/>
      <c r="AB191" s="1214"/>
      <c r="AC191" s="1212"/>
      <c r="AD191" s="1213"/>
      <c r="AE191" s="1214"/>
      <c r="AF191" s="1214"/>
      <c r="AG191" s="1214"/>
      <c r="AH191" s="1213"/>
      <c r="AI191" s="1214"/>
      <c r="AJ191" s="1214"/>
      <c r="AK191" s="1212"/>
      <c r="AL191" s="1213"/>
      <c r="AM191" s="1214"/>
      <c r="AN191" s="1214"/>
      <c r="AO191" s="1212"/>
      <c r="AP191" s="1213"/>
      <c r="AQ191" s="1214"/>
      <c r="AR191" s="1610">
        <v>26550</v>
      </c>
      <c r="AS191" s="1611">
        <v>34000</v>
      </c>
      <c r="AT191" s="1612">
        <v>28000</v>
      </c>
      <c r="AU191" s="1610">
        <v>31800</v>
      </c>
      <c r="AV191" s="1610">
        <v>31000</v>
      </c>
      <c r="AW191" s="1611">
        <v>30000</v>
      </c>
      <c r="AX191" s="1612">
        <v>32000</v>
      </c>
      <c r="AY191" s="1610">
        <v>19780</v>
      </c>
      <c r="AZ191" s="1610">
        <v>23352.6</v>
      </c>
      <c r="BA191" s="1611">
        <v>23922.125999999997</v>
      </c>
      <c r="BB191" s="1612">
        <v>29914.721279999998</v>
      </c>
      <c r="BC191" s="1610">
        <v>28975.351449599999</v>
      </c>
      <c r="BD191" s="1610">
        <v>27608.394820608002</v>
      </c>
      <c r="BE191" s="1611">
        <v>25857.631876608</v>
      </c>
      <c r="BF191" s="1610">
        <v>30618.178531153921</v>
      </c>
      <c r="BG191" s="1610">
        <v>31778.171633043767</v>
      </c>
      <c r="BH191" s="1610">
        <v>28472.938722809122</v>
      </c>
      <c r="BI191" s="1611">
        <v>28760.244642306192</v>
      </c>
      <c r="BJ191" s="1610">
        <v>30924.046330447836</v>
      </c>
      <c r="BK191" s="1610">
        <v>28991.059228196151</v>
      </c>
      <c r="BL191" s="1610">
        <v>24847.693617586076</v>
      </c>
      <c r="BM191" s="1611">
        <v>24745.58672784247</v>
      </c>
      <c r="BN191" s="1610">
        <v>28686.472836619556</v>
      </c>
      <c r="BO191" s="1610">
        <v>23924.887140827304</v>
      </c>
      <c r="BP191" s="1610">
        <v>18513.136193252769</v>
      </c>
      <c r="BQ191" s="1611">
        <v>23051.977246240393</v>
      </c>
      <c r="BR191" s="1610">
        <v>29462.599125911474</v>
      </c>
      <c r="BS191" s="1610">
        <v>21856.637192044618</v>
      </c>
      <c r="BT191" s="1610">
        <v>17978.436875198331</v>
      </c>
      <c r="BU191" s="1611">
        <v>19585.391467824658</v>
      </c>
      <c r="BV191" s="1610">
        <v>21935.638443963617</v>
      </c>
      <c r="BW191" s="1610">
        <v>18274.531220123477</v>
      </c>
      <c r="BX191" s="1214"/>
      <c r="BY191" s="1212"/>
      <c r="BZ191" s="1610"/>
      <c r="CA191" s="1610"/>
      <c r="CB191" s="1214"/>
      <c r="CC191" s="1212"/>
      <c r="CD191" s="412"/>
      <c r="CE191" s="1204"/>
      <c r="CF191" s="1204"/>
      <c r="CG191" s="1204"/>
      <c r="CH191" s="1204"/>
      <c r="CI191" s="1204"/>
      <c r="CJ191" s="1204"/>
      <c r="CK191" s="1204"/>
      <c r="CL191" s="1204"/>
      <c r="CM191" s="1204"/>
      <c r="CN191" s="1616">
        <f t="shared" si="492"/>
        <v>60550</v>
      </c>
      <c r="CO191" s="1616">
        <f t="shared" si="493"/>
        <v>120800</v>
      </c>
      <c r="CP191" s="1616">
        <f t="shared" si="494"/>
        <v>99054.725999999995</v>
      </c>
      <c r="CQ191" s="1616">
        <f t="shared" si="495"/>
        <v>112356.09942681601</v>
      </c>
      <c r="CR191" s="1616">
        <f t="shared" si="496"/>
        <v>119629.533529313</v>
      </c>
      <c r="CS191" s="1610">
        <f t="shared" si="497"/>
        <v>109508.38590407254</v>
      </c>
      <c r="CT191" s="1610">
        <f t="shared" si="498"/>
        <v>94176.473416940018</v>
      </c>
      <c r="CU191" s="1610">
        <f t="shared" si="499"/>
        <v>88883.064660979086</v>
      </c>
      <c r="CV191" s="1610"/>
      <c r="CW191" s="1610"/>
      <c r="CX191" s="1610"/>
      <c r="CY191" s="1610"/>
      <c r="CZ191" s="1610"/>
      <c r="DA191" s="1610"/>
      <c r="DB191" s="1610"/>
      <c r="DC191" s="1610"/>
      <c r="DD191" s="1523"/>
      <c r="DE191" s="1562"/>
      <c r="DF191" s="1204"/>
      <c r="DG191" s="648"/>
      <c r="DH191" s="1204"/>
      <c r="DI191" s="1204"/>
      <c r="DJ191" s="1204"/>
      <c r="DK191" s="1204"/>
      <c r="DL191" s="1215"/>
      <c r="DM191" s="1215"/>
      <c r="DN191" s="1215"/>
      <c r="DO191" s="1215"/>
      <c r="DP191" s="1616">
        <f t="shared" si="500"/>
        <v>120350</v>
      </c>
      <c r="DQ191" s="1616">
        <f t="shared" si="501"/>
        <v>112780</v>
      </c>
      <c r="DR191" s="1616">
        <f t="shared" si="502"/>
        <v>106164.79872959999</v>
      </c>
      <c r="DS191" s="1619">
        <f t="shared" si="503"/>
        <v>115862.37686141368</v>
      </c>
      <c r="DT191" s="1620">
        <f t="shared" si="504"/>
        <v>117148.2889237593</v>
      </c>
      <c r="DU191" s="1620">
        <f t="shared" si="505"/>
        <v>102204.64032287541</v>
      </c>
      <c r="DV191" s="1620">
        <f t="shared" si="506"/>
        <v>92884.349757449236</v>
      </c>
      <c r="DW191" s="1621">
        <f t="shared" si="507"/>
        <v>77773.998007110087</v>
      </c>
      <c r="DX191" s="1620"/>
      <c r="DY191" s="1620"/>
      <c r="DZ191" s="1565"/>
      <c r="EA191"/>
      <c r="EB191"/>
      <c r="EC191"/>
      <c r="ED191"/>
      <c r="EE191"/>
      <c r="EF191"/>
    </row>
    <row r="192" spans="1:136" ht="11.25" hidden="1" customHeight="1" outlineLevel="1">
      <c r="A192" s="3"/>
      <c r="B192" s="502"/>
      <c r="C192" s="52"/>
      <c r="D192" s="52" t="s">
        <v>576</v>
      </c>
      <c r="E192" s="741"/>
      <c r="F192" s="201"/>
      <c r="G192" s="201"/>
      <c r="H192" s="201"/>
      <c r="I192" s="202"/>
      <c r="J192" s="207"/>
      <c r="K192" s="201"/>
      <c r="L192" s="201"/>
      <c r="M192" s="202"/>
      <c r="N192" s="207"/>
      <c r="O192" s="201"/>
      <c r="P192" s="201"/>
      <c r="Q192" s="202"/>
      <c r="R192" s="207"/>
      <c r="S192" s="201"/>
      <c r="T192" s="201"/>
      <c r="U192" s="365"/>
      <c r="V192" s="1211"/>
      <c r="W192" s="364"/>
      <c r="X192" s="364"/>
      <c r="Y192" s="365"/>
      <c r="Z192" s="1211"/>
      <c r="AA192" s="364"/>
      <c r="AB192" s="364"/>
      <c r="AC192" s="365"/>
      <c r="AD192" s="1211"/>
      <c r="AE192" s="364"/>
      <c r="AF192" s="364"/>
      <c r="AG192" s="364"/>
      <c r="AH192" s="1211"/>
      <c r="AI192" s="364"/>
      <c r="AJ192" s="364"/>
      <c r="AK192" s="365"/>
      <c r="AL192" s="1211"/>
      <c r="AM192" s="364"/>
      <c r="AN192" s="364"/>
      <c r="AO192" s="365"/>
      <c r="AP192" s="1211"/>
      <c r="AQ192" s="364"/>
      <c r="AR192" s="1613">
        <v>15500</v>
      </c>
      <c r="AS192" s="1614">
        <v>20000</v>
      </c>
      <c r="AT192" s="1615">
        <v>17000</v>
      </c>
      <c r="AU192" s="1613">
        <v>16900</v>
      </c>
      <c r="AV192" s="1613">
        <v>17000</v>
      </c>
      <c r="AW192" s="1614">
        <v>17000</v>
      </c>
      <c r="AX192" s="1615">
        <v>18000</v>
      </c>
      <c r="AY192" s="1613">
        <v>12780</v>
      </c>
      <c r="AZ192" s="1613">
        <v>14952.599999999999</v>
      </c>
      <c r="BA192" s="1614">
        <v>15102.125999999998</v>
      </c>
      <c r="BB192" s="1615">
        <v>19330.721279999998</v>
      </c>
      <c r="BC192" s="1613">
        <v>15851.191449599999</v>
      </c>
      <c r="BD192" s="1613">
        <v>15534.167620607999</v>
      </c>
      <c r="BE192" s="1614">
        <v>15534.167620607999</v>
      </c>
      <c r="BF192" s="1613">
        <v>19262.367849553921</v>
      </c>
      <c r="BG192" s="1613">
        <v>18491.873135571765</v>
      </c>
      <c r="BH192" s="1613">
        <v>15718.092165235999</v>
      </c>
      <c r="BI192" s="1614">
        <v>17918.625068369041</v>
      </c>
      <c r="BJ192" s="1613">
        <v>18456.183820420112</v>
      </c>
      <c r="BK192" s="1613">
        <v>16149.160842867597</v>
      </c>
      <c r="BL192" s="1613">
        <v>13161.566086937091</v>
      </c>
      <c r="BM192" s="1614">
        <v>13293.181747806462</v>
      </c>
      <c r="BN192" s="1613">
        <v>15287.159009977431</v>
      </c>
      <c r="BO192" s="1613">
        <v>12535.470388181495</v>
      </c>
      <c r="BP192" s="1613">
        <v>9401.6027911361216</v>
      </c>
      <c r="BQ192" s="1614">
        <v>12692.163768033764</v>
      </c>
      <c r="BR192" s="1613">
        <v>17134.421086845585</v>
      </c>
      <c r="BS192" s="1613">
        <v>11994.094760791908</v>
      </c>
      <c r="BT192" s="1613">
        <v>9595.275808633527</v>
      </c>
      <c r="BU192" s="1614">
        <v>11034.567179928556</v>
      </c>
      <c r="BV192" s="1613">
        <v>12358.715241519983</v>
      </c>
      <c r="BW192" s="1613">
        <v>10134.146498046388</v>
      </c>
      <c r="BX192" s="364"/>
      <c r="BY192" s="365"/>
      <c r="BZ192" s="1613"/>
      <c r="CA192" s="1613"/>
      <c r="CB192" s="364"/>
      <c r="CC192" s="365"/>
      <c r="CD192" s="338"/>
      <c r="CE192" s="333"/>
      <c r="CF192" s="333"/>
      <c r="CG192" s="333"/>
      <c r="CH192" s="333"/>
      <c r="CI192" s="333"/>
      <c r="CJ192" s="333"/>
      <c r="CK192" s="333"/>
      <c r="CL192" s="333"/>
      <c r="CM192" s="333"/>
      <c r="CN192" s="1617">
        <f t="shared" si="492"/>
        <v>35500</v>
      </c>
      <c r="CO192" s="1617">
        <f t="shared" si="493"/>
        <v>67900</v>
      </c>
      <c r="CP192" s="1617">
        <f t="shared" si="494"/>
        <v>60834.725999999995</v>
      </c>
      <c r="CQ192" s="1617">
        <f t="shared" si="495"/>
        <v>66250.247970815995</v>
      </c>
      <c r="CR192" s="1617">
        <f t="shared" si="496"/>
        <v>71390.958218730724</v>
      </c>
      <c r="CS192" s="1613">
        <f t="shared" si="497"/>
        <v>61060.092498031263</v>
      </c>
      <c r="CT192" s="1613">
        <f t="shared" si="498"/>
        <v>49916.395957328816</v>
      </c>
      <c r="CU192" s="1613">
        <f t="shared" si="499"/>
        <v>49758.358836199572</v>
      </c>
      <c r="CV192" s="1613"/>
      <c r="CW192" s="1613"/>
      <c r="CX192" s="1613"/>
      <c r="CY192" s="1613"/>
      <c r="CZ192" s="1613"/>
      <c r="DA192" s="1613"/>
      <c r="DB192" s="1613"/>
      <c r="DC192" s="1613"/>
      <c r="DD192" s="1507"/>
      <c r="DE192" s="1552"/>
      <c r="DF192" s="333"/>
      <c r="DG192" s="349"/>
      <c r="DH192" s="333"/>
      <c r="DI192" s="333"/>
      <c r="DJ192" s="333"/>
      <c r="DK192" s="333"/>
      <c r="DL192" s="578"/>
      <c r="DM192" s="578"/>
      <c r="DN192" s="578"/>
      <c r="DO192" s="578"/>
      <c r="DP192" s="1617">
        <f t="shared" si="500"/>
        <v>69400</v>
      </c>
      <c r="DQ192" s="1617">
        <f t="shared" si="501"/>
        <v>64780</v>
      </c>
      <c r="DR192" s="1617">
        <f t="shared" si="502"/>
        <v>65236.638729599988</v>
      </c>
      <c r="DS192" s="1622">
        <f t="shared" si="503"/>
        <v>68822.576226341684</v>
      </c>
      <c r="DT192" s="158">
        <f t="shared" si="504"/>
        <v>68242.061896892759</v>
      </c>
      <c r="DU192" s="158">
        <f t="shared" si="505"/>
        <v>54277.37723290248</v>
      </c>
      <c r="DV192" s="158">
        <f t="shared" si="506"/>
        <v>51222.282406807382</v>
      </c>
      <c r="DW192" s="1623">
        <f t="shared" si="507"/>
        <v>43122.704728128454</v>
      </c>
      <c r="DX192" s="158"/>
      <c r="DY192" s="158"/>
      <c r="DZ192" s="1561"/>
    </row>
    <row r="193" spans="1:136" ht="11.25" hidden="1" customHeight="1" outlineLevel="1">
      <c r="A193" s="3"/>
      <c r="B193" s="502"/>
      <c r="C193" s="52"/>
      <c r="D193" s="52" t="s">
        <v>565</v>
      </c>
      <c r="E193" s="741"/>
      <c r="F193" s="201"/>
      <c r="G193" s="201"/>
      <c r="H193" s="201"/>
      <c r="I193" s="202"/>
      <c r="J193" s="207"/>
      <c r="K193" s="201"/>
      <c r="L193" s="201"/>
      <c r="M193" s="202"/>
      <c r="N193" s="207"/>
      <c r="O193" s="201"/>
      <c r="P193" s="201"/>
      <c r="Q193" s="202"/>
      <c r="R193" s="207"/>
      <c r="S193" s="201"/>
      <c r="T193" s="201"/>
      <c r="U193" s="365"/>
      <c r="V193" s="1211"/>
      <c r="W193" s="364"/>
      <c r="X193" s="364"/>
      <c r="Y193" s="365"/>
      <c r="Z193" s="1211"/>
      <c r="AA193" s="364"/>
      <c r="AB193" s="364"/>
      <c r="AC193" s="365"/>
      <c r="AD193" s="1211"/>
      <c r="AE193" s="364"/>
      <c r="AF193" s="364"/>
      <c r="AG193" s="364"/>
      <c r="AH193" s="1211"/>
      <c r="AI193" s="364"/>
      <c r="AJ193" s="364"/>
      <c r="AK193" s="365"/>
      <c r="AL193" s="1211"/>
      <c r="AM193" s="364"/>
      <c r="AN193" s="364"/>
      <c r="AO193" s="365"/>
      <c r="AP193" s="1211"/>
      <c r="AQ193" s="364"/>
      <c r="AR193" s="1613">
        <v>11050</v>
      </c>
      <c r="AS193" s="1614">
        <v>14000</v>
      </c>
      <c r="AT193" s="1615">
        <v>11000</v>
      </c>
      <c r="AU193" s="1613">
        <v>14900</v>
      </c>
      <c r="AV193" s="1613">
        <v>14000</v>
      </c>
      <c r="AW193" s="1614">
        <v>13000</v>
      </c>
      <c r="AX193" s="1615">
        <v>14000</v>
      </c>
      <c r="AY193" s="1613">
        <v>7000</v>
      </c>
      <c r="AZ193" s="1613">
        <v>8400</v>
      </c>
      <c r="BA193" s="1614">
        <v>8820</v>
      </c>
      <c r="BB193" s="1615">
        <v>10584</v>
      </c>
      <c r="BC193" s="1613">
        <v>13124.16</v>
      </c>
      <c r="BD193" s="1613">
        <v>12074.227200000001</v>
      </c>
      <c r="BE193" s="1614">
        <v>10323.464256000001</v>
      </c>
      <c r="BF193" s="1613">
        <v>11355.810681600002</v>
      </c>
      <c r="BG193" s="1613">
        <v>13286.298497472002</v>
      </c>
      <c r="BH193" s="1613">
        <v>12754.846557573121</v>
      </c>
      <c r="BI193" s="1614">
        <v>10841.619573937152</v>
      </c>
      <c r="BJ193" s="1613">
        <v>12467.862510027724</v>
      </c>
      <c r="BK193" s="1613">
        <v>12841.898385328555</v>
      </c>
      <c r="BL193" s="1613">
        <v>11686.127530648986</v>
      </c>
      <c r="BM193" s="1614">
        <v>11452.404980036006</v>
      </c>
      <c r="BN193" s="1613">
        <v>13399.313826642127</v>
      </c>
      <c r="BO193" s="1613">
        <v>11389.416752645808</v>
      </c>
      <c r="BP193" s="1613">
        <v>9111.5334021166473</v>
      </c>
      <c r="BQ193" s="1614">
        <v>10359.813478206628</v>
      </c>
      <c r="BR193" s="1613">
        <v>12328.178039065888</v>
      </c>
      <c r="BS193" s="1613">
        <v>9862.5424312527102</v>
      </c>
      <c r="BT193" s="1613">
        <v>8383.1610665648041</v>
      </c>
      <c r="BU193" s="1614">
        <v>8550.8242878961009</v>
      </c>
      <c r="BV193" s="1613">
        <v>9576.9232024436333</v>
      </c>
      <c r="BW193" s="1613">
        <v>8140.3847220770876</v>
      </c>
      <c r="BX193" s="364"/>
      <c r="BY193" s="365"/>
      <c r="BZ193" s="1613"/>
      <c r="CA193" s="1613"/>
      <c r="CB193" s="364"/>
      <c r="CC193" s="365"/>
      <c r="CD193" s="338"/>
      <c r="CE193" s="333"/>
      <c r="CF193" s="333"/>
      <c r="CG193" s="333"/>
      <c r="CH193" s="333"/>
      <c r="CI193" s="333"/>
      <c r="CJ193" s="333"/>
      <c r="CK193" s="333"/>
      <c r="CL193" s="333"/>
      <c r="CM193" s="333"/>
      <c r="CN193" s="1617">
        <f t="shared" si="492"/>
        <v>25050</v>
      </c>
      <c r="CO193" s="1617">
        <f t="shared" si="493"/>
        <v>52900</v>
      </c>
      <c r="CP193" s="1617">
        <f t="shared" si="494"/>
        <v>38220</v>
      </c>
      <c r="CQ193" s="1617">
        <f t="shared" si="495"/>
        <v>46105.851455999997</v>
      </c>
      <c r="CR193" s="1617">
        <f t="shared" si="496"/>
        <v>48238.575310582273</v>
      </c>
      <c r="CS193" s="1613">
        <f t="shared" si="497"/>
        <v>48448.293406041274</v>
      </c>
      <c r="CT193" s="1613">
        <f t="shared" si="498"/>
        <v>44260.07745961121</v>
      </c>
      <c r="CU193" s="1613">
        <f t="shared" si="499"/>
        <v>39124.705824779507</v>
      </c>
      <c r="CV193" s="1613"/>
      <c r="CW193" s="1613"/>
      <c r="CX193" s="1613"/>
      <c r="CY193" s="1613"/>
      <c r="CZ193" s="1613"/>
      <c r="DA193" s="1613"/>
      <c r="DB193" s="1613"/>
      <c r="DC193" s="1613"/>
      <c r="DD193" s="1507"/>
      <c r="DE193" s="1552"/>
      <c r="DF193" s="333"/>
      <c r="DG193" s="349"/>
      <c r="DH193" s="333"/>
      <c r="DI193" s="333"/>
      <c r="DJ193" s="333"/>
      <c r="DK193" s="333"/>
      <c r="DL193" s="578"/>
      <c r="DM193" s="578"/>
      <c r="DN193" s="578"/>
      <c r="DO193" s="578"/>
      <c r="DP193" s="1617">
        <f t="shared" si="500"/>
        <v>50950</v>
      </c>
      <c r="DQ193" s="1617">
        <f t="shared" si="501"/>
        <v>48000</v>
      </c>
      <c r="DR193" s="1617">
        <f t="shared" si="502"/>
        <v>40928.160000000003</v>
      </c>
      <c r="DS193" s="1622">
        <f t="shared" si="503"/>
        <v>47039.800635072002</v>
      </c>
      <c r="DT193" s="158">
        <f t="shared" si="504"/>
        <v>48906.227026866552</v>
      </c>
      <c r="DU193" s="158">
        <f t="shared" si="505"/>
        <v>47927.263089972927</v>
      </c>
      <c r="DV193" s="158">
        <f t="shared" si="506"/>
        <v>41662.067350641875</v>
      </c>
      <c r="DW193" s="1623">
        <f t="shared" si="507"/>
        <v>34651.293278981626</v>
      </c>
      <c r="DX193" s="158"/>
      <c r="DY193" s="158"/>
      <c r="DZ193" s="1561"/>
    </row>
    <row r="194" spans="1:136" ht="11.25" hidden="1" customHeight="1" outlineLevel="1">
      <c r="A194" s="3"/>
      <c r="B194" s="502"/>
      <c r="C194" s="52"/>
      <c r="D194" s="52"/>
      <c r="E194" s="741"/>
      <c r="F194" s="201"/>
      <c r="G194" s="201"/>
      <c r="H194" s="201"/>
      <c r="I194" s="202"/>
      <c r="J194" s="207"/>
      <c r="K194" s="201"/>
      <c r="L194" s="201"/>
      <c r="M194" s="202"/>
      <c r="N194" s="207"/>
      <c r="O194" s="201"/>
      <c r="P194" s="201"/>
      <c r="Q194" s="202"/>
      <c r="R194" s="207"/>
      <c r="S194" s="201"/>
      <c r="T194" s="201"/>
      <c r="U194" s="365"/>
      <c r="V194" s="1211"/>
      <c r="W194" s="364"/>
      <c r="X194" s="364"/>
      <c r="Y194" s="365"/>
      <c r="Z194" s="1211"/>
      <c r="AA194" s="364"/>
      <c r="AB194" s="364"/>
      <c r="AC194" s="365"/>
      <c r="AD194" s="1211"/>
      <c r="AE194" s="364"/>
      <c r="AF194" s="364"/>
      <c r="AG194" s="364"/>
      <c r="AH194" s="1211"/>
      <c r="AI194" s="364"/>
      <c r="AJ194" s="364"/>
      <c r="AK194" s="365"/>
      <c r="AL194" s="1211"/>
      <c r="AM194" s="364"/>
      <c r="AN194" s="364"/>
      <c r="AO194" s="365"/>
      <c r="AP194" s="1211"/>
      <c r="AQ194" s="364"/>
      <c r="AR194" s="1613"/>
      <c r="AS194" s="1614"/>
      <c r="AT194" s="1615"/>
      <c r="AU194" s="1613"/>
      <c r="AV194" s="1613"/>
      <c r="AW194" s="1614"/>
      <c r="AX194" s="1615"/>
      <c r="AY194" s="1613"/>
      <c r="AZ194" s="1613"/>
      <c r="BA194" s="1614"/>
      <c r="BB194" s="1615"/>
      <c r="BC194" s="1613"/>
      <c r="BD194" s="1613"/>
      <c r="BE194" s="1614"/>
      <c r="BF194" s="1613"/>
      <c r="BG194" s="1613"/>
      <c r="BH194" s="1613"/>
      <c r="BI194" s="1614"/>
      <c r="BJ194" s="1613"/>
      <c r="BK194" s="1613"/>
      <c r="BL194" s="1613"/>
      <c r="BM194" s="1614"/>
      <c r="BN194" s="1613"/>
      <c r="BO194" s="1613"/>
      <c r="BP194" s="1613"/>
      <c r="BQ194" s="1614"/>
      <c r="BR194" s="1613"/>
      <c r="BS194" s="1613"/>
      <c r="BT194" s="1613"/>
      <c r="BU194" s="1614"/>
      <c r="BV194" s="1613"/>
      <c r="BW194" s="1613"/>
      <c r="BX194" s="364"/>
      <c r="BY194" s="365"/>
      <c r="BZ194" s="1613"/>
      <c r="CA194" s="1613"/>
      <c r="CB194" s="364"/>
      <c r="CC194" s="365"/>
      <c r="CD194" s="338"/>
      <c r="CE194" s="333"/>
      <c r="CF194" s="333"/>
      <c r="CG194" s="333"/>
      <c r="CH194" s="333"/>
      <c r="CI194" s="333"/>
      <c r="CJ194" s="333"/>
      <c r="CK194" s="333"/>
      <c r="CL194" s="333"/>
      <c r="CM194" s="333"/>
      <c r="CN194" s="1617"/>
      <c r="CO194" s="1617"/>
      <c r="CP194" s="1617"/>
      <c r="CQ194" s="1617"/>
      <c r="CR194" s="1617"/>
      <c r="CS194" s="1613"/>
      <c r="CT194" s="1613"/>
      <c r="CU194" s="1613"/>
      <c r="CV194" s="1613"/>
      <c r="CW194" s="1613"/>
      <c r="CX194" s="1613"/>
      <c r="CY194" s="1613"/>
      <c r="CZ194" s="1613"/>
      <c r="DA194" s="1613"/>
      <c r="DB194" s="1613"/>
      <c r="DC194" s="1613"/>
      <c r="DD194" s="1507"/>
      <c r="DE194" s="1552"/>
      <c r="DF194" s="333"/>
      <c r="DG194" s="349"/>
      <c r="DH194" s="333"/>
      <c r="DI194" s="333"/>
      <c r="DJ194" s="333"/>
      <c r="DK194" s="333"/>
      <c r="DL194" s="578"/>
      <c r="DM194" s="578"/>
      <c r="DN194" s="578"/>
      <c r="DO194" s="578"/>
      <c r="DP194" s="1617"/>
      <c r="DQ194" s="1617"/>
      <c r="DR194" s="1617"/>
      <c r="DS194" s="1622"/>
      <c r="DT194" s="158"/>
      <c r="DU194" s="158"/>
      <c r="DV194" s="158"/>
      <c r="DW194" s="1623"/>
      <c r="DX194" s="158"/>
      <c r="DY194" s="158"/>
      <c r="DZ194" s="1561"/>
    </row>
    <row r="195" spans="1:136" ht="11.25" hidden="1" customHeight="1" outlineLevel="1">
      <c r="A195" s="3"/>
      <c r="B195" s="209" t="s">
        <v>930</v>
      </c>
      <c r="C195" s="188"/>
      <c r="D195" s="188"/>
      <c r="E195" s="198"/>
      <c r="F195" s="201"/>
      <c r="G195" s="201"/>
      <c r="H195" s="201"/>
      <c r="I195" s="202"/>
      <c r="J195" s="207"/>
      <c r="K195" s="201"/>
      <c r="L195" s="201"/>
      <c r="M195" s="202"/>
      <c r="N195" s="207"/>
      <c r="O195" s="201"/>
      <c r="P195" s="201"/>
      <c r="Q195" s="202"/>
      <c r="R195" s="207"/>
      <c r="S195" s="201"/>
      <c r="T195" s="201"/>
      <c r="U195" s="365"/>
      <c r="V195" s="1211"/>
      <c r="W195" s="364"/>
      <c r="X195" s="364"/>
      <c r="Y195" s="365"/>
      <c r="Z195" s="1211"/>
      <c r="AA195" s="364"/>
      <c r="AB195" s="364"/>
      <c r="AC195" s="365"/>
      <c r="AD195" s="1211"/>
      <c r="AE195" s="364"/>
      <c r="AF195" s="364"/>
      <c r="AG195" s="364"/>
      <c r="AH195" s="1211"/>
      <c r="AI195" s="364"/>
      <c r="AJ195" s="364"/>
      <c r="AK195" s="365"/>
      <c r="AL195" s="1211"/>
      <c r="AM195" s="364"/>
      <c r="AN195" s="364"/>
      <c r="AO195" s="365"/>
      <c r="AP195" s="1211"/>
      <c r="AQ195" s="364"/>
      <c r="AR195" s="1613"/>
      <c r="AS195" s="1614"/>
      <c r="AT195" s="1615"/>
      <c r="AU195" s="1613"/>
      <c r="AV195" s="1610">
        <f>AV173</f>
        <v>7962.82</v>
      </c>
      <c r="AW195" s="1611">
        <f t="shared" ref="AW195:BW195" si="508">AW173</f>
        <v>8155.7074124999999</v>
      </c>
      <c r="AX195" s="1612">
        <f t="shared" si="508"/>
        <v>8870.2586152500007</v>
      </c>
      <c r="AY195" s="1610">
        <f t="shared" si="508"/>
        <v>8125.0352774309995</v>
      </c>
      <c r="AZ195" s="1610">
        <f t="shared" si="508"/>
        <v>10302.176258244812</v>
      </c>
      <c r="BA195" s="1611">
        <f t="shared" si="508"/>
        <v>10321.413941743755</v>
      </c>
      <c r="BB195" s="1612">
        <f t="shared" si="508"/>
        <v>8678.0848551648069</v>
      </c>
      <c r="BC195" s="1610">
        <f t="shared" si="508"/>
        <v>8370.6804029970117</v>
      </c>
      <c r="BD195" s="1610">
        <f t="shared" si="508"/>
        <v>8234.2686281532315</v>
      </c>
      <c r="BE195" s="1611">
        <f t="shared" si="508"/>
        <v>8038.9583148727397</v>
      </c>
      <c r="BF195" s="1610">
        <f t="shared" si="508"/>
        <v>8301.1924418153285</v>
      </c>
      <c r="BG195" s="1610">
        <f t="shared" si="508"/>
        <v>8440.1851691600405</v>
      </c>
      <c r="BH195" s="1610">
        <f t="shared" si="508"/>
        <v>8140.7973314380015</v>
      </c>
      <c r="BI195" s="1611">
        <f t="shared" si="508"/>
        <v>7997.5826249978081</v>
      </c>
      <c r="BJ195" s="1610">
        <f t="shared" si="508"/>
        <v>8656.8384317137661</v>
      </c>
      <c r="BK195" s="1610">
        <f t="shared" si="508"/>
        <v>8397.5625971509526</v>
      </c>
      <c r="BL195" s="1610">
        <f t="shared" si="508"/>
        <v>7533.9706923083786</v>
      </c>
      <c r="BM195" s="1611">
        <f t="shared" si="508"/>
        <v>6613.0733383253828</v>
      </c>
      <c r="BN195" s="1610">
        <f t="shared" si="508"/>
        <v>6853.8991365165493</v>
      </c>
      <c r="BO195" s="1610">
        <f t="shared" si="508"/>
        <v>6647.8983006376111</v>
      </c>
      <c r="BP195" s="1610">
        <f t="shared" si="508"/>
        <v>5829.3120403555731</v>
      </c>
      <c r="BQ195" s="1611">
        <f t="shared" si="508"/>
        <v>5923.957765717546</v>
      </c>
      <c r="BR195" s="1610">
        <f t="shared" si="508"/>
        <v>6689.1092660896666</v>
      </c>
      <c r="BS195" s="1610">
        <f t="shared" si="508"/>
        <v>6639.3155872818443</v>
      </c>
      <c r="BT195" s="1610">
        <f t="shared" si="508"/>
        <v>5966.8450973709405</v>
      </c>
      <c r="BU195" s="1611">
        <f t="shared" si="508"/>
        <v>5749.2230657040836</v>
      </c>
      <c r="BV195" s="1610">
        <f t="shared" si="508"/>
        <v>6197.7939788351769</v>
      </c>
      <c r="BW195" s="1610">
        <f t="shared" si="508"/>
        <v>5977.7939419797813</v>
      </c>
      <c r="BX195" s="364"/>
      <c r="BY195" s="365"/>
      <c r="BZ195" s="1610"/>
      <c r="CA195" s="1610"/>
      <c r="CB195" s="364"/>
      <c r="CC195" s="365"/>
      <c r="CD195" s="338"/>
      <c r="CE195" s="333"/>
      <c r="CF195" s="333"/>
      <c r="CG195" s="333"/>
      <c r="CH195" s="333"/>
      <c r="CI195" s="333"/>
      <c r="CJ195" s="333"/>
      <c r="CK195" s="333"/>
      <c r="CL195" s="333"/>
      <c r="CM195" s="333"/>
      <c r="CN195" s="1617"/>
      <c r="CO195" s="1617"/>
      <c r="CP195" s="1617"/>
      <c r="CQ195" s="1617"/>
      <c r="CR195" s="1617"/>
      <c r="CS195" s="1613"/>
      <c r="CT195" s="1613"/>
      <c r="CU195" s="1613"/>
      <c r="CV195" s="1613"/>
      <c r="CW195" s="1613"/>
      <c r="CX195" s="1613"/>
      <c r="CY195" s="1613"/>
      <c r="CZ195" s="1613"/>
      <c r="DA195" s="1613"/>
      <c r="DB195" s="1613"/>
      <c r="DC195" s="1613"/>
      <c r="DD195" s="1507"/>
      <c r="DE195" s="1552"/>
      <c r="DF195" s="333"/>
      <c r="DG195" s="349"/>
      <c r="DH195" s="333"/>
      <c r="DI195" s="333"/>
      <c r="DJ195" s="333"/>
      <c r="DK195" s="333"/>
      <c r="DL195" s="578"/>
      <c r="DM195" s="578"/>
      <c r="DN195" s="578"/>
      <c r="DO195" s="578"/>
      <c r="DP195" s="1617"/>
      <c r="DQ195" s="1617"/>
      <c r="DR195" s="1617"/>
      <c r="DS195" s="1622"/>
      <c r="DT195" s="158"/>
      <c r="DU195" s="158"/>
      <c r="DV195" s="158"/>
      <c r="DW195" s="1623"/>
      <c r="DX195" s="158"/>
      <c r="DY195" s="158"/>
      <c r="DZ195" s="1561"/>
    </row>
    <row r="196" spans="1:136" ht="11.25" hidden="1" customHeight="1" outlineLevel="1">
      <c r="A196" s="3"/>
      <c r="B196" s="208" t="s">
        <v>76</v>
      </c>
      <c r="C196" s="407"/>
      <c r="D196" s="212"/>
      <c r="E196" s="212"/>
      <c r="F196" s="201"/>
      <c r="G196" s="201"/>
      <c r="H196" s="201"/>
      <c r="I196" s="202"/>
      <c r="J196" s="207"/>
      <c r="K196" s="201"/>
      <c r="L196" s="201"/>
      <c r="M196" s="202"/>
      <c r="N196" s="207"/>
      <c r="O196" s="201"/>
      <c r="P196" s="201"/>
      <c r="Q196" s="202"/>
      <c r="R196" s="207"/>
      <c r="S196" s="201"/>
      <c r="T196" s="201"/>
      <c r="U196" s="365"/>
      <c r="V196" s="1211"/>
      <c r="W196" s="364"/>
      <c r="X196" s="364"/>
      <c r="Y196" s="365"/>
      <c r="Z196" s="1211"/>
      <c r="AA196" s="364"/>
      <c r="AB196" s="364"/>
      <c r="AC196" s="365"/>
      <c r="AD196" s="1211"/>
      <c r="AE196" s="364"/>
      <c r="AF196" s="364"/>
      <c r="AG196" s="364"/>
      <c r="AH196" s="1211"/>
      <c r="AI196" s="364"/>
      <c r="AJ196" s="364"/>
      <c r="AK196" s="365"/>
      <c r="AL196" s="1211"/>
      <c r="AM196" s="364"/>
      <c r="AN196" s="364"/>
      <c r="AO196" s="365"/>
      <c r="AP196" s="1211"/>
      <c r="AQ196" s="364"/>
      <c r="AR196" s="1613"/>
      <c r="AS196" s="1614"/>
      <c r="AT196" s="1625"/>
      <c r="AU196" s="1625"/>
      <c r="AV196" s="1625">
        <f t="shared" ref="AV196:BW196" si="509">AV173/AR173-1</f>
        <v>-0.10066296969765431</v>
      </c>
      <c r="AW196" s="1626">
        <f t="shared" si="509"/>
        <v>5.8870941881294936E-3</v>
      </c>
      <c r="AX196" s="1625">
        <f t="shared" si="509"/>
        <v>8.7961464381646204E-2</v>
      </c>
      <c r="AY196" s="1625">
        <f t="shared" si="509"/>
        <v>-2.9805988616718349E-2</v>
      </c>
      <c r="AZ196" s="1625">
        <f t="shared" si="509"/>
        <v>0.29378489759216109</v>
      </c>
      <c r="BA196" s="1626">
        <f t="shared" si="509"/>
        <v>0.26554490244763351</v>
      </c>
      <c r="BB196" s="1625">
        <f t="shared" si="509"/>
        <v>-2.1664955715586798E-2</v>
      </c>
      <c r="BC196" s="1625">
        <f t="shared" si="509"/>
        <v>3.0233114956232043E-2</v>
      </c>
      <c r="BD196" s="1625">
        <f t="shared" si="509"/>
        <v>-0.20072532038428659</v>
      </c>
      <c r="BE196" s="1626">
        <f t="shared" si="509"/>
        <v>-0.22113788282823243</v>
      </c>
      <c r="BF196" s="1625">
        <f t="shared" si="509"/>
        <v>-4.3430367372493395E-2</v>
      </c>
      <c r="BG196" s="1625">
        <f t="shared" si="509"/>
        <v>8.3033592034100767E-3</v>
      </c>
      <c r="BH196" s="1625">
        <f t="shared" si="509"/>
        <v>-1.1351499560707579E-2</v>
      </c>
      <c r="BI196" s="1626">
        <f t="shared" si="509"/>
        <v>-5.1468969304621082E-3</v>
      </c>
      <c r="BJ196" s="1625">
        <f t="shared" si="509"/>
        <v>4.2842759325389723E-2</v>
      </c>
      <c r="BK196" s="1625">
        <f t="shared" si="509"/>
        <v>-5.0499569801890631E-3</v>
      </c>
      <c r="BL196" s="1625">
        <f t="shared" si="509"/>
        <v>-7.4541425664312988E-2</v>
      </c>
      <c r="BM196" s="1626">
        <f t="shared" si="509"/>
        <v>-0.17311597161183501</v>
      </c>
      <c r="BN196" s="1625">
        <f t="shared" si="509"/>
        <v>-0.20826763828608208</v>
      </c>
      <c r="BO196" s="1625">
        <f t="shared" si="509"/>
        <v>-0.20835382603839736</v>
      </c>
      <c r="BP196" s="1625">
        <f t="shared" si="509"/>
        <v>-0.22626297892200919</v>
      </c>
      <c r="BQ196" s="1626">
        <f t="shared" si="509"/>
        <v>-0.10420504013075715</v>
      </c>
      <c r="BR196" s="1625">
        <f t="shared" si="509"/>
        <v>-2.4043229575542946E-2</v>
      </c>
      <c r="BS196" s="683">
        <f t="shared" si="509"/>
        <v>-1.2910416146022508E-3</v>
      </c>
      <c r="BT196" s="1625">
        <f t="shared" si="509"/>
        <v>2.359335991335576E-2</v>
      </c>
      <c r="BU196" s="1626">
        <f t="shared" si="509"/>
        <v>-2.9496277138346128E-2</v>
      </c>
      <c r="BV196" s="1625">
        <f t="shared" si="509"/>
        <v>-7.3450031642509517E-2</v>
      </c>
      <c r="BW196" s="1625">
        <f t="shared" si="509"/>
        <v>-9.9637023817524484E-2</v>
      </c>
      <c r="BX196" s="364"/>
      <c r="BY196" s="365"/>
      <c r="BZ196" s="1625"/>
      <c r="CA196" s="1625"/>
      <c r="CB196" s="364"/>
      <c r="CC196" s="365"/>
      <c r="CD196" s="338"/>
      <c r="CE196" s="333"/>
      <c r="CF196" s="333"/>
      <c r="CG196" s="333"/>
      <c r="CH196" s="333"/>
      <c r="CI196" s="333"/>
      <c r="CJ196" s="333"/>
      <c r="CK196" s="333"/>
      <c r="CL196" s="333"/>
      <c r="CM196" s="333"/>
      <c r="CN196" s="1617"/>
      <c r="CO196" s="1113">
        <f t="shared" ref="CO196:CU196" si="510">CO173/CN173-1</f>
        <v>0.92466295618313188</v>
      </c>
      <c r="CP196" s="1113">
        <f t="shared" si="510"/>
        <v>0.15231772423356293</v>
      </c>
      <c r="CQ196" s="1113">
        <f t="shared" si="510"/>
        <v>-0.11422167337279088</v>
      </c>
      <c r="CR196" s="1113">
        <f t="shared" si="510"/>
        <v>-1.3271554446881217E-2</v>
      </c>
      <c r="CS196" s="1625">
        <f t="shared" si="510"/>
        <v>-5.1043944118862816E-2</v>
      </c>
      <c r="CT196" s="1625">
        <f t="shared" si="510"/>
        <v>-0.19058020565816636</v>
      </c>
      <c r="CU196" s="1625">
        <f t="shared" si="510"/>
        <v>-8.3379000638859058E-3</v>
      </c>
      <c r="CV196" s="1613"/>
      <c r="CW196" s="1613"/>
      <c r="CX196" s="1613"/>
      <c r="CY196" s="1613"/>
      <c r="CZ196" s="1613"/>
      <c r="DA196" s="1613"/>
      <c r="DB196" s="1613"/>
      <c r="DC196" s="1613"/>
      <c r="DD196" s="1507"/>
      <c r="DE196" s="1552"/>
      <c r="DF196" s="333"/>
      <c r="DG196" s="349"/>
      <c r="DH196" s="333"/>
      <c r="DI196" s="333"/>
      <c r="DJ196" s="333"/>
      <c r="DK196" s="333"/>
      <c r="DL196" s="578"/>
      <c r="DM196" s="578"/>
      <c r="DN196" s="578"/>
      <c r="DO196" s="578"/>
      <c r="DP196" s="1617"/>
      <c r="DQ196" s="1617"/>
      <c r="DR196" s="1617"/>
      <c r="DS196" s="1622"/>
      <c r="DT196" s="158"/>
      <c r="DU196" s="158"/>
      <c r="DV196" s="158"/>
      <c r="DW196" s="1623"/>
      <c r="DX196" s="158"/>
      <c r="DY196" s="158"/>
      <c r="DZ196" s="1561"/>
    </row>
    <row r="197" spans="1:136" ht="11.25" hidden="1" customHeight="1" outlineLevel="1">
      <c r="A197" s="3"/>
      <c r="B197" s="208" t="s">
        <v>77</v>
      </c>
      <c r="C197" s="407"/>
      <c r="D197" s="212"/>
      <c r="E197" s="212"/>
      <c r="F197" s="201"/>
      <c r="G197" s="201"/>
      <c r="H197" s="201"/>
      <c r="I197" s="202"/>
      <c r="J197" s="207"/>
      <c r="K197" s="201"/>
      <c r="L197" s="201"/>
      <c r="M197" s="202"/>
      <c r="N197" s="207"/>
      <c r="O197" s="201"/>
      <c r="P197" s="201"/>
      <c r="Q197" s="202"/>
      <c r="R197" s="207"/>
      <c r="S197" s="201"/>
      <c r="T197" s="201"/>
      <c r="U197" s="365"/>
      <c r="V197" s="1211"/>
      <c r="W197" s="364"/>
      <c r="X197" s="364"/>
      <c r="Y197" s="365"/>
      <c r="Z197" s="1211"/>
      <c r="AA197" s="364"/>
      <c r="AB197" s="364"/>
      <c r="AC197" s="365"/>
      <c r="AD197" s="1211"/>
      <c r="AE197" s="364"/>
      <c r="AF197" s="364"/>
      <c r="AG197" s="364"/>
      <c r="AH197" s="1211"/>
      <c r="AI197" s="364"/>
      <c r="AJ197" s="364"/>
      <c r="AK197" s="365"/>
      <c r="AL197" s="1211"/>
      <c r="AM197" s="364"/>
      <c r="AN197" s="364"/>
      <c r="AO197" s="365"/>
      <c r="AP197" s="1211"/>
      <c r="AQ197" s="364"/>
      <c r="AR197" s="1613"/>
      <c r="AS197" s="1614"/>
      <c r="AT197" s="1625">
        <f>AT173/AS173-1</f>
        <v>5.565508033756883E-3</v>
      </c>
      <c r="AU197" s="1625">
        <f>AU173/AT173-1</f>
        <v>2.7173713066195537E-2</v>
      </c>
      <c r="AV197" s="1625">
        <f>AV173/AU173-1</f>
        <v>-4.9175786450777026E-2</v>
      </c>
      <c r="AW197" s="1626">
        <f t="shared" ref="AW197:BW197" si="511">AW173/AV173-1</f>
        <v>2.4223505303397674E-2</v>
      </c>
      <c r="AX197" s="1625">
        <f t="shared" si="511"/>
        <v>8.7613638720637654E-2</v>
      </c>
      <c r="AY197" s="1625">
        <f t="shared" si="511"/>
        <v>-8.4013710326076851E-2</v>
      </c>
      <c r="AZ197" s="1625">
        <f t="shared" si="511"/>
        <v>0.26795464960764925</v>
      </c>
      <c r="BA197" s="1626">
        <f t="shared" si="511"/>
        <v>1.8673417166150674E-3</v>
      </c>
      <c r="BB197" s="1625">
        <f t="shared" si="511"/>
        <v>-0.15921550049772681</v>
      </c>
      <c r="BC197" s="1625">
        <f t="shared" si="511"/>
        <v>-3.542307517134291E-2</v>
      </c>
      <c r="BD197" s="1625">
        <f t="shared" si="511"/>
        <v>-1.6296378343980233E-2</v>
      </c>
      <c r="BE197" s="1626">
        <f t="shared" si="511"/>
        <v>-2.3719205930775589E-2</v>
      </c>
      <c r="BF197" s="1625">
        <f t="shared" si="511"/>
        <v>3.2620411335811283E-2</v>
      </c>
      <c r="BG197" s="1625">
        <f t="shared" si="511"/>
        <v>1.6743706198710573E-2</v>
      </c>
      <c r="BH197" s="1625">
        <f t="shared" si="511"/>
        <v>-3.5471714390341247E-2</v>
      </c>
      <c r="BI197" s="1626">
        <f t="shared" si="511"/>
        <v>-1.7592221082218695E-2</v>
      </c>
      <c r="BJ197" s="1625">
        <f t="shared" si="511"/>
        <v>8.2431884436597214E-2</v>
      </c>
      <c r="BK197" s="1625">
        <f t="shared" si="511"/>
        <v>-2.9950407023073611E-2</v>
      </c>
      <c r="BL197" s="1625">
        <f t="shared" si="511"/>
        <v>-0.10283840041103898</v>
      </c>
      <c r="BM197" s="1626">
        <f t="shared" si="511"/>
        <v>-0.12223267007438232</v>
      </c>
      <c r="BN197" s="1625">
        <f t="shared" si="511"/>
        <v>3.6416622933165721E-2</v>
      </c>
      <c r="BO197" s="1625">
        <f t="shared" si="511"/>
        <v>-3.0056006336801278E-2</v>
      </c>
      <c r="BP197" s="1625">
        <f t="shared" si="511"/>
        <v>-0.12313459431284113</v>
      </c>
      <c r="BQ197" s="1626">
        <f t="shared" si="511"/>
        <v>1.623617413285694E-2</v>
      </c>
      <c r="BR197" s="1625">
        <f t="shared" si="511"/>
        <v>0.12916221395097005</v>
      </c>
      <c r="BS197" s="683">
        <f t="shared" si="511"/>
        <v>-7.4439924401071833E-3</v>
      </c>
      <c r="BT197" s="1625">
        <f t="shared" si="511"/>
        <v>-0.10128611617725725</v>
      </c>
      <c r="BU197" s="1626">
        <f t="shared" si="511"/>
        <v>-3.6471875524763275E-2</v>
      </c>
      <c r="BV197" s="1625">
        <f t="shared" si="511"/>
        <v>7.8022875091933619E-2</v>
      </c>
      <c r="BW197" s="1625">
        <f t="shared" si="511"/>
        <v>-3.549650691950601E-2</v>
      </c>
      <c r="BX197" s="364"/>
      <c r="BY197" s="365"/>
      <c r="BZ197" s="1625"/>
      <c r="CA197" s="1625"/>
      <c r="CB197" s="364"/>
      <c r="CC197" s="365"/>
      <c r="CD197" s="338"/>
      <c r="CE197" s="333"/>
      <c r="CF197" s="333"/>
      <c r="CG197" s="333"/>
      <c r="CH197" s="333"/>
      <c r="CI197" s="333"/>
      <c r="CJ197" s="333"/>
      <c r="CK197" s="333"/>
      <c r="CL197" s="333"/>
      <c r="CM197" s="333"/>
      <c r="CN197" s="1617"/>
      <c r="CO197" s="1113"/>
      <c r="CP197" s="1113"/>
      <c r="CQ197" s="1113"/>
      <c r="CR197" s="1113"/>
      <c r="CS197" s="1625"/>
      <c r="CT197" s="1625"/>
      <c r="CU197" s="1625"/>
      <c r="CV197" s="1613"/>
      <c r="CW197" s="1613"/>
      <c r="CX197" s="1613"/>
      <c r="CY197" s="1613"/>
      <c r="CZ197" s="1613"/>
      <c r="DA197" s="1613"/>
      <c r="DB197" s="1613"/>
      <c r="DC197" s="1613"/>
      <c r="DD197" s="1507"/>
      <c r="DE197" s="1552"/>
      <c r="DF197" s="333"/>
      <c r="DG197" s="349"/>
      <c r="DH197" s="333"/>
      <c r="DI197" s="333"/>
      <c r="DJ197" s="333"/>
      <c r="DK197" s="333"/>
      <c r="DL197" s="578"/>
      <c r="DM197" s="578"/>
      <c r="DN197" s="578"/>
      <c r="DO197" s="578"/>
      <c r="DP197" s="1617"/>
      <c r="DQ197" s="1617"/>
      <c r="DR197" s="1617"/>
      <c r="DS197" s="1622"/>
      <c r="DT197" s="158"/>
      <c r="DU197" s="158"/>
      <c r="DV197" s="158"/>
      <c r="DW197" s="1623"/>
      <c r="DX197" s="158"/>
      <c r="DY197" s="158"/>
      <c r="DZ197" s="1561"/>
    </row>
    <row r="198" spans="1:136" ht="11.25" hidden="1" customHeight="1" outlineLevel="1">
      <c r="A198" s="3"/>
      <c r="B198" s="224" t="s">
        <v>934</v>
      </c>
      <c r="C198" s="211"/>
      <c r="D198" s="211"/>
      <c r="E198" s="212"/>
      <c r="F198" s="201"/>
      <c r="G198" s="201"/>
      <c r="H198" s="201"/>
      <c r="I198" s="202"/>
      <c r="J198" s="207"/>
      <c r="K198" s="201"/>
      <c r="L198" s="201"/>
      <c r="M198" s="202"/>
      <c r="N198" s="207"/>
      <c r="O198" s="201"/>
      <c r="P198" s="201"/>
      <c r="Q198" s="202"/>
      <c r="R198" s="207"/>
      <c r="S198" s="201"/>
      <c r="T198" s="201"/>
      <c r="U198" s="365"/>
      <c r="V198" s="1211"/>
      <c r="W198" s="364"/>
      <c r="X198" s="364"/>
      <c r="Y198" s="365"/>
      <c r="Z198" s="1211"/>
      <c r="AA198" s="364"/>
      <c r="AB198" s="364"/>
      <c r="AC198" s="365"/>
      <c r="AD198" s="1211"/>
      <c r="AE198" s="364"/>
      <c r="AF198" s="364"/>
      <c r="AG198" s="364"/>
      <c r="AH198" s="1211"/>
      <c r="AI198" s="364"/>
      <c r="AJ198" s="364"/>
      <c r="AK198" s="365"/>
      <c r="AL198" s="1211"/>
      <c r="AM198" s="364"/>
      <c r="AN198" s="364"/>
      <c r="AO198" s="365"/>
      <c r="AP198" s="1211"/>
      <c r="AQ198" s="364"/>
      <c r="AR198" s="1613"/>
      <c r="AS198" s="1614"/>
      <c r="AT198" s="1625"/>
      <c r="AU198" s="1625"/>
      <c r="AV198" s="1610">
        <f>AV184</f>
        <v>159800</v>
      </c>
      <c r="AW198" s="1611">
        <f t="shared" ref="AW198:BW198" si="512">AW184</f>
        <v>165700</v>
      </c>
      <c r="AX198" s="1612">
        <f t="shared" si="512"/>
        <v>176800</v>
      </c>
      <c r="AY198" s="1610">
        <f t="shared" si="512"/>
        <v>118812</v>
      </c>
      <c r="AZ198" s="1610">
        <f t="shared" si="512"/>
        <v>144884.6</v>
      </c>
      <c r="BA198" s="1611">
        <f t="shared" si="512"/>
        <v>157052.478</v>
      </c>
      <c r="BB198" s="1612">
        <f t="shared" si="512"/>
        <v>139084.25784000001</v>
      </c>
      <c r="BC198" s="1610">
        <f t="shared" si="512"/>
        <v>135593.52361200002</v>
      </c>
      <c r="BD198" s="1610">
        <f t="shared" si="512"/>
        <v>135699.130882692</v>
      </c>
      <c r="BE198" s="1611">
        <f t="shared" si="512"/>
        <v>133175.3260839259</v>
      </c>
      <c r="BF198" s="1610">
        <f t="shared" si="512"/>
        <v>139921.44539112784</v>
      </c>
      <c r="BG198" s="1610">
        <f t="shared" si="512"/>
        <v>142179.21029408457</v>
      </c>
      <c r="BH198" s="1610">
        <f t="shared" si="512"/>
        <v>137537.01552377327</v>
      </c>
      <c r="BI198" s="1611">
        <f t="shared" si="512"/>
        <v>137290.3118769927</v>
      </c>
      <c r="BJ198" s="1610">
        <f t="shared" si="512"/>
        <v>147209.06726769681</v>
      </c>
      <c r="BK198" s="1610">
        <f t="shared" si="512"/>
        <v>140866.21002715561</v>
      </c>
      <c r="BL198" s="1610">
        <f t="shared" si="512"/>
        <v>124455.1707247608</v>
      </c>
      <c r="BM198" s="1611">
        <f t="shared" si="512"/>
        <v>110778.91550713954</v>
      </c>
      <c r="BN198" s="1610">
        <f t="shared" si="512"/>
        <v>119224.61695940196</v>
      </c>
      <c r="BO198" s="1610">
        <f t="shared" si="512"/>
        <v>115233.03059473605</v>
      </c>
      <c r="BP198" s="1610">
        <f t="shared" si="512"/>
        <v>101116.543625598</v>
      </c>
      <c r="BQ198" s="1611">
        <f t="shared" si="512"/>
        <v>98908.694733145414</v>
      </c>
      <c r="BR198" s="1610">
        <f t="shared" si="512"/>
        <v>113278.875887278</v>
      </c>
      <c r="BS198" s="1610">
        <f t="shared" si="512"/>
        <v>111881.73550072598</v>
      </c>
      <c r="BT198" s="1610">
        <f t="shared" si="512"/>
        <v>100469.49214121878</v>
      </c>
      <c r="BU198" s="1611">
        <f t="shared" si="512"/>
        <v>95863.949638787482</v>
      </c>
      <c r="BV198" s="1610">
        <f t="shared" si="512"/>
        <v>104115.69354223264</v>
      </c>
      <c r="BW198" s="1610">
        <f t="shared" si="512"/>
        <v>100542.03438851712</v>
      </c>
      <c r="BX198" s="364"/>
      <c r="BY198" s="365"/>
      <c r="BZ198" s="1610"/>
      <c r="CA198" s="1610"/>
      <c r="CB198" s="364"/>
      <c r="CC198" s="365"/>
      <c r="CD198" s="338"/>
      <c r="CE198" s="333"/>
      <c r="CF198" s="333"/>
      <c r="CG198" s="333"/>
      <c r="CH198" s="333"/>
      <c r="CI198" s="333"/>
      <c r="CJ198" s="333"/>
      <c r="CK198" s="333"/>
      <c r="CL198" s="333"/>
      <c r="CM198" s="333"/>
      <c r="CN198" s="1617"/>
      <c r="CO198" s="1113"/>
      <c r="CP198" s="1113"/>
      <c r="CQ198" s="1113"/>
      <c r="CR198" s="1113"/>
      <c r="CS198" s="1625"/>
      <c r="CT198" s="1625"/>
      <c r="CU198" s="1625"/>
      <c r="CV198" s="1613"/>
      <c r="CW198" s="1613"/>
      <c r="CX198" s="1613"/>
      <c r="CY198" s="1613"/>
      <c r="CZ198" s="1613"/>
      <c r="DA198" s="1613"/>
      <c r="DB198" s="1613"/>
      <c r="DC198" s="1613"/>
      <c r="DD198" s="1507"/>
      <c r="DE198" s="1552"/>
      <c r="DF198" s="333"/>
      <c r="DG198" s="349"/>
      <c r="DH198" s="333"/>
      <c r="DI198" s="333"/>
      <c r="DJ198" s="333"/>
      <c r="DK198" s="333"/>
      <c r="DL198" s="578"/>
      <c r="DM198" s="578"/>
      <c r="DN198" s="578"/>
      <c r="DO198" s="578"/>
      <c r="DP198" s="1617"/>
      <c r="DQ198" s="1617"/>
      <c r="DR198" s="1617"/>
      <c r="DS198" s="1622"/>
      <c r="DT198" s="158"/>
      <c r="DU198" s="158"/>
      <c r="DV198" s="158"/>
      <c r="DW198" s="1623"/>
      <c r="DX198" s="158"/>
      <c r="DY198" s="158"/>
      <c r="DZ198" s="1561"/>
    </row>
    <row r="199" spans="1:136" ht="11.25" hidden="1" customHeight="1" outlineLevel="1">
      <c r="A199" s="3"/>
      <c r="B199" s="208" t="s">
        <v>76</v>
      </c>
      <c r="C199" s="816"/>
      <c r="D199" s="211"/>
      <c r="E199" s="212"/>
      <c r="F199" s="201"/>
      <c r="G199" s="201"/>
      <c r="H199" s="201"/>
      <c r="I199" s="202"/>
      <c r="J199" s="207"/>
      <c r="K199" s="201"/>
      <c r="L199" s="201"/>
      <c r="M199" s="202"/>
      <c r="N199" s="207"/>
      <c r="O199" s="201"/>
      <c r="P199" s="201"/>
      <c r="Q199" s="202"/>
      <c r="R199" s="207"/>
      <c r="S199" s="201"/>
      <c r="T199" s="201"/>
      <c r="U199" s="365"/>
      <c r="V199" s="1211"/>
      <c r="W199" s="364"/>
      <c r="X199" s="364"/>
      <c r="Y199" s="365"/>
      <c r="Z199" s="1211"/>
      <c r="AA199" s="364"/>
      <c r="AB199" s="364"/>
      <c r="AC199" s="365"/>
      <c r="AD199" s="1211"/>
      <c r="AE199" s="364"/>
      <c r="AF199" s="364"/>
      <c r="AG199" s="364"/>
      <c r="AH199" s="1211"/>
      <c r="AI199" s="364"/>
      <c r="AJ199" s="364"/>
      <c r="AK199" s="365"/>
      <c r="AL199" s="1211"/>
      <c r="AM199" s="364"/>
      <c r="AN199" s="364"/>
      <c r="AO199" s="365"/>
      <c r="AP199" s="1211"/>
      <c r="AQ199" s="364"/>
      <c r="AR199" s="1613"/>
      <c r="AS199" s="1614"/>
      <c r="AT199" s="1625"/>
      <c r="AU199" s="1625"/>
      <c r="AV199" s="1625">
        <f t="shared" ref="AV199:BW199" si="513">AV184/AR184-1</f>
        <v>-1.3884603517432925E-2</v>
      </c>
      <c r="AW199" s="1626">
        <f t="shared" si="513"/>
        <v>5.1229183187946115E-2</v>
      </c>
      <c r="AX199" s="1625">
        <f t="shared" si="513"/>
        <v>7.4772036474164194E-2</v>
      </c>
      <c r="AY199" s="1625">
        <f t="shared" si="513"/>
        <v>-0.29025089605734766</v>
      </c>
      <c r="AZ199" s="1625">
        <f t="shared" si="513"/>
        <v>-9.3337922403003759E-2</v>
      </c>
      <c r="BA199" s="1626">
        <f t="shared" si="513"/>
        <v>-5.2187821363910647E-2</v>
      </c>
      <c r="BB199" s="1625">
        <f t="shared" si="513"/>
        <v>-0.21332433348416291</v>
      </c>
      <c r="BC199" s="1625">
        <f t="shared" si="513"/>
        <v>0.14124434915665107</v>
      </c>
      <c r="BD199" s="1625">
        <f t="shared" si="513"/>
        <v>-6.3398519354769256E-2</v>
      </c>
      <c r="BE199" s="1626">
        <f t="shared" si="513"/>
        <v>-0.15203295242545678</v>
      </c>
      <c r="BF199" s="1625">
        <f t="shared" si="513"/>
        <v>6.0192833044478977E-3</v>
      </c>
      <c r="BG199" s="1625">
        <f t="shared" si="513"/>
        <v>4.8569330648338571E-2</v>
      </c>
      <c r="BH199" s="1625">
        <f t="shared" si="513"/>
        <v>1.3543820281870955E-2</v>
      </c>
      <c r="BI199" s="1626">
        <f t="shared" si="513"/>
        <v>3.089901045538701E-2</v>
      </c>
      <c r="BJ199" s="1625">
        <f t="shared" si="513"/>
        <v>5.2083666347196411E-2</v>
      </c>
      <c r="BK199" s="1625">
        <f t="shared" si="513"/>
        <v>-9.2348259932878429E-3</v>
      </c>
      <c r="BL199" s="1625">
        <f t="shared" si="513"/>
        <v>-9.511508410440439E-2</v>
      </c>
      <c r="BM199" s="1626">
        <f t="shared" si="513"/>
        <v>-0.1931046408693895</v>
      </c>
      <c r="BN199" s="1625">
        <f t="shared" si="513"/>
        <v>-0.19010004497484978</v>
      </c>
      <c r="BO199" s="1625">
        <f t="shared" si="513"/>
        <v>-0.18196826213666217</v>
      </c>
      <c r="BP199" s="1625">
        <f t="shared" si="513"/>
        <v>-0.18752637566805008</v>
      </c>
      <c r="BQ199" s="1626">
        <f t="shared" si="513"/>
        <v>-0.10715234681304586</v>
      </c>
      <c r="BR199" s="1625">
        <f t="shared" si="513"/>
        <v>-4.9870079047086291E-2</v>
      </c>
      <c r="BS199" s="683">
        <f t="shared" si="513"/>
        <v>-2.9082764522580962E-2</v>
      </c>
      <c r="BT199" s="1625">
        <f t="shared" si="513"/>
        <v>-6.3990664749681292E-3</v>
      </c>
      <c r="BU199" s="1626">
        <f t="shared" si="513"/>
        <v>-3.0783391718722242E-2</v>
      </c>
      <c r="BV199" s="1625">
        <f t="shared" si="513"/>
        <v>-8.089047735752164E-2</v>
      </c>
      <c r="BW199" s="1625">
        <f t="shared" si="513"/>
        <v>-0.10135435476986565</v>
      </c>
      <c r="BX199" s="364"/>
      <c r="BY199" s="365"/>
      <c r="BZ199" s="1625"/>
      <c r="CA199" s="1625"/>
      <c r="CB199" s="364"/>
      <c r="CC199" s="365"/>
      <c r="CD199" s="338"/>
      <c r="CE199" s="333"/>
      <c r="CF199" s="333"/>
      <c r="CG199" s="333"/>
      <c r="CH199" s="333"/>
      <c r="CI199" s="333"/>
      <c r="CJ199" s="333"/>
      <c r="CK199" s="333"/>
      <c r="CL199" s="333"/>
      <c r="CM199" s="333"/>
      <c r="CN199" s="1617"/>
      <c r="CO199" s="1113">
        <f t="shared" ref="CO199:CU199" si="514">CO184/CN184-1</f>
        <v>1.0564635958395243</v>
      </c>
      <c r="CP199" s="1113">
        <f t="shared" si="514"/>
        <v>-9.1041864922421722E-2</v>
      </c>
      <c r="CQ199" s="1113">
        <f t="shared" si="514"/>
        <v>-9.0363857245181811E-2</v>
      </c>
      <c r="CR199" s="1113">
        <f t="shared" si="514"/>
        <v>2.4608020576412315E-2</v>
      </c>
      <c r="CS199" s="1113">
        <f t="shared" si="514"/>
        <v>-6.0364392848321846E-2</v>
      </c>
      <c r="CT199" s="1113">
        <f t="shared" si="514"/>
        <v>-0.16973989728607319</v>
      </c>
      <c r="CU199" s="1113">
        <f t="shared" si="514"/>
        <v>-2.9894923749598679E-2</v>
      </c>
      <c r="CV199" s="1613"/>
      <c r="CW199" s="1613"/>
      <c r="CX199" s="1613"/>
      <c r="CY199" s="1613"/>
      <c r="CZ199" s="1613"/>
      <c r="DA199" s="1613"/>
      <c r="DB199" s="1613"/>
      <c r="DC199" s="1613"/>
      <c r="DD199" s="1507"/>
      <c r="DE199" s="1552"/>
      <c r="DF199" s="333"/>
      <c r="DG199" s="349"/>
      <c r="DH199" s="333"/>
      <c r="DI199" s="333"/>
      <c r="DJ199" s="333"/>
      <c r="DK199" s="333"/>
      <c r="DL199" s="578"/>
      <c r="DM199" s="578"/>
      <c r="DN199" s="578"/>
      <c r="DO199" s="578"/>
      <c r="DP199" s="1617"/>
      <c r="DQ199" s="1617"/>
      <c r="DR199" s="1617"/>
      <c r="DS199" s="1622"/>
      <c r="DT199" s="158"/>
      <c r="DU199" s="158"/>
      <c r="DV199" s="158"/>
      <c r="DW199" s="1623"/>
      <c r="DX199" s="158"/>
      <c r="DY199" s="158"/>
      <c r="DZ199" s="1561"/>
    </row>
    <row r="200" spans="1:136" ht="11.25" hidden="1" customHeight="1" outlineLevel="1">
      <c r="A200" s="3"/>
      <c r="B200" s="208" t="s">
        <v>77</v>
      </c>
      <c r="C200" s="816"/>
      <c r="D200" s="211"/>
      <c r="E200" s="212"/>
      <c r="F200" s="201"/>
      <c r="G200" s="201"/>
      <c r="H200" s="201"/>
      <c r="I200" s="202"/>
      <c r="J200" s="207"/>
      <c r="K200" s="201"/>
      <c r="L200" s="201"/>
      <c r="M200" s="202"/>
      <c r="N200" s="207"/>
      <c r="O200" s="201"/>
      <c r="P200" s="201"/>
      <c r="Q200" s="202"/>
      <c r="R200" s="207"/>
      <c r="S200" s="201"/>
      <c r="T200" s="201"/>
      <c r="U200" s="202"/>
      <c r="V200" s="207"/>
      <c r="W200" s="201"/>
      <c r="X200" s="201"/>
      <c r="Y200" s="202"/>
      <c r="Z200" s="207"/>
      <c r="AA200" s="201"/>
      <c r="AB200" s="201"/>
      <c r="AC200" s="202"/>
      <c r="AD200" s="207"/>
      <c r="AE200" s="201"/>
      <c r="AF200" s="201"/>
      <c r="AG200" s="201"/>
      <c r="AH200" s="207"/>
      <c r="AI200" s="201"/>
      <c r="AJ200" s="201"/>
      <c r="AK200" s="202"/>
      <c r="AL200" s="207"/>
      <c r="AM200" s="201"/>
      <c r="AN200" s="201"/>
      <c r="AO200" s="202"/>
      <c r="AP200" s="207"/>
      <c r="AQ200" s="201"/>
      <c r="AR200" s="1613"/>
      <c r="AS200" s="1614"/>
      <c r="AT200" s="1625">
        <f>AT184/AS184-1</f>
        <v>4.3616177636796261E-2</v>
      </c>
      <c r="AU200" s="1625">
        <f>AU184/AT184-1</f>
        <v>1.7629179331307032E-2</v>
      </c>
      <c r="AV200" s="1625">
        <f>AV184/AU184-1</f>
        <v>-4.5400238948625993E-2</v>
      </c>
      <c r="AW200" s="1626">
        <f t="shared" ref="AW200:BW200" si="515">AW184/AV184-1</f>
        <v>3.6921151439299082E-2</v>
      </c>
      <c r="AX200" s="1625">
        <f t="shared" si="515"/>
        <v>6.6988533494266811E-2</v>
      </c>
      <c r="AY200" s="1625">
        <f t="shared" si="515"/>
        <v>-0.32798642533936651</v>
      </c>
      <c r="AZ200" s="1625">
        <f t="shared" si="515"/>
        <v>0.21944416388916954</v>
      </c>
      <c r="BA200" s="1626">
        <f t="shared" si="515"/>
        <v>8.3983239074408189E-2</v>
      </c>
      <c r="BB200" s="1625">
        <f t="shared" si="515"/>
        <v>-0.11440902040399514</v>
      </c>
      <c r="BC200" s="1625">
        <f t="shared" si="515"/>
        <v>-2.5097982203102109E-2</v>
      </c>
      <c r="BD200" s="1625">
        <f t="shared" si="515"/>
        <v>7.7885187934323419E-4</v>
      </c>
      <c r="BE200" s="1626">
        <f t="shared" si="515"/>
        <v>-1.8598533257724759E-2</v>
      </c>
      <c r="BF200" s="1625">
        <f t="shared" si="515"/>
        <v>5.0655924829127841E-2</v>
      </c>
      <c r="BG200" s="1625">
        <f t="shared" si="515"/>
        <v>1.6135946113517541E-2</v>
      </c>
      <c r="BH200" s="1625">
        <f t="shared" si="515"/>
        <v>-3.2650306333178669E-2</v>
      </c>
      <c r="BI200" s="1626">
        <f t="shared" si="515"/>
        <v>-1.7937254624951215E-3</v>
      </c>
      <c r="BJ200" s="1625">
        <f t="shared" si="515"/>
        <v>7.2246579202114303E-2</v>
      </c>
      <c r="BK200" s="1625">
        <f t="shared" si="515"/>
        <v>-4.3087408664894467E-2</v>
      </c>
      <c r="BL200" s="1625">
        <f t="shared" si="515"/>
        <v>-0.11650089328896662</v>
      </c>
      <c r="BM200" s="1626">
        <f t="shared" si="515"/>
        <v>-0.10988900772846977</v>
      </c>
      <c r="BN200" s="1625">
        <f t="shared" si="515"/>
        <v>7.6239250164153338E-2</v>
      </c>
      <c r="BO200" s="1625">
        <f t="shared" si="515"/>
        <v>-3.3479548657515235E-2</v>
      </c>
      <c r="BP200" s="1625">
        <f t="shared" si="515"/>
        <v>-0.12250382460897369</v>
      </c>
      <c r="BQ200" s="1626">
        <f t="shared" si="515"/>
        <v>-2.1834695029010698E-2</v>
      </c>
      <c r="BR200" s="1625">
        <f t="shared" si="515"/>
        <v>0.1452873399340997</v>
      </c>
      <c r="BS200" s="683">
        <f t="shared" si="515"/>
        <v>-1.2333635689873002E-2</v>
      </c>
      <c r="BT200" s="1625">
        <f t="shared" si="515"/>
        <v>-0.10200273805578519</v>
      </c>
      <c r="BU200" s="1626">
        <f t="shared" si="515"/>
        <v>-4.5840208846261499E-2</v>
      </c>
      <c r="BV200" s="1625">
        <f t="shared" si="515"/>
        <v>8.6077654160270578E-2</v>
      </c>
      <c r="BW200" s="1625">
        <f t="shared" si="515"/>
        <v>-3.432392401310691E-2</v>
      </c>
      <c r="BX200" s="201"/>
      <c r="BY200" s="202"/>
      <c r="BZ200" s="1625"/>
      <c r="CA200" s="1625"/>
      <c r="CB200" s="201"/>
      <c r="CC200" s="202"/>
      <c r="CD200" s="9"/>
      <c r="CE200" s="24"/>
      <c r="CF200" s="24"/>
      <c r="CG200" s="24"/>
      <c r="CH200" s="24"/>
      <c r="CI200" s="24"/>
      <c r="CJ200" s="24"/>
      <c r="CK200" s="24"/>
      <c r="CL200" s="24"/>
      <c r="CM200" s="24"/>
      <c r="CN200" s="24"/>
      <c r="CO200" s="24"/>
      <c r="CP200" s="24"/>
      <c r="CQ200" s="132"/>
      <c r="CR200" s="132"/>
      <c r="CS200" s="1627"/>
      <c r="CT200" s="1627"/>
      <c r="CU200" s="1627"/>
      <c r="CV200" s="201"/>
      <c r="CW200" s="201"/>
      <c r="CX200" s="201"/>
      <c r="CY200" s="201"/>
      <c r="CZ200" s="201"/>
      <c r="DA200" s="201"/>
      <c r="DB200" s="201"/>
      <c r="DC200" s="201"/>
      <c r="DD200" s="1517"/>
      <c r="DE200" s="1483"/>
      <c r="DF200" s="24"/>
      <c r="DG200" s="23"/>
      <c r="DH200" s="24"/>
      <c r="DI200" s="24"/>
      <c r="DJ200" s="24"/>
      <c r="DK200" s="24"/>
      <c r="DL200" s="141"/>
      <c r="DM200" s="141"/>
      <c r="DN200" s="141"/>
      <c r="DO200" s="141"/>
      <c r="DP200" s="24"/>
      <c r="DQ200" s="24"/>
      <c r="DR200" s="24"/>
      <c r="DS200" s="23"/>
      <c r="DT200" s="24"/>
      <c r="DU200" s="24"/>
      <c r="DV200" s="24"/>
      <c r="DW200" s="25"/>
      <c r="DX200" s="24"/>
      <c r="DY200" s="24"/>
      <c r="DZ200" s="1561"/>
    </row>
    <row r="201" spans="1:136" ht="11.25" hidden="1" customHeight="1" outlineLevel="1">
      <c r="A201" s="3"/>
      <c r="B201" s="224" t="s">
        <v>935</v>
      </c>
      <c r="C201" s="211"/>
      <c r="D201" s="211"/>
      <c r="E201" s="212"/>
      <c r="F201" s="201"/>
      <c r="G201" s="201"/>
      <c r="H201" s="201"/>
      <c r="I201" s="202"/>
      <c r="J201" s="207"/>
      <c r="K201" s="201"/>
      <c r="L201" s="201"/>
      <c r="M201" s="202"/>
      <c r="N201" s="207"/>
      <c r="O201" s="201"/>
      <c r="P201" s="201"/>
      <c r="Q201" s="202"/>
      <c r="R201" s="207"/>
      <c r="S201" s="201"/>
      <c r="T201" s="201"/>
      <c r="U201" s="365"/>
      <c r="V201" s="1211"/>
      <c r="W201" s="364"/>
      <c r="X201" s="364"/>
      <c r="Y201" s="365"/>
      <c r="Z201" s="1211"/>
      <c r="AA201" s="364"/>
      <c r="AB201" s="364"/>
      <c r="AC201" s="365"/>
      <c r="AD201" s="1211"/>
      <c r="AE201" s="364"/>
      <c r="AF201" s="364"/>
      <c r="AG201" s="364"/>
      <c r="AH201" s="1211"/>
      <c r="AI201" s="364"/>
      <c r="AJ201" s="364"/>
      <c r="AK201" s="365"/>
      <c r="AL201" s="1211"/>
      <c r="AM201" s="364"/>
      <c r="AN201" s="364"/>
      <c r="AO201" s="365"/>
      <c r="AP201" s="1211"/>
      <c r="AQ201" s="364"/>
      <c r="AR201" s="1613"/>
      <c r="AS201" s="1614"/>
      <c r="AT201" s="681">
        <v>49.562917933130699</v>
      </c>
      <c r="AU201" s="681">
        <v>50.027777777777779</v>
      </c>
      <c r="AV201" s="681">
        <v>49.829912390488111</v>
      </c>
      <c r="AW201" s="682">
        <v>49.219718844296921</v>
      </c>
      <c r="AX201" s="681">
        <v>50.171146013857474</v>
      </c>
      <c r="AY201" s="681">
        <v>68.385645199399036</v>
      </c>
      <c r="AZ201" s="681">
        <v>71.10608206976319</v>
      </c>
      <c r="BA201" s="682">
        <v>65.719523010288029</v>
      </c>
      <c r="BB201" s="681">
        <v>62.394443411043092</v>
      </c>
      <c r="BC201" s="681">
        <v>61.733629896289578</v>
      </c>
      <c r="BD201" s="681">
        <v>60.680334314532352</v>
      </c>
      <c r="BE201" s="682">
        <v>60.363721653714293</v>
      </c>
      <c r="BF201" s="681">
        <v>59.327520657113595</v>
      </c>
      <c r="BG201" s="1377">
        <v>59.36300498295283</v>
      </c>
      <c r="BH201" s="681">
        <v>59.189864637064666</v>
      </c>
      <c r="BI201" s="682">
        <v>58.2530734737012</v>
      </c>
      <c r="BJ201" s="681">
        <v>58.80642131894956</v>
      </c>
      <c r="BK201" s="681">
        <v>59.61374694138577</v>
      </c>
      <c r="BL201" s="681">
        <v>60.535618154187851</v>
      </c>
      <c r="BM201" s="682">
        <v>59.696137194078062</v>
      </c>
      <c r="BN201" s="681">
        <v>57.487281664745637</v>
      </c>
      <c r="BO201" s="681">
        <v>57.690909163169174</v>
      </c>
      <c r="BP201" s="681">
        <v>57.928846243928909</v>
      </c>
      <c r="BQ201" s="682">
        <v>60.330168296358742</v>
      </c>
      <c r="BR201" s="681">
        <v>58.982168843435439</v>
      </c>
      <c r="BS201" s="681">
        <v>59.686318518340052</v>
      </c>
      <c r="BT201" s="681">
        <v>60.363529903644171</v>
      </c>
      <c r="BU201" s="682">
        <v>60.274508784636659</v>
      </c>
      <c r="BV201" s="681">
        <v>60.414691949041035</v>
      </c>
      <c r="BW201" s="681">
        <v>61.362417548449066</v>
      </c>
      <c r="BX201" s="681"/>
      <c r="BY201" s="682"/>
      <c r="BZ201" s="681"/>
      <c r="CA201" s="681"/>
      <c r="CB201" s="681"/>
      <c r="CC201" s="682"/>
      <c r="CD201" s="338"/>
      <c r="CE201" s="333"/>
      <c r="CF201" s="333"/>
      <c r="CG201" s="333"/>
      <c r="CH201" s="333"/>
      <c r="CI201" s="333"/>
      <c r="CJ201" s="333"/>
      <c r="CK201" s="333"/>
      <c r="CL201" s="333"/>
      <c r="CM201" s="333"/>
      <c r="CN201" s="1617"/>
      <c r="CO201" s="1617"/>
      <c r="CP201" s="1617"/>
      <c r="CQ201" s="1617"/>
      <c r="CR201" s="1617"/>
      <c r="CS201" s="1613"/>
      <c r="CT201" s="1613"/>
      <c r="CU201" s="1613"/>
      <c r="CV201" s="1613"/>
      <c r="CW201" s="1613"/>
      <c r="CX201" s="1613"/>
      <c r="CY201" s="1613"/>
      <c r="CZ201" s="1613"/>
      <c r="DA201" s="1613"/>
      <c r="DB201" s="1613"/>
      <c r="DC201" s="1613"/>
      <c r="DD201" s="1507"/>
      <c r="DE201" s="1552"/>
      <c r="DF201" s="333"/>
      <c r="DG201" s="349"/>
      <c r="DH201" s="333"/>
      <c r="DI201" s="333"/>
      <c r="DJ201" s="333"/>
      <c r="DK201" s="333"/>
      <c r="DL201" s="578"/>
      <c r="DM201" s="578"/>
      <c r="DN201" s="578"/>
      <c r="DO201" s="578"/>
      <c r="DP201" s="1617"/>
      <c r="DQ201" s="1617"/>
      <c r="DR201" s="1617"/>
      <c r="DS201" s="1622"/>
      <c r="DT201" s="158"/>
      <c r="DU201" s="158"/>
      <c r="DV201" s="158"/>
      <c r="DW201" s="1623"/>
      <c r="DX201" s="158"/>
      <c r="DY201" s="158"/>
      <c r="DZ201" s="1561"/>
    </row>
    <row r="202" spans="1:136" ht="11.25" hidden="1" customHeight="1" outlineLevel="1">
      <c r="A202" s="3"/>
      <c r="B202" s="208" t="s">
        <v>76</v>
      </c>
      <c r="C202" s="816"/>
      <c r="D202" s="211"/>
      <c r="E202" s="212"/>
      <c r="F202" s="201"/>
      <c r="G202" s="201"/>
      <c r="H202" s="201"/>
      <c r="I202" s="202"/>
      <c r="J202" s="207"/>
      <c r="K202" s="201"/>
      <c r="L202" s="201"/>
      <c r="M202" s="202"/>
      <c r="N202" s="207"/>
      <c r="O202" s="201"/>
      <c r="P202" s="201"/>
      <c r="Q202" s="202"/>
      <c r="R202" s="207"/>
      <c r="S202" s="201"/>
      <c r="T202" s="201"/>
      <c r="U202" s="365"/>
      <c r="V202" s="1211"/>
      <c r="W202" s="364"/>
      <c r="X202" s="364"/>
      <c r="Y202" s="365"/>
      <c r="Z202" s="1211"/>
      <c r="AA202" s="364"/>
      <c r="AB202" s="364"/>
      <c r="AC202" s="365"/>
      <c r="AD202" s="1211"/>
      <c r="AE202" s="364"/>
      <c r="AF202" s="364"/>
      <c r="AG202" s="364"/>
      <c r="AH202" s="1211"/>
      <c r="AI202" s="364"/>
      <c r="AJ202" s="364"/>
      <c r="AK202" s="365"/>
      <c r="AL202" s="1211"/>
      <c r="AM202" s="364"/>
      <c r="AN202" s="364"/>
      <c r="AO202" s="365"/>
      <c r="AP202" s="1211"/>
      <c r="AQ202" s="364"/>
      <c r="AR202" s="1613"/>
      <c r="AS202" s="1614"/>
      <c r="AT202" s="1625"/>
      <c r="AU202" s="1625"/>
      <c r="AV202" s="1625">
        <f t="shared" ref="AV202:BW202" si="516">AV187/AR187-1</f>
        <v>0.15500000000000003</v>
      </c>
      <c r="AW202" s="1626">
        <f t="shared" si="516"/>
        <v>0.31372549019607843</v>
      </c>
      <c r="AX202" s="1625">
        <f t="shared" si="516"/>
        <v>0.14999999999999991</v>
      </c>
      <c r="AY202" s="1625">
        <f t="shared" si="516"/>
        <v>2.7264573991031327E-2</v>
      </c>
      <c r="AZ202" s="1625">
        <f t="shared" si="516"/>
        <v>0.38836363636363624</v>
      </c>
      <c r="BA202" s="1626">
        <f t="shared" si="516"/>
        <v>0.31635522388059711</v>
      </c>
      <c r="BB202" s="1625">
        <f t="shared" si="516"/>
        <v>-6.6914000000000029E-2</v>
      </c>
      <c r="BC202" s="1625">
        <f t="shared" si="516"/>
        <v>0.28158800000000017</v>
      </c>
      <c r="BD202" s="1625">
        <f t="shared" si="516"/>
        <v>2.5270400000000359E-2</v>
      </c>
      <c r="BE202" s="1626">
        <f t="shared" si="516"/>
        <v>5.0436128000000302E-2</v>
      </c>
      <c r="BF202" s="1625">
        <f t="shared" si="516"/>
        <v>0.35434312832000026</v>
      </c>
      <c r="BG202" s="1625">
        <f t="shared" si="516"/>
        <v>0.21178069376000019</v>
      </c>
      <c r="BH202" s="1625">
        <f t="shared" si="516"/>
        <v>8.1947047999999967E-2</v>
      </c>
      <c r="BI202" s="1626">
        <f t="shared" si="516"/>
        <v>-3.9975999999999901E-2</v>
      </c>
      <c r="BJ202" s="1625">
        <f t="shared" si="516"/>
        <v>0.17300000000000004</v>
      </c>
      <c r="BK202" s="1625">
        <f t="shared" si="516"/>
        <v>0.19599999999999995</v>
      </c>
      <c r="BL202" s="1625">
        <f t="shared" si="516"/>
        <v>0.10031999999999996</v>
      </c>
      <c r="BM202" s="1626">
        <f t="shared" si="516"/>
        <v>1.1194079999999884E-2</v>
      </c>
      <c r="BN202" s="1625">
        <f t="shared" si="516"/>
        <v>-0.12509729599999997</v>
      </c>
      <c r="BO202" s="1625">
        <f t="shared" si="516"/>
        <v>-9.1447191999999955E-2</v>
      </c>
      <c r="BP202" s="1625">
        <f t="shared" si="516"/>
        <v>-2.7255961000000051E-2</v>
      </c>
      <c r="BQ202" s="1626">
        <f t="shared" si="516"/>
        <v>0.15374429000000012</v>
      </c>
      <c r="BR202" s="1625">
        <f t="shared" si="516"/>
        <v>0.22911452000000021</v>
      </c>
      <c r="BS202" s="683">
        <f t="shared" si="516"/>
        <v>2.9952445000000161E-2</v>
      </c>
      <c r="BT202" s="1625">
        <f t="shared" si="516"/>
        <v>-2.755758999999991E-2</v>
      </c>
      <c r="BU202" s="1626">
        <f t="shared" si="516"/>
        <v>-0.10785099999999992</v>
      </c>
      <c r="BV202" s="1625">
        <f t="shared" si="516"/>
        <v>-0.11626749999999986</v>
      </c>
      <c r="BW202" s="1625">
        <f t="shared" si="516"/>
        <v>-4.3030000000000013E-2</v>
      </c>
      <c r="BX202" s="364"/>
      <c r="BY202" s="365"/>
      <c r="BZ202" s="1625"/>
      <c r="CA202" s="1625"/>
      <c r="CB202" s="364"/>
      <c r="CC202" s="365"/>
      <c r="CD202" s="338"/>
      <c r="CE202" s="333"/>
      <c r="CF202" s="333"/>
      <c r="CG202" s="333"/>
      <c r="CH202" s="333"/>
      <c r="CI202" s="333"/>
      <c r="CJ202" s="333"/>
      <c r="CK202" s="333"/>
      <c r="CL202" s="333"/>
      <c r="CM202" s="333"/>
      <c r="CN202" s="1617"/>
      <c r="CO202" s="1617"/>
      <c r="CP202" s="1617"/>
      <c r="CQ202" s="1617"/>
      <c r="CR202" s="1617"/>
      <c r="CS202" s="1613"/>
      <c r="CT202" s="1613"/>
      <c r="CU202" s="1613"/>
      <c r="CV202" s="1613"/>
      <c r="CW202" s="1613"/>
      <c r="CX202" s="1613"/>
      <c r="CY202" s="1613"/>
      <c r="CZ202" s="1613"/>
      <c r="DA202" s="1613"/>
      <c r="DB202" s="1613"/>
      <c r="DC202" s="1613"/>
      <c r="DD202" s="1507"/>
      <c r="DE202" s="1552"/>
      <c r="DF202" s="333"/>
      <c r="DG202" s="349"/>
      <c r="DH202" s="333"/>
      <c r="DI202" s="333"/>
      <c r="DJ202" s="333"/>
      <c r="DK202" s="333"/>
      <c r="DL202" s="578"/>
      <c r="DM202" s="578"/>
      <c r="DN202" s="578"/>
      <c r="DO202" s="578"/>
      <c r="DP202" s="1617"/>
      <c r="DQ202" s="1617"/>
      <c r="DR202" s="1617"/>
      <c r="DS202" s="1622"/>
      <c r="DT202" s="158"/>
      <c r="DU202" s="158"/>
      <c r="DV202" s="158"/>
      <c r="DW202" s="1623"/>
      <c r="DX202" s="158"/>
      <c r="DY202" s="158"/>
      <c r="DZ202" s="1561"/>
    </row>
    <row r="203" spans="1:136" ht="11.25" hidden="1" customHeight="1" outlineLevel="1">
      <c r="A203" s="3"/>
      <c r="B203" s="208" t="s">
        <v>77</v>
      </c>
      <c r="C203" s="816"/>
      <c r="D203" s="211"/>
      <c r="E203" s="212"/>
      <c r="F203" s="201"/>
      <c r="G203" s="201"/>
      <c r="H203" s="201"/>
      <c r="I203" s="202"/>
      <c r="J203" s="207"/>
      <c r="K203" s="201"/>
      <c r="L203" s="201"/>
      <c r="M203" s="202"/>
      <c r="N203" s="207"/>
      <c r="O203" s="201"/>
      <c r="P203" s="201"/>
      <c r="Q203" s="202"/>
      <c r="R203" s="207"/>
      <c r="S203" s="201"/>
      <c r="T203" s="201"/>
      <c r="U203" s="365"/>
      <c r="V203" s="1211"/>
      <c r="W203" s="364"/>
      <c r="X203" s="364"/>
      <c r="Y203" s="365"/>
      <c r="Z203" s="1211"/>
      <c r="AA203" s="364"/>
      <c r="AB203" s="364"/>
      <c r="AC203" s="365"/>
      <c r="AD203" s="1211"/>
      <c r="AE203" s="364"/>
      <c r="AF203" s="364"/>
      <c r="AG203" s="364"/>
      <c r="AH203" s="1211"/>
      <c r="AI203" s="364"/>
      <c r="AJ203" s="364"/>
      <c r="AK203" s="365"/>
      <c r="AL203" s="1211"/>
      <c r="AM203" s="364"/>
      <c r="AN203" s="364"/>
      <c r="AO203" s="365"/>
      <c r="AP203" s="1211"/>
      <c r="AQ203" s="364"/>
      <c r="AR203" s="1613"/>
      <c r="AS203" s="1614"/>
      <c r="AT203" s="1625">
        <f>AT187/AS187-1</f>
        <v>0.17647058823529416</v>
      </c>
      <c r="AU203" s="1625">
        <f>AU187/AT187-1</f>
        <v>-7.0833333333333304E-2</v>
      </c>
      <c r="AV203" s="1625">
        <f>AV187/AU187-1</f>
        <v>3.5874439461883512E-2</v>
      </c>
      <c r="AW203" s="1626">
        <f t="shared" ref="AW203:BW203" si="517">AW187/AV187-1</f>
        <v>0.16017316017316019</v>
      </c>
      <c r="AX203" s="1625">
        <f t="shared" si="517"/>
        <v>2.9850746268656803E-2</v>
      </c>
      <c r="AY203" s="1625">
        <f t="shared" si="517"/>
        <v>-0.17000000000000004</v>
      </c>
      <c r="AZ203" s="1625">
        <f t="shared" si="517"/>
        <v>0.39999999999999991</v>
      </c>
      <c r="BA203" s="1626">
        <f t="shared" si="517"/>
        <v>0.10000000000000009</v>
      </c>
      <c r="BB203" s="1625">
        <f t="shared" si="517"/>
        <v>-0.27</v>
      </c>
      <c r="BC203" s="1625">
        <f t="shared" si="517"/>
        <v>0.14000000000000012</v>
      </c>
      <c r="BD203" s="1625">
        <f t="shared" si="517"/>
        <v>0.12000000000000011</v>
      </c>
      <c r="BE203" s="1626">
        <f t="shared" si="517"/>
        <v>0.127</v>
      </c>
      <c r="BF203" s="1625">
        <f t="shared" si="517"/>
        <v>-5.8799999999999963E-2</v>
      </c>
      <c r="BG203" s="1625">
        <f t="shared" si="517"/>
        <v>2.0000000000000018E-2</v>
      </c>
      <c r="BH203" s="1625">
        <f t="shared" si="517"/>
        <v>0</v>
      </c>
      <c r="BI203" s="1626">
        <f t="shared" si="517"/>
        <v>0</v>
      </c>
      <c r="BJ203" s="1625">
        <f t="shared" si="517"/>
        <v>0.14999999999999991</v>
      </c>
      <c r="BK203" s="1625">
        <f t="shared" si="517"/>
        <v>4.0000000000000036E-2</v>
      </c>
      <c r="BL203" s="1625">
        <f t="shared" si="517"/>
        <v>-7.9999999999999849E-2</v>
      </c>
      <c r="BM203" s="1626">
        <f t="shared" si="517"/>
        <v>-8.1000000000000072E-2</v>
      </c>
      <c r="BN203" s="1625">
        <f t="shared" si="517"/>
        <v>-5.0000000000001155E-3</v>
      </c>
      <c r="BO203" s="1625">
        <f t="shared" si="517"/>
        <v>8.0000000000000071E-2</v>
      </c>
      <c r="BP203" s="1625">
        <f t="shared" si="517"/>
        <v>-1.5000000000000013E-2</v>
      </c>
      <c r="BQ203" s="1626">
        <f t="shared" si="517"/>
        <v>9.000000000000008E-2</v>
      </c>
      <c r="BR203" s="1625">
        <f t="shared" si="517"/>
        <v>6.0000000000000053E-2</v>
      </c>
      <c r="BS203" s="683">
        <f t="shared" si="517"/>
        <v>-9.4999999999999862E-2</v>
      </c>
      <c r="BT203" s="1625">
        <f t="shared" si="517"/>
        <v>-7.0000000000000062E-2</v>
      </c>
      <c r="BU203" s="1626">
        <f t="shared" si="517"/>
        <v>0</v>
      </c>
      <c r="BV203" s="1625">
        <f t="shared" si="517"/>
        <v>5.0000000000000044E-2</v>
      </c>
      <c r="BW203" s="1625">
        <f t="shared" si="517"/>
        <v>-2.0000000000000018E-2</v>
      </c>
      <c r="BX203" s="364"/>
      <c r="BY203" s="365"/>
      <c r="BZ203" s="1625"/>
      <c r="CA203" s="1625"/>
      <c r="CB203" s="364"/>
      <c r="CC203" s="365"/>
      <c r="CD203" s="338"/>
      <c r="CE203" s="333"/>
      <c r="CF203" s="333"/>
      <c r="CG203" s="333"/>
      <c r="CH203" s="333"/>
      <c r="CI203" s="333"/>
      <c r="CJ203" s="333"/>
      <c r="CK203" s="333"/>
      <c r="CL203" s="333"/>
      <c r="CM203" s="333"/>
      <c r="CN203" s="1617"/>
      <c r="CO203" s="1617"/>
      <c r="CP203" s="1617"/>
      <c r="CQ203" s="1617"/>
      <c r="CR203" s="1617"/>
      <c r="CS203" s="1613"/>
      <c r="CT203" s="1613"/>
      <c r="CU203" s="1613"/>
      <c r="CV203" s="1613"/>
      <c r="CW203" s="1613"/>
      <c r="CX203" s="1613"/>
      <c r="CY203" s="1613"/>
      <c r="CZ203" s="1613"/>
      <c r="DA203" s="1613"/>
      <c r="DB203" s="1613"/>
      <c r="DC203" s="1613"/>
      <c r="DD203" s="1507"/>
      <c r="DE203" s="1552"/>
      <c r="DF203" s="333"/>
      <c r="DG203" s="349"/>
      <c r="DH203" s="333"/>
      <c r="DI203" s="333"/>
      <c r="DJ203" s="333"/>
      <c r="DK203" s="333"/>
      <c r="DL203" s="578"/>
      <c r="DM203" s="578"/>
      <c r="DN203" s="578"/>
      <c r="DO203" s="578"/>
      <c r="DP203" s="1617"/>
      <c r="DQ203" s="1617"/>
      <c r="DR203" s="1617"/>
      <c r="DS203" s="1622"/>
      <c r="DT203" s="158"/>
      <c r="DU203" s="158"/>
      <c r="DV203" s="158"/>
      <c r="DW203" s="1623"/>
      <c r="DX203" s="158"/>
      <c r="DY203" s="158"/>
      <c r="DZ203" s="1561"/>
    </row>
    <row r="204" spans="1:136" ht="11.25" hidden="1" customHeight="1" outlineLevel="1">
      <c r="A204" s="3"/>
      <c r="B204" s="502"/>
      <c r="C204" s="1231"/>
      <c r="D204" s="1231"/>
      <c r="E204" s="741"/>
      <c r="F204" s="201"/>
      <c r="G204" s="201"/>
      <c r="H204" s="201"/>
      <c r="I204" s="202"/>
      <c r="J204" s="207"/>
      <c r="K204" s="201"/>
      <c r="L204" s="201"/>
      <c r="M204" s="202"/>
      <c r="N204" s="207"/>
      <c r="O204" s="201"/>
      <c r="P204" s="201"/>
      <c r="Q204" s="202"/>
      <c r="R204" s="207"/>
      <c r="S204" s="201"/>
      <c r="T204" s="201"/>
      <c r="U204" s="202"/>
      <c r="V204" s="207"/>
      <c r="W204" s="201"/>
      <c r="X204" s="201"/>
      <c r="Y204" s="202"/>
      <c r="Z204" s="207"/>
      <c r="AA204" s="201"/>
      <c r="AB204" s="201"/>
      <c r="AC204" s="202"/>
      <c r="AD204" s="207"/>
      <c r="AE204" s="201"/>
      <c r="AF204" s="201"/>
      <c r="AG204" s="201"/>
      <c r="AH204" s="207"/>
      <c r="AI204" s="201"/>
      <c r="AJ204" s="201"/>
      <c r="AK204" s="202"/>
      <c r="AL204" s="207"/>
      <c r="AM204" s="201"/>
      <c r="AN204" s="201"/>
      <c r="AO204" s="202"/>
      <c r="AP204" s="207"/>
      <c r="AQ204" s="201"/>
      <c r="AR204" s="1613"/>
      <c r="AS204" s="1614"/>
      <c r="AT204" s="1615"/>
      <c r="AU204" s="1613"/>
      <c r="AV204" s="1613"/>
      <c r="AW204" s="1614"/>
      <c r="AX204" s="1615"/>
      <c r="AY204" s="1613"/>
      <c r="AZ204" s="1613"/>
      <c r="BA204" s="1614"/>
      <c r="BB204" s="1615"/>
      <c r="BC204" s="1613"/>
      <c r="BD204" s="1613"/>
      <c r="BE204" s="1614"/>
      <c r="BF204" s="1613"/>
      <c r="BG204" s="1613"/>
      <c r="BH204" s="1613"/>
      <c r="BI204" s="1614"/>
      <c r="BJ204" s="1613"/>
      <c r="BK204" s="1613"/>
      <c r="BL204" s="1613"/>
      <c r="BM204" s="1614"/>
      <c r="BN204" s="1613"/>
      <c r="BO204" s="1613"/>
      <c r="BP204" s="1613"/>
      <c r="BQ204" s="1614"/>
      <c r="BR204" s="1613"/>
      <c r="BS204" s="1613"/>
      <c r="BT204" s="1613"/>
      <c r="BU204" s="1614"/>
      <c r="BV204" s="1613"/>
      <c r="BW204" s="1613"/>
      <c r="BX204" s="201"/>
      <c r="BY204" s="202"/>
      <c r="BZ204" s="1613"/>
      <c r="CA204" s="1613"/>
      <c r="CB204" s="201"/>
      <c r="CC204" s="202"/>
      <c r="CD204" s="9"/>
      <c r="CE204" s="24"/>
      <c r="CF204" s="24"/>
      <c r="CG204" s="24"/>
      <c r="CH204" s="24"/>
      <c r="CI204" s="24"/>
      <c r="CJ204" s="24"/>
      <c r="CK204" s="24"/>
      <c r="CL204" s="24"/>
      <c r="CM204" s="24"/>
      <c r="CN204" s="24"/>
      <c r="CO204" s="24"/>
      <c r="CP204" s="24"/>
      <c r="CQ204" s="24"/>
      <c r="CR204" s="24"/>
      <c r="CS204" s="201"/>
      <c r="CT204" s="201"/>
      <c r="CU204" s="201"/>
      <c r="CV204" s="201"/>
      <c r="CW204" s="201"/>
      <c r="CX204" s="201"/>
      <c r="CY204" s="201"/>
      <c r="CZ204" s="201"/>
      <c r="DA204" s="201"/>
      <c r="DB204" s="201"/>
      <c r="DC204" s="201"/>
      <c r="DD204" s="1517"/>
      <c r="DE204" s="1483"/>
      <c r="DF204" s="24"/>
      <c r="DG204" s="23"/>
      <c r="DH204" s="24"/>
      <c r="DI204" s="24"/>
      <c r="DJ204" s="24"/>
      <c r="DK204" s="24"/>
      <c r="DL204" s="141"/>
      <c r="DM204" s="141"/>
      <c r="DN204" s="141"/>
      <c r="DO204" s="141"/>
      <c r="DP204" s="24"/>
      <c r="DQ204" s="24"/>
      <c r="DR204" s="24"/>
      <c r="DS204" s="23"/>
      <c r="DT204" s="24"/>
      <c r="DU204" s="24"/>
      <c r="DV204" s="24"/>
      <c r="DW204" s="25"/>
      <c r="DX204" s="24"/>
      <c r="DY204" s="24"/>
      <c r="DZ204" s="1561"/>
    </row>
    <row r="205" spans="1:136" s="1464" customFormat="1" ht="11.25" hidden="1" customHeight="1" outlineLevel="1">
      <c r="A205" s="238"/>
      <c r="B205" s="1460" t="s">
        <v>932</v>
      </c>
      <c r="C205" s="984"/>
      <c r="D205" s="984"/>
      <c r="E205" s="1461"/>
      <c r="F205" s="984"/>
      <c r="G205" s="984"/>
      <c r="H205" s="984"/>
      <c r="I205" s="744"/>
      <c r="J205" s="983"/>
      <c r="K205" s="984"/>
      <c r="L205" s="984"/>
      <c r="M205" s="744"/>
      <c r="N205" s="983"/>
      <c r="O205" s="984"/>
      <c r="P205" s="984"/>
      <c r="Q205" s="744"/>
      <c r="R205" s="983"/>
      <c r="S205" s="984"/>
      <c r="T205" s="984"/>
      <c r="U205" s="744"/>
      <c r="V205" s="983"/>
      <c r="W205" s="984"/>
      <c r="X205" s="984"/>
      <c r="Y205" s="744"/>
      <c r="Z205" s="983"/>
      <c r="AA205" s="984"/>
      <c r="AB205" s="984"/>
      <c r="AC205" s="744"/>
      <c r="AD205" s="983"/>
      <c r="AE205" s="984"/>
      <c r="AF205" s="984"/>
      <c r="AG205" s="984"/>
      <c r="AH205" s="983"/>
      <c r="AI205" s="984"/>
      <c r="AJ205" s="984"/>
      <c r="AK205" s="744"/>
      <c r="AL205" s="983"/>
      <c r="AM205" s="984"/>
      <c r="AN205" s="984"/>
      <c r="AO205" s="744"/>
      <c r="AP205" s="983"/>
      <c r="AQ205" s="984"/>
      <c r="AR205" s="1027">
        <f t="shared" ref="AR205:BA205" si="518">AR395/AR173</f>
        <v>0.29441264498932695</v>
      </c>
      <c r="AS205" s="1029">
        <f t="shared" si="518"/>
        <v>0.28794076202750996</v>
      </c>
      <c r="AT205" s="1030">
        <f t="shared" si="518"/>
        <v>0.28599198709693247</v>
      </c>
      <c r="AU205" s="1027">
        <f t="shared" si="518"/>
        <v>0.29324747899912235</v>
      </c>
      <c r="AV205" s="1027">
        <f t="shared" si="518"/>
        <v>0.28146689611846049</v>
      </c>
      <c r="AW205" s="1029">
        <f t="shared" si="518"/>
        <v>0.29049343877961237</v>
      </c>
      <c r="AX205" s="1030">
        <f t="shared" si="518"/>
        <v>0.30000698350791521</v>
      </c>
      <c r="AY205" s="1027">
        <f t="shared" si="518"/>
        <v>0.24179160125532403</v>
      </c>
      <c r="AZ205" s="1027">
        <f t="shared" si="518"/>
        <v>0.29198069891398987</v>
      </c>
      <c r="BA205" s="1029">
        <f t="shared" si="518"/>
        <v>0.44740109670101097</v>
      </c>
      <c r="BB205" s="1030">
        <f t="shared" ref="BB205:BS205" si="519">BB363/BB173</f>
        <v>0.44356419002112996</v>
      </c>
      <c r="BC205" s="1027">
        <f t="shared" si="519"/>
        <v>0.43832512568822007</v>
      </c>
      <c r="BD205" s="1027">
        <f t="shared" si="519"/>
        <v>0.44258799327887527</v>
      </c>
      <c r="BE205" s="1029">
        <f t="shared" si="519"/>
        <v>0.44752863701859191</v>
      </c>
      <c r="BF205" s="1027">
        <f t="shared" si="519"/>
        <v>0.43573817418296751</v>
      </c>
      <c r="BG205" s="1027">
        <f t="shared" si="519"/>
        <v>0.4494540156726296</v>
      </c>
      <c r="BH205" s="1027">
        <f t="shared" si="519"/>
        <v>0.43378784085241878</v>
      </c>
      <c r="BI205" s="1029">
        <f t="shared" si="519"/>
        <v>0.43798099368671267</v>
      </c>
      <c r="BJ205" s="1027">
        <f t="shared" si="519"/>
        <v>0.43060275542277671</v>
      </c>
      <c r="BK205" s="1027">
        <f t="shared" si="519"/>
        <v>0.43396997641267276</v>
      </c>
      <c r="BL205" s="1027">
        <f t="shared" si="519"/>
        <v>0.43874302242405905</v>
      </c>
      <c r="BM205" s="1029">
        <f t="shared" si="519"/>
        <v>0.44227895792173266</v>
      </c>
      <c r="BN205" s="1027">
        <f t="shared" si="519"/>
        <v>0.44899590532145017</v>
      </c>
      <c r="BO205" s="1027">
        <f t="shared" si="519"/>
        <v>0.45343791770487007</v>
      </c>
      <c r="BP205" s="1027">
        <f t="shared" si="519"/>
        <v>0.44242550700294031</v>
      </c>
      <c r="BQ205" s="1029">
        <f t="shared" si="519"/>
        <v>0.42458506428107812</v>
      </c>
      <c r="BR205" s="1027">
        <f t="shared" si="519"/>
        <v>0.43675678816855779</v>
      </c>
      <c r="BS205" s="1027">
        <f t="shared" si="519"/>
        <v>0.41854225528915517</v>
      </c>
      <c r="BT205" s="1027"/>
      <c r="BU205" s="1029"/>
      <c r="BV205" s="1027"/>
      <c r="BW205" s="1027"/>
      <c r="BX205" s="1491"/>
      <c r="BY205" s="1495"/>
      <c r="BZ205" s="1027"/>
      <c r="CA205" s="1027"/>
      <c r="CB205" s="1491"/>
      <c r="CC205" s="1495"/>
      <c r="CD205" s="239"/>
      <c r="CE205" s="1179"/>
      <c r="CF205" s="1179"/>
      <c r="CG205" s="1179"/>
      <c r="CH205" s="1179"/>
      <c r="CI205" s="1179"/>
      <c r="CJ205" s="1179"/>
      <c r="CK205" s="1179"/>
      <c r="CL205" s="1179"/>
      <c r="CM205" s="1179"/>
      <c r="CN205" s="1027"/>
      <c r="CO205" s="1027">
        <f>CO395/CO173</f>
        <v>0.287874046799868</v>
      </c>
      <c r="CP205" s="1027">
        <f>CP395/CP173</f>
        <v>0.32567561895671232</v>
      </c>
      <c r="CQ205" s="1027">
        <f>CQ363/CQ173</f>
        <v>0.44296330232281439</v>
      </c>
      <c r="CR205" s="1027">
        <f>CR363/CR173</f>
        <v>0.43932165887270241</v>
      </c>
      <c r="CS205" s="1027">
        <f>CS363/CS173</f>
        <v>0.43594932078784038</v>
      </c>
      <c r="CT205" s="1027">
        <f>CT363/CT173</f>
        <v>0.44292268265589518</v>
      </c>
      <c r="CU205" s="1027">
        <f>CU363/CU173</f>
        <v>0.22760883977566929</v>
      </c>
      <c r="CV205" s="1027"/>
      <c r="CW205" s="1027"/>
      <c r="CX205" s="1027"/>
      <c r="CY205" s="1027"/>
      <c r="CZ205" s="1027"/>
      <c r="DA205" s="1027"/>
      <c r="DB205" s="1027"/>
      <c r="DC205" s="1027"/>
      <c r="DD205" s="1524"/>
      <c r="DE205" s="1563"/>
      <c r="DF205" s="1179"/>
      <c r="DG205" s="1463"/>
      <c r="DH205" s="1179"/>
      <c r="DI205" s="1179"/>
      <c r="DJ205" s="1179"/>
      <c r="DK205" s="1179"/>
      <c r="DL205" s="1462"/>
      <c r="DM205" s="1462"/>
      <c r="DN205" s="1462"/>
      <c r="DO205" s="1462"/>
      <c r="DP205" s="1027">
        <f t="shared" ref="DP205:DW205" si="520">DP395/DP173</f>
        <v>0.29050440753273565</v>
      </c>
      <c r="DQ205" s="1027">
        <f t="shared" si="520"/>
        <v>0.27892143454686985</v>
      </c>
      <c r="DR205" s="1027">
        <f t="shared" si="520"/>
        <v>0.40275332718451273</v>
      </c>
      <c r="DS205" s="1030">
        <f t="shared" si="520"/>
        <v>0.44467039198996355</v>
      </c>
      <c r="DT205" s="1027">
        <f t="shared" si="520"/>
        <v>0.43549473426418633</v>
      </c>
      <c r="DU205" s="1027">
        <f t="shared" si="520"/>
        <v>0.44549027206497543</v>
      </c>
      <c r="DV205" s="1027">
        <f t="shared" si="520"/>
        <v>0.31914950699721428</v>
      </c>
      <c r="DW205" s="1029">
        <f t="shared" si="520"/>
        <v>0</v>
      </c>
      <c r="DX205" s="1027"/>
      <c r="DY205" s="1027"/>
      <c r="DZ205" s="1683"/>
      <c r="EA205"/>
      <c r="EB205"/>
      <c r="EC205"/>
      <c r="ED205"/>
      <c r="EE205"/>
      <c r="EF205"/>
    </row>
    <row r="206" spans="1:136" s="1464" customFormat="1" ht="11.25" hidden="1" customHeight="1" outlineLevel="1">
      <c r="A206" s="238"/>
      <c r="B206" s="1465"/>
      <c r="C206" s="1466" t="s">
        <v>575</v>
      </c>
      <c r="D206" s="1466"/>
      <c r="E206" s="1467"/>
      <c r="F206" s="984"/>
      <c r="G206" s="984"/>
      <c r="H206" s="984"/>
      <c r="I206" s="744"/>
      <c r="J206" s="983"/>
      <c r="K206" s="984"/>
      <c r="L206" s="984"/>
      <c r="M206" s="744"/>
      <c r="N206" s="983"/>
      <c r="O206" s="984"/>
      <c r="P206" s="984"/>
      <c r="Q206" s="744"/>
      <c r="R206" s="983"/>
      <c r="S206" s="984"/>
      <c r="T206" s="984"/>
      <c r="U206" s="744"/>
      <c r="V206" s="983"/>
      <c r="W206" s="984"/>
      <c r="X206" s="984"/>
      <c r="Y206" s="744"/>
      <c r="Z206" s="983"/>
      <c r="AA206" s="984"/>
      <c r="AB206" s="984"/>
      <c r="AC206" s="744"/>
      <c r="AD206" s="983"/>
      <c r="AE206" s="984"/>
      <c r="AF206" s="984"/>
      <c r="AG206" s="984"/>
      <c r="AH206" s="983"/>
      <c r="AI206" s="984"/>
      <c r="AJ206" s="984"/>
      <c r="AK206" s="744"/>
      <c r="AL206" s="983"/>
      <c r="AM206" s="984"/>
      <c r="AN206" s="984"/>
      <c r="AO206" s="744"/>
      <c r="AP206" s="983"/>
      <c r="AQ206" s="984"/>
      <c r="AR206" s="1027">
        <f t="shared" ref="AR206:BA206" si="521">AR406/AR174</f>
        <v>0.14060149195131527</v>
      </c>
      <c r="AS206" s="1029">
        <f t="shared" si="521"/>
        <v>0.14644840630354022</v>
      </c>
      <c r="AT206" s="1030">
        <f t="shared" si="521"/>
        <v>0.13622244456637511</v>
      </c>
      <c r="AU206" s="1027">
        <f t="shared" si="521"/>
        <v>0.12507368097215812</v>
      </c>
      <c r="AV206" s="1027">
        <f t="shared" si="521"/>
        <v>0.12110664533667725</v>
      </c>
      <c r="AW206" s="1029">
        <f t="shared" si="521"/>
        <v>0.12334292330821697</v>
      </c>
      <c r="AX206" s="1030">
        <f t="shared" si="521"/>
        <v>0.12202794592500506</v>
      </c>
      <c r="AY206" s="1027">
        <f t="shared" si="521"/>
        <v>0.11441144166837346</v>
      </c>
      <c r="AZ206" s="1027">
        <f t="shared" si="521"/>
        <v>0.18846302640890328</v>
      </c>
      <c r="BA206" s="1029">
        <f t="shared" si="521"/>
        <v>0.4431533905023799</v>
      </c>
      <c r="BB206" s="1030">
        <f t="shared" ref="BB206:BS206" si="522">BB333/BB174</f>
        <v>0.4293373586156925</v>
      </c>
      <c r="BC206" s="1027">
        <f t="shared" si="522"/>
        <v>0.4463533637244268</v>
      </c>
      <c r="BD206" s="1027">
        <f t="shared" si="522"/>
        <v>0.48096178354323194</v>
      </c>
      <c r="BE206" s="1029">
        <f t="shared" si="522"/>
        <v>0.51122518000907302</v>
      </c>
      <c r="BF206" s="1027">
        <f t="shared" si="522"/>
        <v>0.49454884565303769</v>
      </c>
      <c r="BG206" s="1027">
        <f t="shared" si="522"/>
        <v>0.49438305006320343</v>
      </c>
      <c r="BH206" s="1027">
        <f t="shared" si="522"/>
        <v>0.45101321282170032</v>
      </c>
      <c r="BI206" s="1029">
        <f t="shared" si="522"/>
        <v>0.43857463437255562</v>
      </c>
      <c r="BJ206" s="1027">
        <f t="shared" si="522"/>
        <v>0.43402380732206169</v>
      </c>
      <c r="BK206" s="1027">
        <f t="shared" si="522"/>
        <v>0.44293170392970849</v>
      </c>
      <c r="BL206" s="1027">
        <f t="shared" si="522"/>
        <v>0.44305944190050689</v>
      </c>
      <c r="BM206" s="1029">
        <f t="shared" si="522"/>
        <v>0.48157677951296757</v>
      </c>
      <c r="BN206" s="1027">
        <f t="shared" si="522"/>
        <v>0.5066805129193428</v>
      </c>
      <c r="BO206" s="1027">
        <f t="shared" si="522"/>
        <v>0.4759665946085882</v>
      </c>
      <c r="BP206" s="1027">
        <f t="shared" si="522"/>
        <v>0.46395778843382607</v>
      </c>
      <c r="BQ206" s="1029">
        <f t="shared" si="522"/>
        <v>0.42073271279232261</v>
      </c>
      <c r="BR206" s="1027">
        <f t="shared" si="522"/>
        <v>0.43804120429701038</v>
      </c>
      <c r="BS206" s="1027">
        <f t="shared" si="522"/>
        <v>0.42642331595686128</v>
      </c>
      <c r="BT206" s="1027"/>
      <c r="BU206" s="1029"/>
      <c r="BV206" s="1027"/>
      <c r="BW206" s="1027"/>
      <c r="BX206" s="1491"/>
      <c r="BY206" s="1495"/>
      <c r="BZ206" s="1027"/>
      <c r="CA206" s="1027"/>
      <c r="CB206" s="1491"/>
      <c r="CC206" s="1495"/>
      <c r="CD206" s="239"/>
      <c r="CE206" s="1179"/>
      <c r="CF206" s="1179"/>
      <c r="CG206" s="1179"/>
      <c r="CH206" s="1179"/>
      <c r="CI206" s="1179"/>
      <c r="CJ206" s="1179"/>
      <c r="CK206" s="1179"/>
      <c r="CL206" s="1179"/>
      <c r="CM206" s="1179"/>
      <c r="CN206" s="1027"/>
      <c r="CO206" s="1027">
        <f>CO406/CO174</f>
        <v>0.12628626866772474</v>
      </c>
      <c r="CP206" s="1027">
        <f>CP406/CP174</f>
        <v>0.23185062869816497</v>
      </c>
      <c r="CQ206" s="1027">
        <f>CQ333/CQ174</f>
        <v>0.46856448033472725</v>
      </c>
      <c r="CR206" s="1027">
        <f>CR333/CR174</f>
        <v>0.46979559774529744</v>
      </c>
      <c r="CS206" s="1027">
        <f>CS333/CS174</f>
        <v>0.4496640460004987</v>
      </c>
      <c r="CT206" s="1027">
        <f>CT333/CT174</f>
        <v>0.46682422506359833</v>
      </c>
      <c r="CU206" s="1027">
        <f>CU333/CU174</f>
        <v>0.22750092559152318</v>
      </c>
      <c r="CV206" s="1027"/>
      <c r="CW206" s="1027"/>
      <c r="CX206" s="1027"/>
      <c r="CY206" s="1027"/>
      <c r="CZ206" s="1027"/>
      <c r="DA206" s="1027"/>
      <c r="DB206" s="1027"/>
      <c r="DC206" s="1027"/>
      <c r="DD206" s="1524"/>
      <c r="DE206" s="1563"/>
      <c r="DF206" s="1179"/>
      <c r="DG206" s="1463"/>
      <c r="DH206" s="1179"/>
      <c r="DI206" s="1179"/>
      <c r="DJ206" s="1179"/>
      <c r="DK206" s="1179"/>
      <c r="DL206" s="1462"/>
      <c r="DM206" s="1462"/>
      <c r="DN206" s="1462"/>
      <c r="DO206" s="1462"/>
      <c r="DP206" s="1027">
        <f t="shared" ref="DP206:DW206" si="523">DP406/DP174</f>
        <v>0.13685098677093935</v>
      </c>
      <c r="DQ206" s="1027">
        <f t="shared" si="523"/>
        <v>0.12000723710523614</v>
      </c>
      <c r="DR206" s="1027">
        <f t="shared" si="523"/>
        <v>0.36833182386782898</v>
      </c>
      <c r="DS206" s="1030">
        <f t="shared" si="523"/>
        <v>0.46221570988978006</v>
      </c>
      <c r="DT206" s="1027">
        <f t="shared" si="523"/>
        <v>0.40859444081012841</v>
      </c>
      <c r="DU206" s="1027">
        <f t="shared" si="523"/>
        <v>0.40670220870470158</v>
      </c>
      <c r="DV206" s="1027">
        <f t="shared" si="523"/>
        <v>0.26344172791930148</v>
      </c>
      <c r="DW206" s="1029">
        <f t="shared" si="523"/>
        <v>0</v>
      </c>
      <c r="DX206" s="1027"/>
      <c r="DY206" s="1027"/>
      <c r="DZ206" s="1683"/>
      <c r="EA206"/>
      <c r="EB206"/>
      <c r="EC206"/>
      <c r="ED206"/>
      <c r="EE206"/>
      <c r="EF206"/>
    </row>
    <row r="207" spans="1:136" s="1464" customFormat="1" ht="11.25" hidden="1" customHeight="1" outlineLevel="1">
      <c r="A207" s="18"/>
      <c r="B207" s="1468"/>
      <c r="C207" s="1469"/>
      <c r="D207" s="1469" t="s">
        <v>663</v>
      </c>
      <c r="E207" s="1470"/>
      <c r="F207" s="761"/>
      <c r="G207" s="761"/>
      <c r="H207" s="761"/>
      <c r="I207" s="743"/>
      <c r="J207" s="762"/>
      <c r="K207" s="761"/>
      <c r="L207" s="761"/>
      <c r="M207" s="743"/>
      <c r="N207" s="762"/>
      <c r="O207" s="761"/>
      <c r="P207" s="761"/>
      <c r="Q207" s="743"/>
      <c r="R207" s="762"/>
      <c r="S207" s="761"/>
      <c r="T207" s="761"/>
      <c r="U207" s="743"/>
      <c r="V207" s="762"/>
      <c r="W207" s="761"/>
      <c r="X207" s="761"/>
      <c r="Y207" s="743"/>
      <c r="Z207" s="762"/>
      <c r="AA207" s="761"/>
      <c r="AB207" s="761"/>
      <c r="AC207" s="743"/>
      <c r="AD207" s="762"/>
      <c r="AE207" s="761"/>
      <c r="AF207" s="761"/>
      <c r="AG207" s="761"/>
      <c r="AH207" s="762"/>
      <c r="AI207" s="761"/>
      <c r="AJ207" s="761"/>
      <c r="AK207" s="743"/>
      <c r="AL207" s="762"/>
      <c r="AM207" s="761"/>
      <c r="AN207" s="761"/>
      <c r="AO207" s="743"/>
      <c r="AP207" s="762"/>
      <c r="AQ207" s="761"/>
      <c r="AR207" s="368"/>
      <c r="AS207" s="378"/>
      <c r="AT207" s="943"/>
      <c r="AU207" s="368"/>
      <c r="AV207" s="368"/>
      <c r="AW207" s="378"/>
      <c r="AX207" s="943"/>
      <c r="AY207" s="368"/>
      <c r="AZ207" s="368"/>
      <c r="BA207" s="378">
        <f>BA416/BA175</f>
        <v>0.4116987773811151</v>
      </c>
      <c r="BB207" s="943">
        <f t="shared" ref="BB207:BS207" si="524">BB343/BB175</f>
        <v>0.33563261765785446</v>
      </c>
      <c r="BC207" s="368">
        <f t="shared" si="524"/>
        <v>0.34883468048545113</v>
      </c>
      <c r="BD207" s="368">
        <f t="shared" si="524"/>
        <v>0.37081087368700483</v>
      </c>
      <c r="BE207" s="378">
        <f t="shared" si="524"/>
        <v>0.38869036020767395</v>
      </c>
      <c r="BF207" s="368">
        <f t="shared" si="524"/>
        <v>0.38135657982639692</v>
      </c>
      <c r="BG207" s="368">
        <f t="shared" si="524"/>
        <v>0.3855938751578013</v>
      </c>
      <c r="BH207" s="368">
        <f t="shared" si="524"/>
        <v>0.38149699093826234</v>
      </c>
      <c r="BI207" s="378">
        <f t="shared" si="524"/>
        <v>0.39057966736556188</v>
      </c>
      <c r="BJ207" s="368">
        <f t="shared" si="524"/>
        <v>0.3989124810020836</v>
      </c>
      <c r="BK207" s="368">
        <f t="shared" si="524"/>
        <v>0.42115904869260701</v>
      </c>
      <c r="BL207" s="368">
        <f t="shared" si="524"/>
        <v>0.43828752674948335</v>
      </c>
      <c r="BM207" s="378">
        <f t="shared" si="524"/>
        <v>0.47082769075447456</v>
      </c>
      <c r="BN207" s="368">
        <f t="shared" si="524"/>
        <v>0.49499887018360617</v>
      </c>
      <c r="BO207" s="368">
        <f t="shared" si="524"/>
        <v>0.48385949468715483</v>
      </c>
      <c r="BP207" s="368">
        <f t="shared" si="524"/>
        <v>0.48583400722990733</v>
      </c>
      <c r="BQ207" s="378">
        <f t="shared" si="524"/>
        <v>0.44650511919059299</v>
      </c>
      <c r="BR207" s="368">
        <f t="shared" si="524"/>
        <v>0.45977269987511338</v>
      </c>
      <c r="BS207" s="368">
        <f t="shared" si="524"/>
        <v>0.40806696848143803</v>
      </c>
      <c r="BT207" s="368"/>
      <c r="BU207" s="378"/>
      <c r="BV207" s="368"/>
      <c r="BW207" s="368"/>
      <c r="BX207" s="1492"/>
      <c r="BY207" s="1496"/>
      <c r="BZ207" s="368"/>
      <c r="CA207" s="368"/>
      <c r="CB207" s="1492"/>
      <c r="CC207" s="1496"/>
      <c r="CD207" s="22"/>
      <c r="CE207" s="19"/>
      <c r="CF207" s="19"/>
      <c r="CG207" s="19"/>
      <c r="CH207" s="19"/>
      <c r="CI207" s="19"/>
      <c r="CJ207" s="19"/>
      <c r="CK207" s="19"/>
      <c r="CL207" s="19"/>
      <c r="CM207" s="19"/>
      <c r="CN207" s="368"/>
      <c r="CO207" s="368"/>
      <c r="CP207" s="368"/>
      <c r="CQ207" s="368">
        <f>CQ343/CQ175</f>
        <v>0.36100620008439999</v>
      </c>
      <c r="CR207" s="368">
        <f>CR343/CR175</f>
        <v>0.38461590437933607</v>
      </c>
      <c r="CS207" s="368">
        <f>CS343/CS175</f>
        <v>0.43130095933099055</v>
      </c>
      <c r="CT207" s="368">
        <f>CT343/CT175</f>
        <v>0.47939251207751743</v>
      </c>
      <c r="CU207" s="368">
        <f>CU343/CU175</f>
        <v>0.2259448083113689</v>
      </c>
      <c r="CV207" s="368"/>
      <c r="CW207" s="368"/>
      <c r="CX207" s="368"/>
      <c r="CY207" s="368"/>
      <c r="CZ207" s="368"/>
      <c r="DA207" s="368"/>
      <c r="DB207" s="368"/>
      <c r="DC207" s="368"/>
      <c r="DD207" s="1525"/>
      <c r="DE207" s="1564"/>
      <c r="DF207" s="19"/>
      <c r="DG207" s="26"/>
      <c r="DH207" s="19"/>
      <c r="DI207" s="19"/>
      <c r="DJ207" s="19"/>
      <c r="DK207" s="19"/>
      <c r="DL207" s="1471"/>
      <c r="DM207" s="1471"/>
      <c r="DN207" s="1471"/>
      <c r="DO207" s="1471"/>
      <c r="DP207" s="368"/>
      <c r="DQ207" s="368"/>
      <c r="DR207" s="368"/>
      <c r="DS207" s="943">
        <f>DS416/DS175</f>
        <v>0.42257707413579348</v>
      </c>
      <c r="DT207" s="368">
        <f>DT416/DT175</f>
        <v>0.42245298272685</v>
      </c>
      <c r="DU207" s="368">
        <f>DU416/DU175</f>
        <v>0.46210935610488274</v>
      </c>
      <c r="DV207" s="368">
        <f>DV416/DV175</f>
        <v>0.31213127159809501</v>
      </c>
      <c r="DW207" s="378">
        <f>DW416/DW175</f>
        <v>0</v>
      </c>
      <c r="DX207" s="368"/>
      <c r="DY207" s="368"/>
      <c r="DZ207" s="1684"/>
      <c r="EA207"/>
      <c r="EB207"/>
      <c r="EC207"/>
      <c r="ED207"/>
      <c r="EE207"/>
      <c r="EF207"/>
    </row>
    <row r="208" spans="1:136" s="1464" customFormat="1" ht="11.25" hidden="1" customHeight="1" outlineLevel="1">
      <c r="A208" s="18"/>
      <c r="B208" s="1468"/>
      <c r="C208" s="1469"/>
      <c r="D208" s="1469" t="s">
        <v>664</v>
      </c>
      <c r="E208" s="1470"/>
      <c r="F208" s="761"/>
      <c r="G208" s="761"/>
      <c r="H208" s="761"/>
      <c r="I208" s="743"/>
      <c r="J208" s="762"/>
      <c r="K208" s="761"/>
      <c r="L208" s="761"/>
      <c r="M208" s="743"/>
      <c r="N208" s="762"/>
      <c r="O208" s="761"/>
      <c r="P208" s="761"/>
      <c r="Q208" s="743"/>
      <c r="R208" s="762"/>
      <c r="S208" s="761"/>
      <c r="T208" s="761"/>
      <c r="U208" s="743"/>
      <c r="V208" s="762"/>
      <c r="W208" s="761"/>
      <c r="X208" s="761"/>
      <c r="Y208" s="743"/>
      <c r="Z208" s="762"/>
      <c r="AA208" s="761"/>
      <c r="AB208" s="761"/>
      <c r="AC208" s="743"/>
      <c r="AD208" s="762"/>
      <c r="AE208" s="761"/>
      <c r="AF208" s="761"/>
      <c r="AG208" s="761"/>
      <c r="AH208" s="762"/>
      <c r="AI208" s="761"/>
      <c r="AJ208" s="761"/>
      <c r="AK208" s="743"/>
      <c r="AL208" s="762"/>
      <c r="AM208" s="761"/>
      <c r="AN208" s="761"/>
      <c r="AO208" s="743"/>
      <c r="AP208" s="762"/>
      <c r="AQ208" s="368"/>
      <c r="AR208" s="368">
        <f t="shared" ref="AR208:BA208" si="525">AR426/AR176</f>
        <v>0.46629166666666666</v>
      </c>
      <c r="AS208" s="378">
        <f t="shared" si="525"/>
        <v>0.46</v>
      </c>
      <c r="AT208" s="943">
        <f t="shared" si="525"/>
        <v>0.38756473829201099</v>
      </c>
      <c r="AU208" s="368">
        <f t="shared" si="525"/>
        <v>0.40513403089187844</v>
      </c>
      <c r="AV208" s="368">
        <f t="shared" si="525"/>
        <v>0.38289272717555545</v>
      </c>
      <c r="AW208" s="378">
        <f t="shared" si="525"/>
        <v>0.35243757356560174</v>
      </c>
      <c r="AX208" s="943">
        <f t="shared" si="525"/>
        <v>0.33722881939756066</v>
      </c>
      <c r="AY208" s="368">
        <f t="shared" si="525"/>
        <v>0.34535172792197855</v>
      </c>
      <c r="AZ208" s="368">
        <f t="shared" si="525"/>
        <v>0.44688976750618853</v>
      </c>
      <c r="BA208" s="378">
        <f t="shared" si="525"/>
        <v>0.49223138267325395</v>
      </c>
      <c r="BB208" s="943">
        <f t="shared" ref="BB208:BS208" si="526">BB353/BB176</f>
        <v>0.58555703941269699</v>
      </c>
      <c r="BC208" s="368">
        <f t="shared" si="526"/>
        <v>0.59862843593960946</v>
      </c>
      <c r="BD208" s="368">
        <f t="shared" si="526"/>
        <v>0.63293566835550374</v>
      </c>
      <c r="BE208" s="378">
        <f t="shared" si="526"/>
        <v>0.65953129129980459</v>
      </c>
      <c r="BF208" s="368">
        <f t="shared" si="526"/>
        <v>0.64496306180510965</v>
      </c>
      <c r="BG208" s="368">
        <f t="shared" si="526"/>
        <v>0.63469441101356139</v>
      </c>
      <c r="BH208" s="368">
        <f t="shared" si="526"/>
        <v>0.53218438653404898</v>
      </c>
      <c r="BI208" s="378">
        <f t="shared" si="526"/>
        <v>0.48827562336164193</v>
      </c>
      <c r="BJ208" s="368">
        <f t="shared" si="526"/>
        <v>0.46556839962369245</v>
      </c>
      <c r="BK208" s="368">
        <f t="shared" si="526"/>
        <v>0.46030723851563604</v>
      </c>
      <c r="BL208" s="368">
        <f t="shared" si="526"/>
        <v>0.44717507647068799</v>
      </c>
      <c r="BM208" s="378">
        <f t="shared" si="526"/>
        <v>0.49073393203715188</v>
      </c>
      <c r="BN208" s="368">
        <f t="shared" si="526"/>
        <v>0.51613902944957712</v>
      </c>
      <c r="BO208" s="368">
        <f t="shared" si="526"/>
        <v>0.4706792111370523</v>
      </c>
      <c r="BP208" s="368">
        <f t="shared" si="526"/>
        <v>0.45148895828888047</v>
      </c>
      <c r="BQ208" s="378">
        <f t="shared" si="526"/>
        <v>0.40792073716926303</v>
      </c>
      <c r="BR208" s="368">
        <f t="shared" si="526"/>
        <v>0.42733996237309024</v>
      </c>
      <c r="BS208" s="368">
        <f t="shared" si="526"/>
        <v>0.43756003144274064</v>
      </c>
      <c r="BT208" s="368"/>
      <c r="BU208" s="378"/>
      <c r="BV208" s="368"/>
      <c r="BW208" s="368"/>
      <c r="BX208" s="1492"/>
      <c r="BY208" s="1496"/>
      <c r="BZ208" s="368"/>
      <c r="CA208" s="368"/>
      <c r="CB208" s="1492"/>
      <c r="CC208" s="1496"/>
      <c r="CD208" s="22"/>
      <c r="CE208" s="19"/>
      <c r="CF208" s="19"/>
      <c r="CG208" s="19"/>
      <c r="CH208" s="19"/>
      <c r="CI208" s="19"/>
      <c r="CJ208" s="19"/>
      <c r="CK208" s="19"/>
      <c r="CL208" s="19"/>
      <c r="CM208" s="19"/>
      <c r="CN208" s="368"/>
      <c r="CO208" s="368">
        <f>CO426/CO176</f>
        <v>0.38085706264373664</v>
      </c>
      <c r="CP208" s="368">
        <f>CP426/CP176</f>
        <v>0.41891230114119904</v>
      </c>
      <c r="CQ208" s="368">
        <f>CQ353/CQ176</f>
        <v>0.622713236354555</v>
      </c>
      <c r="CR208" s="368">
        <f>CR353/CR176</f>
        <v>0.57202765742743966</v>
      </c>
      <c r="CS208" s="368">
        <f>CS353/CS176</f>
        <v>0.46530143752811826</v>
      </c>
      <c r="CT208" s="368">
        <f>CT353/CT176</f>
        <v>0.45891583948093534</v>
      </c>
      <c r="CU208" s="368">
        <f>CU353/CU176</f>
        <v>0.22836169107864643</v>
      </c>
      <c r="CV208" s="368"/>
      <c r="CW208" s="368"/>
      <c r="CX208" s="368"/>
      <c r="CY208" s="368"/>
      <c r="CZ208" s="368"/>
      <c r="DA208" s="368"/>
      <c r="DB208" s="368"/>
      <c r="DC208" s="368"/>
      <c r="DD208" s="1525"/>
      <c r="DE208" s="1564"/>
      <c r="DF208" s="19"/>
      <c r="DG208" s="26"/>
      <c r="DH208" s="19"/>
      <c r="DI208" s="19"/>
      <c r="DJ208" s="19"/>
      <c r="DK208" s="19"/>
      <c r="DL208" s="1471"/>
      <c r="DM208" s="1471"/>
      <c r="DN208" s="1471"/>
      <c r="DO208" s="1471"/>
      <c r="DP208" s="368">
        <f t="shared" ref="DP208:DW208" si="527">DP426/DP176</f>
        <v>0.42795209100704107</v>
      </c>
      <c r="DQ208" s="368">
        <f t="shared" si="527"/>
        <v>0.35310747504106482</v>
      </c>
      <c r="DR208" s="368">
        <f t="shared" si="527"/>
        <v>0.48262261108778298</v>
      </c>
      <c r="DS208" s="943">
        <f t="shared" si="527"/>
        <v>0.51372754451926705</v>
      </c>
      <c r="DT208" s="368">
        <f t="shared" si="527"/>
        <v>0.39533542146061412</v>
      </c>
      <c r="DU208" s="368">
        <f t="shared" si="527"/>
        <v>0.36254053368606809</v>
      </c>
      <c r="DV208" s="368">
        <f t="shared" si="527"/>
        <v>0.23716606902502191</v>
      </c>
      <c r="DW208" s="378">
        <f t="shared" si="527"/>
        <v>0</v>
      </c>
      <c r="DX208" s="368"/>
      <c r="DY208" s="368"/>
      <c r="DZ208" s="1684"/>
      <c r="EA208"/>
      <c r="EB208"/>
      <c r="EC208"/>
      <c r="ED208"/>
      <c r="EE208"/>
      <c r="EF208"/>
    </row>
    <row r="209" spans="1:136" s="1464" customFormat="1" ht="11.25" hidden="1" customHeight="1" outlineLevel="1">
      <c r="A209" s="238"/>
      <c r="B209" s="1465"/>
      <c r="C209" s="1466" t="s">
        <v>186</v>
      </c>
      <c r="D209" s="1466"/>
      <c r="E209" s="1467"/>
      <c r="F209" s="984"/>
      <c r="G209" s="984"/>
      <c r="H209" s="984"/>
      <c r="I209" s="744"/>
      <c r="J209" s="983"/>
      <c r="K209" s="984"/>
      <c r="L209" s="984"/>
      <c r="M209" s="744"/>
      <c r="N209" s="983"/>
      <c r="O209" s="984"/>
      <c r="P209" s="984"/>
      <c r="Q209" s="744"/>
      <c r="R209" s="983"/>
      <c r="S209" s="984"/>
      <c r="T209" s="984"/>
      <c r="U209" s="744"/>
      <c r="V209" s="983"/>
      <c r="W209" s="984"/>
      <c r="X209" s="984"/>
      <c r="Y209" s="744"/>
      <c r="Z209" s="983"/>
      <c r="AA209" s="984"/>
      <c r="AB209" s="984"/>
      <c r="AC209" s="744"/>
      <c r="AD209" s="983"/>
      <c r="AE209" s="984"/>
      <c r="AF209" s="984"/>
      <c r="AG209" s="984"/>
      <c r="AH209" s="983"/>
      <c r="AI209" s="984"/>
      <c r="AJ209" s="984"/>
      <c r="AK209" s="744"/>
      <c r="AL209" s="983"/>
      <c r="AM209" s="984"/>
      <c r="AN209" s="984"/>
      <c r="AO209" s="744"/>
      <c r="AP209" s="983"/>
      <c r="AQ209" s="1027"/>
      <c r="AR209" s="1027">
        <f t="shared" ref="AR209:BA209" si="528">AR437/AR177</f>
        <v>0.30100515283842794</v>
      </c>
      <c r="AS209" s="1029">
        <f t="shared" si="528"/>
        <v>0.31842721079853664</v>
      </c>
      <c r="AT209" s="1030">
        <f t="shared" si="528"/>
        <v>0.29385426552592636</v>
      </c>
      <c r="AU209" s="1027">
        <f t="shared" si="528"/>
        <v>0.30714810539523207</v>
      </c>
      <c r="AV209" s="1027">
        <f t="shared" si="528"/>
        <v>0.30727304373144698</v>
      </c>
      <c r="AW209" s="1029">
        <f t="shared" si="528"/>
        <v>0.31642460007914824</v>
      </c>
      <c r="AX209" s="1030">
        <f t="shared" si="528"/>
        <v>0.31304628508000815</v>
      </c>
      <c r="AY209" s="1027">
        <f t="shared" si="528"/>
        <v>0.26618877619686904</v>
      </c>
      <c r="AZ209" s="1027">
        <f t="shared" si="528"/>
        <v>0.33648244065337735</v>
      </c>
      <c r="BA209" s="1029">
        <f t="shared" si="528"/>
        <v>0.46207361787679097</v>
      </c>
      <c r="BB209" s="1030">
        <f t="shared" ref="BB209:BS209" si="529">(BB261+BB271)/BB177</f>
        <v>0.44498950368904078</v>
      </c>
      <c r="BC209" s="1027">
        <f t="shared" si="529"/>
        <v>0.43067876671527022</v>
      </c>
      <c r="BD209" s="1027">
        <f t="shared" si="529"/>
        <v>0.42832492426080093</v>
      </c>
      <c r="BE209" s="1029">
        <f t="shared" si="529"/>
        <v>0.4307122445709457</v>
      </c>
      <c r="BF209" s="1027">
        <f t="shared" si="529"/>
        <v>0.4171599568768829</v>
      </c>
      <c r="BG209" s="1027">
        <f t="shared" si="529"/>
        <v>0.43422016795904589</v>
      </c>
      <c r="BH209" s="1027">
        <f t="shared" si="529"/>
        <v>0.42392022266005591</v>
      </c>
      <c r="BI209" s="1029">
        <f t="shared" si="529"/>
        <v>0.42316419042266812</v>
      </c>
      <c r="BJ209" s="1027">
        <f t="shared" si="529"/>
        <v>0.4149034213029732</v>
      </c>
      <c r="BK209" s="1027">
        <f t="shared" si="529"/>
        <v>0.4105351717474901</v>
      </c>
      <c r="BL209" s="1027">
        <f t="shared" si="529"/>
        <v>0.41564959190636858</v>
      </c>
      <c r="BM209" s="1029">
        <f t="shared" si="529"/>
        <v>0.40973161151740656</v>
      </c>
      <c r="BN209" s="1027">
        <f t="shared" si="529"/>
        <v>0.4002222316916475</v>
      </c>
      <c r="BO209" s="1027">
        <f t="shared" si="529"/>
        <v>0.40306509512249383</v>
      </c>
      <c r="BP209" s="1027">
        <f t="shared" si="529"/>
        <v>0.3841203330984081</v>
      </c>
      <c r="BQ209" s="1029">
        <f t="shared" si="529"/>
        <v>0.36196292898169719</v>
      </c>
      <c r="BR209" s="1027">
        <f t="shared" si="529"/>
        <v>0.3946407315498705</v>
      </c>
      <c r="BS209" s="1027">
        <f t="shared" si="529"/>
        <v>0.35988955720021903</v>
      </c>
      <c r="BT209" s="1027"/>
      <c r="BU209" s="1029"/>
      <c r="BV209" s="1027"/>
      <c r="BW209" s="1027"/>
      <c r="BX209" s="1491"/>
      <c r="BY209" s="1495"/>
      <c r="BZ209" s="1027"/>
      <c r="CA209" s="1027"/>
      <c r="CB209" s="1491"/>
      <c r="CC209" s="1495"/>
      <c r="CD209" s="239"/>
      <c r="CE209" s="1179"/>
      <c r="CF209" s="1179"/>
      <c r="CG209" s="1179"/>
      <c r="CH209" s="1179"/>
      <c r="CI209" s="1179"/>
      <c r="CJ209" s="1179"/>
      <c r="CK209" s="1179"/>
      <c r="CL209" s="1179"/>
      <c r="CM209" s="1179"/>
      <c r="CN209" s="1027"/>
      <c r="CO209" s="1027">
        <f>CO437/CO177</f>
        <v>0.30603054058853962</v>
      </c>
      <c r="CP209" s="1027">
        <f>CP437/CP177</f>
        <v>0.35044573552408248</v>
      </c>
      <c r="CQ209" s="1027">
        <f>(CQ261+CQ271)/CQ177</f>
        <v>0.43398358783285329</v>
      </c>
      <c r="CR209" s="1027">
        <f>(CR261+CR271)/CR177</f>
        <v>0.4246326078660197</v>
      </c>
      <c r="CS209" s="1027">
        <f>(CS261+CS271)/CS177</f>
        <v>0.4128665568275372</v>
      </c>
      <c r="CT209" s="1027">
        <f>(CT261+CT271)/CT177</f>
        <v>0.38879702720406462</v>
      </c>
      <c r="CU209" s="1027">
        <f>(CU261+CU271)/CU177</f>
        <v>0.1952210516701208</v>
      </c>
      <c r="CV209" s="1027"/>
      <c r="CW209" s="1027"/>
      <c r="CX209" s="1027"/>
      <c r="CY209" s="1027"/>
      <c r="CZ209" s="1027"/>
      <c r="DA209" s="1027"/>
      <c r="DB209" s="1027"/>
      <c r="DC209" s="1027"/>
      <c r="DD209" s="1524"/>
      <c r="DE209" s="1563"/>
      <c r="DF209" s="1179"/>
      <c r="DG209" s="1463"/>
      <c r="DH209" s="1179"/>
      <c r="DI209" s="1179"/>
      <c r="DJ209" s="1179"/>
      <c r="DK209" s="1179"/>
      <c r="DL209" s="1462"/>
      <c r="DM209" s="1462"/>
      <c r="DN209" s="1462"/>
      <c r="DO209" s="1462"/>
      <c r="DP209" s="1027">
        <f t="shared" ref="DP209:DW209" si="530">DP437/DP177</f>
        <v>0.30474846190503974</v>
      </c>
      <c r="DQ209" s="1027">
        <f t="shared" si="530"/>
        <v>0.30108441282673437</v>
      </c>
      <c r="DR209" s="1027">
        <f t="shared" si="530"/>
        <v>0.41628456053778662</v>
      </c>
      <c r="DS209" s="1030">
        <f t="shared" si="530"/>
        <v>0.43113315401168922</v>
      </c>
      <c r="DT209" s="1027">
        <f t="shared" si="530"/>
        <v>0.41366727480440985</v>
      </c>
      <c r="DU209" s="1027">
        <f t="shared" si="530"/>
        <v>0.41368438501961396</v>
      </c>
      <c r="DV209" s="1027">
        <f t="shared" si="530"/>
        <v>0.27959309125820081</v>
      </c>
      <c r="DW209" s="1029">
        <f t="shared" si="530"/>
        <v>0</v>
      </c>
      <c r="DX209" s="1027"/>
      <c r="DY209" s="1027"/>
      <c r="DZ209" s="1683"/>
      <c r="EA209"/>
      <c r="EB209"/>
      <c r="EC209"/>
      <c r="ED209"/>
      <c r="EE209"/>
      <c r="EF209"/>
    </row>
    <row r="210" spans="1:136" s="1464" customFormat="1" ht="11.25" hidden="1" customHeight="1" outlineLevel="1">
      <c r="A210" s="18"/>
      <c r="B210" s="1468"/>
      <c r="C210" s="1469"/>
      <c r="D210" s="1469" t="s">
        <v>680</v>
      </c>
      <c r="E210" s="1470"/>
      <c r="F210" s="761"/>
      <c r="G210" s="761"/>
      <c r="H210" s="761"/>
      <c r="I210" s="743"/>
      <c r="J210" s="762"/>
      <c r="K210" s="761"/>
      <c r="L210" s="761"/>
      <c r="M210" s="743"/>
      <c r="N210" s="762"/>
      <c r="O210" s="761"/>
      <c r="P210" s="761"/>
      <c r="Q210" s="743"/>
      <c r="R210" s="762"/>
      <c r="S210" s="761"/>
      <c r="T210" s="761"/>
      <c r="U210" s="743"/>
      <c r="V210" s="762"/>
      <c r="W210" s="761"/>
      <c r="X210" s="761"/>
      <c r="Y210" s="743"/>
      <c r="Z210" s="762"/>
      <c r="AA210" s="761"/>
      <c r="AB210" s="761"/>
      <c r="AC210" s="743"/>
      <c r="AD210" s="762"/>
      <c r="AE210" s="761"/>
      <c r="AF210" s="761"/>
      <c r="AG210" s="761"/>
      <c r="AH210" s="762"/>
      <c r="AI210" s="761"/>
      <c r="AJ210" s="761"/>
      <c r="AK210" s="743"/>
      <c r="AL210" s="762"/>
      <c r="AM210" s="761"/>
      <c r="AN210" s="761"/>
      <c r="AO210" s="743"/>
      <c r="AP210" s="762"/>
      <c r="AQ210" s="368"/>
      <c r="AR210" s="368">
        <f t="shared" ref="AR210:BA210" si="531">AR447/AR178</f>
        <v>0.24396316290885997</v>
      </c>
      <c r="AS210" s="378">
        <f t="shared" si="531"/>
        <v>0.26300944899817852</v>
      </c>
      <c r="AT210" s="943">
        <f t="shared" si="531"/>
        <v>0.2286486810551559</v>
      </c>
      <c r="AU210" s="368">
        <f t="shared" si="531"/>
        <v>0.25290093708166</v>
      </c>
      <c r="AV210" s="368">
        <f t="shared" si="531"/>
        <v>0.24396038693088937</v>
      </c>
      <c r="AW210" s="378">
        <f t="shared" si="531"/>
        <v>0.2363887067897246</v>
      </c>
      <c r="AX210" s="943">
        <f t="shared" si="531"/>
        <v>0.24681167818364722</v>
      </c>
      <c r="AY210" s="368">
        <f t="shared" si="531"/>
        <v>0.19267647798951038</v>
      </c>
      <c r="AZ210" s="368">
        <f t="shared" si="531"/>
        <v>0.28688178590294056</v>
      </c>
      <c r="BA210" s="378">
        <f t="shared" si="531"/>
        <v>0.45689214264075134</v>
      </c>
      <c r="BB210" s="943">
        <f t="shared" ref="BB210:BS210" si="532">BB261/BB178</f>
        <v>0.43934088846939101</v>
      </c>
      <c r="BC210" s="368">
        <f t="shared" si="532"/>
        <v>0.41488200254250757</v>
      </c>
      <c r="BD210" s="368">
        <f t="shared" si="532"/>
        <v>0.4070573373495131</v>
      </c>
      <c r="BE210" s="378">
        <f t="shared" si="532"/>
        <v>0.44852046663334399</v>
      </c>
      <c r="BF210" s="368">
        <f t="shared" si="532"/>
        <v>0.4198581896154146</v>
      </c>
      <c r="BG210" s="368">
        <f t="shared" si="532"/>
        <v>0.44023762845245762</v>
      </c>
      <c r="BH210" s="368">
        <f t="shared" si="532"/>
        <v>0.43245744754976012</v>
      </c>
      <c r="BI210" s="378">
        <f t="shared" si="532"/>
        <v>0.43607476648613908</v>
      </c>
      <c r="BJ210" s="368">
        <f t="shared" si="532"/>
        <v>0.41939410317344245</v>
      </c>
      <c r="BK210" s="368">
        <f t="shared" si="532"/>
        <v>0.3961862626182337</v>
      </c>
      <c r="BL210" s="368">
        <f t="shared" si="532"/>
        <v>0.40162211153264282</v>
      </c>
      <c r="BM210" s="378">
        <f t="shared" si="532"/>
        <v>0.3922731620836224</v>
      </c>
      <c r="BN210" s="368">
        <f t="shared" si="532"/>
        <v>0.38503863836305491</v>
      </c>
      <c r="BO210" s="368">
        <f t="shared" si="532"/>
        <v>0.37506403263461791</v>
      </c>
      <c r="BP210" s="368">
        <f t="shared" si="532"/>
        <v>0.3659769256864599</v>
      </c>
      <c r="BQ210" s="378">
        <f t="shared" si="532"/>
        <v>0.36392503029349149</v>
      </c>
      <c r="BR210" s="368">
        <f t="shared" si="532"/>
        <v>0.4182947578329772</v>
      </c>
      <c r="BS210" s="368">
        <f t="shared" si="532"/>
        <v>0.35499774407713691</v>
      </c>
      <c r="BT210" s="368"/>
      <c r="BU210" s="378"/>
      <c r="BV210" s="368"/>
      <c r="BW210" s="368"/>
      <c r="BX210" s="1492"/>
      <c r="BY210" s="1496"/>
      <c r="BZ210" s="368"/>
      <c r="CA210" s="368"/>
      <c r="CB210" s="1492"/>
      <c r="CC210" s="1496"/>
      <c r="CD210" s="22"/>
      <c r="CE210" s="19"/>
      <c r="CF210" s="19"/>
      <c r="CG210" s="19"/>
      <c r="CH210" s="19"/>
      <c r="CI210" s="19"/>
      <c r="CJ210" s="19"/>
      <c r="CK210" s="19"/>
      <c r="CL210" s="19"/>
      <c r="CM210" s="19"/>
      <c r="CN210" s="368"/>
      <c r="CO210" s="368">
        <f>CO447/CO178</f>
        <v>0.24028868400309827</v>
      </c>
      <c r="CP210" s="368">
        <f>CP447/CP178</f>
        <v>0.30305122990506567</v>
      </c>
      <c r="CQ210" s="368">
        <f>CQ261/CQ178</f>
        <v>0.42787408231519974</v>
      </c>
      <c r="CR210" s="368">
        <f>CR261/CR178</f>
        <v>0.43212346630748233</v>
      </c>
      <c r="CS210" s="368">
        <f>CS261/CS178</f>
        <v>0.40335192156089245</v>
      </c>
      <c r="CT210" s="368">
        <f>CT261/CT178</f>
        <v>0.37319794490445757</v>
      </c>
      <c r="CU210" s="368">
        <f>CU261/CU178</f>
        <v>0.19813975414703627</v>
      </c>
      <c r="CV210" s="368"/>
      <c r="CW210" s="368"/>
      <c r="CX210" s="368"/>
      <c r="CY210" s="368"/>
      <c r="CZ210" s="368"/>
      <c r="DA210" s="368"/>
      <c r="DB210" s="368"/>
      <c r="DC210" s="368"/>
      <c r="DD210" s="1525"/>
      <c r="DE210" s="1564"/>
      <c r="DF210" s="19"/>
      <c r="DG210" s="26"/>
      <c r="DH210" s="19"/>
      <c r="DI210" s="19"/>
      <c r="DJ210" s="19"/>
      <c r="DK210" s="19"/>
      <c r="DL210" s="1471"/>
      <c r="DM210" s="1471"/>
      <c r="DN210" s="1471"/>
      <c r="DO210" s="1471"/>
      <c r="DP210" s="368">
        <f t="shared" ref="DP210:DW210" si="533">DP447/DP178</f>
        <v>0.2466164614562191</v>
      </c>
      <c r="DQ210" s="368">
        <f t="shared" si="533"/>
        <v>0.2295019568573034</v>
      </c>
      <c r="DR210" s="368">
        <f t="shared" si="533"/>
        <v>0.39572757047971241</v>
      </c>
      <c r="DS210" s="943">
        <f t="shared" si="533"/>
        <v>0.4318847093068986</v>
      </c>
      <c r="DT210" s="368">
        <f t="shared" si="533"/>
        <v>0.41532117957045989</v>
      </c>
      <c r="DU210" s="368">
        <f t="shared" si="533"/>
        <v>0.39408205535894736</v>
      </c>
      <c r="DV210" s="368">
        <f t="shared" si="533"/>
        <v>0.27832887075948654</v>
      </c>
      <c r="DW210" s="378">
        <f t="shared" si="533"/>
        <v>0</v>
      </c>
      <c r="DX210" s="368"/>
      <c r="DY210" s="368"/>
      <c r="DZ210" s="1684"/>
      <c r="EA210"/>
      <c r="EB210"/>
      <c r="EC210"/>
      <c r="ED210"/>
      <c r="EE210"/>
      <c r="EF210"/>
    </row>
    <row r="211" spans="1:136" s="1464" customFormat="1" ht="11.25" hidden="1" customHeight="1" outlineLevel="1">
      <c r="A211" s="18"/>
      <c r="B211" s="1468"/>
      <c r="C211" s="1469"/>
      <c r="D211" s="1469" t="s">
        <v>679</v>
      </c>
      <c r="E211" s="1470"/>
      <c r="F211" s="761"/>
      <c r="G211" s="761"/>
      <c r="H211" s="761"/>
      <c r="I211" s="743"/>
      <c r="J211" s="762"/>
      <c r="K211" s="761"/>
      <c r="L211" s="761"/>
      <c r="M211" s="743"/>
      <c r="N211" s="762"/>
      <c r="O211" s="761"/>
      <c r="P211" s="761"/>
      <c r="Q211" s="743"/>
      <c r="R211" s="762"/>
      <c r="S211" s="761"/>
      <c r="T211" s="761"/>
      <c r="U211" s="743"/>
      <c r="V211" s="762"/>
      <c r="W211" s="761"/>
      <c r="X211" s="761"/>
      <c r="Y211" s="743"/>
      <c r="Z211" s="762"/>
      <c r="AA211" s="761"/>
      <c r="AB211" s="761"/>
      <c r="AC211" s="743"/>
      <c r="AD211" s="762"/>
      <c r="AE211" s="761"/>
      <c r="AF211" s="761"/>
      <c r="AG211" s="761"/>
      <c r="AH211" s="762"/>
      <c r="AI211" s="761"/>
      <c r="AJ211" s="761"/>
      <c r="AK211" s="743"/>
      <c r="AL211" s="762"/>
      <c r="AM211" s="761"/>
      <c r="AN211" s="761"/>
      <c r="AO211" s="743"/>
      <c r="AP211" s="762"/>
      <c r="AQ211" s="368"/>
      <c r="AR211" s="368">
        <f t="shared" ref="AR211:BA211" si="534">AR457/AR179</f>
        <v>0.37073544254658386</v>
      </c>
      <c r="AS211" s="378">
        <f t="shared" si="534"/>
        <v>0.38728005657708631</v>
      </c>
      <c r="AT211" s="943">
        <f t="shared" si="534"/>
        <v>0.38104595616024189</v>
      </c>
      <c r="AU211" s="368">
        <f t="shared" si="534"/>
        <v>0.37685447247706422</v>
      </c>
      <c r="AV211" s="368">
        <f t="shared" si="534"/>
        <v>0.39011995617944151</v>
      </c>
      <c r="AW211" s="378">
        <f t="shared" si="534"/>
        <v>0.42716511412931013</v>
      </c>
      <c r="AX211" s="943">
        <f t="shared" si="534"/>
        <v>0.41664448603712878</v>
      </c>
      <c r="AY211" s="368">
        <f t="shared" si="534"/>
        <v>0.40033363740956784</v>
      </c>
      <c r="AZ211" s="368">
        <f t="shared" si="534"/>
        <v>0.42024950046568016</v>
      </c>
      <c r="BA211" s="378">
        <f t="shared" si="534"/>
        <v>0.47047730599003235</v>
      </c>
      <c r="BB211" s="943">
        <f t="shared" ref="BB211:BS211" si="535">+BB271/BB179</f>
        <v>0.45415083292737701</v>
      </c>
      <c r="BC211" s="368">
        <f t="shared" si="535"/>
        <v>0.45175904139003081</v>
      </c>
      <c r="BD211" s="368">
        <f t="shared" si="535"/>
        <v>0.45684413917505712</v>
      </c>
      <c r="BE211" s="378">
        <f t="shared" si="535"/>
        <v>0.40633638679175565</v>
      </c>
      <c r="BF211" s="368">
        <f t="shared" si="535"/>
        <v>0.41357315996883448</v>
      </c>
      <c r="BG211" s="368">
        <f t="shared" si="535"/>
        <v>0.42622107715273633</v>
      </c>
      <c r="BH211" s="368">
        <f t="shared" si="535"/>
        <v>0.4130210266831767</v>
      </c>
      <c r="BI211" s="378">
        <f t="shared" si="535"/>
        <v>0.40583206600341659</v>
      </c>
      <c r="BJ211" s="368">
        <f t="shared" si="535"/>
        <v>0.40851119929027402</v>
      </c>
      <c r="BK211" s="368">
        <f t="shared" si="535"/>
        <v>0.43253114227830747</v>
      </c>
      <c r="BL211" s="368">
        <f t="shared" si="535"/>
        <v>0.43727641431862835</v>
      </c>
      <c r="BM211" s="378">
        <f t="shared" si="535"/>
        <v>0.43619429451893393</v>
      </c>
      <c r="BN211" s="368">
        <f t="shared" si="535"/>
        <v>0.42323679656481028</v>
      </c>
      <c r="BO211" s="368">
        <f t="shared" si="535"/>
        <v>0.44467555772023587</v>
      </c>
      <c r="BP211" s="368">
        <f t="shared" si="535"/>
        <v>0.41048944482762068</v>
      </c>
      <c r="BQ211" s="378">
        <f t="shared" si="535"/>
        <v>0.35911126680270289</v>
      </c>
      <c r="BR211" s="368">
        <f t="shared" si="535"/>
        <v>0.36087110499867325</v>
      </c>
      <c r="BS211" s="368">
        <f t="shared" si="535"/>
        <v>0.36754486315744694</v>
      </c>
      <c r="BT211" s="368"/>
      <c r="BU211" s="378"/>
      <c r="BV211" s="368"/>
      <c r="BW211" s="368"/>
      <c r="BX211" s="1492"/>
      <c r="BY211" s="1496"/>
      <c r="BZ211" s="368"/>
      <c r="CA211" s="368"/>
      <c r="CB211" s="1492"/>
      <c r="CC211" s="1496"/>
      <c r="CD211" s="22"/>
      <c r="CE211" s="19"/>
      <c r="CF211" s="19"/>
      <c r="CG211" s="19"/>
      <c r="CH211" s="19"/>
      <c r="CI211" s="19"/>
      <c r="CJ211" s="19"/>
      <c r="CK211" s="19"/>
      <c r="CL211" s="19"/>
      <c r="CM211" s="19"/>
      <c r="CN211" s="368"/>
      <c r="CO211" s="368">
        <f>CO457/CO179</f>
        <v>0.39334302179671499</v>
      </c>
      <c r="CP211" s="368">
        <f>CP457/CP179</f>
        <v>0.42942241579861634</v>
      </c>
      <c r="CQ211" s="368">
        <f>+CQ271/CQ179</f>
        <v>0.44263518297699805</v>
      </c>
      <c r="CR211" s="368">
        <f>+CR271/CR179</f>
        <v>0.41475057658105513</v>
      </c>
      <c r="CS211" s="368">
        <f>+CS271/CS179</f>
        <v>0.42712621198745276</v>
      </c>
      <c r="CT211" s="368">
        <f>+CT271/CT179</f>
        <v>0.41186477357370632</v>
      </c>
      <c r="CU211" s="368">
        <f>+CU271/CU179</f>
        <v>0.19077970259150387</v>
      </c>
      <c r="CV211" s="368"/>
      <c r="CW211" s="368"/>
      <c r="CX211" s="368"/>
      <c r="CY211" s="368"/>
      <c r="CZ211" s="368"/>
      <c r="DA211" s="368"/>
      <c r="DB211" s="368"/>
      <c r="DC211" s="368"/>
      <c r="DD211" s="1525"/>
      <c r="DE211" s="1564"/>
      <c r="DF211" s="19"/>
      <c r="DG211" s="26"/>
      <c r="DH211" s="19"/>
      <c r="DI211" s="19"/>
      <c r="DJ211" s="19"/>
      <c r="DK211" s="19"/>
      <c r="DL211" s="1471"/>
      <c r="DM211" s="1471"/>
      <c r="DN211" s="1471"/>
      <c r="DO211" s="1471"/>
      <c r="DP211" s="368">
        <f t="shared" ref="DP211:DW211" si="536">DP457/DP179</f>
        <v>0.37856528126534916</v>
      </c>
      <c r="DQ211" s="368">
        <f t="shared" si="536"/>
        <v>0.40905157725208524</v>
      </c>
      <c r="DR211" s="368">
        <f t="shared" si="536"/>
        <v>0.44863406154888702</v>
      </c>
      <c r="DS211" s="943">
        <f t="shared" si="536"/>
        <v>0.43012463953334484</v>
      </c>
      <c r="DT211" s="368">
        <f t="shared" si="536"/>
        <v>0.411368190268111</v>
      </c>
      <c r="DU211" s="368">
        <f t="shared" si="536"/>
        <v>0.44339527679473362</v>
      </c>
      <c r="DV211" s="368">
        <f t="shared" si="536"/>
        <v>0.28146026249274397</v>
      </c>
      <c r="DW211" s="378">
        <f t="shared" si="536"/>
        <v>0</v>
      </c>
      <c r="DX211" s="368"/>
      <c r="DY211" s="368"/>
      <c r="DZ211" s="1684"/>
      <c r="EA211"/>
      <c r="EB211"/>
      <c r="EC211"/>
      <c r="ED211"/>
      <c r="EE211"/>
      <c r="EF211"/>
    </row>
    <row r="212" spans="1:136" s="1464" customFormat="1" ht="11.25" hidden="1" customHeight="1" outlineLevel="1">
      <c r="A212" s="238"/>
      <c r="B212" s="1465"/>
      <c r="C212" s="1466" t="s">
        <v>189</v>
      </c>
      <c r="D212" s="1466"/>
      <c r="E212" s="1467"/>
      <c r="F212" s="984"/>
      <c r="G212" s="984"/>
      <c r="H212" s="984"/>
      <c r="I212" s="744"/>
      <c r="J212" s="983"/>
      <c r="K212" s="984"/>
      <c r="L212" s="984"/>
      <c r="M212" s="744"/>
      <c r="N212" s="983"/>
      <c r="O212" s="984"/>
      <c r="P212" s="984"/>
      <c r="Q212" s="744"/>
      <c r="R212" s="983"/>
      <c r="S212" s="984"/>
      <c r="T212" s="984"/>
      <c r="U212" s="744"/>
      <c r="V212" s="983"/>
      <c r="W212" s="984"/>
      <c r="X212" s="984"/>
      <c r="Y212" s="744"/>
      <c r="Z212" s="983"/>
      <c r="AA212" s="984"/>
      <c r="AB212" s="984"/>
      <c r="AC212" s="744"/>
      <c r="AD212" s="983"/>
      <c r="AE212" s="984"/>
      <c r="AF212" s="984"/>
      <c r="AG212" s="984"/>
      <c r="AH212" s="983"/>
      <c r="AI212" s="984"/>
      <c r="AJ212" s="984"/>
      <c r="AK212" s="744"/>
      <c r="AL212" s="983"/>
      <c r="AM212" s="984"/>
      <c r="AN212" s="984"/>
      <c r="AO212" s="744"/>
      <c r="AP212" s="983"/>
      <c r="AQ212" s="1027"/>
      <c r="AR212" s="1027">
        <f t="shared" ref="AR212:BA212" si="537">AR468/AR180</f>
        <v>0.42913984615134421</v>
      </c>
      <c r="AS212" s="1029">
        <f t="shared" si="537"/>
        <v>0.32176837060702873</v>
      </c>
      <c r="AT212" s="1030">
        <f t="shared" si="537"/>
        <v>0.41375665778961385</v>
      </c>
      <c r="AU212" s="1027">
        <f t="shared" si="537"/>
        <v>0.40866866498883009</v>
      </c>
      <c r="AV212" s="1027">
        <f t="shared" si="537"/>
        <v>0.36544957750349905</v>
      </c>
      <c r="AW212" s="1029">
        <f t="shared" si="537"/>
        <v>0.39023211163345217</v>
      </c>
      <c r="AX212" s="1030">
        <f t="shared" si="537"/>
        <v>0.43624329164425385</v>
      </c>
      <c r="AY212" s="1027">
        <f t="shared" si="537"/>
        <v>0.33945756806489491</v>
      </c>
      <c r="AZ212" s="1027">
        <f t="shared" si="537"/>
        <v>0.29404994422286018</v>
      </c>
      <c r="BA212" s="1029">
        <f t="shared" si="537"/>
        <v>0.3967095257168648</v>
      </c>
      <c r="BB212" s="1030">
        <f t="shared" ref="BB212:BS212" si="538">(BB281+BB307)/BB180</f>
        <v>0.45370638228244398</v>
      </c>
      <c r="BC212" s="1027">
        <f t="shared" si="538"/>
        <v>0.44836936453171528</v>
      </c>
      <c r="BD212" s="1027">
        <f t="shared" si="538"/>
        <v>0.43431197017072393</v>
      </c>
      <c r="BE212" s="1029">
        <f t="shared" si="538"/>
        <v>0.40750023168719512</v>
      </c>
      <c r="BF212" s="1027">
        <f t="shared" si="538"/>
        <v>0.41248140736267214</v>
      </c>
      <c r="BG212" s="1027">
        <f t="shared" si="538"/>
        <v>0.43513554226537904</v>
      </c>
      <c r="BH212" s="1027">
        <f t="shared" si="538"/>
        <v>0.43741111000422789</v>
      </c>
      <c r="BI212" s="1029">
        <f t="shared" si="538"/>
        <v>0.47461536215384459</v>
      </c>
      <c r="BJ212" s="1027">
        <f t="shared" si="538"/>
        <v>0.46470520376701296</v>
      </c>
      <c r="BK212" s="1027">
        <f t="shared" si="538"/>
        <v>0.47808959136528495</v>
      </c>
      <c r="BL212" s="1027">
        <f t="shared" si="538"/>
        <v>0.48779179525185207</v>
      </c>
      <c r="BM212" s="1029">
        <f t="shared" si="538"/>
        <v>0.45212476886650876</v>
      </c>
      <c r="BN212" s="1027">
        <f t="shared" si="538"/>
        <v>0.46912933052681183</v>
      </c>
      <c r="BO212" s="1027">
        <f t="shared" si="538"/>
        <v>0.5344918919927274</v>
      </c>
      <c r="BP212" s="1027">
        <f t="shared" si="538"/>
        <v>0.556705710488824</v>
      </c>
      <c r="BQ212" s="1029">
        <f t="shared" si="538"/>
        <v>0.55190517968274977</v>
      </c>
      <c r="BR212" s="1027">
        <f t="shared" si="538"/>
        <v>0.50695554933983722</v>
      </c>
      <c r="BS212" s="1027">
        <f t="shared" si="538"/>
        <v>0.55037950627916732</v>
      </c>
      <c r="BT212" s="1027"/>
      <c r="BU212" s="1029"/>
      <c r="BV212" s="1027"/>
      <c r="BW212" s="1027"/>
      <c r="BX212" s="1491"/>
      <c r="BY212" s="1495"/>
      <c r="BZ212" s="1027"/>
      <c r="CA212" s="1027"/>
      <c r="CB212" s="1491"/>
      <c r="CC212" s="1495"/>
      <c r="CD212" s="239"/>
      <c r="CE212" s="1179"/>
      <c r="CF212" s="1179"/>
      <c r="CG212" s="1179"/>
      <c r="CH212" s="1179"/>
      <c r="CI212" s="1179"/>
      <c r="CJ212" s="1179"/>
      <c r="CK212" s="1179"/>
      <c r="CL212" s="1179"/>
      <c r="CM212" s="1179"/>
      <c r="CN212" s="1027"/>
      <c r="CO212" s="1027">
        <f>CO468/CO180</f>
        <v>0.39429048951249879</v>
      </c>
      <c r="CP212" s="1027">
        <f>CP468/CP180</f>
        <v>0.36870861421459977</v>
      </c>
      <c r="CQ212" s="1027">
        <f>(CQ281+CQ307)/CQ180</f>
        <v>0.43728047744264698</v>
      </c>
      <c r="CR212" s="1027">
        <f>(CR281+CR307)/CR180</f>
        <v>0.43927835469334769</v>
      </c>
      <c r="CS212" s="1027">
        <f>(CS281+CS307)/CS180</f>
        <v>0.47082585067482724</v>
      </c>
      <c r="CT212" s="1027">
        <f>(CT281+CT307)/CT180</f>
        <v>0.52318356841802249</v>
      </c>
      <c r="CU212" s="1027">
        <f>(CU281+CU307)/CU180</f>
        <v>0.30075003580648463</v>
      </c>
      <c r="CV212" s="1027"/>
      <c r="CW212" s="1027"/>
      <c r="CX212" s="1027"/>
      <c r="CY212" s="1027"/>
      <c r="CZ212" s="1027"/>
      <c r="DA212" s="1027"/>
      <c r="DB212" s="1027"/>
      <c r="DC212" s="1027"/>
      <c r="DD212" s="1524"/>
      <c r="DE212" s="1563"/>
      <c r="DF212" s="1179"/>
      <c r="DG212" s="1463"/>
      <c r="DH212" s="1179"/>
      <c r="DI212" s="1179"/>
      <c r="DJ212" s="1179"/>
      <c r="DK212" s="1179"/>
      <c r="DL212" s="1462"/>
      <c r="DM212" s="1462"/>
      <c r="DN212" s="1462"/>
      <c r="DO212" s="1462"/>
      <c r="DP212" s="1027">
        <f t="shared" ref="DP212:DW212" si="539">DP468/DP180</f>
        <v>0.39010758558794384</v>
      </c>
      <c r="DQ212" s="1027">
        <f t="shared" si="539"/>
        <v>0.3855183398377599</v>
      </c>
      <c r="DR212" s="1027">
        <f t="shared" si="539"/>
        <v>0.40484861444151321</v>
      </c>
      <c r="DS212" s="1030">
        <f t="shared" si="539"/>
        <v>0.45769771573966594</v>
      </c>
      <c r="DT212" s="1027">
        <f t="shared" si="539"/>
        <v>0.52320108127557863</v>
      </c>
      <c r="DU212" s="1027">
        <f t="shared" si="539"/>
        <v>0.57063992510916084</v>
      </c>
      <c r="DV212" s="1027">
        <f t="shared" si="539"/>
        <v>0.49257607658437896</v>
      </c>
      <c r="DW212" s="1029">
        <f t="shared" si="539"/>
        <v>0</v>
      </c>
      <c r="DX212" s="1027"/>
      <c r="DY212" s="1027"/>
      <c r="DZ212" s="1683"/>
      <c r="EA212"/>
      <c r="EB212"/>
      <c r="EC212"/>
      <c r="ED212"/>
      <c r="EE212"/>
      <c r="EF212"/>
    </row>
    <row r="213" spans="1:136" s="1464" customFormat="1" ht="11.25" hidden="1" customHeight="1" outlineLevel="1">
      <c r="A213" s="18"/>
      <c r="B213" s="1468"/>
      <c r="C213" s="1469"/>
      <c r="D213" s="1469" t="s">
        <v>576</v>
      </c>
      <c r="E213" s="1470"/>
      <c r="F213" s="761"/>
      <c r="G213" s="761"/>
      <c r="H213" s="761"/>
      <c r="I213" s="743"/>
      <c r="J213" s="762"/>
      <c r="K213" s="761"/>
      <c r="L213" s="761"/>
      <c r="M213" s="743"/>
      <c r="N213" s="762"/>
      <c r="O213" s="761"/>
      <c r="P213" s="761"/>
      <c r="Q213" s="743"/>
      <c r="R213" s="762"/>
      <c r="S213" s="761"/>
      <c r="T213" s="761"/>
      <c r="U213" s="743"/>
      <c r="V213" s="762"/>
      <c r="W213" s="761"/>
      <c r="X213" s="761"/>
      <c r="Y213" s="743"/>
      <c r="Z213" s="762"/>
      <c r="AA213" s="761"/>
      <c r="AB213" s="761"/>
      <c r="AC213" s="743"/>
      <c r="AD213" s="762"/>
      <c r="AE213" s="761"/>
      <c r="AF213" s="761"/>
      <c r="AG213" s="761"/>
      <c r="AH213" s="762"/>
      <c r="AI213" s="761"/>
      <c r="AJ213" s="761"/>
      <c r="AK213" s="743"/>
      <c r="AL213" s="762"/>
      <c r="AM213" s="761"/>
      <c r="AN213" s="761"/>
      <c r="AO213" s="743"/>
      <c r="AP213" s="762"/>
      <c r="AQ213" s="368"/>
      <c r="AR213" s="368">
        <f t="shared" ref="AR213:BA213" si="540">AR478/AR181</f>
        <v>0.29250018975332071</v>
      </c>
      <c r="AS213" s="378">
        <f t="shared" si="540"/>
        <v>0.25535125000000003</v>
      </c>
      <c r="AT213" s="943">
        <f t="shared" si="540"/>
        <v>0.29257259865971708</v>
      </c>
      <c r="AU213" s="368">
        <f t="shared" si="540"/>
        <v>0.2714016752478291</v>
      </c>
      <c r="AV213" s="368">
        <f t="shared" si="540"/>
        <v>0.26469861133193467</v>
      </c>
      <c r="AW213" s="378">
        <f t="shared" si="540"/>
        <v>0.36423771232703334</v>
      </c>
      <c r="AX213" s="943">
        <f t="shared" si="540"/>
        <v>0.38468675619209214</v>
      </c>
      <c r="AY213" s="368">
        <f t="shared" si="540"/>
        <v>0.19133918439842468</v>
      </c>
      <c r="AZ213" s="368">
        <f t="shared" si="540"/>
        <v>0.23854725314965156</v>
      </c>
      <c r="BA213" s="378">
        <f t="shared" si="540"/>
        <v>0.25505101500884475</v>
      </c>
      <c r="BB213" s="943">
        <f t="shared" ref="BB213:BS213" si="541">BB281/BB181</f>
        <v>0.37959078898125609</v>
      </c>
      <c r="BC213" s="368">
        <f t="shared" si="541"/>
        <v>0.36469732585640108</v>
      </c>
      <c r="BD213" s="368">
        <f t="shared" si="541"/>
        <v>0.35287558984865663</v>
      </c>
      <c r="BE213" s="378">
        <f t="shared" si="541"/>
        <v>0.33644172093366265</v>
      </c>
      <c r="BF213" s="368">
        <f t="shared" si="541"/>
        <v>0.33359995901622413</v>
      </c>
      <c r="BG213" s="368">
        <f t="shared" si="541"/>
        <v>0.35705192873852187</v>
      </c>
      <c r="BH213" s="368">
        <f t="shared" si="541"/>
        <v>0.40536822307731851</v>
      </c>
      <c r="BI213" s="378">
        <f t="shared" si="541"/>
        <v>0.44330598554658646</v>
      </c>
      <c r="BJ213" s="368">
        <f t="shared" si="541"/>
        <v>0.42243039372444641</v>
      </c>
      <c r="BK213" s="368">
        <f t="shared" si="541"/>
        <v>0.43551188914552602</v>
      </c>
      <c r="BL213" s="368">
        <f t="shared" si="541"/>
        <v>0.49750234038234342</v>
      </c>
      <c r="BM213" s="378">
        <f t="shared" si="541"/>
        <v>0.51809215562177335</v>
      </c>
      <c r="BN213" s="368">
        <f t="shared" si="541"/>
        <v>0.58897140786433344</v>
      </c>
      <c r="BO213" s="368">
        <f t="shared" si="541"/>
        <v>0.53606606583128869</v>
      </c>
      <c r="BP213" s="368">
        <f t="shared" si="541"/>
        <v>0.64317594474405193</v>
      </c>
      <c r="BQ213" s="378">
        <f t="shared" si="541"/>
        <v>0.72468197573841897</v>
      </c>
      <c r="BR213" s="368">
        <f t="shared" si="541"/>
        <v>0.65098901341779558</v>
      </c>
      <c r="BS213" s="368">
        <f t="shared" si="541"/>
        <v>0.61112046635705741</v>
      </c>
      <c r="BT213" s="368"/>
      <c r="BU213" s="378"/>
      <c r="BV213" s="368"/>
      <c r="BW213" s="368"/>
      <c r="BX213" s="1492"/>
      <c r="BY213" s="1496"/>
      <c r="BZ213" s="368"/>
      <c r="CA213" s="368"/>
      <c r="CB213" s="1492"/>
      <c r="CC213" s="1496"/>
      <c r="CD213" s="22"/>
      <c r="CE213" s="19"/>
      <c r="CF213" s="19"/>
      <c r="CG213" s="19"/>
      <c r="CH213" s="19"/>
      <c r="CI213" s="19"/>
      <c r="CJ213" s="19"/>
      <c r="CK213" s="19"/>
      <c r="CL213" s="19"/>
      <c r="CM213" s="19"/>
      <c r="CN213" s="368"/>
      <c r="CO213" s="368">
        <f>CO478/CO181</f>
        <v>0.29794462660751675</v>
      </c>
      <c r="CP213" s="368">
        <f>CP478/CP181</f>
        <v>0.26680919865872355</v>
      </c>
      <c r="CQ213" s="368">
        <f>CQ281/CQ181</f>
        <v>0.36008193138853611</v>
      </c>
      <c r="CR213" s="368">
        <f>CR281/CR181</f>
        <v>0.38294207874440217</v>
      </c>
      <c r="CS213" s="368">
        <f>CS281/CS181</f>
        <v>0.46218136311411118</v>
      </c>
      <c r="CT213" s="368">
        <f>CT281/CT181</f>
        <v>0.62035586649228569</v>
      </c>
      <c r="CU213" s="368">
        <f>CU281/CU181</f>
        <v>0.36957833451052813</v>
      </c>
      <c r="CV213" s="368"/>
      <c r="CW213" s="368"/>
      <c r="CX213" s="368"/>
      <c r="CY213" s="368"/>
      <c r="CZ213" s="368"/>
      <c r="DA213" s="368"/>
      <c r="DB213" s="368"/>
      <c r="DC213" s="368"/>
      <c r="DD213" s="1525"/>
      <c r="DE213" s="1564"/>
      <c r="DF213" s="19"/>
      <c r="DG213" s="26"/>
      <c r="DH213" s="19"/>
      <c r="DI213" s="19"/>
      <c r="DJ213" s="19"/>
      <c r="DK213" s="19"/>
      <c r="DL213" s="1471"/>
      <c r="DM213" s="1471"/>
      <c r="DN213" s="1471"/>
      <c r="DO213" s="1471"/>
      <c r="DP213" s="368">
        <f t="shared" ref="DP213:DW213" si="542">DP478/DP181</f>
        <v>0.27689435074975727</v>
      </c>
      <c r="DQ213" s="368">
        <f t="shared" si="542"/>
        <v>0.30177322947102719</v>
      </c>
      <c r="DR213" s="368">
        <f t="shared" si="542"/>
        <v>0.317621866901318</v>
      </c>
      <c r="DS213" s="943">
        <f t="shared" si="542"/>
        <v>0.40683542750392837</v>
      </c>
      <c r="DT213" s="368">
        <f t="shared" si="542"/>
        <v>0.5384029111901778</v>
      </c>
      <c r="DU213" s="368">
        <f t="shared" si="542"/>
        <v>0.69584352072253319</v>
      </c>
      <c r="DV213" s="368">
        <f t="shared" si="542"/>
        <v>0.63954006780055483</v>
      </c>
      <c r="DW213" s="378">
        <f t="shared" si="542"/>
        <v>0</v>
      </c>
      <c r="DX213" s="368"/>
      <c r="DY213" s="368"/>
      <c r="DZ213" s="1684"/>
      <c r="EA213"/>
      <c r="EB213"/>
      <c r="EC213"/>
      <c r="ED213"/>
      <c r="EE213"/>
      <c r="EF213"/>
    </row>
    <row r="214" spans="1:136" s="1464" customFormat="1" ht="11.25" hidden="1" customHeight="1" outlineLevel="1">
      <c r="A214" s="18"/>
      <c r="B214" s="1468"/>
      <c r="C214" s="1469"/>
      <c r="D214" s="1469" t="s">
        <v>565</v>
      </c>
      <c r="E214" s="1470"/>
      <c r="F214" s="761"/>
      <c r="G214" s="761"/>
      <c r="H214" s="761"/>
      <c r="I214" s="743"/>
      <c r="J214" s="762"/>
      <c r="K214" s="761"/>
      <c r="L214" s="761"/>
      <c r="M214" s="743"/>
      <c r="N214" s="762"/>
      <c r="O214" s="761"/>
      <c r="P214" s="761"/>
      <c r="Q214" s="743"/>
      <c r="R214" s="762"/>
      <c r="S214" s="761"/>
      <c r="T214" s="761"/>
      <c r="U214" s="743"/>
      <c r="V214" s="762"/>
      <c r="W214" s="761"/>
      <c r="X214" s="761"/>
      <c r="Y214" s="743"/>
      <c r="Z214" s="762"/>
      <c r="AA214" s="761"/>
      <c r="AB214" s="761"/>
      <c r="AC214" s="743"/>
      <c r="AD214" s="762"/>
      <c r="AE214" s="761"/>
      <c r="AF214" s="761"/>
      <c r="AG214" s="761"/>
      <c r="AH214" s="762"/>
      <c r="AI214" s="761"/>
      <c r="AJ214" s="761"/>
      <c r="AK214" s="743"/>
      <c r="AL214" s="762"/>
      <c r="AM214" s="761"/>
      <c r="AN214" s="761"/>
      <c r="AO214" s="743"/>
      <c r="AP214" s="762"/>
      <c r="AQ214" s="368"/>
      <c r="AR214" s="368">
        <f t="shared" ref="AR214:BA214" si="543">AR488/AR182</f>
        <v>0.53160306212470476</v>
      </c>
      <c r="AS214" s="378">
        <f t="shared" si="543"/>
        <v>0.37105751391465674</v>
      </c>
      <c r="AT214" s="943">
        <f t="shared" si="543"/>
        <v>0.5117399157134257</v>
      </c>
      <c r="AU214" s="368">
        <f t="shared" si="543"/>
        <v>0.48859060402684562</v>
      </c>
      <c r="AV214" s="368">
        <f t="shared" si="543"/>
        <v>0.42857142857142855</v>
      </c>
      <c r="AW214" s="378">
        <f t="shared" si="543"/>
        <v>0.40794967908670532</v>
      </c>
      <c r="AX214" s="943">
        <f t="shared" si="543"/>
        <v>0.4707932027859405</v>
      </c>
      <c r="AY214" s="368">
        <f t="shared" si="543"/>
        <v>0.48582718424976706</v>
      </c>
      <c r="AZ214" s="368">
        <f t="shared" si="543"/>
        <v>0.34752615496594158</v>
      </c>
      <c r="BA214" s="378">
        <f t="shared" si="543"/>
        <v>0.52799640702369433</v>
      </c>
      <c r="BB214" s="943">
        <f t="shared" ref="BB214:BS214" si="544">BB307/BB182</f>
        <v>0.52697482709542409</v>
      </c>
      <c r="BC214" s="368">
        <f t="shared" si="544"/>
        <v>0.50306842940772389</v>
      </c>
      <c r="BD214" s="368">
        <f t="shared" si="544"/>
        <v>0.4910215280366198</v>
      </c>
      <c r="BE214" s="378">
        <f t="shared" si="544"/>
        <v>0.46537480284337568</v>
      </c>
      <c r="BF214" s="368">
        <f t="shared" si="544"/>
        <v>0.48490424894457684</v>
      </c>
      <c r="BG214" s="368">
        <f t="shared" si="544"/>
        <v>0.49454660663905192</v>
      </c>
      <c r="BH214" s="368">
        <f t="shared" si="544"/>
        <v>0.45899783504052533</v>
      </c>
      <c r="BI214" s="378">
        <f t="shared" si="544"/>
        <v>0.5030463786864503</v>
      </c>
      <c r="BJ214" s="368">
        <f t="shared" si="544"/>
        <v>0.49926060465575178</v>
      </c>
      <c r="BK214" s="368">
        <f t="shared" si="544"/>
        <v>0.50750740553616114</v>
      </c>
      <c r="BL214" s="368">
        <f t="shared" si="544"/>
        <v>0.4818133391690288</v>
      </c>
      <c r="BM214" s="378">
        <f t="shared" si="544"/>
        <v>0.41026758454294032</v>
      </c>
      <c r="BN214" s="368">
        <f t="shared" si="544"/>
        <v>0.3943877913016004</v>
      </c>
      <c r="BO214" s="368">
        <f t="shared" si="544"/>
        <v>0.53354478220193724</v>
      </c>
      <c r="BP214" s="368">
        <f t="shared" si="544"/>
        <v>0.50793202790556835</v>
      </c>
      <c r="BQ214" s="378">
        <f t="shared" si="544"/>
        <v>0.4361933843051608</v>
      </c>
      <c r="BR214" s="368">
        <f t="shared" si="544"/>
        <v>0.39752403004827186</v>
      </c>
      <c r="BS214" s="368">
        <f t="shared" si="544"/>
        <v>0.50999928187288035</v>
      </c>
      <c r="BT214" s="368"/>
      <c r="BU214" s="378"/>
      <c r="BV214" s="368"/>
      <c r="BW214" s="368"/>
      <c r="BX214" s="1492"/>
      <c r="BY214" s="1496"/>
      <c r="BZ214" s="368"/>
      <c r="CA214" s="368"/>
      <c r="CB214" s="1492"/>
      <c r="CC214" s="1496"/>
      <c r="CD214" s="22"/>
      <c r="CE214" s="19"/>
      <c r="CF214" s="19"/>
      <c r="CG214" s="19"/>
      <c r="CH214" s="19"/>
      <c r="CI214" s="19"/>
      <c r="CJ214" s="19"/>
      <c r="CK214" s="19"/>
      <c r="CL214" s="19"/>
      <c r="CM214" s="19"/>
      <c r="CN214" s="368"/>
      <c r="CO214" s="368">
        <f>CO488/CO182</f>
        <v>0.45842607049131318</v>
      </c>
      <c r="CP214" s="368">
        <f>CP488/CP182</f>
        <v>0.4572700252931382</v>
      </c>
      <c r="CQ214" s="368">
        <f>CQ307/CQ182</f>
        <v>0.49749179268554117</v>
      </c>
      <c r="CR214" s="368">
        <f>CR307/CR182</f>
        <v>0.48479439843668137</v>
      </c>
      <c r="CS214" s="368">
        <f>CS307/CS182</f>
        <v>0.47681402061259759</v>
      </c>
      <c r="CT214" s="368">
        <f>CT307/CT182</f>
        <v>0.46326556185645179</v>
      </c>
      <c r="CU214" s="368">
        <f>CU307/CU182</f>
        <v>0.25292671225777419</v>
      </c>
      <c r="CV214" s="368"/>
      <c r="CW214" s="368"/>
      <c r="CX214" s="368"/>
      <c r="CY214" s="368"/>
      <c r="CZ214" s="368"/>
      <c r="DA214" s="368"/>
      <c r="DB214" s="368"/>
      <c r="DC214" s="368"/>
      <c r="DD214" s="1525"/>
      <c r="DE214" s="1564"/>
      <c r="DF214" s="19"/>
      <c r="DG214" s="26"/>
      <c r="DH214" s="19"/>
      <c r="DI214" s="19"/>
      <c r="DJ214" s="19"/>
      <c r="DK214" s="19"/>
      <c r="DL214" s="1471"/>
      <c r="DM214" s="1471"/>
      <c r="DN214" s="1471"/>
      <c r="DO214" s="1471"/>
      <c r="DP214" s="368">
        <f t="shared" ref="DP214:DW214" si="545">DP488/DP182</f>
        <v>0.47074190512168729</v>
      </c>
      <c r="DQ214" s="368">
        <f t="shared" si="545"/>
        <v>0.44574910132836254</v>
      </c>
      <c r="DR214" s="368">
        <f t="shared" si="545"/>
        <v>0.48057281939500451</v>
      </c>
      <c r="DS214" s="943">
        <f t="shared" si="545"/>
        <v>0.49806076800714527</v>
      </c>
      <c r="DT214" s="368">
        <f t="shared" si="545"/>
        <v>0.51154554978637101</v>
      </c>
      <c r="DU214" s="368">
        <f t="shared" si="545"/>
        <v>0.49312168058739442</v>
      </c>
      <c r="DV214" s="368">
        <f t="shared" si="545"/>
        <v>0.39373890491980368</v>
      </c>
      <c r="DW214" s="378">
        <f t="shared" si="545"/>
        <v>0</v>
      </c>
      <c r="DX214" s="368"/>
      <c r="DY214" s="368"/>
      <c r="DZ214" s="1684"/>
      <c r="EA214"/>
      <c r="EB214"/>
      <c r="EC214"/>
      <c r="ED214"/>
      <c r="EE214"/>
      <c r="EF214"/>
    </row>
    <row r="215" spans="1:136" ht="11.25" hidden="1" customHeight="1" outlineLevel="1">
      <c r="A215" s="3"/>
      <c r="B215" s="502"/>
      <c r="C215" s="1231"/>
      <c r="D215" s="1231"/>
      <c r="E215" s="741"/>
      <c r="F215" s="201"/>
      <c r="G215" s="201"/>
      <c r="H215" s="201"/>
      <c r="I215" s="202"/>
      <c r="J215" s="207"/>
      <c r="K215" s="201"/>
      <c r="L215" s="201"/>
      <c r="M215" s="202"/>
      <c r="N215" s="207"/>
      <c r="O215" s="201"/>
      <c r="P215" s="201"/>
      <c r="Q215" s="202"/>
      <c r="R215" s="207"/>
      <c r="S215" s="201"/>
      <c r="T215" s="201"/>
      <c r="U215" s="202"/>
      <c r="V215" s="207"/>
      <c r="W215" s="201"/>
      <c r="X215" s="201"/>
      <c r="Y215" s="202"/>
      <c r="Z215" s="207"/>
      <c r="AA215" s="201"/>
      <c r="AB215" s="201"/>
      <c r="AC215" s="202"/>
      <c r="AD215" s="207"/>
      <c r="AE215" s="201"/>
      <c r="AF215" s="201"/>
      <c r="AG215" s="201"/>
      <c r="AH215" s="207"/>
      <c r="AI215" s="201"/>
      <c r="AJ215" s="201"/>
      <c r="AK215" s="202"/>
      <c r="AL215" s="207"/>
      <c r="AM215" s="201"/>
      <c r="AN215" s="201"/>
      <c r="AO215" s="202"/>
      <c r="AP215" s="207"/>
      <c r="AQ215" s="364"/>
      <c r="AR215" s="364"/>
      <c r="AS215" s="202"/>
      <c r="AT215" s="207"/>
      <c r="AU215" s="201"/>
      <c r="AV215" s="201"/>
      <c r="AW215" s="202"/>
      <c r="AX215" s="207"/>
      <c r="AY215" s="201"/>
      <c r="AZ215" s="201"/>
      <c r="BA215" s="202"/>
      <c r="BB215" s="1289"/>
      <c r="BC215" s="1290"/>
      <c r="BD215" s="201"/>
      <c r="BE215" s="202"/>
      <c r="BF215" s="201"/>
      <c r="BG215" s="201"/>
      <c r="BH215" s="201"/>
      <c r="BI215" s="202"/>
      <c r="BJ215" s="201"/>
      <c r="BK215" s="201"/>
      <c r="BL215" s="201"/>
      <c r="BM215" s="202"/>
      <c r="BN215" s="201"/>
      <c r="BO215" s="201"/>
      <c r="BP215" s="201"/>
      <c r="BQ215" s="202"/>
      <c r="BR215" s="201"/>
      <c r="BS215" s="201"/>
      <c r="BT215" s="1493"/>
      <c r="BU215" s="1497"/>
      <c r="BV215" s="201"/>
      <c r="BW215" s="201"/>
      <c r="BX215" s="1493"/>
      <c r="BY215" s="1497"/>
      <c r="BZ215" s="201"/>
      <c r="CA215" s="201"/>
      <c r="CB215" s="1493"/>
      <c r="CC215" s="1497"/>
      <c r="CD215" s="9"/>
      <c r="CE215" s="24"/>
      <c r="CF215" s="24"/>
      <c r="CG215" s="24"/>
      <c r="CH215" s="24"/>
      <c r="CI215" s="24"/>
      <c r="CJ215" s="24"/>
      <c r="CK215" s="24"/>
      <c r="CL215" s="24"/>
      <c r="CM215" s="24"/>
      <c r="CN215" s="24"/>
      <c r="CO215" s="201"/>
      <c r="CP215" s="201"/>
      <c r="CQ215" s="201"/>
      <c r="CR215" s="201"/>
      <c r="CS215" s="201"/>
      <c r="CT215" s="201"/>
      <c r="CU215" s="201"/>
      <c r="CV215" s="201"/>
      <c r="CW215" s="201"/>
      <c r="CX215" s="201"/>
      <c r="CY215" s="201"/>
      <c r="CZ215" s="201"/>
      <c r="DA215" s="201"/>
      <c r="DB215" s="201"/>
      <c r="DC215" s="201"/>
      <c r="DD215" s="1517"/>
      <c r="DE215" s="1483"/>
      <c r="DF215" s="24"/>
      <c r="DG215" s="23"/>
      <c r="DH215" s="24"/>
      <c r="DI215" s="24"/>
      <c r="DJ215" s="24"/>
      <c r="DK215" s="24"/>
      <c r="DL215" s="141"/>
      <c r="DM215" s="141"/>
      <c r="DN215" s="141"/>
      <c r="DO215" s="141"/>
      <c r="DP215" s="201"/>
      <c r="DQ215" s="368"/>
      <c r="DR215" s="368"/>
      <c r="DS215" s="943"/>
      <c r="DT215" s="368"/>
      <c r="DU215" s="368"/>
      <c r="DV215" s="368"/>
      <c r="DW215" s="378"/>
      <c r="DX215" s="368"/>
      <c r="DY215" s="368"/>
      <c r="DZ215" s="1561"/>
    </row>
    <row r="216" spans="1:136" hidden="1" outlineLevel="1">
      <c r="A216" s="4"/>
      <c r="B216" s="224" t="s">
        <v>933</v>
      </c>
      <c r="C216" s="188"/>
      <c r="D216" s="188"/>
      <c r="E216" s="1209"/>
      <c r="F216" s="188"/>
      <c r="G216" s="188"/>
      <c r="H216" s="188"/>
      <c r="I216" s="198"/>
      <c r="J216" s="209"/>
      <c r="K216" s="188"/>
      <c r="L216" s="188"/>
      <c r="M216" s="198"/>
      <c r="N216" s="209"/>
      <c r="O216" s="188"/>
      <c r="P216" s="188"/>
      <c r="Q216" s="198"/>
      <c r="R216" s="209"/>
      <c r="S216" s="188"/>
      <c r="T216" s="188"/>
      <c r="U216" s="198"/>
      <c r="V216" s="209"/>
      <c r="W216" s="188"/>
      <c r="X216" s="188"/>
      <c r="Y216" s="198"/>
      <c r="Z216" s="209"/>
      <c r="AA216" s="188"/>
      <c r="AB216" s="188"/>
      <c r="AC216" s="198"/>
      <c r="AD216" s="209"/>
      <c r="AE216" s="188"/>
      <c r="AF216" s="188"/>
      <c r="AG216" s="188"/>
      <c r="AH216" s="209"/>
      <c r="AI216" s="188"/>
      <c r="AJ216" s="188"/>
      <c r="AK216" s="198"/>
      <c r="AL216" s="209"/>
      <c r="AM216" s="188"/>
      <c r="AN216" s="188"/>
      <c r="AO216" s="198"/>
      <c r="AP216" s="209"/>
      <c r="AQ216" s="1027"/>
      <c r="AR216" s="1027">
        <f t="shared" ref="AR216:BA216" si="546">AR398/AR184</f>
        <v>0.31531626041345262</v>
      </c>
      <c r="AS216" s="1029">
        <f t="shared" si="546"/>
        <v>0.31556542426645517</v>
      </c>
      <c r="AT216" s="1030">
        <f t="shared" si="546"/>
        <v>0.30842553191489364</v>
      </c>
      <c r="AU216" s="1027">
        <f t="shared" si="546"/>
        <v>0.31192353643966547</v>
      </c>
      <c r="AV216" s="1027">
        <f t="shared" si="546"/>
        <v>0.31183979974968712</v>
      </c>
      <c r="AW216" s="1029">
        <f t="shared" si="546"/>
        <v>0.3247374773687387</v>
      </c>
      <c r="AX216" s="1030">
        <f t="shared" si="546"/>
        <v>0.32707579185520363</v>
      </c>
      <c r="AY216" s="1027">
        <f t="shared" si="546"/>
        <v>0.23963909369423964</v>
      </c>
      <c r="AZ216" s="1027">
        <f t="shared" si="546"/>
        <v>0.30525673536041786</v>
      </c>
      <c r="BA216" s="1029">
        <f t="shared" si="546"/>
        <v>0.45232014740958115</v>
      </c>
      <c r="BB216" s="1030">
        <f t="shared" ref="BB216:BS216" si="547">BB366/BB184</f>
        <v>0.44922409602872421</v>
      </c>
      <c r="BC216" s="1027">
        <f t="shared" si="547"/>
        <v>0.43690139780951287</v>
      </c>
      <c r="BD216" s="1027">
        <f t="shared" si="547"/>
        <v>0.44344425501162243</v>
      </c>
      <c r="BE216" s="1029">
        <f t="shared" si="547"/>
        <v>0.44975298173667755</v>
      </c>
      <c r="BF216" s="1027">
        <f t="shared" si="547"/>
        <v>0.44746536047411345</v>
      </c>
      <c r="BG216" s="1027">
        <f t="shared" si="547"/>
        <v>0.44367949343311663</v>
      </c>
      <c r="BH216" s="1027">
        <f t="shared" si="547"/>
        <v>0.43932173291600823</v>
      </c>
      <c r="BI216" s="1029">
        <f t="shared" si="547"/>
        <v>0.45958814673341769</v>
      </c>
      <c r="BJ216" s="1200">
        <f t="shared" si="547"/>
        <v>0.43980986498789715</v>
      </c>
      <c r="BK216" s="1200">
        <f t="shared" si="547"/>
        <v>0.43335445731259464</v>
      </c>
      <c r="BL216" s="1200">
        <f t="shared" si="547"/>
        <v>0.43812562935283217</v>
      </c>
      <c r="BM216" s="1202">
        <f t="shared" si="547"/>
        <v>0.4379894836294273</v>
      </c>
      <c r="BN216" s="1200">
        <f t="shared" si="547"/>
        <v>0.43389529209068711</v>
      </c>
      <c r="BO216" s="1200">
        <f t="shared" si="547"/>
        <v>0.43119581029460313</v>
      </c>
      <c r="BP216" s="1200">
        <f t="shared" si="547"/>
        <v>0.42646829543215581</v>
      </c>
      <c r="BQ216" s="1202">
        <f t="shared" si="547"/>
        <v>0.40556596271164164</v>
      </c>
      <c r="BR216" s="1200">
        <f t="shared" si="547"/>
        <v>0.41952217152374799</v>
      </c>
      <c r="BS216" s="1200">
        <f t="shared" si="547"/>
        <v>0.40008317532498011</v>
      </c>
      <c r="BT216" s="1200"/>
      <c r="BU216" s="1202"/>
      <c r="BV216" s="1200"/>
      <c r="BW216" s="1200"/>
      <c r="BX216" s="1494"/>
      <c r="BY216" s="1498"/>
      <c r="BZ216" s="1200"/>
      <c r="CA216" s="1200"/>
      <c r="CB216" s="1494"/>
      <c r="CC216" s="1498"/>
      <c r="CD216" s="109"/>
      <c r="CE216" s="31"/>
      <c r="CF216" s="31"/>
      <c r="CG216" s="31"/>
      <c r="CH216" s="31"/>
      <c r="CI216" s="31"/>
      <c r="CJ216" s="31"/>
      <c r="CK216" s="31"/>
      <c r="CL216" s="238"/>
      <c r="CM216" s="238"/>
      <c r="CN216" s="238"/>
      <c r="CO216" s="1200">
        <f>CO398/CO184</f>
        <v>0.31425768177669605</v>
      </c>
      <c r="CP216" s="1200">
        <f>CP398/CP184</f>
        <v>0.33731789976923032</v>
      </c>
      <c r="CQ216" s="1200">
        <f>CQ366/CQ184</f>
        <v>0.44483672940701485</v>
      </c>
      <c r="CR216" s="1200">
        <f>CR366/CR184</f>
        <v>0.44747616849686428</v>
      </c>
      <c r="CS216" s="1200">
        <f>CS366/CS184</f>
        <v>0.43728627070190268</v>
      </c>
      <c r="CT216" s="1200">
        <f>CT366/CT184</f>
        <v>0.42500178024739405</v>
      </c>
      <c r="CU216" s="1200">
        <f>CU366/CU184</f>
        <v>0.40495233258240976</v>
      </c>
      <c r="CV216" s="1200"/>
      <c r="CW216" s="1027"/>
      <c r="CX216" s="1027"/>
      <c r="CY216" s="1027"/>
      <c r="CZ216" s="1027"/>
      <c r="DA216" s="1027"/>
      <c r="DB216" s="1027"/>
      <c r="DC216" s="1027"/>
      <c r="DD216" s="1519"/>
      <c r="DE216" s="1502"/>
      <c r="DF216" s="31"/>
      <c r="DG216" s="92"/>
      <c r="DH216" s="31"/>
      <c r="DI216" s="31"/>
      <c r="DJ216" s="31"/>
      <c r="DK216" s="31"/>
      <c r="DL216" s="181"/>
      <c r="DM216" s="181"/>
      <c r="DN216" s="181"/>
      <c r="DO216" s="181"/>
      <c r="DP216" s="1200">
        <f t="shared" ref="DP216:DW216" si="548">DP398/DP184</f>
        <v>0.31276522272953994</v>
      </c>
      <c r="DQ216" s="1027">
        <f t="shared" si="548"/>
        <v>0.30580636020556679</v>
      </c>
      <c r="DR216" s="1027">
        <f t="shared" si="548"/>
        <v>0.41099530495142877</v>
      </c>
      <c r="DS216" s="1030">
        <f t="shared" si="548"/>
        <v>0.44605100004816634</v>
      </c>
      <c r="DT216" s="1027">
        <f t="shared" si="548"/>
        <v>0.44289899872609456</v>
      </c>
      <c r="DU216" s="1027">
        <f t="shared" si="548"/>
        <v>0.43531956236884023</v>
      </c>
      <c r="DV216" s="1027">
        <f t="shared" si="548"/>
        <v>0.30755928622903694</v>
      </c>
      <c r="DW216" s="1029">
        <f t="shared" si="548"/>
        <v>0</v>
      </c>
      <c r="DX216" s="1027"/>
      <c r="DY216" s="1027"/>
      <c r="DZ216" s="1565"/>
    </row>
    <row r="217" spans="1:136" hidden="1" outlineLevel="1">
      <c r="A217" s="4"/>
      <c r="B217" s="1210"/>
      <c r="C217" s="147" t="s">
        <v>575</v>
      </c>
      <c r="D217" s="147"/>
      <c r="E217" s="1197"/>
      <c r="F217" s="188"/>
      <c r="G217" s="188"/>
      <c r="H217" s="188"/>
      <c r="I217" s="198"/>
      <c r="J217" s="209"/>
      <c r="K217" s="188"/>
      <c r="L217" s="188"/>
      <c r="M217" s="198"/>
      <c r="N217" s="209"/>
      <c r="O217" s="188"/>
      <c r="P217" s="188"/>
      <c r="Q217" s="198"/>
      <c r="R217" s="209"/>
      <c r="S217" s="188"/>
      <c r="T217" s="188"/>
      <c r="U217" s="198"/>
      <c r="V217" s="209"/>
      <c r="W217" s="188"/>
      <c r="X217" s="188"/>
      <c r="Y217" s="198"/>
      <c r="Z217" s="209"/>
      <c r="AA217" s="188"/>
      <c r="AB217" s="188"/>
      <c r="AC217" s="198"/>
      <c r="AD217" s="209"/>
      <c r="AE217" s="188"/>
      <c r="AF217" s="188"/>
      <c r="AG217" s="188"/>
      <c r="AH217" s="209"/>
      <c r="AI217" s="188"/>
      <c r="AJ217" s="188"/>
      <c r="AK217" s="198"/>
      <c r="AL217" s="209"/>
      <c r="AM217" s="188"/>
      <c r="AN217" s="188"/>
      <c r="AO217" s="198"/>
      <c r="AP217" s="209"/>
      <c r="AQ217" s="1027"/>
      <c r="AR217" s="1027">
        <f t="shared" ref="AR217:BA217" si="549">AR409/AR185</f>
        <v>0.18848000000000001</v>
      </c>
      <c r="AS217" s="1029">
        <f t="shared" si="549"/>
        <v>0.19348453608247423</v>
      </c>
      <c r="AT217" s="1030">
        <f t="shared" si="549"/>
        <v>0.17702290076335878</v>
      </c>
      <c r="AU217" s="1027">
        <f t="shared" si="549"/>
        <v>0.16794117647058823</v>
      </c>
      <c r="AV217" s="1027">
        <f t="shared" si="549"/>
        <v>0.16797101449275362</v>
      </c>
      <c r="AW217" s="1029">
        <f t="shared" si="549"/>
        <v>0.16755102040816328</v>
      </c>
      <c r="AX217" s="1030">
        <f t="shared" si="549"/>
        <v>0.16006756756756757</v>
      </c>
      <c r="AY217" s="1027">
        <f t="shared" si="549"/>
        <v>0.13029020556227328</v>
      </c>
      <c r="AZ217" s="1027">
        <f t="shared" si="549"/>
        <v>0.20872777649503579</v>
      </c>
      <c r="BA217" s="1029">
        <f t="shared" si="549"/>
        <v>0.44571412606798466</v>
      </c>
      <c r="BB217" s="1030">
        <f t="shared" ref="BB217:BS217" si="550">BB336/BB185</f>
        <v>0.44663981988403417</v>
      </c>
      <c r="BC217" s="1027">
        <f t="shared" si="550"/>
        <v>0.44411560483314566</v>
      </c>
      <c r="BD217" s="1027">
        <f t="shared" si="550"/>
        <v>0.45374987311057891</v>
      </c>
      <c r="BE217" s="1029">
        <f t="shared" si="550"/>
        <v>0.46334623397817853</v>
      </c>
      <c r="BF217" s="1027">
        <f t="shared" si="550"/>
        <v>0.45804981610021878</v>
      </c>
      <c r="BG217" s="1027">
        <f t="shared" si="550"/>
        <v>0.45408939815223021</v>
      </c>
      <c r="BH217" s="1027">
        <f t="shared" si="550"/>
        <v>0.4199734676122826</v>
      </c>
      <c r="BI217" s="1029">
        <f t="shared" si="550"/>
        <v>0.4262640983252034</v>
      </c>
      <c r="BJ217" s="1200">
        <f t="shared" si="550"/>
        <v>0.41722283479074757</v>
      </c>
      <c r="BK217" s="1200">
        <f t="shared" si="550"/>
        <v>0.422865767565346</v>
      </c>
      <c r="BL217" s="1200">
        <f t="shared" si="550"/>
        <v>0.4055221580679465</v>
      </c>
      <c r="BM217" s="1202">
        <f t="shared" si="550"/>
        <v>0.42291948017759884</v>
      </c>
      <c r="BN217" s="1200">
        <f t="shared" si="550"/>
        <v>0.4303378083013254</v>
      </c>
      <c r="BO217" s="1200">
        <f t="shared" si="550"/>
        <v>0.41541814428236684</v>
      </c>
      <c r="BP217" s="1200">
        <f t="shared" si="550"/>
        <v>0.40584641556550055</v>
      </c>
      <c r="BQ217" s="1202">
        <f t="shared" si="550"/>
        <v>0.36654673943857441</v>
      </c>
      <c r="BR217" s="1200">
        <f t="shared" si="550"/>
        <v>0.37426155850463605</v>
      </c>
      <c r="BS217" s="1200">
        <f t="shared" si="550"/>
        <v>0.37650236826664724</v>
      </c>
      <c r="BT217" s="1200"/>
      <c r="BU217" s="1202"/>
      <c r="BV217" s="1200"/>
      <c r="BW217" s="1200"/>
      <c r="BX217" s="1494"/>
      <c r="BY217" s="1498"/>
      <c r="BZ217" s="1200"/>
      <c r="CA217" s="1200"/>
      <c r="CB217" s="1494"/>
      <c r="CC217" s="1498"/>
      <c r="CD217" s="109"/>
      <c r="CE217" s="31"/>
      <c r="CF217" s="31"/>
      <c r="CG217" s="31"/>
      <c r="CH217" s="31"/>
      <c r="CI217" s="31"/>
      <c r="CJ217" s="31"/>
      <c r="CK217" s="31"/>
      <c r="CL217" s="31"/>
      <c r="CM217" s="31"/>
      <c r="CN217" s="31"/>
      <c r="CO217" s="1200">
        <f>CO409/CO185</f>
        <v>0.17</v>
      </c>
      <c r="CP217" s="1200">
        <f>CP409/CP185</f>
        <v>0.2475378838176141</v>
      </c>
      <c r="CQ217" s="1200">
        <f>CQ336/CQ185</f>
        <v>0.45251518071506047</v>
      </c>
      <c r="CR217" s="1200">
        <f>CR336/CR185</f>
        <v>0.43969052032421718</v>
      </c>
      <c r="CS217" s="1200">
        <f>CS336/CS185</f>
        <v>0.4170496296696275</v>
      </c>
      <c r="CT217" s="1200">
        <f>CT336/CT185</f>
        <v>0.40474584540273018</v>
      </c>
      <c r="CU217" s="1200">
        <f>CU336/CU185</f>
        <v>0.38376324379659005</v>
      </c>
      <c r="CV217" s="1200"/>
      <c r="CW217" s="1027"/>
      <c r="CX217" s="1027"/>
      <c r="CY217" s="1027"/>
      <c r="CZ217" s="1027"/>
      <c r="DA217" s="1027"/>
      <c r="DB217" s="1027"/>
      <c r="DC217" s="1027"/>
      <c r="DD217" s="1519"/>
      <c r="DE217" s="1502"/>
      <c r="DF217" s="31"/>
      <c r="DG217" s="92"/>
      <c r="DH217" s="31"/>
      <c r="DI217" s="31"/>
      <c r="DJ217" s="31"/>
      <c r="DK217" s="31"/>
      <c r="DL217" s="181"/>
      <c r="DM217" s="181"/>
      <c r="DN217" s="181"/>
      <c r="DO217" s="181"/>
      <c r="DP217" s="1200">
        <f t="shared" ref="DP217:DW217" si="551">DP409/DP185</f>
        <v>0.18129566488066245</v>
      </c>
      <c r="DQ217" s="1027">
        <f t="shared" si="551"/>
        <v>0.15697304181702398</v>
      </c>
      <c r="DR217" s="1027">
        <f t="shared" si="551"/>
        <v>0.38079705313896195</v>
      </c>
      <c r="DS217" s="1030">
        <f t="shared" si="551"/>
        <v>0.45736446307518569</v>
      </c>
      <c r="DT217" s="1027">
        <f t="shared" si="551"/>
        <v>0.42149727195613812</v>
      </c>
      <c r="DU217" s="1027">
        <f t="shared" si="551"/>
        <v>0.41821439410624728</v>
      </c>
      <c r="DV217" s="1027">
        <f t="shared" si="551"/>
        <v>0.28435181222131473</v>
      </c>
      <c r="DW217" s="1029">
        <f t="shared" si="551"/>
        <v>0</v>
      </c>
      <c r="DX217" s="1027"/>
      <c r="DY217" s="1027"/>
      <c r="DZ217" s="1565"/>
    </row>
    <row r="218" spans="1:136" hidden="1" outlineLevel="1">
      <c r="A218" s="3"/>
      <c r="B218" s="502"/>
      <c r="C218" s="1231"/>
      <c r="D218" s="1231" t="s">
        <v>663</v>
      </c>
      <c r="E218" s="741"/>
      <c r="F218" s="201"/>
      <c r="G218" s="201"/>
      <c r="H218" s="201"/>
      <c r="I218" s="202"/>
      <c r="J218" s="207"/>
      <c r="K218" s="201"/>
      <c r="L218" s="201"/>
      <c r="M218" s="202"/>
      <c r="N218" s="207"/>
      <c r="O218" s="201"/>
      <c r="P218" s="201"/>
      <c r="Q218" s="202"/>
      <c r="R218" s="207"/>
      <c r="S218" s="201"/>
      <c r="T218" s="201"/>
      <c r="U218" s="202"/>
      <c r="V218" s="207"/>
      <c r="W218" s="201"/>
      <c r="X218" s="201"/>
      <c r="Y218" s="202"/>
      <c r="Z218" s="207"/>
      <c r="AA218" s="201"/>
      <c r="AB218" s="201"/>
      <c r="AC218" s="202"/>
      <c r="AD218" s="207"/>
      <c r="AE218" s="201"/>
      <c r="AF218" s="201"/>
      <c r="AG218" s="201"/>
      <c r="AH218" s="207"/>
      <c r="AI218" s="201"/>
      <c r="AJ218" s="201"/>
      <c r="AK218" s="202"/>
      <c r="AL218" s="207"/>
      <c r="AM218" s="201"/>
      <c r="AN218" s="201"/>
      <c r="AO218" s="202"/>
      <c r="AP218" s="207"/>
      <c r="AQ218" s="368"/>
      <c r="AR218" s="368"/>
      <c r="AS218" s="378"/>
      <c r="AT218" s="943"/>
      <c r="AU218" s="368"/>
      <c r="AV218" s="368"/>
      <c r="AW218" s="378"/>
      <c r="AX218" s="943"/>
      <c r="AY218" s="368"/>
      <c r="AZ218" s="368"/>
      <c r="BA218" s="378">
        <f>BA419/BA186</f>
        <v>0.42534367769157472</v>
      </c>
      <c r="BB218" s="943">
        <f t="shared" ref="BB218:BS218" si="552">BB346/BB186</f>
        <v>0.41989055361860583</v>
      </c>
      <c r="BC218" s="368">
        <f t="shared" si="552"/>
        <v>0.41603834670467366</v>
      </c>
      <c r="BD218" s="368">
        <f t="shared" si="552"/>
        <v>0.42015753825620505</v>
      </c>
      <c r="BE218" s="378">
        <f t="shared" si="552"/>
        <v>0.42264367753582749</v>
      </c>
      <c r="BF218" s="368">
        <f t="shared" si="552"/>
        <v>0.4146692685257175</v>
      </c>
      <c r="BG218" s="368">
        <f t="shared" si="552"/>
        <v>0.4146692685257175</v>
      </c>
      <c r="BH218" s="368">
        <f t="shared" si="552"/>
        <v>0.40197531132595066</v>
      </c>
      <c r="BI218" s="378">
        <f t="shared" si="552"/>
        <v>0.4145370398048866</v>
      </c>
      <c r="BJ218" s="1180">
        <f t="shared" si="552"/>
        <v>0.40302212203252868</v>
      </c>
      <c r="BK218" s="1180">
        <f t="shared" si="552"/>
        <v>0.40503723264269126</v>
      </c>
      <c r="BL218" s="1180">
        <f t="shared" si="552"/>
        <v>0.39340936950462352</v>
      </c>
      <c r="BM218" s="480">
        <f t="shared" si="552"/>
        <v>0.40327678008107531</v>
      </c>
      <c r="BN218" s="1180">
        <f t="shared" si="552"/>
        <v>0.40536629707631405</v>
      </c>
      <c r="BO218" s="1180">
        <f t="shared" si="552"/>
        <v>0.39664874230047936</v>
      </c>
      <c r="BP218" s="1180">
        <f t="shared" si="552"/>
        <v>0.39022156360579563</v>
      </c>
      <c r="BQ218" s="480">
        <f t="shared" si="552"/>
        <v>0.35343505162004091</v>
      </c>
      <c r="BR218" s="1180">
        <f t="shared" si="552"/>
        <v>0.356801099730708</v>
      </c>
      <c r="BS218" s="1180">
        <f t="shared" si="552"/>
        <v>0.32960101589473478</v>
      </c>
      <c r="BT218" s="1180"/>
      <c r="BU218" s="480"/>
      <c r="BV218" s="1180"/>
      <c r="BW218" s="1180"/>
      <c r="BX218" s="1486"/>
      <c r="BY218" s="1499"/>
      <c r="BZ218" s="1180"/>
      <c r="CA218" s="1180"/>
      <c r="CB218" s="1486"/>
      <c r="CC218" s="1499"/>
      <c r="CD218" s="9"/>
      <c r="CE218" s="24"/>
      <c r="CF218" s="24"/>
      <c r="CG218" s="24"/>
      <c r="CH218" s="24"/>
      <c r="CI218" s="24"/>
      <c r="CJ218" s="24"/>
      <c r="CK218" s="24"/>
      <c r="CL218" s="24"/>
      <c r="CM218" s="24"/>
      <c r="CN218" s="24"/>
      <c r="CO218" s="1180"/>
      <c r="CP218" s="1180"/>
      <c r="CQ218" s="1180">
        <f>CQ346/CQ186</f>
        <v>0.41969747393860646</v>
      </c>
      <c r="CR218" s="1180">
        <f>CR346/CR186</f>
        <v>0.41146469832669458</v>
      </c>
      <c r="CS218" s="1180">
        <f>CS346/CS186</f>
        <v>0.401077163133578</v>
      </c>
      <c r="CT218" s="1180">
        <f>CT346/CT186</f>
        <v>0.38815179209003065</v>
      </c>
      <c r="CU218" s="1180">
        <f>CU346/CU186</f>
        <v>0.17980265629349493</v>
      </c>
      <c r="CV218" s="1180"/>
      <c r="CW218" s="368"/>
      <c r="CX218" s="368"/>
      <c r="CY218" s="368"/>
      <c r="CZ218" s="368"/>
      <c r="DA218" s="368"/>
      <c r="DB218" s="368"/>
      <c r="DC218" s="368"/>
      <c r="DD218" s="1517"/>
      <c r="DE218" s="1483"/>
      <c r="DF218" s="24"/>
      <c r="DG218" s="23"/>
      <c r="DH218" s="24"/>
      <c r="DI218" s="24"/>
      <c r="DJ218" s="24"/>
      <c r="DK218" s="24"/>
      <c r="DL218" s="141"/>
      <c r="DM218" s="141"/>
      <c r="DN218" s="141"/>
      <c r="DO218" s="141"/>
      <c r="DP218" s="1180"/>
      <c r="DQ218" s="368"/>
      <c r="DR218" s="368"/>
      <c r="DS218" s="943">
        <f>DS419/DS186</f>
        <v>0.41792944233031792</v>
      </c>
      <c r="DT218" s="368">
        <f>DT419/DT186</f>
        <v>0.40602112466925566</v>
      </c>
      <c r="DU218" s="368">
        <f>DU419/DU186</f>
        <v>0.3995599516432729</v>
      </c>
      <c r="DV218" s="368">
        <f>DV419/DV186</f>
        <v>0.26331623120196213</v>
      </c>
      <c r="DW218" s="378">
        <f>DW419/DW186</f>
        <v>0</v>
      </c>
      <c r="DX218" s="368"/>
      <c r="DY218" s="368"/>
      <c r="DZ218" s="1561"/>
    </row>
    <row r="219" spans="1:136" hidden="1" outlineLevel="1">
      <c r="A219" s="3"/>
      <c r="B219" s="502"/>
      <c r="C219" s="1231"/>
      <c r="D219" s="1231" t="s">
        <v>664</v>
      </c>
      <c r="E219" s="741"/>
      <c r="F219" s="201"/>
      <c r="G219" s="201"/>
      <c r="H219" s="201"/>
      <c r="I219" s="202"/>
      <c r="J219" s="207"/>
      <c r="K219" s="201"/>
      <c r="L219" s="201"/>
      <c r="M219" s="202"/>
      <c r="N219" s="207"/>
      <c r="O219" s="201"/>
      <c r="P219" s="201"/>
      <c r="Q219" s="202"/>
      <c r="R219" s="207"/>
      <c r="S219" s="201"/>
      <c r="T219" s="201"/>
      <c r="U219" s="202"/>
      <c r="V219" s="207"/>
      <c r="W219" s="201"/>
      <c r="X219" s="201"/>
      <c r="Y219" s="202"/>
      <c r="Z219" s="207"/>
      <c r="AA219" s="201"/>
      <c r="AB219" s="201"/>
      <c r="AC219" s="202"/>
      <c r="AD219" s="207"/>
      <c r="AE219" s="201"/>
      <c r="AF219" s="201"/>
      <c r="AG219" s="201"/>
      <c r="AH219" s="207"/>
      <c r="AI219" s="201"/>
      <c r="AJ219" s="201"/>
      <c r="AK219" s="202"/>
      <c r="AL219" s="207"/>
      <c r="AM219" s="201"/>
      <c r="AN219" s="201"/>
      <c r="AO219" s="202"/>
      <c r="AP219" s="207"/>
      <c r="AQ219" s="368"/>
      <c r="AR219" s="368">
        <f t="shared" ref="AR219:BA219" si="553">AR429/AR187</f>
        <v>0.47120000000000001</v>
      </c>
      <c r="AS219" s="378">
        <f t="shared" si="553"/>
        <v>0.46</v>
      </c>
      <c r="AT219" s="943">
        <f t="shared" si="553"/>
        <v>0.38650000000000001</v>
      </c>
      <c r="AU219" s="368">
        <f t="shared" si="553"/>
        <v>0.40968609865470851</v>
      </c>
      <c r="AV219" s="368">
        <f t="shared" si="553"/>
        <v>0.4013852813852814</v>
      </c>
      <c r="AW219" s="378">
        <f t="shared" si="553"/>
        <v>0.36761194029850747</v>
      </c>
      <c r="AX219" s="943">
        <f t="shared" si="553"/>
        <v>0.34333333333333332</v>
      </c>
      <c r="AY219" s="368">
        <f t="shared" si="553"/>
        <v>0.30103020778767242</v>
      </c>
      <c r="AZ219" s="368">
        <f t="shared" si="553"/>
        <v>0.40110753573299412</v>
      </c>
      <c r="BA219" s="378">
        <f t="shared" si="553"/>
        <v>0.4663487376949923</v>
      </c>
      <c r="BB219" s="943">
        <f t="shared" ref="BB219:BS219" si="554">BB356/BB187</f>
        <v>0.47559187035496087</v>
      </c>
      <c r="BC219" s="368">
        <f t="shared" si="554"/>
        <v>0.47317213791958879</v>
      </c>
      <c r="BD219" s="368">
        <f t="shared" si="554"/>
        <v>0.48509951916472971</v>
      </c>
      <c r="BE219" s="378">
        <f t="shared" si="554"/>
        <v>0.49752278060606525</v>
      </c>
      <c r="BF219" s="368">
        <f t="shared" si="554"/>
        <v>0.49907263185259876</v>
      </c>
      <c r="BG219" s="368">
        <f t="shared" si="554"/>
        <v>0.49063611034260235</v>
      </c>
      <c r="BH219" s="368">
        <f t="shared" si="554"/>
        <v>0.43632597520437544</v>
      </c>
      <c r="BI219" s="378">
        <f t="shared" si="554"/>
        <v>0.43649270941281493</v>
      </c>
      <c r="BJ219" s="1180">
        <f t="shared" si="554"/>
        <v>0.4288550822299263</v>
      </c>
      <c r="BK219" s="1180">
        <f t="shared" si="554"/>
        <v>0.43690798862720576</v>
      </c>
      <c r="BL219" s="1180">
        <f t="shared" si="554"/>
        <v>0.41635875073499107</v>
      </c>
      <c r="BM219" s="480">
        <f t="shared" si="554"/>
        <v>0.44045439347955834</v>
      </c>
      <c r="BN219" s="1180">
        <f t="shared" si="554"/>
        <v>0.4519575995054006</v>
      </c>
      <c r="BO219" s="1180">
        <f t="shared" si="554"/>
        <v>0.42941132034022672</v>
      </c>
      <c r="BP219" s="1180">
        <f t="shared" si="554"/>
        <v>0.41606425999041036</v>
      </c>
      <c r="BQ219" s="480">
        <f t="shared" si="554"/>
        <v>0.37409847389166123</v>
      </c>
      <c r="BR219" s="1180">
        <f t="shared" si="554"/>
        <v>0.38422311481315347</v>
      </c>
      <c r="BS219" s="1180">
        <f t="shared" si="554"/>
        <v>0.40946965438211691</v>
      </c>
      <c r="BT219" s="1180"/>
      <c r="BU219" s="480"/>
      <c r="BV219" s="1180"/>
      <c r="BW219" s="1180"/>
      <c r="BX219" s="1486"/>
      <c r="BY219" s="1499"/>
      <c r="BZ219" s="1180"/>
      <c r="CA219" s="1180"/>
      <c r="CB219" s="1486"/>
      <c r="CC219" s="1499"/>
      <c r="CD219" s="9"/>
      <c r="CE219" s="24"/>
      <c r="CF219" s="24"/>
      <c r="CG219" s="24"/>
      <c r="CH219" s="24"/>
      <c r="CI219" s="24"/>
      <c r="CJ219" s="24"/>
      <c r="CK219" s="24"/>
      <c r="CL219" s="24"/>
      <c r="CM219" s="24"/>
      <c r="CN219" s="24"/>
      <c r="CO219" s="1180">
        <f>CO429/CO187</f>
        <v>0.39018711018711016</v>
      </c>
      <c r="CP219" s="1180">
        <f>CP429/CP187</f>
        <v>0.38765451708130294</v>
      </c>
      <c r="CQ219" s="1180">
        <f>CQ356/CQ187</f>
        <v>0.48402278276392091</v>
      </c>
      <c r="CR219" s="1180">
        <f>CR356/CR187</f>
        <v>0.46546712382058802</v>
      </c>
      <c r="CS219" s="1180">
        <f>CS356/CS187</f>
        <v>0.43056241670195661</v>
      </c>
      <c r="CT219" s="1180">
        <f>CT356/CT187</f>
        <v>0.41644700278619007</v>
      </c>
      <c r="CU219" s="1180">
        <f>CU356/CU187</f>
        <v>0.21034839674190264</v>
      </c>
      <c r="CV219" s="1180"/>
      <c r="CW219" s="368"/>
      <c r="CX219" s="368"/>
      <c r="CY219" s="368"/>
      <c r="CZ219" s="368"/>
      <c r="DA219" s="368"/>
      <c r="DB219" s="368"/>
      <c r="DC219" s="368"/>
      <c r="DD219" s="1517"/>
      <c r="DE219" s="1483"/>
      <c r="DF219" s="24"/>
      <c r="DG219" s="23"/>
      <c r="DH219" s="24"/>
      <c r="DI219" s="24"/>
      <c r="DJ219" s="24"/>
      <c r="DK219" s="24"/>
      <c r="DL219" s="141"/>
      <c r="DM219" s="141"/>
      <c r="DN219" s="141"/>
      <c r="DO219" s="141"/>
      <c r="DP219" s="1180">
        <f t="shared" ref="DP219:DW219" si="555">DP429/DP187</f>
        <v>0.42929642445213378</v>
      </c>
      <c r="DQ219" s="368">
        <f t="shared" si="555"/>
        <v>0.35351764799617558</v>
      </c>
      <c r="DR219" s="368">
        <f t="shared" si="555"/>
        <v>0.45284244729151574</v>
      </c>
      <c r="DS219" s="943">
        <f t="shared" si="555"/>
        <v>0.49325306977810157</v>
      </c>
      <c r="DT219" s="368">
        <f t="shared" si="555"/>
        <v>0.43454762622635612</v>
      </c>
      <c r="DU219" s="368">
        <f t="shared" si="555"/>
        <v>0.43404691817019775</v>
      </c>
      <c r="DV219" s="368">
        <f t="shared" si="555"/>
        <v>0.29746966527994095</v>
      </c>
      <c r="DW219" s="378">
        <f t="shared" si="555"/>
        <v>0</v>
      </c>
      <c r="DX219" s="368"/>
      <c r="DY219" s="368"/>
      <c r="DZ219" s="1561"/>
    </row>
    <row r="220" spans="1:136" hidden="1" outlineLevel="1">
      <c r="A220" s="4"/>
      <c r="B220" s="1210"/>
      <c r="C220" s="147" t="s">
        <v>186</v>
      </c>
      <c r="D220" s="147"/>
      <c r="E220" s="1197"/>
      <c r="F220" s="188"/>
      <c r="G220" s="188"/>
      <c r="H220" s="188"/>
      <c r="I220" s="198"/>
      <c r="J220" s="209"/>
      <c r="K220" s="188"/>
      <c r="L220" s="188"/>
      <c r="M220" s="198"/>
      <c r="N220" s="209"/>
      <c r="O220" s="188"/>
      <c r="P220" s="188"/>
      <c r="Q220" s="198"/>
      <c r="R220" s="209"/>
      <c r="S220" s="188"/>
      <c r="T220" s="188"/>
      <c r="U220" s="198"/>
      <c r="V220" s="209"/>
      <c r="W220" s="188"/>
      <c r="X220" s="188"/>
      <c r="Y220" s="198"/>
      <c r="Z220" s="209"/>
      <c r="AA220" s="188"/>
      <c r="AB220" s="188"/>
      <c r="AC220" s="198"/>
      <c r="AD220" s="209"/>
      <c r="AE220" s="188"/>
      <c r="AF220" s="188"/>
      <c r="AG220" s="188"/>
      <c r="AH220" s="209"/>
      <c r="AI220" s="188"/>
      <c r="AJ220" s="188"/>
      <c r="AK220" s="198"/>
      <c r="AL220" s="209"/>
      <c r="AM220" s="188"/>
      <c r="AN220" s="188"/>
      <c r="AO220" s="198"/>
      <c r="AP220" s="209"/>
      <c r="AQ220" s="1027"/>
      <c r="AR220" s="1027">
        <f t="shared" ref="AR220:BA220" si="556">AR440/AR188</f>
        <v>0.31327642276422762</v>
      </c>
      <c r="AS220" s="1029">
        <f t="shared" si="556"/>
        <v>0.33259192825112105</v>
      </c>
      <c r="AT220" s="1030">
        <f t="shared" si="556"/>
        <v>0.30388978930307942</v>
      </c>
      <c r="AU220" s="1027">
        <f t="shared" si="556"/>
        <v>0.30980327868852459</v>
      </c>
      <c r="AV220" s="1027">
        <f t="shared" si="556"/>
        <v>0.31604347826086959</v>
      </c>
      <c r="AW220" s="1029">
        <f t="shared" si="556"/>
        <v>0.3240909090909091</v>
      </c>
      <c r="AX220" s="1030">
        <f t="shared" si="556"/>
        <v>0.317</v>
      </c>
      <c r="AY220" s="1027">
        <f t="shared" si="556"/>
        <v>0.24714452214452215</v>
      </c>
      <c r="AZ220" s="1027">
        <f t="shared" si="556"/>
        <v>0.32667357592507296</v>
      </c>
      <c r="BA220" s="1029">
        <f t="shared" si="556"/>
        <v>0.46789294418064215</v>
      </c>
      <c r="BB220" s="1030">
        <f t="shared" ref="BB220:BS220" si="557">(BB264+BB274)/BB188</f>
        <v>0.44595623322078703</v>
      </c>
      <c r="BC220" s="1027">
        <f t="shared" si="557"/>
        <v>0.42556476775042218</v>
      </c>
      <c r="BD220" s="1027">
        <f t="shared" si="557"/>
        <v>0.43308626996913374</v>
      </c>
      <c r="BE220" s="1029">
        <f t="shared" si="557"/>
        <v>0.44502153086777368</v>
      </c>
      <c r="BF220" s="1027">
        <f t="shared" si="557"/>
        <v>0.43556346855971789</v>
      </c>
      <c r="BG220" s="1027">
        <f t="shared" si="557"/>
        <v>0.42340203925629899</v>
      </c>
      <c r="BH220" s="1027">
        <f t="shared" si="557"/>
        <v>0.41751912401425961</v>
      </c>
      <c r="BI220" s="1029">
        <f t="shared" si="557"/>
        <v>0.42535560150670515</v>
      </c>
      <c r="BJ220" s="1200">
        <f t="shared" si="557"/>
        <v>0.40659854783410537</v>
      </c>
      <c r="BK220" s="1200">
        <f t="shared" si="557"/>
        <v>0.39363702059032751</v>
      </c>
      <c r="BL220" s="1200">
        <f t="shared" si="557"/>
        <v>0.39853970643791198</v>
      </c>
      <c r="BM220" s="1202">
        <f t="shared" si="557"/>
        <v>0.39289288441375947</v>
      </c>
      <c r="BN220" s="1200">
        <f t="shared" si="557"/>
        <v>0.37224094025574972</v>
      </c>
      <c r="BO220" s="1200">
        <f t="shared" si="557"/>
        <v>0.37314077448576177</v>
      </c>
      <c r="BP220" s="1200">
        <f t="shared" si="557"/>
        <v>0.36282577780171621</v>
      </c>
      <c r="BQ220" s="1202">
        <f t="shared" si="557"/>
        <v>0.32557422471320235</v>
      </c>
      <c r="BR220" s="1200">
        <f t="shared" si="557"/>
        <v>0.35473696847590735</v>
      </c>
      <c r="BS220" s="1200">
        <f t="shared" si="557"/>
        <v>0.33704032661387662</v>
      </c>
      <c r="BT220" s="1200"/>
      <c r="BU220" s="1202"/>
      <c r="BV220" s="1200"/>
      <c r="BW220" s="1200"/>
      <c r="BX220" s="1494"/>
      <c r="BY220" s="1498"/>
      <c r="BZ220" s="1200"/>
      <c r="CA220" s="1200"/>
      <c r="CB220" s="1494"/>
      <c r="CC220" s="1498"/>
      <c r="CD220" s="109"/>
      <c r="CE220" s="31"/>
      <c r="CF220" s="31"/>
      <c r="CG220" s="31"/>
      <c r="CH220" s="31"/>
      <c r="CI220" s="31"/>
      <c r="CJ220" s="31"/>
      <c r="CK220" s="31"/>
      <c r="CL220" s="31"/>
      <c r="CM220" s="31"/>
      <c r="CN220" s="31"/>
      <c r="CO220" s="1200">
        <f>CO440/CO188</f>
        <v>0.31336933942667222</v>
      </c>
      <c r="CP220" s="1200">
        <f>CP440/CP188</f>
        <v>0.34553570333481082</v>
      </c>
      <c r="CQ220" s="1200">
        <f>(CQ264+CQ274)/CQ188</f>
        <v>0.43746646944061357</v>
      </c>
      <c r="CR220" s="1200">
        <f>(CR264+CR274)/CR188</f>
        <v>0.42546038931675362</v>
      </c>
      <c r="CS220" s="1200">
        <f>(CS264+CS274)/CS188</f>
        <v>0.39837007593761492</v>
      </c>
      <c r="CT220" s="1200">
        <f>(CT264+CT274)/CT188</f>
        <v>0.36008201872717571</v>
      </c>
      <c r="CU220" s="1200">
        <f>(CU264+CU274)/CU188</f>
        <v>0.32902353070561807</v>
      </c>
      <c r="CV220" s="1200"/>
      <c r="CW220" s="1027"/>
      <c r="CX220" s="1027"/>
      <c r="CY220" s="1027"/>
      <c r="CZ220" s="1027"/>
      <c r="DA220" s="1027"/>
      <c r="DB220" s="1027"/>
      <c r="DC220" s="1027"/>
      <c r="DD220" s="1519"/>
      <c r="DE220" s="1502"/>
      <c r="DF220" s="31"/>
      <c r="DG220" s="92"/>
      <c r="DH220" s="31"/>
      <c r="DI220" s="31"/>
      <c r="DJ220" s="31"/>
      <c r="DK220" s="31"/>
      <c r="DL220" s="181"/>
      <c r="DM220" s="181"/>
      <c r="DN220" s="181"/>
      <c r="DO220" s="181"/>
      <c r="DP220" s="1200">
        <f t="shared" ref="DP220:DW220" si="558">DP440/DP188</f>
        <v>0.31446759741612834</v>
      </c>
      <c r="DQ220" s="1027">
        <f t="shared" si="558"/>
        <v>0.30538955289951308</v>
      </c>
      <c r="DR220" s="1027">
        <f t="shared" si="558"/>
        <v>0.41704250638366347</v>
      </c>
      <c r="DS220" s="1030">
        <f t="shared" si="558"/>
        <v>0.43418122653183322</v>
      </c>
      <c r="DT220" s="1027">
        <f t="shared" si="558"/>
        <v>0.4106717342817397</v>
      </c>
      <c r="DU220" s="1027">
        <f t="shared" si="558"/>
        <v>0.38438788443623473</v>
      </c>
      <c r="DV220" s="1027">
        <f t="shared" si="558"/>
        <v>0.25278665155109387</v>
      </c>
      <c r="DW220" s="1029">
        <f t="shared" si="558"/>
        <v>0</v>
      </c>
      <c r="DX220" s="1027"/>
      <c r="DY220" s="1027"/>
      <c r="DZ220" s="1565"/>
    </row>
    <row r="221" spans="1:136" hidden="1" outlineLevel="1">
      <c r="A221" s="3"/>
      <c r="B221" s="502"/>
      <c r="C221" s="1231"/>
      <c r="D221" s="1231" t="s">
        <v>680</v>
      </c>
      <c r="E221" s="741"/>
      <c r="F221" s="201"/>
      <c r="G221" s="201"/>
      <c r="H221" s="201"/>
      <c r="I221" s="202"/>
      <c r="J221" s="207"/>
      <c r="K221" s="201"/>
      <c r="L221" s="201"/>
      <c r="M221" s="202"/>
      <c r="N221" s="207"/>
      <c r="O221" s="201"/>
      <c r="P221" s="201"/>
      <c r="Q221" s="202"/>
      <c r="R221" s="207"/>
      <c r="S221" s="201"/>
      <c r="T221" s="201"/>
      <c r="U221" s="202"/>
      <c r="V221" s="207"/>
      <c r="W221" s="201"/>
      <c r="X221" s="201"/>
      <c r="Y221" s="202"/>
      <c r="Z221" s="207"/>
      <c r="AA221" s="201"/>
      <c r="AB221" s="201"/>
      <c r="AC221" s="202"/>
      <c r="AD221" s="207"/>
      <c r="AE221" s="201"/>
      <c r="AF221" s="201"/>
      <c r="AG221" s="201"/>
      <c r="AH221" s="207"/>
      <c r="AI221" s="201"/>
      <c r="AJ221" s="201"/>
      <c r="AK221" s="202"/>
      <c r="AL221" s="207"/>
      <c r="AM221" s="201"/>
      <c r="AN221" s="201"/>
      <c r="AO221" s="202"/>
      <c r="AP221" s="207"/>
      <c r="AQ221" s="368"/>
      <c r="AR221" s="368">
        <f t="shared" ref="AR221:BA221" si="559">AR450/AR189</f>
        <v>0.25480597014925371</v>
      </c>
      <c r="AS221" s="378">
        <f t="shared" si="559"/>
        <v>0.27544262295081967</v>
      </c>
      <c r="AT221" s="943">
        <f t="shared" si="559"/>
        <v>0.23858992805755397</v>
      </c>
      <c r="AU221" s="368">
        <f t="shared" si="559"/>
        <v>0.25755555555555554</v>
      </c>
      <c r="AV221" s="368">
        <f t="shared" si="559"/>
        <v>0.253546875</v>
      </c>
      <c r="AW221" s="378">
        <f t="shared" si="559"/>
        <v>0.24444927536231884</v>
      </c>
      <c r="AX221" s="943">
        <f t="shared" si="559"/>
        <v>0.25156410256410255</v>
      </c>
      <c r="AY221" s="368">
        <f t="shared" si="559"/>
        <v>0.17974358974358975</v>
      </c>
      <c r="AZ221" s="368">
        <f t="shared" si="559"/>
        <v>0.28042155584528466</v>
      </c>
      <c r="BA221" s="378">
        <f t="shared" si="559"/>
        <v>0.46667555219879897</v>
      </c>
      <c r="BB221" s="943">
        <f t="shared" ref="BB221:BS221" si="560">BB264/BB189</f>
        <v>0.44412220093642724</v>
      </c>
      <c r="BC221" s="368">
        <f t="shared" si="560"/>
        <v>0.41291160822802009</v>
      </c>
      <c r="BD221" s="368">
        <f t="shared" si="560"/>
        <v>0.41356419014034068</v>
      </c>
      <c r="BE221" s="378">
        <f t="shared" si="560"/>
        <v>0.46508578415503404</v>
      </c>
      <c r="BF221" s="368">
        <f t="shared" si="560"/>
        <v>0.43980741530297668</v>
      </c>
      <c r="BG221" s="368">
        <f t="shared" si="560"/>
        <v>0.43070152376358872</v>
      </c>
      <c r="BH221" s="368">
        <f t="shared" si="560"/>
        <v>0.42740711502059964</v>
      </c>
      <c r="BI221" s="378">
        <f t="shared" si="560"/>
        <v>0.4398684208403989</v>
      </c>
      <c r="BJ221" s="1180">
        <f t="shared" si="560"/>
        <v>0.41230763948996496</v>
      </c>
      <c r="BK221" s="1180">
        <f t="shared" si="560"/>
        <v>0.38083656324988746</v>
      </c>
      <c r="BL221" s="1180">
        <f t="shared" si="560"/>
        <v>0.38606180757115255</v>
      </c>
      <c r="BM221" s="480">
        <f t="shared" si="560"/>
        <v>0.37707507048786143</v>
      </c>
      <c r="BN221" s="1180">
        <f t="shared" si="560"/>
        <v>0.35901721341884263</v>
      </c>
      <c r="BO221" s="1180">
        <f t="shared" si="560"/>
        <v>0.34797682075106501</v>
      </c>
      <c r="BP221" s="1180">
        <f t="shared" si="560"/>
        <v>0.34654693496651578</v>
      </c>
      <c r="BQ221" s="480">
        <f t="shared" si="560"/>
        <v>0.32834907170600308</v>
      </c>
      <c r="BR221" s="1180">
        <f t="shared" si="560"/>
        <v>0.37740381672340761</v>
      </c>
      <c r="BS221" s="1180">
        <f t="shared" si="560"/>
        <v>0.33336772805303644</v>
      </c>
      <c r="BT221" s="1180"/>
      <c r="BU221" s="480"/>
      <c r="BV221" s="1180"/>
      <c r="BW221" s="1180"/>
      <c r="BX221" s="1486"/>
      <c r="BY221" s="1499"/>
      <c r="BZ221" s="1180"/>
      <c r="CA221" s="1180"/>
      <c r="CB221" s="1486"/>
      <c r="CC221" s="1499"/>
      <c r="CD221" s="9"/>
      <c r="CE221" s="24"/>
      <c r="CF221" s="24"/>
      <c r="CG221" s="24"/>
      <c r="CH221" s="24"/>
      <c r="CI221" s="24"/>
      <c r="CJ221" s="24"/>
      <c r="CK221" s="24"/>
      <c r="CL221" s="24"/>
      <c r="CM221" s="24"/>
      <c r="CN221" s="24"/>
      <c r="CO221" s="1180">
        <f>CO450/CO189</f>
        <v>0.24837407407407408</v>
      </c>
      <c r="CP221" s="1180">
        <f>CP450/CP189</f>
        <v>0.30037284308605894</v>
      </c>
      <c r="CQ221" s="1180">
        <f>CQ264/CQ189</f>
        <v>0.43419122245279229</v>
      </c>
      <c r="CR221" s="1180">
        <f>CR264/CR189</f>
        <v>0.43447159324510598</v>
      </c>
      <c r="CS221" s="1180">
        <f>CS264/CS189</f>
        <v>0.39016271856744872</v>
      </c>
      <c r="CT221" s="1180">
        <f>CT264/CT189</f>
        <v>0.34640724205981144</v>
      </c>
      <c r="CU221" s="1180">
        <f>CU264/CU189</f>
        <v>0.31838998924157236</v>
      </c>
      <c r="CV221" s="1180"/>
      <c r="CW221" s="368"/>
      <c r="CX221" s="368"/>
      <c r="CY221" s="368"/>
      <c r="CZ221" s="368"/>
      <c r="DA221" s="368"/>
      <c r="DB221" s="368"/>
      <c r="DC221" s="368"/>
      <c r="DD221" s="1517"/>
      <c r="DE221" s="1483"/>
      <c r="DF221" s="24"/>
      <c r="DG221" s="23"/>
      <c r="DH221" s="24"/>
      <c r="DI221" s="24"/>
      <c r="DJ221" s="24"/>
      <c r="DK221" s="24"/>
      <c r="DL221" s="141"/>
      <c r="DM221" s="141"/>
      <c r="DN221" s="141"/>
      <c r="DO221" s="141"/>
      <c r="DP221" s="1180">
        <f t="shared" ref="DP221:DW221" si="561">DP450/DP189</f>
        <v>0.25600377358490567</v>
      </c>
      <c r="DQ221" s="368">
        <f t="shared" si="561"/>
        <v>0.23542921686746987</v>
      </c>
      <c r="DR221" s="368">
        <f t="shared" si="561"/>
        <v>0.40088346432457944</v>
      </c>
      <c r="DS221" s="943">
        <f t="shared" si="561"/>
        <v>0.43720386678495476</v>
      </c>
      <c r="DT221" s="368">
        <f t="shared" si="561"/>
        <v>0.41442110821610029</v>
      </c>
      <c r="DU221" s="368">
        <f t="shared" si="561"/>
        <v>0.36786142255993848</v>
      </c>
      <c r="DV221" s="368">
        <f t="shared" si="561"/>
        <v>0.25264437038527776</v>
      </c>
      <c r="DW221" s="378">
        <f t="shared" si="561"/>
        <v>0</v>
      </c>
      <c r="DX221" s="368"/>
      <c r="DY221" s="368"/>
      <c r="DZ221" s="1561"/>
    </row>
    <row r="222" spans="1:136" hidden="1" outlineLevel="1">
      <c r="A222" s="3"/>
      <c r="B222" s="502"/>
      <c r="C222" s="1231"/>
      <c r="D222" s="1231" t="s">
        <v>679</v>
      </c>
      <c r="E222" s="741"/>
      <c r="F222" s="201"/>
      <c r="G222" s="201"/>
      <c r="H222" s="201"/>
      <c r="I222" s="202"/>
      <c r="J222" s="207"/>
      <c r="K222" s="201"/>
      <c r="L222" s="201"/>
      <c r="M222" s="202"/>
      <c r="N222" s="207"/>
      <c r="O222" s="201"/>
      <c r="P222" s="201"/>
      <c r="Q222" s="202"/>
      <c r="R222" s="207"/>
      <c r="S222" s="201"/>
      <c r="T222" s="201"/>
      <c r="U222" s="202"/>
      <c r="V222" s="207"/>
      <c r="W222" s="201"/>
      <c r="X222" s="201"/>
      <c r="Y222" s="202"/>
      <c r="Z222" s="207"/>
      <c r="AA222" s="201"/>
      <c r="AB222" s="201"/>
      <c r="AC222" s="202"/>
      <c r="AD222" s="207"/>
      <c r="AE222" s="201"/>
      <c r="AF222" s="201"/>
      <c r="AG222" s="201"/>
      <c r="AH222" s="207"/>
      <c r="AI222" s="201"/>
      <c r="AJ222" s="201"/>
      <c r="AK222" s="202"/>
      <c r="AL222" s="207"/>
      <c r="AM222" s="201"/>
      <c r="AN222" s="201"/>
      <c r="AO222" s="202"/>
      <c r="AP222" s="207"/>
      <c r="AQ222" s="368"/>
      <c r="AR222" s="368">
        <f t="shared" ref="AR222:BA222" si="562">AR460/AR190</f>
        <v>0.38323214285714285</v>
      </c>
      <c r="AS222" s="378">
        <f t="shared" si="562"/>
        <v>0.40162376237623765</v>
      </c>
      <c r="AT222" s="943">
        <f t="shared" si="562"/>
        <v>0.38808905380333952</v>
      </c>
      <c r="AU222" s="368">
        <f t="shared" si="562"/>
        <v>0.37451376146788989</v>
      </c>
      <c r="AV222" s="368">
        <f t="shared" si="562"/>
        <v>0.39447058823529413</v>
      </c>
      <c r="AW222" s="378">
        <f t="shared" si="562"/>
        <v>0.42976923076923079</v>
      </c>
      <c r="AX222" s="943">
        <f t="shared" si="562"/>
        <v>0.41515384615384615</v>
      </c>
      <c r="AY222" s="368">
        <f t="shared" si="562"/>
        <v>0.36509615384615385</v>
      </c>
      <c r="AZ222" s="368">
        <f t="shared" si="562"/>
        <v>0.40158371040723984</v>
      </c>
      <c r="BA222" s="378">
        <f t="shared" si="562"/>
        <v>0.46978646874993074</v>
      </c>
      <c r="BB222" s="943">
        <f t="shared" ref="BB222:BS222" si="563">BB274/BB190</f>
        <v>0.44880887661182195</v>
      </c>
      <c r="BC222" s="368">
        <f t="shared" si="563"/>
        <v>0.44184269053366154</v>
      </c>
      <c r="BD222" s="368">
        <f t="shared" si="563"/>
        <v>0.45845200542305697</v>
      </c>
      <c r="BE222" s="378">
        <f t="shared" si="563"/>
        <v>0.41827593627544352</v>
      </c>
      <c r="BF222" s="368">
        <f t="shared" si="563"/>
        <v>0.43006948677069823</v>
      </c>
      <c r="BG222" s="368">
        <f t="shared" si="563"/>
        <v>0.41395252507095209</v>
      </c>
      <c r="BH222" s="368">
        <f t="shared" si="563"/>
        <v>0.40522561926384232</v>
      </c>
      <c r="BI222" s="378">
        <f t="shared" si="563"/>
        <v>0.40638208292213951</v>
      </c>
      <c r="BJ222" s="1180">
        <f t="shared" si="563"/>
        <v>0.39868453980002982</v>
      </c>
      <c r="BK222" s="1180">
        <f t="shared" si="563"/>
        <v>0.41274609455299627</v>
      </c>
      <c r="BL222" s="1180">
        <f t="shared" si="563"/>
        <v>0.41727430607533267</v>
      </c>
      <c r="BM222" s="480">
        <f t="shared" si="563"/>
        <v>0.41624168512043519</v>
      </c>
      <c r="BN222" s="1180">
        <f t="shared" si="563"/>
        <v>0.39176058841705108</v>
      </c>
      <c r="BO222" s="1180">
        <f t="shared" si="563"/>
        <v>0.40955715867530185</v>
      </c>
      <c r="BP222" s="1180">
        <f t="shared" si="563"/>
        <v>0.38586618173863291</v>
      </c>
      <c r="BQ222" s="480">
        <f t="shared" si="563"/>
        <v>0.32164682052209975</v>
      </c>
      <c r="BR222" s="1180">
        <f t="shared" si="563"/>
        <v>0.32322306279766788</v>
      </c>
      <c r="BS222" s="1180">
        <f t="shared" si="563"/>
        <v>0.34263733639023042</v>
      </c>
      <c r="BT222" s="1180"/>
      <c r="BU222" s="480"/>
      <c r="BV222" s="1180"/>
      <c r="BW222" s="1180"/>
      <c r="BX222" s="1486"/>
      <c r="BY222" s="1499"/>
      <c r="BZ222" s="1180"/>
      <c r="CA222" s="1180"/>
      <c r="CB222" s="1486"/>
      <c r="CC222" s="1499"/>
      <c r="CD222" s="9"/>
      <c r="CE222" s="24"/>
      <c r="CF222" s="24"/>
      <c r="CG222" s="24"/>
      <c r="CH222" s="24"/>
      <c r="CI222" s="24"/>
      <c r="CJ222" s="24"/>
      <c r="CK222" s="24"/>
      <c r="CL222" s="24"/>
      <c r="CM222" s="24"/>
      <c r="CN222" s="24"/>
      <c r="CO222" s="1180">
        <f>CO460/CO190</f>
        <v>0.39638126773888366</v>
      </c>
      <c r="CP222" s="1180">
        <f>CP460/CP190</f>
        <v>0.41732513413703543</v>
      </c>
      <c r="CQ222" s="1180">
        <f>CQ274/CQ190</f>
        <v>0.44193958593347471</v>
      </c>
      <c r="CR222" s="1180">
        <f>CR274/CR190</f>
        <v>0.41388379064085623</v>
      </c>
      <c r="CS222" s="1180">
        <f>CS274/CS190</f>
        <v>0.41035247844017853</v>
      </c>
      <c r="CT222" s="1180">
        <f>CT274/CT190</f>
        <v>0.37977437798905211</v>
      </c>
      <c r="CU222" s="1180">
        <f>CU274/CU190</f>
        <v>0.34477630999311937</v>
      </c>
      <c r="CV222" s="1180"/>
      <c r="CW222" s="368"/>
      <c r="CX222" s="368"/>
      <c r="CY222" s="368"/>
      <c r="CZ222" s="368"/>
      <c r="DA222" s="368"/>
      <c r="DB222" s="368"/>
      <c r="DC222" s="368"/>
      <c r="DD222" s="1517"/>
      <c r="DE222" s="1483"/>
      <c r="DF222" s="24"/>
      <c r="DG222" s="23"/>
      <c r="DH222" s="24"/>
      <c r="DI222" s="24"/>
      <c r="DJ222" s="24"/>
      <c r="DK222" s="24"/>
      <c r="DL222" s="141"/>
      <c r="DM222" s="141"/>
      <c r="DN222" s="141"/>
      <c r="DO222" s="141"/>
      <c r="DP222" s="1180">
        <f t="shared" ref="DP222:DW222" si="564">DP460/DP190</f>
        <v>0.38656119125174498</v>
      </c>
      <c r="DQ222" s="368">
        <f t="shared" si="564"/>
        <v>0.40518259935553169</v>
      </c>
      <c r="DR222" s="368">
        <f t="shared" si="564"/>
        <v>0.44135792305051841</v>
      </c>
      <c r="DS222" s="943">
        <f t="shared" si="564"/>
        <v>0.43023648085014354</v>
      </c>
      <c r="DT222" s="368">
        <f t="shared" si="564"/>
        <v>0.4055930049324058</v>
      </c>
      <c r="DU222" s="368">
        <f t="shared" si="564"/>
        <v>0.40877449741947958</v>
      </c>
      <c r="DV222" s="368">
        <f t="shared" si="564"/>
        <v>0.25299122247429645</v>
      </c>
      <c r="DW222" s="378">
        <f t="shared" si="564"/>
        <v>0</v>
      </c>
      <c r="DX222" s="368"/>
      <c r="DY222" s="368"/>
      <c r="DZ222" s="1561"/>
    </row>
    <row r="223" spans="1:136" hidden="1" outlineLevel="1">
      <c r="A223" s="4"/>
      <c r="B223" s="1210"/>
      <c r="C223" s="147" t="s">
        <v>189</v>
      </c>
      <c r="D223" s="147"/>
      <c r="E223" s="1197"/>
      <c r="F223" s="188"/>
      <c r="G223" s="188"/>
      <c r="H223" s="188"/>
      <c r="I223" s="198"/>
      <c r="J223" s="209"/>
      <c r="K223" s="188"/>
      <c r="L223" s="188"/>
      <c r="M223" s="198"/>
      <c r="N223" s="209"/>
      <c r="O223" s="188"/>
      <c r="P223" s="188"/>
      <c r="Q223" s="198"/>
      <c r="R223" s="209"/>
      <c r="S223" s="188"/>
      <c r="T223" s="188"/>
      <c r="U223" s="198"/>
      <c r="V223" s="209"/>
      <c r="W223" s="188"/>
      <c r="X223" s="188"/>
      <c r="Y223" s="198"/>
      <c r="Z223" s="209"/>
      <c r="AA223" s="188"/>
      <c r="AB223" s="188"/>
      <c r="AC223" s="198"/>
      <c r="AD223" s="209"/>
      <c r="AE223" s="188"/>
      <c r="AF223" s="188"/>
      <c r="AG223" s="188"/>
      <c r="AH223" s="209"/>
      <c r="AI223" s="188"/>
      <c r="AJ223" s="188"/>
      <c r="AK223" s="198"/>
      <c r="AL223" s="209"/>
      <c r="AM223" s="188"/>
      <c r="AN223" s="188"/>
      <c r="AO223" s="198"/>
      <c r="AP223" s="209"/>
      <c r="AQ223" s="1027"/>
      <c r="AR223" s="1027">
        <f t="shared" ref="AR223:BA223" si="565">AR471/AR191</f>
        <v>0.38448210922787196</v>
      </c>
      <c r="AS223" s="1029">
        <f t="shared" si="565"/>
        <v>0.30326470588235294</v>
      </c>
      <c r="AT223" s="1030">
        <f t="shared" si="565"/>
        <v>0.38989285714285715</v>
      </c>
      <c r="AU223" s="1027">
        <f t="shared" si="565"/>
        <v>0.38163522012578616</v>
      </c>
      <c r="AV223" s="1027">
        <f t="shared" si="565"/>
        <v>0.36029032258064514</v>
      </c>
      <c r="AW223" s="1029">
        <f t="shared" si="565"/>
        <v>0.40436666666666665</v>
      </c>
      <c r="AX223" s="1030">
        <f t="shared" si="565"/>
        <v>0.44524999999999998</v>
      </c>
      <c r="AY223" s="1027">
        <f t="shared" si="565"/>
        <v>0.2802325581395349</v>
      </c>
      <c r="AZ223" s="1027">
        <f t="shared" si="565"/>
        <v>0.28129630105427234</v>
      </c>
      <c r="BA223" s="1029">
        <f t="shared" si="565"/>
        <v>0.38211486721539722</v>
      </c>
      <c r="BB223" s="1030">
        <f t="shared" ref="BB223:BS223" si="566">(BB284+BB310)/BB191</f>
        <v>0.46084333766522062</v>
      </c>
      <c r="BC223" s="1027">
        <f t="shared" si="566"/>
        <v>0.46905384473559586</v>
      </c>
      <c r="BD223" s="1027">
        <f t="shared" si="566"/>
        <v>0.47210278195061545</v>
      </c>
      <c r="BE223" s="1029">
        <f t="shared" si="566"/>
        <v>0.45731179314597009</v>
      </c>
      <c r="BF223" s="1027">
        <f t="shared" si="566"/>
        <v>0.47749411301930278</v>
      </c>
      <c r="BG223" s="1027">
        <f t="shared" si="566"/>
        <v>0.4975742526218303</v>
      </c>
      <c r="BH223" s="1027">
        <f t="shared" si="566"/>
        <v>0.52137224557393358</v>
      </c>
      <c r="BI223" s="1029">
        <f t="shared" si="566"/>
        <v>0.58824256227339933</v>
      </c>
      <c r="BJ223" s="1200">
        <f t="shared" si="566"/>
        <v>0.55830339327233736</v>
      </c>
      <c r="BK223" s="1200">
        <f t="shared" si="566"/>
        <v>0.56745080855824925</v>
      </c>
      <c r="BL223" s="1200">
        <f t="shared" si="566"/>
        <v>0.59160420384433599</v>
      </c>
      <c r="BM223" s="1202">
        <f t="shared" si="566"/>
        <v>0.57412257612849438</v>
      </c>
      <c r="BN223" s="1201">
        <f t="shared" si="566"/>
        <v>0.59467052980537327</v>
      </c>
      <c r="BO223" s="1200">
        <f t="shared" si="566"/>
        <v>0.6229496470462611</v>
      </c>
      <c r="BP223" s="1200">
        <f t="shared" si="566"/>
        <v>0.67384585030744781</v>
      </c>
      <c r="BQ223" s="1202">
        <f t="shared" si="566"/>
        <v>0.63972820389648466</v>
      </c>
      <c r="BR223" s="1201">
        <f t="shared" si="566"/>
        <v>0.59237815120834358</v>
      </c>
      <c r="BS223" s="1200">
        <f t="shared" si="566"/>
        <v>0.62914527423299549</v>
      </c>
      <c r="BT223" s="1200"/>
      <c r="BU223" s="1202"/>
      <c r="BV223" s="1201"/>
      <c r="BW223" s="1200"/>
      <c r="BX223" s="1494"/>
      <c r="BY223" s="1498"/>
      <c r="BZ223" s="1201"/>
      <c r="CA223" s="1200"/>
      <c r="CB223" s="1494"/>
      <c r="CC223" s="1498"/>
      <c r="CD223" s="109"/>
      <c r="CE223" s="31"/>
      <c r="CF223" s="31"/>
      <c r="CG223" s="31"/>
      <c r="CH223" s="31"/>
      <c r="CI223" s="31"/>
      <c r="CJ223" s="31"/>
      <c r="CK223" s="31"/>
      <c r="CL223" s="31"/>
      <c r="CM223" s="31"/>
      <c r="CN223" s="31"/>
      <c r="CO223" s="1200">
        <f>CO471/CO191</f>
        <v>0.38371688741721854</v>
      </c>
      <c r="CP223" s="1200">
        <f>CP471/CP191</f>
        <v>0.35839784161333205</v>
      </c>
      <c r="CQ223" s="1200">
        <f>(CQ284+CQ310)/CQ191</f>
        <v>0.46491467990150648</v>
      </c>
      <c r="CR223" s="1200">
        <f>(CR284+CR310)/CR191</f>
        <v>0.51989670247071773</v>
      </c>
      <c r="CS223" s="1200">
        <f>(CS284+CS310)/CS191</f>
        <v>0.57185574860775201</v>
      </c>
      <c r="CT223" s="1200">
        <f>(CT284+CT310)/CT191</f>
        <v>0.62844782622062045</v>
      </c>
      <c r="CU223" s="1200">
        <f>(CU284+CU310)/CU191</f>
        <v>0.64921253807006574</v>
      </c>
      <c r="CV223" s="1200"/>
      <c r="CW223" s="1027"/>
      <c r="CX223" s="1027"/>
      <c r="CY223" s="1027"/>
      <c r="CZ223" s="1027"/>
      <c r="DA223" s="1027"/>
      <c r="DB223" s="1027"/>
      <c r="DC223" s="1027"/>
      <c r="DD223" s="1519"/>
      <c r="DE223" s="1502"/>
      <c r="DF223" s="31"/>
      <c r="DG223" s="92"/>
      <c r="DH223" s="31"/>
      <c r="DI223" s="31"/>
      <c r="DJ223" s="31"/>
      <c r="DK223" s="31"/>
      <c r="DL223" s="181"/>
      <c r="DM223" s="181"/>
      <c r="DN223" s="181"/>
      <c r="DO223" s="181"/>
      <c r="DP223" s="1200">
        <f t="shared" ref="DP223:DW223" si="567">DP471/DP191</f>
        <v>0.36204403822185294</v>
      </c>
      <c r="DQ223" s="1027">
        <f t="shared" si="567"/>
        <v>0.38208015605603829</v>
      </c>
      <c r="DR223" s="1027">
        <f t="shared" si="567"/>
        <v>0.40585015481206616</v>
      </c>
      <c r="DS223" s="1030">
        <f t="shared" si="567"/>
        <v>0.47721271993353936</v>
      </c>
      <c r="DT223" s="1027">
        <f t="shared" si="567"/>
        <v>0.55894115570577441</v>
      </c>
      <c r="DU223" s="1027">
        <f t="shared" si="567"/>
        <v>0.59556982743352116</v>
      </c>
      <c r="DV223" s="1027">
        <f t="shared" si="567"/>
        <v>0.48097446035484687</v>
      </c>
      <c r="DW223" s="1029">
        <f t="shared" si="567"/>
        <v>0</v>
      </c>
      <c r="DX223" s="1027"/>
      <c r="DY223" s="1027"/>
      <c r="DZ223" s="1565"/>
    </row>
    <row r="224" spans="1:136" hidden="1" outlineLevel="1">
      <c r="A224" s="3"/>
      <c r="B224" s="502"/>
      <c r="C224" s="1231"/>
      <c r="D224" s="1231" t="s">
        <v>576</v>
      </c>
      <c r="E224" s="741"/>
      <c r="F224" s="201"/>
      <c r="G224" s="201"/>
      <c r="H224" s="201"/>
      <c r="I224" s="202"/>
      <c r="J224" s="207"/>
      <c r="K224" s="201"/>
      <c r="L224" s="201"/>
      <c r="M224" s="202"/>
      <c r="N224" s="207"/>
      <c r="O224" s="201"/>
      <c r="P224" s="201"/>
      <c r="Q224" s="202"/>
      <c r="R224" s="207"/>
      <c r="S224" s="201"/>
      <c r="T224" s="201"/>
      <c r="U224" s="202"/>
      <c r="V224" s="207"/>
      <c r="W224" s="201"/>
      <c r="X224" s="201"/>
      <c r="Y224" s="202"/>
      <c r="Z224" s="207"/>
      <c r="AA224" s="201"/>
      <c r="AB224" s="201"/>
      <c r="AC224" s="202"/>
      <c r="AD224" s="207"/>
      <c r="AE224" s="201"/>
      <c r="AF224" s="201"/>
      <c r="AG224" s="201"/>
      <c r="AH224" s="207"/>
      <c r="AI224" s="201"/>
      <c r="AJ224" s="201"/>
      <c r="AK224" s="202"/>
      <c r="AL224" s="207"/>
      <c r="AM224" s="201"/>
      <c r="AN224" s="201"/>
      <c r="AO224" s="202"/>
      <c r="AP224" s="207"/>
      <c r="AQ224" s="368"/>
      <c r="AR224" s="368">
        <f t="shared" ref="AR224:BA224" si="568">AR481/AR192</f>
        <v>0.29954838709677417</v>
      </c>
      <c r="AS224" s="378">
        <f t="shared" si="568"/>
        <v>0.26529999999999998</v>
      </c>
      <c r="AT224" s="943">
        <f t="shared" si="568"/>
        <v>0.30817647058823527</v>
      </c>
      <c r="AU224" s="368">
        <f t="shared" si="568"/>
        <v>0.27863905325443789</v>
      </c>
      <c r="AV224" s="368">
        <f t="shared" si="568"/>
        <v>0.2802941176470588</v>
      </c>
      <c r="AW224" s="378">
        <f t="shared" si="568"/>
        <v>0.37994117647058823</v>
      </c>
      <c r="AX224" s="943">
        <f t="shared" si="568"/>
        <v>0.39933333333333332</v>
      </c>
      <c r="AY224" s="368">
        <f t="shared" si="568"/>
        <v>0.18403755868544602</v>
      </c>
      <c r="AZ224" s="368">
        <f t="shared" si="568"/>
        <v>0.24363655819054883</v>
      </c>
      <c r="BA224" s="378">
        <f t="shared" si="568"/>
        <v>0.27512682651435966</v>
      </c>
      <c r="BB224" s="943">
        <f t="shared" ref="BB224:BS224" si="569">BB284/BB192</f>
        <v>0.41483190843461382</v>
      </c>
      <c r="BC224" s="368">
        <f t="shared" si="569"/>
        <v>0.40703564905607237</v>
      </c>
      <c r="BD224" s="368">
        <f t="shared" si="569"/>
        <v>0.41952682365512728</v>
      </c>
      <c r="BE224" s="378">
        <f t="shared" si="569"/>
        <v>0.42126492772735197</v>
      </c>
      <c r="BF224" s="368">
        <f t="shared" si="569"/>
        <v>0.43992514659594362</v>
      </c>
      <c r="BG224" s="368">
        <f t="shared" si="569"/>
        <v>0.47556026020335834</v>
      </c>
      <c r="BH224" s="368">
        <f t="shared" si="569"/>
        <v>0.54542242849046696</v>
      </c>
      <c r="BI224" s="378">
        <f t="shared" si="569"/>
        <v>0.60864044860517119</v>
      </c>
      <c r="BJ224" s="1180">
        <f t="shared" si="569"/>
        <v>0.56810227412230729</v>
      </c>
      <c r="BK224" s="1180">
        <f t="shared" si="569"/>
        <v>0.57557170248293177</v>
      </c>
      <c r="BL224" s="1180">
        <f t="shared" si="569"/>
        <v>0.65417746969682133</v>
      </c>
      <c r="BM224" s="480">
        <f t="shared" si="569"/>
        <v>0.6812514995888288</v>
      </c>
      <c r="BN224" s="1181">
        <f t="shared" si="569"/>
        <v>0.75121871843583021</v>
      </c>
      <c r="BO224" s="1180">
        <f t="shared" si="569"/>
        <v>0.67496469920882063</v>
      </c>
      <c r="BP224" s="1180">
        <f t="shared" si="569"/>
        <v>0.77837791731633754</v>
      </c>
      <c r="BQ224" s="480">
        <f t="shared" si="569"/>
        <v>0.79088169546641929</v>
      </c>
      <c r="BR224" s="1181">
        <f t="shared" si="569"/>
        <v>0.71756144766624774</v>
      </c>
      <c r="BS224" s="1180">
        <f t="shared" si="569"/>
        <v>0.68708811830797056</v>
      </c>
      <c r="BT224" s="1180"/>
      <c r="BU224" s="480"/>
      <c r="BV224" s="1181"/>
      <c r="BW224" s="1180"/>
      <c r="BX224" s="1486"/>
      <c r="BY224" s="1499"/>
      <c r="BZ224" s="1181"/>
      <c r="CA224" s="1180"/>
      <c r="CB224" s="1486"/>
      <c r="CC224" s="1499"/>
      <c r="CD224" s="9"/>
      <c r="CE224" s="24"/>
      <c r="CF224" s="24"/>
      <c r="CG224" s="24"/>
      <c r="CH224" s="24"/>
      <c r="CI224" s="24"/>
      <c r="CJ224" s="24"/>
      <c r="CK224" s="24"/>
      <c r="CL224" s="24"/>
      <c r="CM224" s="24"/>
      <c r="CN224" s="24"/>
      <c r="CO224" s="1180">
        <f>CO481/CO192</f>
        <v>0.3118114874815906</v>
      </c>
      <c r="CP224" s="1180">
        <f>CP481/CP192</f>
        <v>0.28500169459134245</v>
      </c>
      <c r="CQ224" s="1180">
        <f>CQ284/CQ192</f>
        <v>0.41557580300873992</v>
      </c>
      <c r="CR224" s="1180">
        <f>CR284/CR192</f>
        <v>0.51472904856400636</v>
      </c>
      <c r="CS224" s="1180">
        <f>CS284/CS192</f>
        <v>0.61326471133674354</v>
      </c>
      <c r="CT224" s="1180">
        <f>CT284/CT192</f>
        <v>0.74726949501496209</v>
      </c>
      <c r="CU224" s="1180">
        <f>CU284/CU192</f>
        <v>0.76039485394912243</v>
      </c>
      <c r="CV224" s="1180"/>
      <c r="CW224" s="368"/>
      <c r="CX224" s="368"/>
      <c r="CY224" s="368"/>
      <c r="CZ224" s="368"/>
      <c r="DA224" s="368"/>
      <c r="DB224" s="368"/>
      <c r="DC224" s="368"/>
      <c r="DD224" s="1517"/>
      <c r="DE224" s="1483"/>
      <c r="DF224" s="24"/>
      <c r="DG224" s="23"/>
      <c r="DH224" s="24"/>
      <c r="DI224" s="24"/>
      <c r="DJ224" s="24"/>
      <c r="DK224" s="24"/>
      <c r="DL224" s="141"/>
      <c r="DM224" s="141"/>
      <c r="DN224" s="141"/>
      <c r="DO224" s="141"/>
      <c r="DP224" s="1180">
        <f t="shared" ref="DP224:DW224" si="570">DP481/DP192</f>
        <v>0.28670028818443805</v>
      </c>
      <c r="DQ224" s="368">
        <f t="shared" si="570"/>
        <v>0.3205310280950911</v>
      </c>
      <c r="DR224" s="368">
        <f t="shared" si="570"/>
        <v>0.34135725619314949</v>
      </c>
      <c r="DS224" s="943">
        <f t="shared" si="570"/>
        <v>0.44068388111852813</v>
      </c>
      <c r="DT224" s="368">
        <f t="shared" si="570"/>
        <v>0.575290354786123</v>
      </c>
      <c r="DU224" s="368">
        <f t="shared" si="570"/>
        <v>0.6929406304695308</v>
      </c>
      <c r="DV224" s="368">
        <f t="shared" si="570"/>
        <v>0.57886916800215482</v>
      </c>
      <c r="DW224" s="378">
        <f t="shared" si="570"/>
        <v>0</v>
      </c>
      <c r="DX224" s="368"/>
      <c r="DY224" s="368"/>
      <c r="DZ224" s="1561"/>
    </row>
    <row r="225" spans="1:130" hidden="1" outlineLevel="1">
      <c r="A225" s="3"/>
      <c r="B225" s="502"/>
      <c r="C225" s="1231"/>
      <c r="D225" s="1231" t="s">
        <v>565</v>
      </c>
      <c r="E225" s="741"/>
      <c r="F225" s="201"/>
      <c r="G225" s="201"/>
      <c r="H225" s="201"/>
      <c r="I225" s="202"/>
      <c r="J225" s="207"/>
      <c r="K225" s="201"/>
      <c r="L225" s="201"/>
      <c r="M225" s="202"/>
      <c r="N225" s="207"/>
      <c r="O225" s="201"/>
      <c r="P225" s="201"/>
      <c r="Q225" s="202"/>
      <c r="R225" s="207"/>
      <c r="S225" s="201"/>
      <c r="T225" s="201"/>
      <c r="U225" s="202"/>
      <c r="V225" s="207"/>
      <c r="W225" s="201"/>
      <c r="X225" s="201"/>
      <c r="Y225" s="202"/>
      <c r="Z225" s="207"/>
      <c r="AA225" s="201"/>
      <c r="AB225" s="201"/>
      <c r="AC225" s="202"/>
      <c r="AD225" s="207"/>
      <c r="AE225" s="201"/>
      <c r="AF225" s="201"/>
      <c r="AG225" s="201"/>
      <c r="AH225" s="207"/>
      <c r="AI225" s="201"/>
      <c r="AJ225" s="201"/>
      <c r="AK225" s="202"/>
      <c r="AL225" s="207"/>
      <c r="AM225" s="201"/>
      <c r="AN225" s="201"/>
      <c r="AO225" s="202"/>
      <c r="AP225" s="207"/>
      <c r="AQ225" s="368"/>
      <c r="AR225" s="368">
        <f t="shared" ref="AR225:BA225" si="571">AR491/AR193</f>
        <v>0.50361990950226243</v>
      </c>
      <c r="AS225" s="378">
        <f t="shared" si="571"/>
        <v>0.35749999999999998</v>
      </c>
      <c r="AT225" s="943">
        <f t="shared" si="571"/>
        <v>0.51618181818181819</v>
      </c>
      <c r="AU225" s="368">
        <f t="shared" si="571"/>
        <v>0.49845637583892616</v>
      </c>
      <c r="AV225" s="368">
        <f t="shared" si="571"/>
        <v>0.45742857142857141</v>
      </c>
      <c r="AW225" s="378">
        <f t="shared" si="571"/>
        <v>0.43630769230769229</v>
      </c>
      <c r="AX225" s="943">
        <f t="shared" si="571"/>
        <v>0.50428571428571434</v>
      </c>
      <c r="AY225" s="368">
        <f t="shared" si="571"/>
        <v>0.45585714285714285</v>
      </c>
      <c r="AZ225" s="368">
        <f t="shared" si="571"/>
        <v>0.34833333333333333</v>
      </c>
      <c r="BA225" s="378">
        <f t="shared" si="571"/>
        <v>0.5653061224489796</v>
      </c>
      <c r="BB225" s="943">
        <f t="shared" ref="BB225:BS225" si="572">BB310/BB193</f>
        <v>0.54487906273620557</v>
      </c>
      <c r="BC225" s="368">
        <f t="shared" si="572"/>
        <v>0.54395862287567354</v>
      </c>
      <c r="BD225" s="368">
        <f t="shared" si="572"/>
        <v>0.53974468858760583</v>
      </c>
      <c r="BE225" s="378">
        <f t="shared" si="572"/>
        <v>0.51155308615813544</v>
      </c>
      <c r="BF225" s="368">
        <f t="shared" si="572"/>
        <v>0.54122071706940833</v>
      </c>
      <c r="BG225" s="368">
        <f t="shared" si="572"/>
        <v>0.52821333205296583</v>
      </c>
      <c r="BH225" s="368">
        <f t="shared" si="572"/>
        <v>0.491734649389101</v>
      </c>
      <c r="BI225" s="378">
        <f t="shared" si="572"/>
        <v>0.5545296954020249</v>
      </c>
      <c r="BJ225" s="1180">
        <f t="shared" si="572"/>
        <v>0.54379810449040022</v>
      </c>
      <c r="BK225" s="1180">
        <f t="shared" si="572"/>
        <v>0.55723848494047368</v>
      </c>
      <c r="BL225" s="1180">
        <f t="shared" si="572"/>
        <v>0.52113071537409394</v>
      </c>
      <c r="BM225" s="480">
        <f t="shared" si="572"/>
        <v>0.44977452412653024</v>
      </c>
      <c r="BN225" s="1181">
        <f t="shared" si="572"/>
        <v>0.41606608160151565</v>
      </c>
      <c r="BO225" s="1180">
        <f t="shared" si="572"/>
        <v>0.56570060960349566</v>
      </c>
      <c r="BP225" s="1180">
        <f t="shared" si="572"/>
        <v>0.56598596223134157</v>
      </c>
      <c r="BQ225" s="480">
        <f t="shared" si="572"/>
        <v>0.45454486317790038</v>
      </c>
      <c r="BR225" s="1181">
        <f t="shared" si="572"/>
        <v>0.41839110237175192</v>
      </c>
      <c r="BS225" s="1180">
        <f t="shared" si="572"/>
        <v>0.55867947219570402</v>
      </c>
      <c r="BT225" s="1180"/>
      <c r="BU225" s="480"/>
      <c r="BV225" s="1181"/>
      <c r="BW225" s="1180"/>
      <c r="BX225" s="1486"/>
      <c r="BY225" s="1499"/>
      <c r="BZ225" s="1181"/>
      <c r="CA225" s="1180"/>
      <c r="CB225" s="1486"/>
      <c r="CC225" s="1499"/>
      <c r="CD225" s="9"/>
      <c r="CE225" s="24"/>
      <c r="CF225" s="24"/>
      <c r="CG225" s="24"/>
      <c r="CH225" s="24"/>
      <c r="CI225" s="24"/>
      <c r="CJ225" s="24"/>
      <c r="CK225" s="24"/>
      <c r="CL225" s="24"/>
      <c r="CM225" s="24"/>
      <c r="CN225" s="24"/>
      <c r="CO225" s="1180">
        <f>CO491/CO193</f>
        <v>0.47601134215500945</v>
      </c>
      <c r="CP225" s="1180">
        <f>CP491/CP193</f>
        <v>0.4752223966509681</v>
      </c>
      <c r="CQ225" s="1180">
        <f>CQ310/CQ193</f>
        <v>0.53581051471472474</v>
      </c>
      <c r="CR225" s="1180">
        <f>CR310/CR193</f>
        <v>0.52754460172494733</v>
      </c>
      <c r="CS225" s="1180">
        <f>CS310/CS193</f>
        <v>0.51966742747765282</v>
      </c>
      <c r="CT225" s="1180">
        <f>CT310/CT193</f>
        <v>0.49444106870282539</v>
      </c>
      <c r="CU225" s="1180">
        <f>CU310/CU193</f>
        <v>0.50781212487524097</v>
      </c>
      <c r="CV225" s="1180"/>
      <c r="CW225" s="368"/>
      <c r="CX225" s="368"/>
      <c r="CY225" s="368"/>
      <c r="CZ225" s="368"/>
      <c r="DA225" s="368"/>
      <c r="DB225" s="368"/>
      <c r="DC225" s="368"/>
      <c r="DD225" s="1517"/>
      <c r="DE225" s="1483"/>
      <c r="DF225" s="24"/>
      <c r="DG225" s="23"/>
      <c r="DH225" s="24"/>
      <c r="DI225" s="24"/>
      <c r="DJ225" s="24"/>
      <c r="DK225" s="24"/>
      <c r="DL225" s="141"/>
      <c r="DM225" s="141"/>
      <c r="DN225" s="141"/>
      <c r="DO225" s="141"/>
      <c r="DP225" s="1180">
        <f t="shared" ref="DP225:DW225" si="573">DP491/DP193</f>
        <v>0.46467124631992152</v>
      </c>
      <c r="DQ225" s="368">
        <f t="shared" si="573"/>
        <v>0.46514583333333331</v>
      </c>
      <c r="DR225" s="368">
        <f t="shared" si="573"/>
        <v>0.50864734696111424</v>
      </c>
      <c r="DS225" s="943">
        <f t="shared" si="573"/>
        <v>0.5306570109353056</v>
      </c>
      <c r="DT225" s="368">
        <f t="shared" si="573"/>
        <v>0.53612804736697617</v>
      </c>
      <c r="DU225" s="368">
        <f t="shared" si="573"/>
        <v>0.4852978972810596</v>
      </c>
      <c r="DV225" s="368">
        <f t="shared" si="573"/>
        <v>0.36061580606533511</v>
      </c>
      <c r="DW225" s="378">
        <f t="shared" si="573"/>
        <v>0</v>
      </c>
      <c r="DX225" s="368"/>
      <c r="DY225" s="368"/>
      <c r="DZ225" s="1561"/>
    </row>
    <row r="226" spans="1:130" collapsed="1">
      <c r="A226" s="3"/>
      <c r="B226" s="210"/>
      <c r="C226" s="205"/>
      <c r="D226" s="205"/>
      <c r="E226" s="206"/>
      <c r="F226" s="210"/>
      <c r="G226" s="205"/>
      <c r="H226" s="205"/>
      <c r="I226" s="206"/>
      <c r="J226" s="210"/>
      <c r="K226" s="205"/>
      <c r="L226" s="205"/>
      <c r="M226" s="206"/>
      <c r="N226" s="210"/>
      <c r="O226" s="205"/>
      <c r="P226" s="205"/>
      <c r="Q226" s="206"/>
      <c r="R226" s="210"/>
      <c r="S226" s="205"/>
      <c r="T226" s="205"/>
      <c r="U226" s="206"/>
      <c r="V226" s="210"/>
      <c r="W226" s="205"/>
      <c r="X226" s="205"/>
      <c r="Y226" s="206"/>
      <c r="Z226" s="210"/>
      <c r="AA226" s="205"/>
      <c r="AB226" s="205"/>
      <c r="AC226" s="206"/>
      <c r="AD226" s="210"/>
      <c r="AE226" s="205"/>
      <c r="AF226" s="205"/>
      <c r="AG226" s="205"/>
      <c r="AH226" s="210"/>
      <c r="AI226" s="205"/>
      <c r="AJ226" s="205"/>
      <c r="AK226" s="206"/>
      <c r="AL226" s="210"/>
      <c r="AM226" s="205"/>
      <c r="AN226" s="205"/>
      <c r="AO226" s="206"/>
      <c r="AP226" s="210"/>
      <c r="AQ226" s="205"/>
      <c r="AR226" s="205"/>
      <c r="AS226" s="206"/>
      <c r="AT226" s="210"/>
      <c r="AU226" s="205"/>
      <c r="AV226" s="205"/>
      <c r="AW226" s="206"/>
      <c r="AX226" s="210"/>
      <c r="AY226" s="205"/>
      <c r="AZ226" s="205"/>
      <c r="BA226" s="206"/>
      <c r="BB226" s="210"/>
      <c r="BC226" s="205"/>
      <c r="BD226" s="205"/>
      <c r="BE226" s="206"/>
      <c r="BF226" s="210"/>
      <c r="BG226" s="205"/>
      <c r="BH226" s="205"/>
      <c r="BI226" s="206"/>
      <c r="BJ226" s="210"/>
      <c r="BK226" s="205"/>
      <c r="BL226" s="205"/>
      <c r="BM226" s="206"/>
      <c r="BN226" s="225"/>
      <c r="BO226" s="1500"/>
      <c r="BP226" s="1500"/>
      <c r="BQ226" s="384"/>
      <c r="BR226" s="225"/>
      <c r="BS226" s="1500"/>
      <c r="BT226" s="205"/>
      <c r="BU226" s="206"/>
      <c r="BV226" s="225"/>
      <c r="BW226" s="1500"/>
      <c r="BX226" s="205"/>
      <c r="BY226" s="206"/>
      <c r="BZ226" s="225"/>
      <c r="CA226" s="1500"/>
      <c r="CB226" s="205"/>
      <c r="CC226" s="206"/>
      <c r="CD226" s="9"/>
      <c r="CE226" s="32"/>
      <c r="CF226" s="32"/>
      <c r="CG226" s="32"/>
      <c r="CH226" s="32"/>
      <c r="CI226" s="32"/>
      <c r="CJ226" s="32"/>
      <c r="CK226" s="32"/>
      <c r="CL226" s="32"/>
      <c r="CM226" s="32"/>
      <c r="CN226" s="32"/>
      <c r="CO226" s="32"/>
      <c r="CP226" s="32"/>
      <c r="CQ226" s="32"/>
      <c r="CR226" s="32"/>
      <c r="CS226" s="205"/>
      <c r="CT226" s="205"/>
      <c r="CU226" s="205"/>
      <c r="CV226" s="205"/>
      <c r="CW226" s="205"/>
      <c r="CX226" s="205"/>
      <c r="CY226" s="205"/>
      <c r="CZ226" s="205"/>
      <c r="DA226" s="205"/>
      <c r="DB226" s="205"/>
      <c r="DC226" s="205"/>
      <c r="DD226" s="1526"/>
      <c r="DE226" s="1483"/>
      <c r="DF226" s="24"/>
      <c r="DG226" s="41"/>
      <c r="DH226" s="32"/>
      <c r="DI226" s="32"/>
      <c r="DJ226" s="32"/>
      <c r="DK226" s="32"/>
      <c r="DL226" s="1276"/>
      <c r="DM226" s="1276"/>
      <c r="DN226" s="1276"/>
      <c r="DO226" s="1276"/>
      <c r="DP226" s="32"/>
      <c r="DQ226" s="32"/>
      <c r="DR226" s="32"/>
      <c r="DS226" s="41"/>
      <c r="DT226" s="32"/>
      <c r="DU226" s="32"/>
      <c r="DV226" s="32"/>
      <c r="DW226" s="42"/>
      <c r="DX226" s="24"/>
      <c r="DY226" s="24"/>
      <c r="DZ226" s="1561"/>
    </row>
    <row r="227" spans="1:130">
      <c r="A227" s="3"/>
      <c r="B227" s="201"/>
      <c r="C227" s="201"/>
      <c r="D227" s="201"/>
      <c r="E227" s="201"/>
      <c r="F227" s="207"/>
      <c r="G227" s="201"/>
      <c r="H227" s="201"/>
      <c r="I227" s="202"/>
      <c r="J227" s="207"/>
      <c r="K227" s="201"/>
      <c r="L227" s="201"/>
      <c r="M227" s="202"/>
      <c r="N227" s="207"/>
      <c r="O227" s="201"/>
      <c r="P227" s="201"/>
      <c r="Q227" s="202"/>
      <c r="R227" s="201"/>
      <c r="S227" s="201"/>
      <c r="T227" s="201"/>
      <c r="U227" s="202"/>
      <c r="V227" s="19"/>
      <c r="W227" s="19"/>
      <c r="X227" s="19"/>
      <c r="Y227" s="19"/>
      <c r="Z227" s="19"/>
      <c r="AA227" s="19"/>
      <c r="AB227" s="19"/>
      <c r="AC227" s="27"/>
      <c r="AD227" s="19"/>
      <c r="AE227" s="19"/>
      <c r="AF227" s="19"/>
      <c r="AG227" s="19"/>
      <c r="AH227" s="26"/>
      <c r="AI227" s="19"/>
      <c r="AJ227" s="19"/>
      <c r="AK227" s="19"/>
      <c r="AL227" s="19"/>
      <c r="AM227" s="19"/>
      <c r="AN227" s="19"/>
      <c r="AO227" s="19"/>
      <c r="AP227" s="19"/>
      <c r="AQ227" s="19"/>
      <c r="AR227" s="19"/>
      <c r="AS227" s="19"/>
      <c r="AT227" s="19"/>
      <c r="AU227" s="19"/>
      <c r="AV227" s="1223"/>
      <c r="AW227" s="333"/>
      <c r="AX227" s="374"/>
      <c r="AY227" s="585"/>
      <c r="AZ227" s="374"/>
      <c r="BA227" s="374"/>
      <c r="BB227" s="374"/>
      <c r="BC227" s="374"/>
      <c r="BD227" s="374"/>
      <c r="BE227" s="2177"/>
      <c r="BF227" s="2217"/>
      <c r="BG227" s="2217"/>
      <c r="BH227" s="2217"/>
      <c r="BI227" s="2177"/>
      <c r="BJ227" s="2217"/>
      <c r="BK227" s="2217"/>
      <c r="BL227" s="2217"/>
      <c r="BM227" s="2177"/>
      <c r="BN227" s="2217"/>
      <c r="BO227" s="2217"/>
      <c r="BP227" s="2217"/>
      <c r="BQ227" s="2177"/>
      <c r="BS227" s="2217"/>
      <c r="BT227" s="2217"/>
      <c r="BU227" s="2177"/>
      <c r="BV227" s="2177"/>
      <c r="BW227" s="2217"/>
      <c r="BX227" s="2217"/>
      <c r="BY227" s="2144"/>
      <c r="BZ227" s="2218"/>
      <c r="CA227" s="374"/>
      <c r="CB227" s="374"/>
      <c r="CC227" s="2144"/>
      <c r="CD227" s="19"/>
      <c r="CE227" s="24"/>
      <c r="CF227" s="24"/>
      <c r="CG227" s="24"/>
      <c r="CH227" s="24"/>
      <c r="CI227" s="24"/>
      <c r="CJ227" s="19"/>
      <c r="CK227" s="19"/>
      <c r="CL227" s="19"/>
      <c r="CM227" s="19"/>
      <c r="CN227" s="24"/>
      <c r="CO227" s="24"/>
      <c r="CP227" s="24"/>
      <c r="CQ227" s="24"/>
      <c r="CR227" s="24"/>
      <c r="CS227" s="24"/>
      <c r="CT227" s="24"/>
      <c r="CU227" s="24"/>
      <c r="CV227" s="24"/>
      <c r="CW227" s="24"/>
      <c r="CX227" s="24"/>
      <c r="CY227" s="24"/>
      <c r="CZ227" s="24"/>
      <c r="DA227" s="24"/>
      <c r="DB227" s="24"/>
      <c r="DC227" s="24"/>
      <c r="DD227" s="1517"/>
      <c r="DE227" s="1483"/>
      <c r="DF227" s="24"/>
      <c r="DG227" s="24"/>
      <c r="DH227" s="24"/>
      <c r="DI227" s="24"/>
      <c r="DJ227" s="24"/>
      <c r="DK227" s="24"/>
      <c r="DL227" s="141"/>
      <c r="DM227" s="19"/>
      <c r="DN227" s="19"/>
      <c r="DO227" s="19"/>
      <c r="DP227" s="24"/>
      <c r="DQ227" s="24"/>
      <c r="DR227" s="24"/>
      <c r="DS227" s="24"/>
      <c r="DT227" s="24"/>
      <c r="DU227" s="24"/>
      <c r="DV227" s="24"/>
      <c r="DW227" s="24"/>
      <c r="DX227" s="24"/>
      <c r="DY227" s="24"/>
      <c r="DZ227" s="1561"/>
    </row>
    <row r="228" spans="1:130">
      <c r="A228" s="3" t="s">
        <v>25</v>
      </c>
      <c r="B228" s="234" t="s">
        <v>26</v>
      </c>
      <c r="C228" s="235"/>
      <c r="D228" s="235"/>
      <c r="E228" s="236"/>
      <c r="F228" s="234"/>
      <c r="G228" s="235"/>
      <c r="H228" s="235"/>
      <c r="I228" s="236"/>
      <c r="J228" s="234"/>
      <c r="K228" s="235"/>
      <c r="L228" s="235"/>
      <c r="M228" s="236"/>
      <c r="N228" s="234"/>
      <c r="O228" s="235"/>
      <c r="P228" s="235"/>
      <c r="Q228" s="236"/>
      <c r="R228" s="234"/>
      <c r="S228" s="235"/>
      <c r="T228" s="235"/>
      <c r="U228" s="236"/>
      <c r="V228" s="110"/>
      <c r="W228" s="111"/>
      <c r="X228" s="111"/>
      <c r="Y228" s="112"/>
      <c r="Z228" s="111"/>
      <c r="AA228" s="111"/>
      <c r="AB228" s="111"/>
      <c r="AC228" s="112"/>
      <c r="AD228" s="111"/>
      <c r="AE228" s="111"/>
      <c r="AF228" s="111"/>
      <c r="AG228" s="111"/>
      <c r="AH228" s="1130"/>
      <c r="AI228" s="82"/>
      <c r="AJ228" s="82"/>
      <c r="AK228" s="153"/>
      <c r="AL228" s="111"/>
      <c r="AM228" s="111"/>
      <c r="AN228" s="111"/>
      <c r="AO228" s="112"/>
      <c r="AP228" s="111"/>
      <c r="AQ228" s="111"/>
      <c r="AR228" s="111"/>
      <c r="AS228" s="111"/>
      <c r="AT228" s="111"/>
      <c r="AU228" s="111"/>
      <c r="AV228" s="111"/>
      <c r="AW228" s="111"/>
      <c r="AX228" s="111"/>
      <c r="AY228" s="111"/>
      <c r="AZ228" s="111"/>
      <c r="BA228" s="111"/>
      <c r="BB228" s="111"/>
      <c r="BC228" s="111"/>
      <c r="BD228" s="111"/>
      <c r="BE228" s="111"/>
      <c r="BF228" s="13"/>
      <c r="BG228" s="13"/>
      <c r="BH228" s="13"/>
      <c r="BI228" s="13"/>
      <c r="BJ228" s="13"/>
      <c r="BK228" s="13"/>
      <c r="BL228" s="13"/>
      <c r="BM228" s="13"/>
      <c r="BN228" s="13"/>
      <c r="BO228" s="13"/>
      <c r="BP228" s="13"/>
      <c r="BQ228" s="377"/>
      <c r="BR228" s="13"/>
      <c r="BS228" s="13"/>
      <c r="BT228" s="13"/>
      <c r="BU228" s="377"/>
      <c r="BV228" s="13"/>
      <c r="BW228" s="13"/>
      <c r="BX228" s="13"/>
      <c r="BY228" s="377"/>
      <c r="BZ228" s="13"/>
      <c r="CA228" s="13"/>
      <c r="CB228" s="13"/>
      <c r="CC228" s="377"/>
      <c r="CD228" s="9"/>
      <c r="CE228" s="156"/>
      <c r="CF228" s="156"/>
      <c r="CG228" s="156"/>
      <c r="CH228" s="156"/>
      <c r="CI228" s="156"/>
      <c r="CJ228" s="156"/>
      <c r="CK228" s="111"/>
      <c r="CL228" s="111"/>
      <c r="CM228" s="156"/>
      <c r="CN228" s="111"/>
      <c r="CO228" s="156"/>
      <c r="CP228" s="156"/>
      <c r="CQ228" s="156"/>
      <c r="CR228" s="156"/>
      <c r="CS228" s="111"/>
      <c r="CT228" s="111"/>
      <c r="CU228" s="13"/>
      <c r="CV228" s="13"/>
      <c r="CW228" s="13"/>
      <c r="CX228" s="13"/>
      <c r="CY228" s="13"/>
      <c r="CZ228" s="13"/>
      <c r="DA228" s="13"/>
      <c r="DB228" s="13"/>
      <c r="DC228" s="13"/>
      <c r="DD228" s="1527"/>
      <c r="DE228" s="1483"/>
      <c r="DF228" s="24"/>
      <c r="DG228" s="1285"/>
      <c r="DH228" s="798"/>
      <c r="DI228" s="798"/>
      <c r="DJ228" s="798"/>
      <c r="DK228" s="798"/>
      <c r="DL228" s="1242"/>
      <c r="DM228" s="1286"/>
      <c r="DN228" s="1286"/>
      <c r="DO228" s="1286"/>
      <c r="DP228" s="798"/>
      <c r="DQ228" s="798"/>
      <c r="DR228" s="798"/>
      <c r="DS228" s="1285"/>
      <c r="DT228" s="798"/>
      <c r="DU228" s="798"/>
      <c r="DV228" s="798"/>
      <c r="DW228" s="1247"/>
      <c r="DX228" s="24"/>
      <c r="DY228" s="24"/>
      <c r="DZ228" s="1561"/>
    </row>
    <row r="229" spans="1:130">
      <c r="A229" s="9"/>
      <c r="B229" s="187" t="s">
        <v>946</v>
      </c>
      <c r="C229" s="31"/>
      <c r="D229" s="578"/>
      <c r="E229" s="216"/>
      <c r="F229" s="145"/>
      <c r="G229" s="145"/>
      <c r="H229" s="145"/>
      <c r="I229" s="228"/>
      <c r="J229" s="145"/>
      <c r="K229" s="145"/>
      <c r="L229" s="145"/>
      <c r="M229" s="228"/>
      <c r="N229" s="145"/>
      <c r="O229" s="145"/>
      <c r="P229" s="145"/>
      <c r="Q229" s="228"/>
      <c r="R229" s="145"/>
      <c r="S229" s="145"/>
      <c r="T229" s="145"/>
      <c r="U229" s="228"/>
      <c r="V229" s="145"/>
      <c r="W229" s="145"/>
      <c r="X229" s="145"/>
      <c r="Y229" s="228"/>
      <c r="Z229" s="145"/>
      <c r="AA229" s="145"/>
      <c r="AB229" s="145"/>
      <c r="AC229" s="228"/>
      <c r="AD229" s="145"/>
      <c r="AE229" s="145"/>
      <c r="AF229" s="145"/>
      <c r="AG229" s="145"/>
      <c r="AH229" s="227"/>
      <c r="AI229" s="145"/>
      <c r="AJ229" s="145"/>
      <c r="AK229" s="145"/>
      <c r="AL229" s="227"/>
      <c r="AM229" s="145"/>
      <c r="AN229" s="145"/>
      <c r="AO229" s="145"/>
      <c r="AP229" s="145"/>
      <c r="AQ229" s="145"/>
      <c r="AR229" s="145"/>
      <c r="AS229" s="145"/>
      <c r="AT229" s="145"/>
      <c r="AU229" s="145"/>
      <c r="AV229" s="145"/>
      <c r="AW229" s="145"/>
      <c r="AX229" s="145"/>
      <c r="AY229" s="145"/>
      <c r="AZ229" s="145"/>
      <c r="BA229" s="228"/>
      <c r="BB229" s="1195">
        <f t="shared" ref="BB229:BY229" si="574">SUM(BB241, BB291, BB317)</f>
        <v>4035</v>
      </c>
      <c r="BC229" s="729">
        <f t="shared" si="574"/>
        <v>3824</v>
      </c>
      <c r="BD229" s="729">
        <f t="shared" si="574"/>
        <v>3764</v>
      </c>
      <c r="BE229" s="1216">
        <f t="shared" si="574"/>
        <v>3728</v>
      </c>
      <c r="BF229" s="1195">
        <f t="shared" si="574"/>
        <v>3804</v>
      </c>
      <c r="BG229" s="729">
        <f t="shared" si="574"/>
        <v>3972</v>
      </c>
      <c r="BH229" s="729">
        <f t="shared" si="574"/>
        <v>3703</v>
      </c>
      <c r="BI229" s="1216">
        <f t="shared" si="574"/>
        <v>3651</v>
      </c>
      <c r="BJ229" s="1195">
        <f t="shared" si="574"/>
        <v>3943</v>
      </c>
      <c r="BK229" s="729">
        <f t="shared" si="574"/>
        <v>3888</v>
      </c>
      <c r="BL229" s="729">
        <f t="shared" si="574"/>
        <v>3550</v>
      </c>
      <c r="BM229" s="729">
        <f t="shared" si="574"/>
        <v>3191</v>
      </c>
      <c r="BN229" s="1195">
        <f>SUM(BN241, BN291, BN317)</f>
        <v>3360</v>
      </c>
      <c r="BO229" s="729">
        <f t="shared" si="574"/>
        <v>3317</v>
      </c>
      <c r="BP229" s="729">
        <f t="shared" si="574"/>
        <v>2822</v>
      </c>
      <c r="BQ229" s="1216">
        <f t="shared" si="574"/>
        <v>3495</v>
      </c>
      <c r="BR229" s="1195">
        <f t="shared" si="574"/>
        <v>4714</v>
      </c>
      <c r="BS229" s="729">
        <f t="shared" si="574"/>
        <v>4888</v>
      </c>
      <c r="BT229" s="729">
        <f t="shared" si="574"/>
        <v>4649</v>
      </c>
      <c r="BU229" s="1216">
        <f>SUM(BU241, BU291, BU317)</f>
        <v>4842</v>
      </c>
      <c r="BV229" s="1195">
        <f>SUM(BV241, BV291, BV317)</f>
        <v>5181</v>
      </c>
      <c r="BW229" s="729">
        <f t="shared" si="574"/>
        <v>5336</v>
      </c>
      <c r="BX229" s="729">
        <f t="shared" si="574"/>
        <v>4909.098649999999</v>
      </c>
      <c r="BY229" s="1216">
        <f t="shared" si="574"/>
        <v>4914.0212792599996</v>
      </c>
      <c r="BZ229" s="1195">
        <f>SUM(BZ241, BZ291, BZ317)</f>
        <v>5070.511340858784</v>
      </c>
      <c r="CA229" s="729">
        <f>SUM(CA241, CA291, CA317)</f>
        <v>4990.1074887502618</v>
      </c>
      <c r="CB229" s="729">
        <f>SUM(CB241, CB291, CB317)</f>
        <v>4633.8945384781609</v>
      </c>
      <c r="CC229" s="1216">
        <f>SUM(CC241, CC291, CC317)</f>
        <v>4386.1350511964692</v>
      </c>
      <c r="CD229" s="9"/>
      <c r="CE229" s="145"/>
      <c r="CF229" s="145"/>
      <c r="CG229" s="145"/>
      <c r="CH229" s="145"/>
      <c r="CI229" s="145"/>
      <c r="CJ229" s="145"/>
      <c r="CK229" s="145"/>
      <c r="CL229" s="145"/>
      <c r="CM229" s="145"/>
      <c r="CN229" s="145"/>
      <c r="CO229" s="145"/>
      <c r="CP229" s="145"/>
      <c r="CQ229" s="729">
        <f>SUM(BB229:BE229)</f>
        <v>15351</v>
      </c>
      <c r="CR229" s="729">
        <f>SUM(BF229:BI229)</f>
        <v>15130</v>
      </c>
      <c r="CS229" s="729">
        <f>SUM(BJ229:BM229)</f>
        <v>14572</v>
      </c>
      <c r="CT229" s="729">
        <f>SUM(BN229:BQ229)</f>
        <v>12994</v>
      </c>
      <c r="CU229" s="729">
        <f>SUM(BR229:BU229)</f>
        <v>19093</v>
      </c>
      <c r="CV229" s="729">
        <f>SUM(BV229:BY229)</f>
        <v>20340.119929259999</v>
      </c>
      <c r="CW229" s="729">
        <f>SUM(BZ229:CC229)</f>
        <v>19080.648419283676</v>
      </c>
      <c r="CX229" s="729">
        <f t="shared" ref="CX229:DC229" si="575">SUM(CX241, CX291, CX317)</f>
        <v>20472.086350997615</v>
      </c>
      <c r="CY229" s="729">
        <f t="shared" si="575"/>
        <v>21214.245870229453</v>
      </c>
      <c r="CZ229" s="729">
        <f t="shared" si="575"/>
        <v>22021.737746247112</v>
      </c>
      <c r="DA229" s="729">
        <f t="shared" si="575"/>
        <v>23042.389750333001</v>
      </c>
      <c r="DB229" s="729">
        <f t="shared" si="575"/>
        <v>24199.14107577363</v>
      </c>
      <c r="DC229" s="729">
        <f t="shared" si="575"/>
        <v>25509.214931826064</v>
      </c>
      <c r="DD229" s="1517"/>
      <c r="DE229" s="1483"/>
      <c r="DF229" s="141"/>
      <c r="DG229" s="141"/>
      <c r="DH229" s="141"/>
      <c r="DI229" s="141"/>
      <c r="DJ229" s="141"/>
      <c r="DK229" s="141"/>
      <c r="DL229" s="141"/>
      <c r="DM229" s="141"/>
      <c r="DN229" s="141"/>
      <c r="DO229" s="141"/>
      <c r="DP229" s="141"/>
      <c r="DQ229" s="141"/>
      <c r="DR229" s="141"/>
      <c r="DS229" s="141"/>
      <c r="DT229" s="141"/>
      <c r="DU229" s="141"/>
      <c r="DV229" s="141"/>
      <c r="DW229" s="141"/>
      <c r="DX229" s="141"/>
      <c r="DY229" s="141"/>
      <c r="DZ229" s="1676"/>
    </row>
    <row r="230" spans="1:130">
      <c r="A230" s="338"/>
      <c r="B230" s="578"/>
      <c r="C230" s="1180" t="s">
        <v>76</v>
      </c>
      <c r="D230" s="1182"/>
      <c r="E230" s="1182"/>
      <c r="F230" s="145"/>
      <c r="G230" s="145"/>
      <c r="H230" s="145"/>
      <c r="I230" s="228"/>
      <c r="J230" s="145"/>
      <c r="K230" s="145"/>
      <c r="L230" s="145"/>
      <c r="M230" s="228"/>
      <c r="N230" s="145"/>
      <c r="O230" s="145"/>
      <c r="P230" s="145"/>
      <c r="Q230" s="228"/>
      <c r="R230" s="145"/>
      <c r="S230" s="145"/>
      <c r="T230" s="145"/>
      <c r="U230" s="228"/>
      <c r="V230" s="227"/>
      <c r="W230" s="145"/>
      <c r="X230" s="145"/>
      <c r="Y230" s="228"/>
      <c r="Z230" s="227"/>
      <c r="AA230" s="145"/>
      <c r="AB230" s="145"/>
      <c r="AC230" s="228"/>
      <c r="AD230" s="227"/>
      <c r="AE230" s="145"/>
      <c r="AF230" s="145"/>
      <c r="AG230" s="145"/>
      <c r="AH230" s="227"/>
      <c r="AI230" s="145"/>
      <c r="AJ230" s="145"/>
      <c r="AK230" s="145"/>
      <c r="AL230" s="227"/>
      <c r="AM230" s="145"/>
      <c r="AN230" s="145"/>
      <c r="AO230" s="228"/>
      <c r="AP230" s="145"/>
      <c r="AQ230" s="145"/>
      <c r="AR230" s="145"/>
      <c r="AS230" s="145"/>
      <c r="AT230" s="145"/>
      <c r="AU230" s="145"/>
      <c r="AV230" s="145"/>
      <c r="AW230" s="145"/>
      <c r="AX230" s="145"/>
      <c r="AY230" s="145"/>
      <c r="AZ230" s="145"/>
      <c r="BA230" s="228"/>
      <c r="BB230" s="640"/>
      <c r="BC230" s="640"/>
      <c r="BD230" s="640"/>
      <c r="BE230" s="949"/>
      <c r="BF230" s="640">
        <f t="shared" ref="BF230:BY230" si="576">BF229/BB229-1</f>
        <v>-5.7249070631970267E-2</v>
      </c>
      <c r="BG230" s="640">
        <f t="shared" si="576"/>
        <v>3.8702928870292919E-2</v>
      </c>
      <c r="BH230" s="640">
        <f t="shared" si="576"/>
        <v>-1.6206163655685391E-2</v>
      </c>
      <c r="BI230" s="949">
        <f t="shared" si="576"/>
        <v>-2.0654506437768227E-2</v>
      </c>
      <c r="BJ230" s="640">
        <f t="shared" si="576"/>
        <v>3.6540483701366977E-2</v>
      </c>
      <c r="BK230" s="640">
        <f t="shared" si="576"/>
        <v>-2.1148036253776481E-2</v>
      </c>
      <c r="BL230" s="640">
        <f t="shared" si="576"/>
        <v>-4.1317850391574429E-2</v>
      </c>
      <c r="BM230" s="640">
        <f t="shared" si="576"/>
        <v>-0.12599287866337994</v>
      </c>
      <c r="BN230" s="2209">
        <f t="shared" si="576"/>
        <v>-0.14785696170428608</v>
      </c>
      <c r="BO230" s="640">
        <f t="shared" si="576"/>
        <v>-0.14686213991769548</v>
      </c>
      <c r="BP230" s="640">
        <f t="shared" si="576"/>
        <v>-0.20507042253521124</v>
      </c>
      <c r="BQ230" s="949">
        <f t="shared" si="576"/>
        <v>9.526794108429959E-2</v>
      </c>
      <c r="BR230" s="640">
        <f t="shared" si="576"/>
        <v>0.40297619047619038</v>
      </c>
      <c r="BS230" s="640">
        <f t="shared" si="576"/>
        <v>0.47362074163400658</v>
      </c>
      <c r="BT230" s="640">
        <f t="shared" si="576"/>
        <v>0.64741318214032595</v>
      </c>
      <c r="BU230" s="949">
        <f>BU229/BQ229-1</f>
        <v>0.38540772532188838</v>
      </c>
      <c r="BV230" s="640">
        <f t="shared" si="576"/>
        <v>9.9066610097581664E-2</v>
      </c>
      <c r="BW230" s="640">
        <f t="shared" si="576"/>
        <v>9.1653027823240585E-2</v>
      </c>
      <c r="BX230" s="640">
        <f t="shared" si="576"/>
        <v>5.5947225209722395E-2</v>
      </c>
      <c r="BY230" s="949">
        <f t="shared" si="576"/>
        <v>1.4874283201156357E-2</v>
      </c>
      <c r="BZ230" s="640">
        <f>BZ229/BV229-1</f>
        <v>-2.1325740038837249E-2</v>
      </c>
      <c r="CA230" s="640">
        <f>CA229/BW229-1</f>
        <v>-6.4822434642004878E-2</v>
      </c>
      <c r="CB230" s="640">
        <f>CB229/BX229-1</f>
        <v>-5.6060008393157501E-2</v>
      </c>
      <c r="CC230" s="949">
        <f>CC229/BY229-1</f>
        <v>-0.10742448965199114</v>
      </c>
      <c r="CD230" s="9"/>
      <c r="CE230" s="145"/>
      <c r="CF230" s="145"/>
      <c r="CG230" s="145"/>
      <c r="CH230" s="145"/>
      <c r="CI230" s="145"/>
      <c r="CJ230" s="145"/>
      <c r="CK230" s="145"/>
      <c r="CL230" s="145"/>
      <c r="CM230" s="145"/>
      <c r="CN230" s="145"/>
      <c r="CO230" s="145"/>
      <c r="CP230" s="145"/>
      <c r="CQ230" s="640"/>
      <c r="CR230" s="640">
        <f t="shared" ref="CR230:DC230" si="577">CR229/CQ229-1</f>
        <v>-1.4396456256921319E-2</v>
      </c>
      <c r="CS230" s="1471">
        <f t="shared" si="577"/>
        <v>-3.6880370125578321E-2</v>
      </c>
      <c r="CT230" s="1471">
        <f t="shared" si="577"/>
        <v>-0.10828987098545151</v>
      </c>
      <c r="CU230" s="1471">
        <f t="shared" si="577"/>
        <v>0.46937047868246884</v>
      </c>
      <c r="CV230" s="1471">
        <f t="shared" si="577"/>
        <v>6.5318175732467454E-2</v>
      </c>
      <c r="CW230" s="1471">
        <f t="shared" si="577"/>
        <v>-6.1920554763520763E-2</v>
      </c>
      <c r="CX230" s="1471">
        <f t="shared" si="577"/>
        <v>7.2924038069256403E-2</v>
      </c>
      <c r="CY230" s="1471">
        <f t="shared" si="577"/>
        <v>3.6252265963877761E-2</v>
      </c>
      <c r="CZ230" s="1471">
        <f t="shared" si="577"/>
        <v>3.8063661605375998E-2</v>
      </c>
      <c r="DA230" s="1471">
        <f t="shared" si="577"/>
        <v>4.6347477925979153E-2</v>
      </c>
      <c r="DB230" s="1471">
        <f t="shared" si="577"/>
        <v>5.0201013782605219E-2</v>
      </c>
      <c r="DC230" s="1471">
        <f t="shared" si="577"/>
        <v>5.4137204785502879E-2</v>
      </c>
      <c r="DD230" s="1517"/>
      <c r="DE230" s="1483"/>
      <c r="DF230" s="141"/>
      <c r="DG230" s="141"/>
      <c r="DH230" s="141"/>
      <c r="DI230" s="141"/>
      <c r="DJ230" s="141"/>
      <c r="DK230" s="141"/>
      <c r="DL230" s="141"/>
      <c r="DM230" s="141"/>
      <c r="DN230" s="141"/>
      <c r="DO230" s="141"/>
      <c r="DP230" s="141"/>
      <c r="DQ230" s="141"/>
      <c r="DR230" s="141"/>
      <c r="DS230" s="141"/>
      <c r="DT230" s="141"/>
      <c r="DU230" s="141"/>
      <c r="DV230" s="141"/>
      <c r="DW230" s="141"/>
      <c r="DX230" s="141"/>
      <c r="DY230" s="141"/>
      <c r="DZ230" s="1676"/>
    </row>
    <row r="231" spans="1:130">
      <c r="A231" s="338"/>
      <c r="B231" s="578"/>
      <c r="C231" s="333" t="s">
        <v>77</v>
      </c>
      <c r="D231" s="578"/>
      <c r="E231" s="578"/>
      <c r="F231" s="145"/>
      <c r="G231" s="145"/>
      <c r="H231" s="145"/>
      <c r="I231" s="228"/>
      <c r="J231" s="145"/>
      <c r="K231" s="145"/>
      <c r="L231" s="145"/>
      <c r="M231" s="228"/>
      <c r="N231" s="145"/>
      <c r="O231" s="145"/>
      <c r="P231" s="145"/>
      <c r="Q231" s="228"/>
      <c r="R231" s="145"/>
      <c r="S231" s="145"/>
      <c r="T231" s="145"/>
      <c r="U231" s="228"/>
      <c r="V231" s="227"/>
      <c r="W231" s="145"/>
      <c r="X231" s="145"/>
      <c r="Y231" s="228"/>
      <c r="Z231" s="227"/>
      <c r="AA231" s="145"/>
      <c r="AB231" s="145"/>
      <c r="AC231" s="228"/>
      <c r="AD231" s="227"/>
      <c r="AE231" s="145"/>
      <c r="AF231" s="145"/>
      <c r="AG231" s="145"/>
      <c r="AH231" s="227"/>
      <c r="AI231" s="145"/>
      <c r="AJ231" s="145"/>
      <c r="AK231" s="145"/>
      <c r="AL231" s="227"/>
      <c r="AM231" s="145"/>
      <c r="AN231" s="145"/>
      <c r="AO231" s="228"/>
      <c r="AP231" s="145"/>
      <c r="AQ231" s="145"/>
      <c r="AR231" s="145"/>
      <c r="AS231" s="145"/>
      <c r="AT231" s="145"/>
      <c r="AU231" s="145"/>
      <c r="AV231" s="145"/>
      <c r="AW231" s="145"/>
      <c r="AX231" s="145"/>
      <c r="AY231" s="145"/>
      <c r="AZ231" s="145"/>
      <c r="BA231" s="228"/>
      <c r="BB231" s="852"/>
      <c r="BC231" s="852">
        <f t="shared" ref="BC231:BY231" si="578">BC229/BB229-1</f>
        <v>-5.2292441140024737E-2</v>
      </c>
      <c r="BD231" s="852">
        <f t="shared" si="578"/>
        <v>-1.5690376569037712E-2</v>
      </c>
      <c r="BE231" s="851">
        <f t="shared" si="578"/>
        <v>-9.5642933049946421E-3</v>
      </c>
      <c r="BF231" s="852">
        <f t="shared" si="578"/>
        <v>2.0386266094420513E-2</v>
      </c>
      <c r="BG231" s="852">
        <f t="shared" si="578"/>
        <v>4.4164037854889537E-2</v>
      </c>
      <c r="BH231" s="852">
        <f t="shared" si="578"/>
        <v>-6.7724068479355526E-2</v>
      </c>
      <c r="BI231" s="851">
        <f t="shared" si="578"/>
        <v>-1.4042668106940326E-2</v>
      </c>
      <c r="BJ231" s="852">
        <f t="shared" si="578"/>
        <v>7.9978088195015173E-2</v>
      </c>
      <c r="BK231" s="852">
        <f t="shared" si="578"/>
        <v>-1.3948769972102482E-2</v>
      </c>
      <c r="BL231" s="852">
        <f t="shared" si="578"/>
        <v>-8.6934156378600802E-2</v>
      </c>
      <c r="BM231" s="852">
        <f t="shared" si="578"/>
        <v>-0.10112676056338032</v>
      </c>
      <c r="BN231" s="850">
        <f t="shared" si="578"/>
        <v>5.2961454089627047E-2</v>
      </c>
      <c r="BO231" s="852">
        <f t="shared" si="578"/>
        <v>-1.2797619047619002E-2</v>
      </c>
      <c r="BP231" s="852">
        <f t="shared" si="578"/>
        <v>-0.14923123304190533</v>
      </c>
      <c r="BQ231" s="851">
        <f t="shared" si="578"/>
        <v>0.23848334514528702</v>
      </c>
      <c r="BR231" s="852">
        <f t="shared" si="578"/>
        <v>0.34878397711015729</v>
      </c>
      <c r="BS231" s="852">
        <f t="shared" si="578"/>
        <v>3.6911327959270324E-2</v>
      </c>
      <c r="BT231" s="852">
        <f t="shared" si="578"/>
        <v>-4.8895253682487705E-2</v>
      </c>
      <c r="BU231" s="851">
        <f>BU229/BT229-1</f>
        <v>4.1514304151430315E-2</v>
      </c>
      <c r="BV231" s="852">
        <f t="shared" si="578"/>
        <v>7.0012391573729849E-2</v>
      </c>
      <c r="BW231" s="852">
        <f t="shared" si="578"/>
        <v>2.9917004439297346E-2</v>
      </c>
      <c r="BX231" s="852">
        <f t="shared" si="578"/>
        <v>-8.0004001124437951E-2</v>
      </c>
      <c r="BY231" s="851">
        <f t="shared" si="578"/>
        <v>1.0027562310244154E-3</v>
      </c>
      <c r="BZ231" s="852">
        <f>BZ229/BY229-1</f>
        <v>3.1845621478942876E-2</v>
      </c>
      <c r="CA231" s="852">
        <f>CA229/BZ229-1</f>
        <v>-1.5857148658877551E-2</v>
      </c>
      <c r="CB231" s="852">
        <f>CB229/CA229-1</f>
        <v>-7.1383823109051336E-2</v>
      </c>
      <c r="CC231" s="851">
        <f>CC229/CB229-1</f>
        <v>-5.3466794555721453E-2</v>
      </c>
      <c r="CD231" s="9"/>
      <c r="CE231" s="145"/>
      <c r="CF231" s="145"/>
      <c r="CG231" s="145"/>
      <c r="CH231" s="145"/>
      <c r="CI231" s="145"/>
      <c r="CJ231" s="145"/>
      <c r="CK231" s="145"/>
      <c r="CL231" s="145"/>
      <c r="CM231" s="145"/>
      <c r="CN231" s="145"/>
      <c r="CO231" s="145"/>
      <c r="CP231" s="145"/>
      <c r="CQ231" s="852"/>
      <c r="CR231" s="852"/>
      <c r="CS231" s="141"/>
      <c r="CT231" s="141"/>
      <c r="CU231" s="141"/>
      <c r="CV231" s="141"/>
      <c r="CW231" s="141"/>
      <c r="CX231" s="141"/>
      <c r="CY231" s="141"/>
      <c r="CZ231" s="141"/>
      <c r="DA231" s="141"/>
      <c r="DB231" s="141"/>
      <c r="DC231" s="141"/>
      <c r="DD231" s="1517"/>
      <c r="DE231" s="1483"/>
      <c r="DF231" s="141"/>
      <c r="DG231" s="141"/>
      <c r="DH231" s="141"/>
      <c r="DI231" s="141"/>
      <c r="DJ231" s="141"/>
      <c r="DK231" s="141"/>
      <c r="DL231" s="141"/>
      <c r="DM231" s="141"/>
      <c r="DN231" s="141"/>
      <c r="DO231" s="141"/>
      <c r="DP231" s="141"/>
      <c r="DQ231" s="141"/>
      <c r="DR231" s="141"/>
      <c r="DS231" s="141"/>
      <c r="DT231" s="141"/>
      <c r="DU231" s="141"/>
      <c r="DV231" s="141"/>
      <c r="DW231" s="141"/>
      <c r="DX231" s="141"/>
      <c r="DY231" s="141"/>
      <c r="DZ231" s="1676"/>
    </row>
    <row r="232" spans="1:130">
      <c r="A232" s="338"/>
      <c r="B232" s="578"/>
      <c r="C232" s="333"/>
      <c r="D232" s="578"/>
      <c r="E232" s="578"/>
      <c r="F232" s="145"/>
      <c r="G232" s="145"/>
      <c r="H232" s="145"/>
      <c r="I232" s="228"/>
      <c r="J232" s="145"/>
      <c r="K232" s="145"/>
      <c r="L232" s="145"/>
      <c r="M232" s="228"/>
      <c r="N232" s="145"/>
      <c r="O232" s="145"/>
      <c r="P232" s="145"/>
      <c r="Q232" s="228"/>
      <c r="R232" s="145"/>
      <c r="S232" s="145"/>
      <c r="T232" s="145"/>
      <c r="U232" s="228"/>
      <c r="V232" s="227"/>
      <c r="W232" s="145"/>
      <c r="X232" s="145"/>
      <c r="Y232" s="228"/>
      <c r="Z232" s="227"/>
      <c r="AA232" s="145"/>
      <c r="AB232" s="145"/>
      <c r="AC232" s="228"/>
      <c r="AD232" s="227"/>
      <c r="AE232" s="145"/>
      <c r="AF232" s="145"/>
      <c r="AG232" s="145"/>
      <c r="AH232" s="227"/>
      <c r="AI232" s="145"/>
      <c r="AJ232" s="145"/>
      <c r="AK232" s="145"/>
      <c r="AL232" s="227"/>
      <c r="AM232" s="145"/>
      <c r="AN232" s="145"/>
      <c r="AO232" s="228"/>
      <c r="AP232" s="145"/>
      <c r="AQ232" s="145"/>
      <c r="AR232" s="145"/>
      <c r="AS232" s="145"/>
      <c r="AT232" s="145"/>
      <c r="AU232" s="145"/>
      <c r="AV232" s="145"/>
      <c r="AW232" s="145"/>
      <c r="AX232" s="145"/>
      <c r="AY232" s="145"/>
      <c r="AZ232" s="145"/>
      <c r="BA232" s="228"/>
      <c r="BB232" s="852"/>
      <c r="BC232" s="852"/>
      <c r="BD232" s="852"/>
      <c r="BE232" s="851"/>
      <c r="BF232" s="852"/>
      <c r="BG232" s="852"/>
      <c r="BH232" s="852"/>
      <c r="BI232" s="851"/>
      <c r="BJ232" s="852"/>
      <c r="BK232" s="852"/>
      <c r="BL232" s="852"/>
      <c r="BM232" s="852"/>
      <c r="BN232" s="850"/>
      <c r="BO232" s="852"/>
      <c r="BP232" s="852"/>
      <c r="BQ232" s="851"/>
      <c r="BR232" s="852"/>
      <c r="BS232" s="852"/>
      <c r="BT232" s="852"/>
      <c r="BU232" s="851"/>
      <c r="BV232" s="852"/>
      <c r="BW232" s="2227"/>
      <c r="BX232" s="2227"/>
      <c r="BY232" s="851"/>
      <c r="BZ232" s="852"/>
      <c r="CA232" s="2227"/>
      <c r="CB232" s="2227"/>
      <c r="CC232" s="2139"/>
      <c r="CD232" s="9"/>
      <c r="CE232" s="145"/>
      <c r="CF232" s="145"/>
      <c r="CG232" s="145"/>
      <c r="CH232" s="145"/>
      <c r="CI232" s="145"/>
      <c r="CJ232" s="145"/>
      <c r="CK232" s="145"/>
      <c r="CL232" s="145"/>
      <c r="CM232" s="145"/>
      <c r="CN232" s="145"/>
      <c r="CO232" s="145"/>
      <c r="CP232" s="145"/>
      <c r="CQ232" s="852"/>
      <c r="CR232" s="852"/>
      <c r="CS232" s="141"/>
      <c r="CT232" s="141"/>
      <c r="CU232" s="141"/>
      <c r="CV232" s="141"/>
      <c r="CW232" s="141"/>
      <c r="CX232" s="141"/>
      <c r="CY232" s="141"/>
      <c r="CZ232" s="141"/>
      <c r="DA232" s="141"/>
      <c r="DB232" s="141"/>
      <c r="DC232" s="141"/>
      <c r="DD232" s="1517"/>
      <c r="DE232" s="1483"/>
      <c r="DF232" s="141"/>
      <c r="DG232" s="141"/>
      <c r="DH232" s="141"/>
      <c r="DI232" s="141"/>
      <c r="DJ232" s="141"/>
      <c r="DK232" s="141"/>
      <c r="DL232" s="141"/>
      <c r="DM232" s="141"/>
      <c r="DN232" s="141"/>
      <c r="DO232" s="141"/>
      <c r="DP232" s="141"/>
      <c r="DQ232" s="141"/>
      <c r="DR232" s="141"/>
      <c r="DS232" s="141"/>
      <c r="DT232" s="141"/>
      <c r="DU232" s="141"/>
      <c r="DV232" s="141"/>
      <c r="DW232" s="141"/>
      <c r="DX232" s="141"/>
      <c r="DY232" s="141"/>
      <c r="DZ232" s="1676"/>
    </row>
    <row r="233" spans="1:130">
      <c r="A233" s="9"/>
      <c r="B233" s="187" t="s">
        <v>947</v>
      </c>
      <c r="C233" s="31"/>
      <c r="D233" s="578"/>
      <c r="E233" s="216"/>
      <c r="F233" s="145"/>
      <c r="G233" s="145"/>
      <c r="H233" s="145"/>
      <c r="I233" s="228"/>
      <c r="J233" s="145"/>
      <c r="K233" s="145"/>
      <c r="L233" s="145"/>
      <c r="M233" s="228"/>
      <c r="N233" s="145"/>
      <c r="O233" s="145"/>
      <c r="P233" s="145"/>
      <c r="Q233" s="228"/>
      <c r="R233" s="145"/>
      <c r="S233" s="145"/>
      <c r="T233" s="145"/>
      <c r="U233" s="228"/>
      <c r="V233" s="227"/>
      <c r="W233" s="145"/>
      <c r="X233" s="145"/>
      <c r="Y233" s="228"/>
      <c r="Z233" s="227"/>
      <c r="AA233" s="145"/>
      <c r="AB233" s="145"/>
      <c r="AC233" s="228"/>
      <c r="AD233" s="227"/>
      <c r="AE233" s="145"/>
      <c r="AF233" s="145"/>
      <c r="AG233" s="145"/>
      <c r="AH233" s="227"/>
      <c r="AI233" s="145"/>
      <c r="AJ233" s="145"/>
      <c r="AK233" s="145"/>
      <c r="AL233" s="227"/>
      <c r="AM233" s="145"/>
      <c r="AN233" s="145"/>
      <c r="AO233" s="228"/>
      <c r="AP233" s="145"/>
      <c r="AQ233" s="145"/>
      <c r="AR233" s="145"/>
      <c r="AS233" s="145"/>
      <c r="AT233" s="145"/>
      <c r="AU233" s="145"/>
      <c r="AV233" s="145"/>
      <c r="AW233" s="145"/>
      <c r="AX233" s="145"/>
      <c r="AY233" s="145"/>
      <c r="AZ233" s="145"/>
      <c r="BA233" s="228"/>
      <c r="BB233" s="2137">
        <f t="shared" ref="BB233:BS233" si="579">SUM(BB245, BB295, BB321)</f>
        <v>44.3</v>
      </c>
      <c r="BC233" s="2138">
        <f t="shared" si="579"/>
        <v>47.6</v>
      </c>
      <c r="BD233" s="2138">
        <f t="shared" si="579"/>
        <v>48.4</v>
      </c>
      <c r="BE233" s="2139">
        <f t="shared" si="579"/>
        <v>47.699999999999996</v>
      </c>
      <c r="BF233" s="2137">
        <f t="shared" si="579"/>
        <v>50.8</v>
      </c>
      <c r="BG233" s="2138">
        <f t="shared" si="579"/>
        <v>55.1</v>
      </c>
      <c r="BH233" s="2138">
        <f t="shared" si="579"/>
        <v>53.6</v>
      </c>
      <c r="BI233" s="2139">
        <f t="shared" si="579"/>
        <v>55.2</v>
      </c>
      <c r="BJ233" s="2137">
        <f t="shared" si="579"/>
        <v>64.800000000000011</v>
      </c>
      <c r="BK233" s="2138">
        <f t="shared" si="579"/>
        <v>66.400000000000006</v>
      </c>
      <c r="BL233" s="2138">
        <f t="shared" si="579"/>
        <v>61.3</v>
      </c>
      <c r="BM233" s="2138">
        <f t="shared" si="579"/>
        <v>56.2</v>
      </c>
      <c r="BN233" s="2137">
        <f t="shared" si="579"/>
        <v>63.5</v>
      </c>
      <c r="BO233" s="2138">
        <f t="shared" si="579"/>
        <v>69.099999999999994</v>
      </c>
      <c r="BP233" s="2138">
        <f t="shared" si="579"/>
        <v>63</v>
      </c>
      <c r="BQ233" s="2139">
        <f t="shared" si="579"/>
        <v>66.099999999999994</v>
      </c>
      <c r="BR233" s="2137">
        <f t="shared" si="579"/>
        <v>80</v>
      </c>
      <c r="BS233" s="2138">
        <f t="shared" si="579"/>
        <v>77.8</v>
      </c>
      <c r="BT233" s="2138">
        <f t="shared" ref="BT233:BY233" si="580">SUM(BT245, BT295, BT321)</f>
        <v>74.2</v>
      </c>
      <c r="BU233" s="2139">
        <f>SUM(BU245, BU295, BU321)</f>
        <v>81.2</v>
      </c>
      <c r="BV233" s="2137">
        <f t="shared" si="580"/>
        <v>87.4</v>
      </c>
      <c r="BW233" s="2138">
        <f t="shared" si="580"/>
        <v>95.3</v>
      </c>
      <c r="BX233" s="2138">
        <f t="shared" si="580"/>
        <v>92.303999999999988</v>
      </c>
      <c r="BY233" s="2139">
        <f t="shared" si="580"/>
        <v>95.121920000000003</v>
      </c>
      <c r="BZ233" s="2137">
        <f>SUM(BZ245, BZ295, BZ321)</f>
        <v>104.45079120000001</v>
      </c>
      <c r="CA233" s="2138">
        <f>SUM(CA245, CA295, CA321)</f>
        <v>107.73367129800002</v>
      </c>
      <c r="CB233" s="2138">
        <f>SUM(CB245, CB295, CB321)</f>
        <v>105.51159027900002</v>
      </c>
      <c r="CC233" s="2139">
        <f>SUM(CC245, CC295, CC321)</f>
        <v>105.028885741995</v>
      </c>
      <c r="CD233" s="9"/>
      <c r="CE233" s="145"/>
      <c r="CF233" s="145"/>
      <c r="CG233" s="145"/>
      <c r="CH233" s="145"/>
      <c r="CI233" s="145"/>
      <c r="CJ233" s="145"/>
      <c r="CK233" s="145"/>
      <c r="CL233" s="145"/>
      <c r="CM233" s="145"/>
      <c r="CN233" s="145"/>
      <c r="CO233" s="145"/>
      <c r="CP233" s="145"/>
      <c r="CQ233" s="2182">
        <f>SUM(BB233:BE233)</f>
        <v>188</v>
      </c>
      <c r="CR233" s="2182">
        <f>SUM(BF233:BI233)</f>
        <v>214.7</v>
      </c>
      <c r="CS233" s="2182">
        <f>SUM(BJ233:BM233)</f>
        <v>248.7</v>
      </c>
      <c r="CT233" s="2182">
        <f>SUM(BN233:BQ233)</f>
        <v>261.7</v>
      </c>
      <c r="CU233" s="2182">
        <f>SUM(BR233:BU233)</f>
        <v>313.2</v>
      </c>
      <c r="CV233" s="2182">
        <f>SUM(BV233:BY233)</f>
        <v>370.12591999999995</v>
      </c>
      <c r="CW233" s="2182">
        <f>SUM(BZ233:CC233)</f>
        <v>422.72493851899503</v>
      </c>
      <c r="CX233" s="2182">
        <f t="shared" ref="CX233:DC233" si="581">SUM(CX245, CX295, CX321)</f>
        <v>466.43173233692858</v>
      </c>
      <c r="CY233" s="2182">
        <f t="shared" si="581"/>
        <v>504.68713464204404</v>
      </c>
      <c r="CZ233" s="2182">
        <f t="shared" si="581"/>
        <v>547.63178112513538</v>
      </c>
      <c r="DA233" s="2182">
        <f t="shared" si="581"/>
        <v>598.39810648257298</v>
      </c>
      <c r="DB233" s="2182">
        <f t="shared" si="581"/>
        <v>656.24361262744094</v>
      </c>
      <c r="DC233" s="2182">
        <f t="shared" si="581"/>
        <v>722.22037932573062</v>
      </c>
      <c r="DD233" s="1517"/>
      <c r="DE233" s="1483"/>
      <c r="DF233" s="141"/>
      <c r="DG233" s="141"/>
      <c r="DH233" s="141"/>
      <c r="DI233" s="141"/>
      <c r="DJ233" s="141"/>
      <c r="DK233" s="141"/>
      <c r="DL233" s="141"/>
      <c r="DM233" s="141"/>
      <c r="DN233" s="141"/>
      <c r="DO233" s="141"/>
      <c r="DP233" s="141"/>
      <c r="DQ233" s="141"/>
      <c r="DR233" s="141"/>
      <c r="DS233" s="141"/>
      <c r="DT233" s="141"/>
      <c r="DU233" s="141"/>
      <c r="DV233" s="141"/>
      <c r="DW233" s="141"/>
      <c r="DX233" s="141"/>
      <c r="DY233" s="141"/>
      <c r="DZ233" s="1676"/>
    </row>
    <row r="234" spans="1:130">
      <c r="A234" s="9"/>
      <c r="B234" s="187"/>
      <c r="C234" s="1180" t="s">
        <v>76</v>
      </c>
      <c r="D234" s="578"/>
      <c r="E234" s="141"/>
      <c r="F234" s="145"/>
      <c r="G234" s="145"/>
      <c r="H234" s="145"/>
      <c r="I234" s="228"/>
      <c r="J234" s="145"/>
      <c r="K234" s="145"/>
      <c r="L234" s="145"/>
      <c r="M234" s="228"/>
      <c r="N234" s="145"/>
      <c r="O234" s="145"/>
      <c r="P234" s="145"/>
      <c r="Q234" s="228"/>
      <c r="R234" s="145"/>
      <c r="S234" s="145"/>
      <c r="T234" s="145"/>
      <c r="U234" s="228"/>
      <c r="V234" s="145"/>
      <c r="W234" s="145"/>
      <c r="X234" s="145"/>
      <c r="Y234" s="228"/>
      <c r="Z234" s="145"/>
      <c r="AA234" s="145"/>
      <c r="AB234" s="145"/>
      <c r="AC234" s="228"/>
      <c r="AD234" s="145"/>
      <c r="AE234" s="145"/>
      <c r="AF234" s="145"/>
      <c r="AG234" s="145"/>
      <c r="AH234" s="227"/>
      <c r="AI234" s="145"/>
      <c r="AJ234" s="145"/>
      <c r="AK234" s="145"/>
      <c r="AL234" s="227"/>
      <c r="AM234" s="145"/>
      <c r="AN234" s="145"/>
      <c r="AO234" s="145"/>
      <c r="AP234" s="145"/>
      <c r="AQ234" s="145"/>
      <c r="AR234" s="145"/>
      <c r="AS234" s="145"/>
      <c r="AT234" s="145"/>
      <c r="AU234" s="145"/>
      <c r="AV234" s="145"/>
      <c r="AW234" s="145"/>
      <c r="AX234" s="145"/>
      <c r="AY234" s="145"/>
      <c r="AZ234" s="145"/>
      <c r="BA234" s="228"/>
      <c r="BB234" s="1663"/>
      <c r="BC234" s="640"/>
      <c r="BD234" s="640"/>
      <c r="BE234" s="949"/>
      <c r="BF234" s="640">
        <f t="shared" ref="BF234:BY234" si="582">BF233/BB233-1</f>
        <v>0.14672686230248311</v>
      </c>
      <c r="BG234" s="640">
        <f t="shared" si="582"/>
        <v>0.15756302521008392</v>
      </c>
      <c r="BH234" s="640">
        <f t="shared" si="582"/>
        <v>0.10743801652892571</v>
      </c>
      <c r="BI234" s="949">
        <f t="shared" si="582"/>
        <v>0.15723270440251591</v>
      </c>
      <c r="BJ234" s="640">
        <f t="shared" si="582"/>
        <v>0.27559055118110276</v>
      </c>
      <c r="BK234" s="640">
        <f t="shared" si="582"/>
        <v>0.20508166969147013</v>
      </c>
      <c r="BL234" s="640">
        <f t="shared" si="582"/>
        <v>0.14365671641791034</v>
      </c>
      <c r="BM234" s="640">
        <f t="shared" si="582"/>
        <v>1.8115942028985588E-2</v>
      </c>
      <c r="BN234" s="2209">
        <f t="shared" si="582"/>
        <v>-2.0061728395061929E-2</v>
      </c>
      <c r="BO234" s="640">
        <f t="shared" si="582"/>
        <v>4.0662650602409478E-2</v>
      </c>
      <c r="BP234" s="640">
        <f t="shared" si="582"/>
        <v>2.7732463295269127E-2</v>
      </c>
      <c r="BQ234" s="949">
        <f t="shared" si="582"/>
        <v>0.17615658362989306</v>
      </c>
      <c r="BR234" s="640">
        <f t="shared" si="582"/>
        <v>0.25984251968503935</v>
      </c>
      <c r="BS234" s="640">
        <f t="shared" si="582"/>
        <v>0.12590448625180906</v>
      </c>
      <c r="BT234" s="640">
        <f t="shared" si="582"/>
        <v>0.17777777777777781</v>
      </c>
      <c r="BU234" s="949">
        <f>BU233/BQ233-1</f>
        <v>0.22844175491679297</v>
      </c>
      <c r="BV234" s="640">
        <f t="shared" si="582"/>
        <v>9.2500000000000027E-2</v>
      </c>
      <c r="BW234" s="640">
        <f t="shared" si="582"/>
        <v>0.22493573264781497</v>
      </c>
      <c r="BX234" s="640">
        <f t="shared" si="582"/>
        <v>0.2439892183288408</v>
      </c>
      <c r="BY234" s="949">
        <f t="shared" si="582"/>
        <v>0.17145221674876843</v>
      </c>
      <c r="BZ234" s="640">
        <f>BZ233/BV233-1</f>
        <v>0.19508914416475975</v>
      </c>
      <c r="CA234" s="640">
        <f>CA233/BW233-1</f>
        <v>0.13046874394543573</v>
      </c>
      <c r="CB234" s="640">
        <f>CB233/BX233-1</f>
        <v>0.14308795154056186</v>
      </c>
      <c r="CC234" s="949">
        <f>CC233/BY233-1</f>
        <v>0.10415018685488042</v>
      </c>
      <c r="CD234" s="9"/>
      <c r="CE234" s="145"/>
      <c r="CF234" s="145"/>
      <c r="CG234" s="145"/>
      <c r="CH234" s="145"/>
      <c r="CI234" s="145"/>
      <c r="CJ234" s="145"/>
      <c r="CK234" s="145"/>
      <c r="CL234" s="145"/>
      <c r="CM234" s="145"/>
      <c r="CN234" s="145"/>
      <c r="CO234" s="145"/>
      <c r="CP234" s="145"/>
      <c r="CQ234" s="145"/>
      <c r="CR234" s="1471">
        <f t="shared" ref="CR234:CW234" si="583">CR233/CQ233-1</f>
        <v>0.14202127659574471</v>
      </c>
      <c r="CS234" s="1471">
        <f t="shared" si="583"/>
        <v>0.15836050302748017</v>
      </c>
      <c r="CT234" s="1471">
        <f t="shared" si="583"/>
        <v>5.2271813429835223E-2</v>
      </c>
      <c r="CU234" s="1471">
        <f t="shared" si="583"/>
        <v>0.19679021780664874</v>
      </c>
      <c r="CV234" s="1471">
        <f t="shared" si="583"/>
        <v>0.18175581098339699</v>
      </c>
      <c r="CW234" s="1471">
        <f t="shared" si="583"/>
        <v>0.14211114563118166</v>
      </c>
      <c r="CX234" s="1471">
        <f t="shared" ref="CX234:DC234" si="584">CX233/CW233-1</f>
        <v>0.10339298639692052</v>
      </c>
      <c r="CY234" s="1471">
        <f t="shared" si="584"/>
        <v>8.201715203519111E-2</v>
      </c>
      <c r="CZ234" s="1471">
        <f t="shared" si="584"/>
        <v>8.5091621195278577E-2</v>
      </c>
      <c r="DA234" s="1471">
        <f t="shared" si="584"/>
        <v>9.270156902350668E-2</v>
      </c>
      <c r="DB234" s="1471">
        <f t="shared" si="584"/>
        <v>9.6667261340260602E-2</v>
      </c>
      <c r="DC234" s="1471">
        <f t="shared" si="584"/>
        <v>0.10053700398566101</v>
      </c>
      <c r="DD234" s="1517"/>
      <c r="DE234" s="1483"/>
      <c r="DF234" s="141"/>
      <c r="DG234" s="141"/>
      <c r="DH234" s="141"/>
      <c r="DI234" s="141"/>
      <c r="DJ234" s="141"/>
      <c r="DK234" s="141"/>
      <c r="DL234" s="141"/>
      <c r="DM234" s="141"/>
      <c r="DN234" s="141"/>
      <c r="DO234" s="141"/>
      <c r="DP234" s="141"/>
      <c r="DQ234" s="141"/>
      <c r="DR234" s="141"/>
      <c r="DS234" s="141"/>
      <c r="DT234" s="141"/>
      <c r="DU234" s="141"/>
      <c r="DV234" s="141"/>
      <c r="DW234" s="141"/>
      <c r="DX234" s="141"/>
      <c r="DY234" s="141"/>
      <c r="DZ234" s="1676"/>
    </row>
    <row r="235" spans="1:130">
      <c r="A235" s="9"/>
      <c r="B235" s="187"/>
      <c r="C235" s="333" t="s">
        <v>77</v>
      </c>
      <c r="D235" s="578"/>
      <c r="E235" s="141"/>
      <c r="F235" s="145"/>
      <c r="G235" s="145"/>
      <c r="H235" s="145"/>
      <c r="I235" s="228"/>
      <c r="J235" s="145"/>
      <c r="K235" s="145"/>
      <c r="L235" s="145"/>
      <c r="M235" s="228"/>
      <c r="N235" s="145"/>
      <c r="O235" s="145"/>
      <c r="P235" s="145"/>
      <c r="Q235" s="228"/>
      <c r="R235" s="145"/>
      <c r="S235" s="145"/>
      <c r="T235" s="145"/>
      <c r="U235" s="228"/>
      <c r="V235" s="145"/>
      <c r="W235" s="145"/>
      <c r="X235" s="145"/>
      <c r="Y235" s="228"/>
      <c r="Z235" s="145"/>
      <c r="AA235" s="145"/>
      <c r="AB235" s="145"/>
      <c r="AC235" s="228"/>
      <c r="AD235" s="145"/>
      <c r="AE235" s="145"/>
      <c r="AF235" s="145"/>
      <c r="AG235" s="145"/>
      <c r="AH235" s="227"/>
      <c r="AI235" s="145"/>
      <c r="AJ235" s="145"/>
      <c r="AK235" s="145"/>
      <c r="AL235" s="227"/>
      <c r="AM235" s="145"/>
      <c r="AN235" s="145"/>
      <c r="AO235" s="145"/>
      <c r="AP235" s="145"/>
      <c r="AQ235" s="145"/>
      <c r="AR235" s="145"/>
      <c r="AS235" s="145"/>
      <c r="AT235" s="145"/>
      <c r="AU235" s="145"/>
      <c r="AV235" s="145"/>
      <c r="AW235" s="145"/>
      <c r="AX235" s="145"/>
      <c r="AY235" s="145"/>
      <c r="AZ235" s="145"/>
      <c r="BA235" s="228"/>
      <c r="BB235" s="1663"/>
      <c r="BC235" s="852">
        <f t="shared" ref="BC235:BY235" si="585">BC233/BB233-1</f>
        <v>7.4492099322799099E-2</v>
      </c>
      <c r="BD235" s="852">
        <f t="shared" si="585"/>
        <v>1.6806722689075571E-2</v>
      </c>
      <c r="BE235" s="851">
        <f t="shared" si="585"/>
        <v>-1.4462809917355379E-2</v>
      </c>
      <c r="BF235" s="852">
        <f t="shared" si="585"/>
        <v>6.4989517819706633E-2</v>
      </c>
      <c r="BG235" s="852">
        <f t="shared" si="585"/>
        <v>8.4645669291338654E-2</v>
      </c>
      <c r="BH235" s="852">
        <f t="shared" si="585"/>
        <v>-2.722323049001818E-2</v>
      </c>
      <c r="BI235" s="851">
        <f t="shared" si="585"/>
        <v>2.9850746268656803E-2</v>
      </c>
      <c r="BJ235" s="852">
        <f t="shared" si="585"/>
        <v>0.17391304347826098</v>
      </c>
      <c r="BK235" s="852">
        <f t="shared" si="585"/>
        <v>2.4691358024691246E-2</v>
      </c>
      <c r="BL235" s="852">
        <f t="shared" si="585"/>
        <v>-7.6807228915662717E-2</v>
      </c>
      <c r="BM235" s="852">
        <f t="shared" si="585"/>
        <v>-8.3197389885807382E-2</v>
      </c>
      <c r="BN235" s="850">
        <f t="shared" si="585"/>
        <v>0.12989323843416356</v>
      </c>
      <c r="BO235" s="852">
        <f t="shared" si="585"/>
        <v>8.8188976377952644E-2</v>
      </c>
      <c r="BP235" s="852">
        <f t="shared" si="585"/>
        <v>-8.8277858176555646E-2</v>
      </c>
      <c r="BQ235" s="851">
        <f t="shared" si="585"/>
        <v>4.9206349206349032E-2</v>
      </c>
      <c r="BR235" s="852">
        <f t="shared" si="585"/>
        <v>0.21028744326777615</v>
      </c>
      <c r="BS235" s="852">
        <f t="shared" si="585"/>
        <v>-2.750000000000008E-2</v>
      </c>
      <c r="BT235" s="852">
        <f t="shared" si="585"/>
        <v>-4.6272493573264684E-2</v>
      </c>
      <c r="BU235" s="851">
        <f>BU233/BT233-1</f>
        <v>9.4339622641509413E-2</v>
      </c>
      <c r="BV235" s="852">
        <f t="shared" si="585"/>
        <v>7.6354679802955738E-2</v>
      </c>
      <c r="BW235" s="852">
        <f t="shared" si="585"/>
        <v>9.0389016018306512E-2</v>
      </c>
      <c r="BX235" s="852">
        <f t="shared" si="585"/>
        <v>-3.1437565582371541E-2</v>
      </c>
      <c r="BY235" s="851">
        <f t="shared" si="585"/>
        <v>3.05286878141795E-2</v>
      </c>
      <c r="BZ235" s="852">
        <f>BZ233/BY233-1</f>
        <v>9.8072780700810158E-2</v>
      </c>
      <c r="CA235" s="852">
        <f>CA233/BZ233-1</f>
        <v>3.1429920829551428E-2</v>
      </c>
      <c r="CB235" s="852">
        <f>CB233/CA233-1</f>
        <v>-2.062568732902037E-2</v>
      </c>
      <c r="CC235" s="851">
        <f>CC233/CB233-1</f>
        <v>-4.5748958548403884E-3</v>
      </c>
      <c r="CD235" s="9"/>
      <c r="CE235" s="145"/>
      <c r="CF235" s="145"/>
      <c r="CG235" s="145"/>
      <c r="CH235" s="145"/>
      <c r="CI235" s="145"/>
      <c r="CJ235" s="145"/>
      <c r="CK235" s="145"/>
      <c r="CL235" s="145"/>
      <c r="CM235" s="145"/>
      <c r="CN235" s="145"/>
      <c r="CO235" s="145"/>
      <c r="CP235" s="145"/>
      <c r="CQ235" s="1694"/>
      <c r="CR235" s="1694"/>
      <c r="CS235" s="1694"/>
      <c r="CT235" s="1694"/>
      <c r="CU235" s="1694"/>
      <c r="CV235" s="1694"/>
      <c r="CW235" s="141"/>
      <c r="CX235" s="141"/>
      <c r="CY235" s="141"/>
      <c r="CZ235" s="141"/>
      <c r="DA235" s="141"/>
      <c r="DB235" s="141"/>
      <c r="DC235" s="141"/>
      <c r="DD235" s="1517"/>
      <c r="DE235" s="1483"/>
      <c r="DF235" s="141"/>
      <c r="DG235" s="141"/>
      <c r="DH235" s="141"/>
      <c r="DI235" s="141"/>
      <c r="DJ235" s="141"/>
      <c r="DK235" s="141"/>
      <c r="DL235" s="141"/>
      <c r="DM235" s="141"/>
      <c r="DN235" s="141"/>
      <c r="DO235" s="141"/>
      <c r="DP235" s="141"/>
      <c r="DQ235" s="141"/>
      <c r="DR235" s="141"/>
      <c r="DS235" s="141"/>
      <c r="DT235" s="141"/>
      <c r="DU235" s="141"/>
      <c r="DV235" s="141"/>
      <c r="DW235" s="141"/>
      <c r="DX235" s="141"/>
      <c r="DY235" s="141"/>
      <c r="DZ235" s="1676"/>
    </row>
    <row r="236" spans="1:130">
      <c r="A236" s="9"/>
      <c r="B236" s="187"/>
      <c r="C236" s="333"/>
      <c r="D236" s="578"/>
      <c r="E236" s="141"/>
      <c r="F236" s="145"/>
      <c r="G236" s="145"/>
      <c r="H236" s="145"/>
      <c r="I236" s="228"/>
      <c r="J236" s="145"/>
      <c r="K236" s="145"/>
      <c r="L236" s="145"/>
      <c r="M236" s="228"/>
      <c r="N236" s="145"/>
      <c r="O236" s="145"/>
      <c r="P236" s="145"/>
      <c r="Q236" s="228"/>
      <c r="R236" s="145"/>
      <c r="S236" s="145"/>
      <c r="T236" s="145"/>
      <c r="U236" s="228"/>
      <c r="V236" s="145"/>
      <c r="W236" s="145"/>
      <c r="X236" s="145"/>
      <c r="Y236" s="228"/>
      <c r="Z236" s="145"/>
      <c r="AA236" s="145"/>
      <c r="AB236" s="145"/>
      <c r="AC236" s="228"/>
      <c r="AD236" s="145"/>
      <c r="AE236" s="145"/>
      <c r="AF236" s="145"/>
      <c r="AG236" s="145"/>
      <c r="AH236" s="227"/>
      <c r="AI236" s="145"/>
      <c r="AJ236" s="145"/>
      <c r="AK236" s="145"/>
      <c r="AL236" s="227"/>
      <c r="AM236" s="145"/>
      <c r="AN236" s="145"/>
      <c r="AO236" s="145"/>
      <c r="AP236" s="145"/>
      <c r="AQ236" s="145"/>
      <c r="AR236" s="145"/>
      <c r="AS236" s="145"/>
      <c r="AT236" s="145"/>
      <c r="AU236" s="145"/>
      <c r="AV236" s="145"/>
      <c r="AW236" s="145"/>
      <c r="AX236" s="145"/>
      <c r="AY236" s="145"/>
      <c r="AZ236" s="145"/>
      <c r="BA236" s="228"/>
      <c r="BB236" s="1663"/>
      <c r="BC236" s="852"/>
      <c r="BD236" s="852"/>
      <c r="BE236" s="851"/>
      <c r="BF236" s="852"/>
      <c r="BG236" s="852"/>
      <c r="BH236" s="852"/>
      <c r="BI236" s="851"/>
      <c r="BJ236" s="852"/>
      <c r="BK236" s="852"/>
      <c r="BL236" s="852"/>
      <c r="BM236" s="852"/>
      <c r="BN236" s="850"/>
      <c r="BO236" s="852"/>
      <c r="BP236" s="852"/>
      <c r="BQ236" s="851"/>
      <c r="BR236" s="852"/>
      <c r="BS236" s="852"/>
      <c r="BT236" s="852"/>
      <c r="BU236" s="851"/>
      <c r="BV236" s="852"/>
      <c r="BW236" s="2227"/>
      <c r="BX236" s="2227"/>
      <c r="BY236" s="851"/>
      <c r="BZ236" s="852"/>
      <c r="CA236" s="2227"/>
      <c r="CB236" s="2227"/>
      <c r="CC236" s="2139"/>
      <c r="CD236" s="9"/>
      <c r="CE236" s="145"/>
      <c r="CF236" s="145"/>
      <c r="CG236" s="145"/>
      <c r="CH236" s="145"/>
      <c r="CI236" s="145"/>
      <c r="CJ236" s="145"/>
      <c r="CK236" s="145"/>
      <c r="CL236" s="145"/>
      <c r="CM236" s="145"/>
      <c r="CN236" s="145"/>
      <c r="CO236" s="145"/>
      <c r="CP236" s="145"/>
      <c r="CQ236" s="1694"/>
      <c r="CR236" s="1694"/>
      <c r="CS236" s="1694"/>
      <c r="CT236" s="1694"/>
      <c r="CU236" s="1694"/>
      <c r="CV236" s="1694"/>
      <c r="CW236" s="141"/>
      <c r="CX236" s="141"/>
      <c r="CY236" s="141"/>
      <c r="CZ236" s="141"/>
      <c r="DA236" s="141"/>
      <c r="DB236" s="141"/>
      <c r="DC236" s="141"/>
      <c r="DD236" s="1517"/>
      <c r="DE236" s="1483"/>
      <c r="DF236" s="141"/>
      <c r="DG236" s="141"/>
      <c r="DH236" s="141"/>
      <c r="DI236" s="141"/>
      <c r="DJ236" s="141"/>
      <c r="DK236" s="141"/>
      <c r="DL236" s="141"/>
      <c r="DM236" s="141"/>
      <c r="DN236" s="141"/>
      <c r="DO236" s="141"/>
      <c r="DP236" s="141"/>
      <c r="DQ236" s="141"/>
      <c r="DR236" s="141"/>
      <c r="DS236" s="141"/>
      <c r="DT236" s="141"/>
      <c r="DU236" s="141"/>
      <c r="DV236" s="141"/>
      <c r="DW236" s="141"/>
      <c r="DX236" s="141"/>
      <c r="DY236" s="141"/>
      <c r="DZ236" s="1676"/>
    </row>
    <row r="237" spans="1:130">
      <c r="A237" s="9"/>
      <c r="B237" s="187" t="s">
        <v>978</v>
      </c>
      <c r="C237" s="31"/>
      <c r="D237" s="578"/>
      <c r="E237" s="216"/>
      <c r="F237" s="145"/>
      <c r="G237" s="145"/>
      <c r="H237" s="145"/>
      <c r="I237" s="228"/>
      <c r="J237" s="145"/>
      <c r="K237" s="145"/>
      <c r="L237" s="145"/>
      <c r="M237" s="228"/>
      <c r="N237" s="145"/>
      <c r="O237" s="145"/>
      <c r="P237" s="145"/>
      <c r="Q237" s="228"/>
      <c r="R237" s="145"/>
      <c r="S237" s="145"/>
      <c r="T237" s="145"/>
      <c r="U237" s="228"/>
      <c r="V237" s="145"/>
      <c r="W237" s="145"/>
      <c r="X237" s="145"/>
      <c r="Y237" s="228"/>
      <c r="Z237" s="145"/>
      <c r="AA237" s="145"/>
      <c r="AB237" s="145"/>
      <c r="AC237" s="228"/>
      <c r="AD237" s="145"/>
      <c r="AE237" s="145"/>
      <c r="AF237" s="145"/>
      <c r="AG237" s="145"/>
      <c r="AH237" s="227"/>
      <c r="AI237" s="145"/>
      <c r="AJ237" s="145"/>
      <c r="AK237" s="145"/>
      <c r="AL237" s="227"/>
      <c r="AM237" s="145"/>
      <c r="AN237" s="145"/>
      <c r="AO237" s="145"/>
      <c r="AP237" s="145"/>
      <c r="AQ237" s="145"/>
      <c r="AR237" s="145"/>
      <c r="AS237" s="145"/>
      <c r="AT237" s="145"/>
      <c r="AU237" s="145"/>
      <c r="AV237" s="145"/>
      <c r="AW237" s="145"/>
      <c r="AX237" s="145"/>
      <c r="AY237" s="145"/>
      <c r="AZ237" s="145"/>
      <c r="BA237" s="228"/>
      <c r="BB237" s="2137">
        <f>BB229/BB233</f>
        <v>91.083521444695265</v>
      </c>
      <c r="BC237" s="2138">
        <f t="shared" ref="BC237:BY237" si="586">BC229/BC233</f>
        <v>80.336134453781511</v>
      </c>
      <c r="BD237" s="2138">
        <f t="shared" si="586"/>
        <v>77.768595041322314</v>
      </c>
      <c r="BE237" s="2139">
        <f t="shared" si="586"/>
        <v>78.155136268343824</v>
      </c>
      <c r="BF237" s="2137">
        <f t="shared" si="586"/>
        <v>74.881889763779526</v>
      </c>
      <c r="BG237" s="2138">
        <f t="shared" si="586"/>
        <v>72.087114337568053</v>
      </c>
      <c r="BH237" s="2138">
        <f t="shared" si="586"/>
        <v>69.085820895522389</v>
      </c>
      <c r="BI237" s="2139">
        <f t="shared" si="586"/>
        <v>66.141304347826079</v>
      </c>
      <c r="BJ237" s="2137">
        <f t="shared" si="586"/>
        <v>60.848765432098752</v>
      </c>
      <c r="BK237" s="2138">
        <f t="shared" si="586"/>
        <v>58.554216867469876</v>
      </c>
      <c r="BL237" s="2138">
        <f t="shared" si="586"/>
        <v>57.911908646003262</v>
      </c>
      <c r="BM237" s="2138">
        <f t="shared" si="586"/>
        <v>56.779359430604977</v>
      </c>
      <c r="BN237" s="2137">
        <f t="shared" si="586"/>
        <v>52.913385826771652</v>
      </c>
      <c r="BO237" s="2138">
        <f t="shared" si="586"/>
        <v>48.00289435600579</v>
      </c>
      <c r="BP237" s="2138">
        <f t="shared" si="586"/>
        <v>44.793650793650791</v>
      </c>
      <c r="BQ237" s="2139">
        <f t="shared" si="586"/>
        <v>52.874432677760971</v>
      </c>
      <c r="BR237" s="2137">
        <f t="shared" si="586"/>
        <v>58.924999999999997</v>
      </c>
      <c r="BS237" s="2138">
        <f t="shared" si="586"/>
        <v>62.827763496143959</v>
      </c>
      <c r="BT237" s="2138">
        <f t="shared" si="586"/>
        <v>62.654986522911052</v>
      </c>
      <c r="BU237" s="2139">
        <f>BU229/BU233</f>
        <v>59.630541871921181</v>
      </c>
      <c r="BV237" s="2137">
        <f t="shared" si="586"/>
        <v>59.279176201372991</v>
      </c>
      <c r="BW237" s="2138">
        <f t="shared" si="586"/>
        <v>55.991605456453307</v>
      </c>
      <c r="BX237" s="2138">
        <f t="shared" si="586"/>
        <v>53.184029402842775</v>
      </c>
      <c r="BY237" s="2139">
        <f t="shared" si="586"/>
        <v>51.660240660196926</v>
      </c>
      <c r="BZ237" s="2137">
        <f>BZ229/BZ233</f>
        <v>48.544499113940496</v>
      </c>
      <c r="CA237" s="2138">
        <f>CA229/CA233</f>
        <v>46.318921731973866</v>
      </c>
      <c r="CB237" s="2138">
        <f>CB229/CB233</f>
        <v>43.918346090935998</v>
      </c>
      <c r="CC237" s="2139">
        <f>CC229/CC233</f>
        <v>41.761226163734371</v>
      </c>
      <c r="CD237" s="9"/>
      <c r="CE237" s="145"/>
      <c r="CF237" s="145"/>
      <c r="CG237" s="145"/>
      <c r="CH237" s="145"/>
      <c r="CI237" s="145"/>
      <c r="CJ237" s="145"/>
      <c r="CK237" s="145"/>
      <c r="CL237" s="145"/>
      <c r="CM237" s="145"/>
      <c r="CN237" s="145"/>
      <c r="CO237" s="145"/>
      <c r="CP237" s="145"/>
      <c r="CQ237" s="1620">
        <f t="shared" ref="CQ237:CV237" si="587">CQ229/CQ233</f>
        <v>81.65425531914893</v>
      </c>
      <c r="CR237" s="1620">
        <f t="shared" si="587"/>
        <v>70.470423847228702</v>
      </c>
      <c r="CS237" s="1620">
        <f t="shared" si="587"/>
        <v>58.592681946119825</v>
      </c>
      <c r="CT237" s="1620">
        <f t="shared" si="587"/>
        <v>49.652273595720295</v>
      </c>
      <c r="CU237" s="1620">
        <f t="shared" si="587"/>
        <v>60.961047254150706</v>
      </c>
      <c r="CV237" s="1620">
        <f t="shared" si="587"/>
        <v>54.954594720791242</v>
      </c>
      <c r="CW237" s="1620">
        <f t="shared" ref="CW237:DC237" si="588">CW229/CW233</f>
        <v>45.137267004242034</v>
      </c>
      <c r="CX237" s="2228">
        <f t="shared" si="588"/>
        <v>43.890852469294551</v>
      </c>
      <c r="CY237" s="1620">
        <f t="shared" si="588"/>
        <v>42.034449491715172</v>
      </c>
      <c r="CZ237" s="1620">
        <f t="shared" si="588"/>
        <v>40.212673013612196</v>
      </c>
      <c r="DA237" s="1620">
        <f t="shared" si="588"/>
        <v>38.506789210577253</v>
      </c>
      <c r="DB237" s="1620">
        <f t="shared" si="588"/>
        <v>36.875240551121124</v>
      </c>
      <c r="DC237" s="1620">
        <f t="shared" si="588"/>
        <v>35.320541571592905</v>
      </c>
      <c r="DD237" s="1517"/>
      <c r="DE237" s="1483"/>
      <c r="DF237" s="141"/>
      <c r="DG237" s="141"/>
      <c r="DH237" s="141"/>
      <c r="DI237" s="141"/>
      <c r="DJ237" s="141"/>
      <c r="DK237" s="141"/>
      <c r="DL237" s="141"/>
      <c r="DM237" s="141"/>
      <c r="DN237" s="141"/>
      <c r="DO237" s="141"/>
      <c r="DP237" s="141"/>
      <c r="DQ237" s="141"/>
      <c r="DR237" s="141"/>
      <c r="DS237" s="141"/>
      <c r="DT237" s="141"/>
      <c r="DU237" s="141"/>
      <c r="DV237" s="141"/>
      <c r="DW237" s="141"/>
      <c r="DX237" s="141"/>
      <c r="DY237" s="141"/>
      <c r="DZ237" s="1676"/>
    </row>
    <row r="238" spans="1:130">
      <c r="A238" s="9"/>
      <c r="B238" s="187"/>
      <c r="C238" s="1180" t="s">
        <v>76</v>
      </c>
      <c r="D238" s="578"/>
      <c r="E238" s="141"/>
      <c r="F238" s="145"/>
      <c r="G238" s="145"/>
      <c r="H238" s="145"/>
      <c r="I238" s="228"/>
      <c r="J238" s="145"/>
      <c r="K238" s="145"/>
      <c r="L238" s="145"/>
      <c r="M238" s="228"/>
      <c r="N238" s="145"/>
      <c r="O238" s="145"/>
      <c r="P238" s="145"/>
      <c r="Q238" s="228"/>
      <c r="R238" s="145"/>
      <c r="S238" s="145"/>
      <c r="T238" s="145"/>
      <c r="U238" s="228"/>
      <c r="V238" s="145"/>
      <c r="W238" s="145"/>
      <c r="X238" s="145"/>
      <c r="Y238" s="228"/>
      <c r="Z238" s="145"/>
      <c r="AA238" s="145"/>
      <c r="AB238" s="145"/>
      <c r="AC238" s="228"/>
      <c r="AD238" s="145"/>
      <c r="AE238" s="145"/>
      <c r="AF238" s="145"/>
      <c r="AG238" s="145"/>
      <c r="AH238" s="227"/>
      <c r="AI238" s="145"/>
      <c r="AJ238" s="145"/>
      <c r="AK238" s="145"/>
      <c r="AL238" s="227"/>
      <c r="AM238" s="145"/>
      <c r="AN238" s="145"/>
      <c r="AO238" s="145"/>
      <c r="AP238" s="145"/>
      <c r="AQ238" s="145"/>
      <c r="AR238" s="145"/>
      <c r="AS238" s="145"/>
      <c r="AT238" s="145"/>
      <c r="AU238" s="145"/>
      <c r="AV238" s="145"/>
      <c r="AW238" s="145"/>
      <c r="AX238" s="145"/>
      <c r="AY238" s="145"/>
      <c r="AZ238" s="145"/>
      <c r="BA238" s="228"/>
      <c r="BB238" s="1663"/>
      <c r="BC238" s="640"/>
      <c r="BD238" s="640"/>
      <c r="BE238" s="949"/>
      <c r="BF238" s="640">
        <f t="shared" ref="BF238:BY238" si="589">BF237/BB237-1</f>
        <v>-0.1778766501770922</v>
      </c>
      <c r="BG238" s="640">
        <f t="shared" si="589"/>
        <v>-0.1026813173461717</v>
      </c>
      <c r="BH238" s="640">
        <f t="shared" si="589"/>
        <v>-0.11164884927117869</v>
      </c>
      <c r="BI238" s="949">
        <f t="shared" si="589"/>
        <v>-0.15371775284568034</v>
      </c>
      <c r="BJ238" s="640">
        <f t="shared" si="589"/>
        <v>-0.18740344796250874</v>
      </c>
      <c r="BK238" s="640">
        <f t="shared" si="589"/>
        <v>-0.18772977104793798</v>
      </c>
      <c r="BL238" s="640">
        <f t="shared" si="589"/>
        <v>-0.16173958859687421</v>
      </c>
      <c r="BM238" s="640">
        <f t="shared" si="589"/>
        <v>-0.14154460680104219</v>
      </c>
      <c r="BN238" s="2209">
        <f t="shared" si="589"/>
        <v>-0.13041151367618464</v>
      </c>
      <c r="BO238" s="640">
        <f t="shared" si="589"/>
        <v>-0.18019748322047724</v>
      </c>
      <c r="BP238" s="640">
        <f t="shared" si="589"/>
        <v>-0.22652090319695961</v>
      </c>
      <c r="BQ238" s="949">
        <f t="shared" si="589"/>
        <v>-6.8773702134074965E-2</v>
      </c>
      <c r="BR238" s="640">
        <f t="shared" si="589"/>
        <v>0.11361235119047608</v>
      </c>
      <c r="BS238" s="640">
        <f t="shared" si="589"/>
        <v>0.30883281808367435</v>
      </c>
      <c r="BT238" s="640">
        <f t="shared" si="589"/>
        <v>0.39874704143989947</v>
      </c>
      <c r="BU238" s="949">
        <f>BU237/BQ237-1</f>
        <v>0.12777648576079814</v>
      </c>
      <c r="BV238" s="640">
        <f t="shared" si="589"/>
        <v>6.010627091607823E-3</v>
      </c>
      <c r="BW238" s="640">
        <f t="shared" si="589"/>
        <v>-0.10880791642551813</v>
      </c>
      <c r="BX238" s="640">
        <f t="shared" si="589"/>
        <v>-0.15116046855432697</v>
      </c>
      <c r="BY238" s="949">
        <f t="shared" si="589"/>
        <v>-0.13366139165469015</v>
      </c>
      <c r="BZ238" s="640">
        <f>BZ237/BV237-1</f>
        <v>-0.18108681286269057</v>
      </c>
      <c r="CA238" s="640">
        <f>CA237/BW237-1</f>
        <v>-0.17275239110623886</v>
      </c>
      <c r="CB238" s="640">
        <f>CB237/BX237-1</f>
        <v>-0.17421928003468479</v>
      </c>
      <c r="CC238" s="949">
        <f>CC237/BY237-1</f>
        <v>-0.19161766127987723</v>
      </c>
      <c r="CD238" s="9"/>
      <c r="CE238" s="145"/>
      <c r="CF238" s="145"/>
      <c r="CG238" s="145"/>
      <c r="CH238" s="145"/>
      <c r="CI238" s="145"/>
      <c r="CJ238" s="145"/>
      <c r="CK238" s="145"/>
      <c r="CL238" s="145"/>
      <c r="CM238" s="145"/>
      <c r="CN238" s="145"/>
      <c r="CO238" s="145"/>
      <c r="CP238" s="145"/>
      <c r="CQ238" s="640"/>
      <c r="CR238" s="1471">
        <f t="shared" ref="CR238:DC238" si="590">CR237/CQ237-1</f>
        <v>-0.13696569062087183</v>
      </c>
      <c r="CS238" s="1471">
        <f t="shared" si="590"/>
        <v>-0.16854931831910613</v>
      </c>
      <c r="CT238" s="1471">
        <f t="shared" si="590"/>
        <v>-0.15258575053145507</v>
      </c>
      <c r="CU238" s="1471">
        <f t="shared" si="590"/>
        <v>0.22775943253895936</v>
      </c>
      <c r="CV238" s="1471">
        <f t="shared" si="590"/>
        <v>-9.8529352822929073E-2</v>
      </c>
      <c r="CW238" s="1471">
        <f t="shared" si="590"/>
        <v>-0.1786443475095808</v>
      </c>
      <c r="CX238" s="1471">
        <f t="shared" si="590"/>
        <v>-2.7613868044566003E-2</v>
      </c>
      <c r="CY238" s="1471">
        <f t="shared" si="590"/>
        <v>-4.2295897052309295E-2</v>
      </c>
      <c r="CZ238" s="1471">
        <f t="shared" si="590"/>
        <v>-4.3340081769407734E-2</v>
      </c>
      <c r="DA238" s="1471">
        <f t="shared" si="590"/>
        <v>-4.2421547119175451E-2</v>
      </c>
      <c r="DB238" s="1471">
        <f t="shared" si="590"/>
        <v>-4.2370415526827854E-2</v>
      </c>
      <c r="DC238" s="1471">
        <f t="shared" si="590"/>
        <v>-4.2161053224124667E-2</v>
      </c>
      <c r="DD238" s="1517"/>
      <c r="DE238" s="1483"/>
      <c r="DF238" s="141"/>
      <c r="DG238" s="141"/>
      <c r="DH238" s="141"/>
      <c r="DI238" s="141"/>
      <c r="DJ238" s="141"/>
      <c r="DK238" s="141"/>
      <c r="DL238" s="141"/>
      <c r="DM238" s="141"/>
      <c r="DN238" s="141"/>
      <c r="DO238" s="141"/>
      <c r="DP238" s="141"/>
      <c r="DQ238" s="141"/>
      <c r="DR238" s="141"/>
      <c r="DS238" s="141"/>
      <c r="DT238" s="141"/>
      <c r="DU238" s="141"/>
      <c r="DV238" s="141"/>
      <c r="DW238" s="141"/>
      <c r="DX238" s="141"/>
      <c r="DY238" s="141"/>
      <c r="DZ238" s="1676"/>
    </row>
    <row r="239" spans="1:130">
      <c r="A239" s="9"/>
      <c r="B239" s="187"/>
      <c r="C239" s="333" t="s">
        <v>77</v>
      </c>
      <c r="D239" s="578"/>
      <c r="E239" s="141"/>
      <c r="F239" s="145"/>
      <c r="G239" s="145"/>
      <c r="H239" s="145"/>
      <c r="I239" s="228"/>
      <c r="J239" s="145"/>
      <c r="K239" s="145"/>
      <c r="L239" s="145"/>
      <c r="M239" s="228"/>
      <c r="N239" s="145"/>
      <c r="O239" s="145"/>
      <c r="P239" s="145"/>
      <c r="Q239" s="228"/>
      <c r="R239" s="145"/>
      <c r="S239" s="145"/>
      <c r="T239" s="145"/>
      <c r="U239" s="228"/>
      <c r="V239" s="145"/>
      <c r="W239" s="145"/>
      <c r="X239" s="145"/>
      <c r="Y239" s="228"/>
      <c r="Z239" s="145"/>
      <c r="AA239" s="145"/>
      <c r="AB239" s="145"/>
      <c r="AC239" s="228"/>
      <c r="AD239" s="145"/>
      <c r="AE239" s="145"/>
      <c r="AF239" s="145"/>
      <c r="AG239" s="145"/>
      <c r="AH239" s="227"/>
      <c r="AI239" s="145"/>
      <c r="AJ239" s="145"/>
      <c r="AK239" s="145"/>
      <c r="AL239" s="227"/>
      <c r="AM239" s="145"/>
      <c r="AN239" s="145"/>
      <c r="AO239" s="145"/>
      <c r="AP239" s="145"/>
      <c r="AQ239" s="145"/>
      <c r="AR239" s="145"/>
      <c r="AS239" s="145"/>
      <c r="AT239" s="145"/>
      <c r="AU239" s="145"/>
      <c r="AV239" s="145"/>
      <c r="AW239" s="145"/>
      <c r="AX239" s="145"/>
      <c r="AY239" s="145"/>
      <c r="AZ239" s="145"/>
      <c r="BA239" s="228"/>
      <c r="BB239" s="1663"/>
      <c r="BC239" s="852">
        <f t="shared" ref="BC239:BY239" si="591">BC237/BB237-1</f>
        <v>-0.11799485593493908</v>
      </c>
      <c r="BD239" s="852">
        <f t="shared" si="591"/>
        <v>-3.1959957121615479E-2</v>
      </c>
      <c r="BE239" s="851">
        <f t="shared" si="591"/>
        <v>4.9704026003829505E-3</v>
      </c>
      <c r="BF239" s="852">
        <f t="shared" si="591"/>
        <v>-4.1881399749924109E-2</v>
      </c>
      <c r="BG239" s="852">
        <f t="shared" si="591"/>
        <v>-3.7322447857923935E-2</v>
      </c>
      <c r="BH239" s="852">
        <f t="shared" si="591"/>
        <v>-4.1634256962919447E-2</v>
      </c>
      <c r="BI239" s="851">
        <f t="shared" si="591"/>
        <v>-4.2621141495145065E-2</v>
      </c>
      <c r="BJ239" s="852">
        <f t="shared" si="591"/>
        <v>-8.0018665611653939E-2</v>
      </c>
      <c r="BK239" s="852">
        <f t="shared" si="591"/>
        <v>-3.7709040575184205E-2</v>
      </c>
      <c r="BL239" s="852">
        <f t="shared" si="591"/>
        <v>-1.0969461395417435E-2</v>
      </c>
      <c r="BM239" s="852">
        <f t="shared" si="591"/>
        <v>-1.9556413212370338E-2</v>
      </c>
      <c r="BN239" s="850">
        <f t="shared" si="591"/>
        <v>-6.8087657955322123E-2</v>
      </c>
      <c r="BO239" s="852">
        <f t="shared" si="591"/>
        <v>-9.2802442974295296E-2</v>
      </c>
      <c r="BP239" s="852">
        <f t="shared" si="591"/>
        <v>-6.6855209574534391E-2</v>
      </c>
      <c r="BQ239" s="851">
        <f t="shared" si="591"/>
        <v>0.18040016254391977</v>
      </c>
      <c r="BR239" s="852">
        <f t="shared" si="591"/>
        <v>0.1144327610872673</v>
      </c>
      <c r="BS239" s="852">
        <f t="shared" si="591"/>
        <v>6.6232727978684069E-2</v>
      </c>
      <c r="BT239" s="852">
        <f t="shared" si="591"/>
        <v>-2.7500099258429556E-3</v>
      </c>
      <c r="BU239" s="851">
        <f>BU237/BT237-1</f>
        <v>-4.8271411723692981E-2</v>
      </c>
      <c r="BV239" s="852">
        <f t="shared" si="591"/>
        <v>-5.892377622575995E-3</v>
      </c>
      <c r="BW239" s="852">
        <f t="shared" si="591"/>
        <v>-5.5459116600266478E-2</v>
      </c>
      <c r="BX239" s="852">
        <f t="shared" si="591"/>
        <v>-5.0142803206350006E-2</v>
      </c>
      <c r="BY239" s="851">
        <f t="shared" si="591"/>
        <v>-2.865124661961771E-2</v>
      </c>
      <c r="BZ239" s="852">
        <f>BZ237/BY237-1</f>
        <v>-6.0312176374684223E-2</v>
      </c>
      <c r="CA239" s="852">
        <f>CA237/BZ237-1</f>
        <v>-4.5846129274975111E-2</v>
      </c>
      <c r="CB239" s="852">
        <f>CB237/CA237-1</f>
        <v>-5.1827105452257438E-2</v>
      </c>
      <c r="CC239" s="851">
        <f>CC237/CB237-1</f>
        <v>-4.9116602039957491E-2</v>
      </c>
      <c r="CD239" s="9"/>
      <c r="CE239" s="145"/>
      <c r="CF239" s="145"/>
      <c r="CG239" s="145"/>
      <c r="CH239" s="145"/>
      <c r="CI239" s="145"/>
      <c r="CJ239" s="145"/>
      <c r="CK239" s="145"/>
      <c r="CL239" s="145"/>
      <c r="CM239" s="145"/>
      <c r="CN239" s="145"/>
      <c r="CO239" s="145"/>
      <c r="CP239" s="145"/>
      <c r="CQ239" s="1694"/>
      <c r="CR239" s="1694"/>
      <c r="CS239" s="1694"/>
      <c r="CT239" s="1694"/>
      <c r="CU239" s="1694"/>
      <c r="CV239" s="1694"/>
      <c r="CW239" s="141"/>
      <c r="CX239" s="141"/>
      <c r="CY239" s="141"/>
      <c r="CZ239" s="141"/>
      <c r="DA239" s="141"/>
      <c r="DB239" s="141"/>
      <c r="DC239" s="141"/>
      <c r="DD239" s="1517"/>
      <c r="DE239" s="1483"/>
      <c r="DF239" s="141"/>
      <c r="DG239" s="141"/>
      <c r="DH239" s="141"/>
      <c r="DI239" s="141"/>
      <c r="DJ239" s="141"/>
      <c r="DK239" s="141"/>
      <c r="DL239" s="141"/>
      <c r="DM239" s="141"/>
      <c r="DN239" s="141"/>
      <c r="DO239" s="141"/>
      <c r="DP239" s="141"/>
      <c r="DQ239" s="141"/>
      <c r="DR239" s="141"/>
      <c r="DS239" s="141"/>
      <c r="DT239" s="141"/>
      <c r="DU239" s="141"/>
      <c r="DV239" s="141"/>
      <c r="DW239" s="141"/>
      <c r="DX239" s="141"/>
      <c r="DY239" s="141"/>
      <c r="DZ239" s="1676"/>
    </row>
    <row r="240" spans="1:130">
      <c r="A240" s="9"/>
      <c r="B240" s="187"/>
      <c r="C240" s="31"/>
      <c r="D240" s="578"/>
      <c r="E240" s="141"/>
      <c r="F240" s="145"/>
      <c r="G240" s="145"/>
      <c r="H240" s="145"/>
      <c r="I240" s="228"/>
      <c r="J240" s="145"/>
      <c r="K240" s="145"/>
      <c r="L240" s="145"/>
      <c r="M240" s="228"/>
      <c r="N240" s="145"/>
      <c r="O240" s="145"/>
      <c r="P240" s="145"/>
      <c r="Q240" s="228"/>
      <c r="R240" s="145"/>
      <c r="S240" s="145"/>
      <c r="T240" s="145"/>
      <c r="U240" s="228"/>
      <c r="V240" s="145"/>
      <c r="W240" s="145"/>
      <c r="X240" s="145"/>
      <c r="Y240" s="228"/>
      <c r="Z240" s="145"/>
      <c r="AA240" s="145"/>
      <c r="AB240" s="145"/>
      <c r="AC240" s="228"/>
      <c r="AD240" s="145"/>
      <c r="AE240" s="145"/>
      <c r="AF240" s="145"/>
      <c r="AG240" s="145"/>
      <c r="AH240" s="227"/>
      <c r="AI240" s="145"/>
      <c r="AJ240" s="145"/>
      <c r="AK240" s="145"/>
      <c r="AL240" s="227"/>
      <c r="AM240" s="145"/>
      <c r="AN240" s="145"/>
      <c r="AO240" s="145"/>
      <c r="AP240" s="145"/>
      <c r="AQ240" s="145"/>
      <c r="AR240" s="145"/>
      <c r="AS240" s="145"/>
      <c r="AT240" s="145"/>
      <c r="AU240" s="145"/>
      <c r="AV240" s="145"/>
      <c r="AW240" s="145"/>
      <c r="AX240" s="145"/>
      <c r="AY240" s="145"/>
      <c r="AZ240" s="145"/>
      <c r="BA240" s="228"/>
      <c r="BB240" s="1195"/>
      <c r="BC240" s="729"/>
      <c r="BD240" s="729"/>
      <c r="BE240" s="1216"/>
      <c r="BF240" s="1195"/>
      <c r="BG240" s="729"/>
      <c r="BH240" s="729"/>
      <c r="BI240" s="1216"/>
      <c r="BJ240" s="1195"/>
      <c r="BK240" s="729"/>
      <c r="BL240" s="729"/>
      <c r="BM240" s="729"/>
      <c r="BN240" s="1195"/>
      <c r="BO240" s="729"/>
      <c r="BP240" s="729"/>
      <c r="BQ240" s="1216"/>
      <c r="BR240" s="1195"/>
      <c r="BS240" s="729"/>
      <c r="BT240" s="1698"/>
      <c r="BU240" s="1699"/>
      <c r="BV240" s="852"/>
      <c r="BW240" s="2215"/>
      <c r="BX240" s="2215"/>
      <c r="BY240" s="2216"/>
      <c r="BZ240" s="2215"/>
      <c r="CA240" s="2215"/>
      <c r="CB240" s="2215"/>
      <c r="CC240" s="2216"/>
      <c r="CD240" s="9"/>
      <c r="CE240" s="145"/>
      <c r="CF240" s="145"/>
      <c r="CG240" s="145"/>
      <c r="CH240" s="145"/>
      <c r="CI240" s="145"/>
      <c r="CJ240" s="145"/>
      <c r="CK240" s="145"/>
      <c r="CL240" s="145"/>
      <c r="CM240" s="145"/>
      <c r="CN240" s="145"/>
      <c r="CO240" s="145"/>
      <c r="CP240" s="145"/>
      <c r="CQ240" s="145"/>
      <c r="CR240" s="141"/>
      <c r="CS240" s="141"/>
      <c r="CT240" s="141"/>
      <c r="CU240" s="141"/>
      <c r="CV240" s="1115"/>
      <c r="CW240" s="141"/>
      <c r="CX240" s="141"/>
      <c r="CY240" s="141"/>
      <c r="CZ240" s="141"/>
      <c r="DA240" s="141"/>
      <c r="DB240" s="141"/>
      <c r="DC240" s="141"/>
      <c r="DD240" s="1517"/>
      <c r="DE240" s="1483"/>
      <c r="DF240" s="141"/>
      <c r="DG240" s="141"/>
      <c r="DH240" s="141"/>
      <c r="DI240" s="141"/>
      <c r="DJ240" s="141"/>
      <c r="DK240" s="141"/>
      <c r="DL240" s="141"/>
      <c r="DM240" s="141"/>
      <c r="DN240" s="141"/>
      <c r="DO240" s="141"/>
      <c r="DP240" s="141"/>
      <c r="DQ240" s="141"/>
      <c r="DR240" s="141"/>
      <c r="DS240" s="141"/>
      <c r="DT240" s="141"/>
      <c r="DU240" s="141"/>
      <c r="DV240" s="141"/>
      <c r="DW240" s="141"/>
      <c r="DX240" s="141"/>
      <c r="DY240" s="141"/>
      <c r="DZ240" s="1676"/>
    </row>
    <row r="241" spans="1:136">
      <c r="A241" s="9"/>
      <c r="B241" s="1705" t="s">
        <v>943</v>
      </c>
      <c r="C241" s="1706"/>
      <c r="D241" s="1707"/>
      <c r="E241" s="1707"/>
      <c r="F241" s="145"/>
      <c r="G241" s="145"/>
      <c r="H241" s="145"/>
      <c r="I241" s="228"/>
      <c r="J241" s="145"/>
      <c r="K241" s="145"/>
      <c r="L241" s="145"/>
      <c r="M241" s="228"/>
      <c r="N241" s="145"/>
      <c r="O241" s="145"/>
      <c r="P241" s="145"/>
      <c r="Q241" s="228"/>
      <c r="R241" s="145"/>
      <c r="S241" s="145"/>
      <c r="T241" s="145"/>
      <c r="U241" s="228"/>
      <c r="V241" s="227"/>
      <c r="W241" s="145"/>
      <c r="X241" s="145"/>
      <c r="Y241" s="228"/>
      <c r="Z241" s="227"/>
      <c r="AA241" s="145"/>
      <c r="AB241" s="145"/>
      <c r="AC241" s="228"/>
      <c r="AD241" s="227"/>
      <c r="AE241" s="145"/>
      <c r="AF241" s="145"/>
      <c r="AG241" s="145"/>
      <c r="AH241" s="227"/>
      <c r="AI241" s="145"/>
      <c r="AJ241" s="145"/>
      <c r="AK241" s="145"/>
      <c r="AL241" s="227"/>
      <c r="AM241" s="145"/>
      <c r="AN241" s="145"/>
      <c r="AO241" s="228"/>
      <c r="AP241" s="145"/>
      <c r="AQ241" s="145"/>
      <c r="AR241" s="145"/>
      <c r="AS241" s="145"/>
      <c r="AT241" s="145"/>
      <c r="AU241" s="145"/>
      <c r="AV241" s="145"/>
      <c r="AW241" s="145"/>
      <c r="AX241" s="145"/>
      <c r="AY241" s="145"/>
      <c r="AZ241" s="145"/>
      <c r="BA241" s="228"/>
      <c r="BB241" s="1458">
        <v>2650</v>
      </c>
      <c r="BC241" s="1373">
        <v>2259</v>
      </c>
      <c r="BD241" s="1373">
        <v>2168</v>
      </c>
      <c r="BE241" s="1664">
        <v>2109</v>
      </c>
      <c r="BF241" s="1458">
        <v>2198</v>
      </c>
      <c r="BG241" s="1373">
        <v>2226</v>
      </c>
      <c r="BH241" s="1373">
        <v>2126</v>
      </c>
      <c r="BI241" s="1664">
        <v>2170</v>
      </c>
      <c r="BJ241" s="1458">
        <v>2255</v>
      </c>
      <c r="BK241" s="1373">
        <v>2089</v>
      </c>
      <c r="BL241" s="1373">
        <v>1820</v>
      </c>
      <c r="BM241" s="1373">
        <v>1546</v>
      </c>
      <c r="BN241" s="1458">
        <v>1670</v>
      </c>
      <c r="BO241" s="1373">
        <v>1581</v>
      </c>
      <c r="BP241" s="1373">
        <v>1370</v>
      </c>
      <c r="BQ241" s="1664">
        <v>1584</v>
      </c>
      <c r="BR241" s="1458">
        <v>2374</v>
      </c>
      <c r="BS241" s="1373">
        <v>2418</v>
      </c>
      <c r="BT241" s="1373">
        <v>2318</v>
      </c>
      <c r="BU241" s="1664">
        <v>2410</v>
      </c>
      <c r="BV241" s="1458">
        <v>2676</v>
      </c>
      <c r="BW241" s="2274">
        <v>2647</v>
      </c>
      <c r="BX241" s="729">
        <f t="shared" ref="BX241:CB241" si="592">BX245*BX249</f>
        <v>2452.0484499999993</v>
      </c>
      <c r="BY241" s="1216">
        <f t="shared" si="592"/>
        <v>2427.5279654999995</v>
      </c>
      <c r="BZ241" s="1195">
        <f t="shared" si="592"/>
        <v>2464.4263905755997</v>
      </c>
      <c r="CA241" s="729">
        <f t="shared" si="592"/>
        <v>2413.1663216516272</v>
      </c>
      <c r="CB241" s="729">
        <f t="shared" si="592"/>
        <v>2247.1404787219954</v>
      </c>
      <c r="CC241" s="1216">
        <f>CC245*CC249</f>
        <v>2114.1097623816531</v>
      </c>
      <c r="CD241" s="9"/>
      <c r="CE241" s="145"/>
      <c r="CF241" s="145"/>
      <c r="CG241" s="145"/>
      <c r="CH241" s="145"/>
      <c r="CI241" s="145"/>
      <c r="CJ241" s="145"/>
      <c r="CK241" s="145"/>
      <c r="CL241" s="145"/>
      <c r="CM241" s="145"/>
      <c r="CN241" s="145"/>
      <c r="CO241" s="145"/>
      <c r="CP241" s="145"/>
      <c r="CQ241" s="729">
        <f>SUM(BB241:BE241)</f>
        <v>9186</v>
      </c>
      <c r="CR241" s="729">
        <f>SUM(BF241:BI241)</f>
        <v>8720</v>
      </c>
      <c r="CS241" s="729">
        <f>SUM(BJ241:BM241)</f>
        <v>7710</v>
      </c>
      <c r="CT241" s="729">
        <f>SUM(BN241:BQ241)</f>
        <v>6205</v>
      </c>
      <c r="CU241" s="729">
        <f>SUM(BR241:BU241)</f>
        <v>9520</v>
      </c>
      <c r="CV241" s="729">
        <f>SUM(BV241:BY241)</f>
        <v>10202.5764155</v>
      </c>
      <c r="CW241" s="729">
        <f>SUM(BZ241:CC241)</f>
        <v>9238.8429533308754</v>
      </c>
      <c r="CX241" s="729">
        <f t="shared" ref="CX241:DC241" si="593">CX245*CX249</f>
        <v>9516.0082419308037</v>
      </c>
      <c r="CY241" s="729">
        <f t="shared" si="593"/>
        <v>9418.9449578631084</v>
      </c>
      <c r="CZ241" s="729">
        <f t="shared" si="593"/>
        <v>9322.8717192929034</v>
      </c>
      <c r="DA241" s="729">
        <f t="shared" si="593"/>
        <v>9319.1425706051868</v>
      </c>
      <c r="DB241" s="729">
        <f t="shared" si="593"/>
        <v>9315.4149135769439</v>
      </c>
      <c r="DC241" s="729">
        <f t="shared" si="593"/>
        <v>9311.6887476115135</v>
      </c>
      <c r="DD241" s="1517"/>
      <c r="DE241" s="1483"/>
      <c r="DF241" s="141"/>
      <c r="DG241" s="141"/>
      <c r="DH241" s="141"/>
      <c r="DI241" s="141"/>
      <c r="DJ241" s="141"/>
      <c r="DK241" s="141"/>
      <c r="DL241" s="141"/>
      <c r="DM241" s="141"/>
      <c r="DN241" s="141"/>
      <c r="DO241" s="141"/>
      <c r="DP241" s="141"/>
      <c r="DQ241" s="141"/>
      <c r="DR241" s="141"/>
      <c r="DS241" s="141"/>
      <c r="DT241" s="141"/>
      <c r="DU241" s="141"/>
      <c r="DV241" s="141"/>
      <c r="DW241" s="141"/>
      <c r="DX241" s="141"/>
      <c r="DY241" s="141"/>
      <c r="DZ241" s="1676"/>
    </row>
    <row r="242" spans="1:136">
      <c r="A242" s="338"/>
      <c r="B242" s="578"/>
      <c r="C242" s="1180" t="s">
        <v>76</v>
      </c>
      <c r="D242" s="1182"/>
      <c r="E242" s="1182"/>
      <c r="F242" s="145"/>
      <c r="G242" s="145"/>
      <c r="H242" s="145"/>
      <c r="I242" s="228"/>
      <c r="J242" s="145"/>
      <c r="K242" s="145"/>
      <c r="L242" s="145"/>
      <c r="M242" s="228"/>
      <c r="N242" s="145"/>
      <c r="O242" s="145"/>
      <c r="P242" s="145"/>
      <c r="Q242" s="228"/>
      <c r="R242" s="145"/>
      <c r="S242" s="145"/>
      <c r="T242" s="145"/>
      <c r="U242" s="228"/>
      <c r="V242" s="227"/>
      <c r="W242" s="145"/>
      <c r="X242" s="145"/>
      <c r="Y242" s="228"/>
      <c r="Z242" s="227"/>
      <c r="AA242" s="145"/>
      <c r="AB242" s="145"/>
      <c r="AC242" s="228"/>
      <c r="AD242" s="227"/>
      <c r="AE242" s="145"/>
      <c r="AF242" s="145"/>
      <c r="AG242" s="145"/>
      <c r="AH242" s="227"/>
      <c r="AI242" s="145"/>
      <c r="AJ242" s="145"/>
      <c r="AK242" s="145"/>
      <c r="AL242" s="227"/>
      <c r="AM242" s="145"/>
      <c r="AN242" s="145"/>
      <c r="AO242" s="228"/>
      <c r="AP242" s="145"/>
      <c r="AQ242" s="145"/>
      <c r="AR242" s="145"/>
      <c r="AS242" s="145"/>
      <c r="AT242" s="145"/>
      <c r="AU242" s="145"/>
      <c r="AV242" s="145"/>
      <c r="AW242" s="145"/>
      <c r="AX242" s="145"/>
      <c r="AY242" s="145"/>
      <c r="AZ242" s="145"/>
      <c r="BA242" s="228"/>
      <c r="BB242" s="640"/>
      <c r="BC242" s="640"/>
      <c r="BD242" s="640"/>
      <c r="BE242" s="949"/>
      <c r="BF242" s="640">
        <f t="shared" ref="BF242:BS242" si="594">BF241/BB241-1</f>
        <v>-0.17056603773584911</v>
      </c>
      <c r="BG242" s="640">
        <f t="shared" si="594"/>
        <v>-1.4608233731739695E-2</v>
      </c>
      <c r="BH242" s="640">
        <f t="shared" si="594"/>
        <v>-1.9372693726937285E-2</v>
      </c>
      <c r="BI242" s="949">
        <f t="shared" si="594"/>
        <v>2.8923660502607973E-2</v>
      </c>
      <c r="BJ242" s="640">
        <f t="shared" si="594"/>
        <v>2.593266606005451E-2</v>
      </c>
      <c r="BK242" s="640">
        <f t="shared" si="594"/>
        <v>-6.1545372866127601E-2</v>
      </c>
      <c r="BL242" s="640">
        <f t="shared" si="594"/>
        <v>-0.14393226716839136</v>
      </c>
      <c r="BM242" s="640">
        <f t="shared" si="594"/>
        <v>-0.28755760368663597</v>
      </c>
      <c r="BN242" s="2209">
        <f>BN241/BJ241-1</f>
        <v>-0.25942350332594233</v>
      </c>
      <c r="BO242" s="640">
        <f t="shared" si="594"/>
        <v>-0.24317855433221636</v>
      </c>
      <c r="BP242" s="640">
        <f t="shared" si="594"/>
        <v>-0.24725274725274726</v>
      </c>
      <c r="BQ242" s="949">
        <f t="shared" si="594"/>
        <v>2.4579560155239433E-2</v>
      </c>
      <c r="BR242" s="640">
        <f>BR241/BN241-1</f>
        <v>0.42155688622754495</v>
      </c>
      <c r="BS242" s="640">
        <f t="shared" si="594"/>
        <v>0.52941176470588225</v>
      </c>
      <c r="BT242" s="640">
        <f t="shared" ref="BT242:BY242" si="595">BT241/BP241-1</f>
        <v>0.69197080291970803</v>
      </c>
      <c r="BU242" s="949">
        <f t="shared" si="595"/>
        <v>0.52146464646464641</v>
      </c>
      <c r="BV242" s="640">
        <f t="shared" si="595"/>
        <v>0.12721145745577078</v>
      </c>
      <c r="BW242" s="640">
        <f t="shared" si="595"/>
        <v>9.4706368899917237E-2</v>
      </c>
      <c r="BX242" s="640">
        <f t="shared" si="595"/>
        <v>5.7829357204486342E-2</v>
      </c>
      <c r="BY242" s="949">
        <f t="shared" si="595"/>
        <v>7.2730147302901837E-3</v>
      </c>
      <c r="BZ242" s="640">
        <f>BZ241/BV241-1</f>
        <v>-7.906338169820637E-2</v>
      </c>
      <c r="CA242" s="640">
        <f>CA241/BW241-1</f>
        <v>-8.8339130467840143E-2</v>
      </c>
      <c r="CB242" s="640">
        <f>CB241/BX241-1</f>
        <v>-8.35660369100798E-2</v>
      </c>
      <c r="CC242" s="949">
        <f>CC241/BY241-1</f>
        <v>-0.12911002780303349</v>
      </c>
      <c r="CD242" s="9"/>
      <c r="CE242" s="145"/>
      <c r="CF242" s="145"/>
      <c r="CG242" s="145"/>
      <c r="CH242" s="145"/>
      <c r="CI242" s="145"/>
      <c r="CJ242" s="145"/>
      <c r="CK242" s="145"/>
      <c r="CL242" s="145"/>
      <c r="CM242" s="145"/>
      <c r="CN242" s="145"/>
      <c r="CO242" s="145"/>
      <c r="CP242" s="145"/>
      <c r="CQ242" s="145"/>
      <c r="CR242" s="640">
        <f t="shared" ref="CR242:CW242" si="596">CR241/CQ241-1</f>
        <v>-5.0729370781624206E-2</v>
      </c>
      <c r="CS242" s="1471">
        <f t="shared" si="596"/>
        <v>-0.11582568807339455</v>
      </c>
      <c r="CT242" s="1471">
        <f t="shared" si="596"/>
        <v>-0.19520103761348895</v>
      </c>
      <c r="CU242" s="1471">
        <f t="shared" si="596"/>
        <v>0.53424657534246567</v>
      </c>
      <c r="CV242" s="1471">
        <f t="shared" si="596"/>
        <v>7.1699203308823511E-2</v>
      </c>
      <c r="CW242" s="1471">
        <f t="shared" si="596"/>
        <v>-9.4459813180619467E-2</v>
      </c>
      <c r="CX242" s="1471">
        <f t="shared" ref="CX242:DC242" si="597">CX241/CW241-1</f>
        <v>3.0000000000000249E-2</v>
      </c>
      <c r="CY242" s="1471">
        <f t="shared" si="597"/>
        <v>-1.0200000000000098E-2</v>
      </c>
      <c r="CZ242" s="1471">
        <f t="shared" si="597"/>
        <v>-1.0200000000000098E-2</v>
      </c>
      <c r="DA242" s="1471">
        <f t="shared" si="597"/>
        <v>-3.9999999999995595E-4</v>
      </c>
      <c r="DB242" s="1471">
        <f t="shared" si="597"/>
        <v>-4.0000000000006697E-4</v>
      </c>
      <c r="DC242" s="1471">
        <f t="shared" si="597"/>
        <v>-3.9999999999995595E-4</v>
      </c>
      <c r="DD242" s="1517"/>
      <c r="DE242" s="2126"/>
      <c r="DF242" s="141"/>
      <c r="DG242" s="141"/>
      <c r="DH242" s="141"/>
      <c r="DI242" s="141"/>
      <c r="DJ242" s="141"/>
      <c r="DK242" s="141"/>
      <c r="DL242" s="141"/>
      <c r="DM242" s="141"/>
      <c r="DN242" s="141"/>
      <c r="DO242" s="141"/>
      <c r="DP242" s="141"/>
      <c r="DQ242" s="141"/>
      <c r="DR242" s="141"/>
      <c r="DS242" s="141"/>
      <c r="DT242" s="141"/>
      <c r="DU242" s="141"/>
      <c r="DV242" s="141"/>
      <c r="DW242" s="141"/>
      <c r="DX242" s="141"/>
      <c r="DY242" s="141"/>
      <c r="DZ242" s="1676"/>
    </row>
    <row r="243" spans="1:136">
      <c r="A243" s="338"/>
      <c r="B243" s="578"/>
      <c r="C243" s="333" t="s">
        <v>77</v>
      </c>
      <c r="D243" s="578"/>
      <c r="E243" s="578"/>
      <c r="F243" s="145"/>
      <c r="G243" s="145"/>
      <c r="H243" s="145"/>
      <c r="I243" s="228"/>
      <c r="J243" s="145"/>
      <c r="K243" s="145"/>
      <c r="L243" s="145"/>
      <c r="M243" s="228"/>
      <c r="N243" s="145"/>
      <c r="O243" s="145"/>
      <c r="P243" s="145"/>
      <c r="Q243" s="228"/>
      <c r="R243" s="145"/>
      <c r="S243" s="145"/>
      <c r="T243" s="145"/>
      <c r="U243" s="228"/>
      <c r="V243" s="227"/>
      <c r="W243" s="145"/>
      <c r="X243" s="145"/>
      <c r="Y243" s="228"/>
      <c r="Z243" s="227"/>
      <c r="AA243" s="145"/>
      <c r="AB243" s="145"/>
      <c r="AC243" s="228"/>
      <c r="AD243" s="227"/>
      <c r="AE243" s="145"/>
      <c r="AF243" s="145"/>
      <c r="AG243" s="145"/>
      <c r="AH243" s="227"/>
      <c r="AI243" s="145"/>
      <c r="AJ243" s="145"/>
      <c r="AK243" s="145"/>
      <c r="AL243" s="227"/>
      <c r="AM243" s="145"/>
      <c r="AN243" s="145"/>
      <c r="AO243" s="228"/>
      <c r="AP243" s="145"/>
      <c r="AQ243" s="145"/>
      <c r="AR243" s="145"/>
      <c r="AS243" s="145"/>
      <c r="AT243" s="145"/>
      <c r="AU243" s="145"/>
      <c r="AV243" s="145"/>
      <c r="AW243" s="145"/>
      <c r="AX243" s="145"/>
      <c r="AY243" s="145"/>
      <c r="AZ243" s="145"/>
      <c r="BA243" s="228"/>
      <c r="BB243" s="852"/>
      <c r="BC243" s="852">
        <f t="shared" ref="BC243:BS243" si="598">BC241/BB241-1</f>
        <v>-0.14754716981132077</v>
      </c>
      <c r="BD243" s="852">
        <f t="shared" si="598"/>
        <v>-4.0283311199645899E-2</v>
      </c>
      <c r="BE243" s="851">
        <f t="shared" si="598"/>
        <v>-2.7214022140221394E-2</v>
      </c>
      <c r="BF243" s="852">
        <f t="shared" si="598"/>
        <v>4.2200094831673862E-2</v>
      </c>
      <c r="BG243" s="852">
        <f t="shared" si="598"/>
        <v>1.2738853503184711E-2</v>
      </c>
      <c r="BH243" s="852">
        <f t="shared" si="598"/>
        <v>-4.4923629829290213E-2</v>
      </c>
      <c r="BI243" s="851">
        <f t="shared" si="598"/>
        <v>2.0696142991533328E-2</v>
      </c>
      <c r="BJ243" s="852">
        <f t="shared" si="598"/>
        <v>3.9170506912442393E-2</v>
      </c>
      <c r="BK243" s="852">
        <f t="shared" si="598"/>
        <v>-7.3614190687361414E-2</v>
      </c>
      <c r="BL243" s="852">
        <f t="shared" si="598"/>
        <v>-0.12876974629009097</v>
      </c>
      <c r="BM243" s="852">
        <f t="shared" si="598"/>
        <v>-0.15054945054945057</v>
      </c>
      <c r="BN243" s="850">
        <f>BN241/BM241-1</f>
        <v>8.020698576972829E-2</v>
      </c>
      <c r="BO243" s="852">
        <f>BO241/BN241-1</f>
        <v>-5.329341317365266E-2</v>
      </c>
      <c r="BP243" s="852">
        <f t="shared" si="598"/>
        <v>-0.13345983554712204</v>
      </c>
      <c r="BQ243" s="851">
        <f t="shared" si="598"/>
        <v>0.1562043795620438</v>
      </c>
      <c r="BR243" s="852">
        <f t="shared" ref="BR243:BY243" si="599">BR241/BQ241-1</f>
        <v>0.4987373737373737</v>
      </c>
      <c r="BS243" s="852">
        <f t="shared" si="598"/>
        <v>1.8534119629317614E-2</v>
      </c>
      <c r="BT243" s="852">
        <f t="shared" si="599"/>
        <v>-4.1356492969396141E-2</v>
      </c>
      <c r="BU243" s="851">
        <f t="shared" si="599"/>
        <v>3.9689387402933596E-2</v>
      </c>
      <c r="BV243" s="852">
        <f t="shared" si="599"/>
        <v>0.11037344398340254</v>
      </c>
      <c r="BW243" s="852">
        <f t="shared" si="599"/>
        <v>-1.0837070254110626E-2</v>
      </c>
      <c r="BX243" s="852">
        <f t="shared" si="599"/>
        <v>-7.3650000000000215E-2</v>
      </c>
      <c r="BY243" s="851">
        <f t="shared" si="599"/>
        <v>-9.9999999999998979E-3</v>
      </c>
      <c r="BZ243" s="852">
        <f>BZ241/BY241-1</f>
        <v>1.5200000000000102E-2</v>
      </c>
      <c r="CA243" s="852">
        <f>CA241/BZ241-1</f>
        <v>-2.0800000000000041E-2</v>
      </c>
      <c r="CB243" s="852">
        <f>CB241/CA241-1</f>
        <v>-6.8799999999999972E-2</v>
      </c>
      <c r="CC243" s="851">
        <f>CC241/CB241-1</f>
        <v>-5.920000000000003E-2</v>
      </c>
      <c r="CD243" s="9"/>
      <c r="CE243" s="145"/>
      <c r="CF243" s="145"/>
      <c r="CG243" s="145"/>
      <c r="CH243" s="145"/>
      <c r="CI243" s="145"/>
      <c r="CJ243" s="145"/>
      <c r="CK243" s="145"/>
      <c r="CL243" s="145"/>
      <c r="CM243" s="145"/>
      <c r="CN243" s="145"/>
      <c r="CO243" s="145"/>
      <c r="CP243" s="145"/>
      <c r="CQ243" s="145"/>
      <c r="CR243" s="141"/>
      <c r="CS243" s="141"/>
      <c r="CT243" s="141"/>
      <c r="CU243" s="141"/>
      <c r="CV243" s="141"/>
      <c r="CW243" s="141"/>
      <c r="CX243" s="141"/>
      <c r="CY243" s="141"/>
      <c r="CZ243" s="141"/>
      <c r="DA243" s="141"/>
      <c r="DB243" s="141"/>
      <c r="DC243" s="141"/>
      <c r="DD243" s="1517"/>
      <c r="DE243" s="1483"/>
      <c r="DF243" s="141"/>
      <c r="DG243" s="141"/>
      <c r="DH243" s="141"/>
      <c r="DI243" s="141"/>
      <c r="DJ243" s="141"/>
      <c r="DK243" s="141"/>
      <c r="DL243" s="141"/>
      <c r="DM243" s="141"/>
      <c r="DN243" s="141"/>
      <c r="DO243" s="141"/>
      <c r="DP243" s="141"/>
      <c r="DQ243" s="141"/>
      <c r="DR243" s="141"/>
      <c r="DS243" s="141"/>
      <c r="DT243" s="141"/>
      <c r="DU243" s="141"/>
      <c r="DV243" s="141"/>
      <c r="DW243" s="141"/>
      <c r="DX243" s="141"/>
      <c r="DY243" s="141"/>
      <c r="DZ243" s="1676"/>
    </row>
    <row r="244" spans="1:136">
      <c r="A244" s="338"/>
      <c r="B244" s="187"/>
      <c r="C244" s="578"/>
      <c r="D244" s="333"/>
      <c r="E244" s="578"/>
      <c r="F244" s="145"/>
      <c r="G244" s="145"/>
      <c r="H244" s="145"/>
      <c r="I244" s="228"/>
      <c r="J244" s="145"/>
      <c r="K244" s="145"/>
      <c r="L244" s="145"/>
      <c r="M244" s="228"/>
      <c r="N244" s="145"/>
      <c r="O244" s="145"/>
      <c r="P244" s="145"/>
      <c r="Q244" s="228"/>
      <c r="R244" s="145"/>
      <c r="S244" s="145"/>
      <c r="T244" s="145"/>
      <c r="U244" s="228"/>
      <c r="V244" s="227"/>
      <c r="W244" s="145"/>
      <c r="X244" s="145"/>
      <c r="Y244" s="228"/>
      <c r="Z244" s="227"/>
      <c r="AA244" s="145"/>
      <c r="AB244" s="145"/>
      <c r="AC244" s="228"/>
      <c r="AD244" s="227"/>
      <c r="AE244" s="145"/>
      <c r="AF244" s="145"/>
      <c r="AG244" s="145"/>
      <c r="AH244" s="227"/>
      <c r="AI244" s="145"/>
      <c r="AJ244" s="145"/>
      <c r="AK244" s="145"/>
      <c r="AL244" s="227"/>
      <c r="AM244" s="145"/>
      <c r="AN244" s="145"/>
      <c r="AO244" s="228"/>
      <c r="AP244" s="145"/>
      <c r="AQ244" s="145"/>
      <c r="AR244" s="145"/>
      <c r="AS244" s="145"/>
      <c r="AT244" s="145"/>
      <c r="AU244" s="145"/>
      <c r="AV244" s="145"/>
      <c r="AW244" s="145"/>
      <c r="AX244" s="145"/>
      <c r="AY244" s="145"/>
      <c r="AZ244" s="145"/>
      <c r="BA244" s="228"/>
      <c r="BB244" s="1697"/>
      <c r="BC244" s="1698"/>
      <c r="BD244" s="1698"/>
      <c r="BE244" s="1699"/>
      <c r="BF244" s="1697"/>
      <c r="BG244" s="1698"/>
      <c r="BH244" s="1698"/>
      <c r="BI244" s="1699"/>
      <c r="BJ244" s="1697"/>
      <c r="BK244" s="1698"/>
      <c r="BL244" s="1698"/>
      <c r="BM244" s="1698"/>
      <c r="BN244" s="1697"/>
      <c r="BO244" s="1698"/>
      <c r="BP244" s="1698"/>
      <c r="BQ244" s="1699"/>
      <c r="BR244" s="1697"/>
      <c r="BS244" s="1698"/>
      <c r="BT244" s="1698"/>
      <c r="BU244" s="1699"/>
      <c r="BV244" s="852"/>
      <c r="BW244" s="852"/>
      <c r="BX244" s="852"/>
      <c r="BY244" s="851"/>
      <c r="BZ244" s="852"/>
      <c r="CA244" s="852"/>
      <c r="CB244" s="852"/>
      <c r="CC244" s="851"/>
      <c r="CD244" s="9"/>
      <c r="CE244" s="145"/>
      <c r="CF244" s="145"/>
      <c r="CG244" s="145"/>
      <c r="CH244" s="145"/>
      <c r="CI244" s="145"/>
      <c r="CJ244" s="145"/>
      <c r="CK244" s="145"/>
      <c r="CL244" s="145"/>
      <c r="CM244" s="145"/>
      <c r="CN244" s="145"/>
      <c r="CO244" s="145"/>
      <c r="CP244" s="145"/>
      <c r="CQ244" s="145"/>
      <c r="CR244" s="141"/>
      <c r="CS244" s="141"/>
      <c r="CT244" s="141"/>
      <c r="CU244" s="141"/>
      <c r="CV244" s="141"/>
      <c r="CW244" s="141"/>
      <c r="CX244" s="141"/>
      <c r="CY244" s="141"/>
      <c r="CZ244" s="141"/>
      <c r="DA244" s="141"/>
      <c r="DB244" s="141"/>
      <c r="DC244" s="141"/>
      <c r="DD244" s="1517"/>
      <c r="DE244" s="1483"/>
      <c r="DF244" s="141"/>
      <c r="DG244" s="141"/>
      <c r="DH244" s="141"/>
      <c r="DI244" s="141"/>
      <c r="DJ244" s="141"/>
      <c r="DK244" s="141"/>
      <c r="DL244" s="141"/>
      <c r="DM244" s="141"/>
      <c r="DN244" s="141"/>
      <c r="DO244" s="141"/>
      <c r="DP244" s="141"/>
      <c r="DQ244" s="141"/>
      <c r="DR244" s="141"/>
      <c r="DS244" s="141"/>
      <c r="DT244" s="141"/>
      <c r="DU244" s="141"/>
      <c r="DV244" s="141"/>
      <c r="DW244" s="141"/>
      <c r="DX244" s="141"/>
      <c r="DY244" s="141"/>
      <c r="DZ244" s="1676"/>
    </row>
    <row r="245" spans="1:136">
      <c r="A245" s="9"/>
      <c r="B245" s="187"/>
      <c r="C245" s="187" t="s">
        <v>972</v>
      </c>
      <c r="D245" s="31"/>
      <c r="E245" s="816"/>
      <c r="F245" s="145"/>
      <c r="G245" s="145"/>
      <c r="H245" s="145"/>
      <c r="I245" s="228"/>
      <c r="J245" s="145"/>
      <c r="K245" s="145"/>
      <c r="L245" s="145"/>
      <c r="M245" s="228"/>
      <c r="N245" s="145"/>
      <c r="O245" s="145"/>
      <c r="P245" s="145"/>
      <c r="Q245" s="228"/>
      <c r="R245" s="145"/>
      <c r="S245" s="145"/>
      <c r="T245" s="145"/>
      <c r="U245" s="228"/>
      <c r="V245" s="227"/>
      <c r="W245" s="145"/>
      <c r="X245" s="145"/>
      <c r="Y245" s="228"/>
      <c r="Z245" s="227"/>
      <c r="AA245" s="145"/>
      <c r="AB245" s="145"/>
      <c r="AC245" s="228"/>
      <c r="AD245" s="227"/>
      <c r="AE245" s="145"/>
      <c r="AF245" s="145"/>
      <c r="AG245" s="145"/>
      <c r="AH245" s="227"/>
      <c r="AI245" s="145"/>
      <c r="AJ245" s="145"/>
      <c r="AK245" s="145"/>
      <c r="AL245" s="227"/>
      <c r="AM245" s="145"/>
      <c r="AN245" s="145"/>
      <c r="AO245" s="228"/>
      <c r="AP245" s="145"/>
      <c r="AQ245" s="145"/>
      <c r="AR245" s="145"/>
      <c r="AS245" s="145"/>
      <c r="AT245" s="145"/>
      <c r="AU245" s="145"/>
      <c r="AV245" s="145"/>
      <c r="AW245" s="145"/>
      <c r="AX245" s="145"/>
      <c r="AY245" s="145"/>
      <c r="AZ245" s="145"/>
      <c r="BA245" s="228"/>
      <c r="BB245" s="2134">
        <v>28</v>
      </c>
      <c r="BC245" s="2135">
        <v>28</v>
      </c>
      <c r="BD245" s="2135">
        <v>28.1</v>
      </c>
      <c r="BE245" s="2136">
        <v>27.9</v>
      </c>
      <c r="BF245" s="2134">
        <v>30.4</v>
      </c>
      <c r="BG245" s="2135">
        <v>33</v>
      </c>
      <c r="BH245" s="2135">
        <v>32.9</v>
      </c>
      <c r="BI245" s="2136">
        <v>34.799999999999997</v>
      </c>
      <c r="BJ245" s="2134">
        <v>39.1</v>
      </c>
      <c r="BK245" s="2135">
        <v>37.6</v>
      </c>
      <c r="BL245" s="2135">
        <v>34.299999999999997</v>
      </c>
      <c r="BM245" s="2135">
        <v>30.5</v>
      </c>
      <c r="BN245" s="2134">
        <v>34.299999999999997</v>
      </c>
      <c r="BO245" s="2135">
        <v>35.299999999999997</v>
      </c>
      <c r="BP245" s="2135">
        <v>31.7</v>
      </c>
      <c r="BQ245" s="2136">
        <v>32</v>
      </c>
      <c r="BR245" s="2134">
        <v>39.200000000000003</v>
      </c>
      <c r="BS245" s="2135">
        <v>39.200000000000003</v>
      </c>
      <c r="BT245" s="2135">
        <v>36.4</v>
      </c>
      <c r="BU245" s="2136">
        <v>36.5</v>
      </c>
      <c r="BV245" s="2134">
        <v>39.5</v>
      </c>
      <c r="BW245" s="2275">
        <v>40</v>
      </c>
      <c r="BX245" s="2138">
        <f t="shared" ref="BX245:CC245" si="600">BW245*(1+BX247)</f>
        <v>38.199999999999996</v>
      </c>
      <c r="BY245" s="2139">
        <f t="shared" si="600"/>
        <v>37.817999999999998</v>
      </c>
      <c r="BZ245" s="2137">
        <f t="shared" si="600"/>
        <v>40.843440000000001</v>
      </c>
      <c r="CA245" s="2138">
        <f t="shared" si="600"/>
        <v>41.660308800000003</v>
      </c>
      <c r="CB245" s="2138">
        <f t="shared" si="600"/>
        <v>40.410499536000003</v>
      </c>
      <c r="CC245" s="2139">
        <f t="shared" si="600"/>
        <v>39.602289545280001</v>
      </c>
      <c r="CD245" s="9"/>
      <c r="CE245" s="145"/>
      <c r="CF245" s="145"/>
      <c r="CG245" s="145"/>
      <c r="CH245" s="145"/>
      <c r="CI245" s="145"/>
      <c r="CJ245" s="145"/>
      <c r="CK245" s="145"/>
      <c r="CL245" s="145"/>
      <c r="CM245" s="145"/>
      <c r="CN245" s="145"/>
      <c r="CO245" s="145"/>
      <c r="CP245" s="145"/>
      <c r="CQ245" s="2182">
        <f>SUM(BB245:BE245)</f>
        <v>112</v>
      </c>
      <c r="CR245" s="2182">
        <f>SUM(BF245:BI245)</f>
        <v>131.1</v>
      </c>
      <c r="CS245" s="2182">
        <f>SUM(BJ245:BM245)</f>
        <v>141.5</v>
      </c>
      <c r="CT245" s="2182">
        <f>SUM(BN245:BQ245)</f>
        <v>133.30000000000001</v>
      </c>
      <c r="CU245" s="2182">
        <f>SUM(BR245:BU245)</f>
        <v>151.30000000000001</v>
      </c>
      <c r="CV245" s="2182">
        <f>SUM(BV245:BY245)</f>
        <v>155.51799999999997</v>
      </c>
      <c r="CW245" s="2182">
        <f>SUM(BZ245:CC245)</f>
        <v>162.51653788128002</v>
      </c>
      <c r="CX245" s="2182">
        <f t="shared" ref="CX245:DC245" si="601">CW245*(1+CX246)</f>
        <v>167.39203401771843</v>
      </c>
      <c r="CY245" s="2182">
        <f t="shared" si="601"/>
        <v>169.06595435789561</v>
      </c>
      <c r="CZ245" s="2182">
        <f t="shared" si="601"/>
        <v>170.75661390147457</v>
      </c>
      <c r="DA245" s="2182">
        <f t="shared" si="601"/>
        <v>174.17174617950405</v>
      </c>
      <c r="DB245" s="2182">
        <f t="shared" si="601"/>
        <v>177.65518110309415</v>
      </c>
      <c r="DC245" s="2182">
        <f t="shared" si="601"/>
        <v>181.20828472515603</v>
      </c>
      <c r="DD245" s="1517"/>
      <c r="DE245" s="1483"/>
      <c r="DF245" s="141"/>
      <c r="DG245" s="141"/>
      <c r="DH245" s="141"/>
      <c r="DI245" s="141"/>
      <c r="DJ245" s="141"/>
      <c r="DK245" s="141"/>
      <c r="DL245" s="141"/>
      <c r="DM245" s="141"/>
      <c r="DN245" s="141"/>
      <c r="DO245" s="141"/>
      <c r="DP245" s="141"/>
      <c r="DQ245" s="141"/>
      <c r="DR245" s="141"/>
      <c r="DS245" s="141"/>
      <c r="DT245" s="141"/>
      <c r="DU245" s="141"/>
      <c r="DV245" s="141"/>
      <c r="DW245" s="141"/>
      <c r="DX245" s="141"/>
      <c r="DY245" s="141"/>
      <c r="DZ245" s="1676"/>
    </row>
    <row r="246" spans="1:136">
      <c r="A246" s="9"/>
      <c r="B246" s="224"/>
      <c r="C246" s="1180"/>
      <c r="D246" s="1180" t="s">
        <v>76</v>
      </c>
      <c r="E246" s="1182"/>
      <c r="F246" s="145"/>
      <c r="G246" s="145"/>
      <c r="H246" s="145"/>
      <c r="I246" s="228"/>
      <c r="J246" s="145"/>
      <c r="K246" s="145"/>
      <c r="L246" s="145"/>
      <c r="M246" s="228"/>
      <c r="N246" s="145"/>
      <c r="O246" s="145"/>
      <c r="P246" s="145"/>
      <c r="Q246" s="228"/>
      <c r="R246" s="145"/>
      <c r="S246" s="145"/>
      <c r="T246" s="145"/>
      <c r="U246" s="228"/>
      <c r="V246" s="227"/>
      <c r="W246" s="145"/>
      <c r="X246" s="145"/>
      <c r="Y246" s="228"/>
      <c r="Z246" s="227"/>
      <c r="AA246" s="145"/>
      <c r="AB246" s="145"/>
      <c r="AC246" s="228"/>
      <c r="AD246" s="227"/>
      <c r="AE246" s="145"/>
      <c r="AF246" s="145"/>
      <c r="AG246" s="145"/>
      <c r="AH246" s="227"/>
      <c r="AI246" s="145"/>
      <c r="AJ246" s="145"/>
      <c r="AK246" s="145"/>
      <c r="AL246" s="227"/>
      <c r="AM246" s="145"/>
      <c r="AN246" s="145"/>
      <c r="AO246" s="228"/>
      <c r="AP246" s="145"/>
      <c r="AQ246" s="145"/>
      <c r="AR246" s="145"/>
      <c r="AS246" s="145"/>
      <c r="AT246" s="145"/>
      <c r="AU246" s="145"/>
      <c r="AV246" s="145"/>
      <c r="AW246" s="145"/>
      <c r="AX246" s="145"/>
      <c r="AY246" s="145"/>
      <c r="AZ246" s="145"/>
      <c r="BA246" s="228"/>
      <c r="BB246" s="640"/>
      <c r="BC246" s="640"/>
      <c r="BD246" s="640"/>
      <c r="BE246" s="949"/>
      <c r="BF246" s="640">
        <f t="shared" ref="BF246:BW246" si="602">BF245/BB245-1</f>
        <v>8.5714285714285632E-2</v>
      </c>
      <c r="BG246" s="640">
        <f t="shared" si="602"/>
        <v>0.1785714285714286</v>
      </c>
      <c r="BH246" s="640">
        <f t="shared" si="602"/>
        <v>0.17081850533807819</v>
      </c>
      <c r="BI246" s="949">
        <f t="shared" si="602"/>
        <v>0.24731182795698925</v>
      </c>
      <c r="BJ246" s="640">
        <f t="shared" si="602"/>
        <v>0.28618421052631593</v>
      </c>
      <c r="BK246" s="640">
        <f t="shared" si="602"/>
        <v>0.1393939393939394</v>
      </c>
      <c r="BL246" s="640">
        <f t="shared" si="602"/>
        <v>4.2553191489361764E-2</v>
      </c>
      <c r="BM246" s="640">
        <f t="shared" si="602"/>
        <v>-0.12356321839080453</v>
      </c>
      <c r="BN246" s="2209">
        <f t="shared" si="602"/>
        <v>-0.12276214833759602</v>
      </c>
      <c r="BO246" s="640">
        <f t="shared" si="602"/>
        <v>-6.1170212765957577E-2</v>
      </c>
      <c r="BP246" s="640">
        <f t="shared" si="602"/>
        <v>-7.580174927113692E-2</v>
      </c>
      <c r="BQ246" s="949">
        <f t="shared" si="602"/>
        <v>4.9180327868852514E-2</v>
      </c>
      <c r="BR246" s="640">
        <f t="shared" si="602"/>
        <v>0.14285714285714302</v>
      </c>
      <c r="BS246" s="640">
        <f t="shared" si="602"/>
        <v>0.11048158640226635</v>
      </c>
      <c r="BT246" s="640">
        <f t="shared" si="602"/>
        <v>0.1482649842271293</v>
      </c>
      <c r="BU246" s="949">
        <f t="shared" ref="BU246:CC246" si="603">BU245/BQ245-1</f>
        <v>0.140625</v>
      </c>
      <c r="BV246" s="640">
        <f t="shared" si="602"/>
        <v>7.6530612244898322E-3</v>
      </c>
      <c r="BW246" s="640">
        <f t="shared" si="602"/>
        <v>2.0408163265306145E-2</v>
      </c>
      <c r="BX246" s="640">
        <f t="shared" si="603"/>
        <v>4.9450549450549275E-2</v>
      </c>
      <c r="BY246" s="949">
        <f t="shared" si="603"/>
        <v>3.6109589041095846E-2</v>
      </c>
      <c r="BZ246" s="640">
        <f t="shared" si="603"/>
        <v>3.401113924050625E-2</v>
      </c>
      <c r="CA246" s="640">
        <f t="shared" si="603"/>
        <v>4.1507720000000026E-2</v>
      </c>
      <c r="CB246" s="640">
        <f t="shared" si="603"/>
        <v>5.7866480000000164E-2</v>
      </c>
      <c r="CC246" s="949">
        <f t="shared" si="603"/>
        <v>4.7180960000000161E-2</v>
      </c>
      <c r="CD246" s="9"/>
      <c r="CE246" s="145"/>
      <c r="CF246" s="145"/>
      <c r="CG246" s="145"/>
      <c r="CH246" s="145"/>
      <c r="CI246" s="145"/>
      <c r="CJ246" s="145"/>
      <c r="CK246" s="145"/>
      <c r="CL246" s="145"/>
      <c r="CM246" s="145"/>
      <c r="CN246" s="145"/>
      <c r="CO246" s="145"/>
      <c r="CP246" s="145"/>
      <c r="CQ246" s="145"/>
      <c r="CR246" s="1471">
        <f t="shared" ref="CR246:CW246" si="604">CR245/CQ245-1</f>
        <v>0.17053571428571423</v>
      </c>
      <c r="CS246" s="1471">
        <f t="shared" si="604"/>
        <v>7.9328756674294398E-2</v>
      </c>
      <c r="CT246" s="1471">
        <f t="shared" si="604"/>
        <v>-5.7950530035335568E-2</v>
      </c>
      <c r="CU246" s="1471">
        <f t="shared" si="604"/>
        <v>0.13503375843960996</v>
      </c>
      <c r="CV246" s="1471">
        <f t="shared" si="604"/>
        <v>2.7878387309979935E-2</v>
      </c>
      <c r="CW246" s="1471">
        <f t="shared" si="604"/>
        <v>4.5001465304852495E-2</v>
      </c>
      <c r="CX246" s="360">
        <v>0.03</v>
      </c>
      <c r="CY246" s="360">
        <v>0.01</v>
      </c>
      <c r="CZ246" s="360">
        <v>0.01</v>
      </c>
      <c r="DA246" s="360">
        <v>0.02</v>
      </c>
      <c r="DB246" s="360">
        <v>0.02</v>
      </c>
      <c r="DC246" s="360">
        <v>0.02</v>
      </c>
      <c r="DD246" s="1517"/>
      <c r="DE246" s="1483"/>
      <c r="DF246" s="141"/>
      <c r="DG246" s="141"/>
      <c r="DH246" s="141"/>
      <c r="DI246" s="141"/>
      <c r="DJ246" s="141"/>
      <c r="DK246" s="141"/>
      <c r="DL246" s="141"/>
      <c r="DM246" s="141"/>
      <c r="DN246" s="141"/>
      <c r="DO246" s="141"/>
      <c r="DP246" s="141"/>
      <c r="DQ246" s="141"/>
      <c r="DR246" s="141"/>
      <c r="DS246" s="141"/>
      <c r="DT246" s="141"/>
      <c r="DU246" s="141"/>
      <c r="DV246" s="141"/>
      <c r="DW246" s="141"/>
      <c r="DX246" s="141"/>
      <c r="DY246" s="141"/>
      <c r="DZ246" s="1676"/>
    </row>
    <row r="247" spans="1:136">
      <c r="A247" s="9"/>
      <c r="B247" s="187"/>
      <c r="C247" s="578"/>
      <c r="D247" s="333" t="s">
        <v>77</v>
      </c>
      <c r="E247" s="578"/>
      <c r="F247" s="145"/>
      <c r="G247" s="145"/>
      <c r="H247" s="145"/>
      <c r="I247" s="228"/>
      <c r="J247" s="145"/>
      <c r="K247" s="145"/>
      <c r="L247" s="145"/>
      <c r="M247" s="228"/>
      <c r="N247" s="145"/>
      <c r="O247" s="145"/>
      <c r="P247" s="145"/>
      <c r="Q247" s="228"/>
      <c r="R247" s="145"/>
      <c r="S247" s="145"/>
      <c r="T247" s="145"/>
      <c r="U247" s="228"/>
      <c r="V247" s="227"/>
      <c r="W247" s="145"/>
      <c r="X247" s="145"/>
      <c r="Y247" s="228"/>
      <c r="Z247" s="227"/>
      <c r="AA247" s="145"/>
      <c r="AB247" s="145"/>
      <c r="AC247" s="228"/>
      <c r="AD247" s="227"/>
      <c r="AE247" s="145"/>
      <c r="AF247" s="145"/>
      <c r="AG247" s="145"/>
      <c r="AH247" s="227"/>
      <c r="AI247" s="145"/>
      <c r="AJ247" s="145"/>
      <c r="AK247" s="145"/>
      <c r="AL247" s="227"/>
      <c r="AM247" s="145"/>
      <c r="AN247" s="145"/>
      <c r="AO247" s="228"/>
      <c r="AP247" s="145"/>
      <c r="AQ247" s="145"/>
      <c r="AR247" s="145"/>
      <c r="AS247" s="145"/>
      <c r="AT247" s="145"/>
      <c r="AU247" s="145"/>
      <c r="AV247" s="145"/>
      <c r="AW247" s="145"/>
      <c r="AX247" s="145"/>
      <c r="AY247" s="145"/>
      <c r="AZ247" s="145"/>
      <c r="BA247" s="228"/>
      <c r="BB247" s="852"/>
      <c r="BC247" s="852">
        <f t="shared" ref="BC247:BS247" si="605">BC245/BB245-1</f>
        <v>0</v>
      </c>
      <c r="BD247" s="852">
        <f t="shared" si="605"/>
        <v>3.5714285714285587E-3</v>
      </c>
      <c r="BE247" s="851">
        <f t="shared" si="605"/>
        <v>-7.1174377224200169E-3</v>
      </c>
      <c r="BF247" s="852">
        <f t="shared" si="605"/>
        <v>8.9605734767025158E-2</v>
      </c>
      <c r="BG247" s="852">
        <f t="shared" si="605"/>
        <v>8.5526315789473673E-2</v>
      </c>
      <c r="BH247" s="852">
        <f t="shared" si="605"/>
        <v>-3.0303030303030498E-3</v>
      </c>
      <c r="BI247" s="851">
        <f t="shared" si="605"/>
        <v>5.7750759878419489E-2</v>
      </c>
      <c r="BJ247" s="852">
        <f t="shared" si="605"/>
        <v>0.12356321839080464</v>
      </c>
      <c r="BK247" s="852">
        <f t="shared" si="605"/>
        <v>-3.8363171355498715E-2</v>
      </c>
      <c r="BL247" s="852">
        <f t="shared" si="605"/>
        <v>-8.7765957446808596E-2</v>
      </c>
      <c r="BM247" s="852">
        <f t="shared" si="605"/>
        <v>-0.11078717201166177</v>
      </c>
      <c r="BN247" s="850">
        <f t="shared" si="605"/>
        <v>0.12459016393442623</v>
      </c>
      <c r="BO247" s="852">
        <f t="shared" si="605"/>
        <v>2.9154518950437414E-2</v>
      </c>
      <c r="BP247" s="852">
        <f t="shared" si="605"/>
        <v>-0.1019830028328611</v>
      </c>
      <c r="BQ247" s="851">
        <f t="shared" si="605"/>
        <v>9.4637223974762819E-3</v>
      </c>
      <c r="BR247" s="852">
        <f t="shared" si="605"/>
        <v>0.22500000000000009</v>
      </c>
      <c r="BS247" s="852">
        <f t="shared" si="605"/>
        <v>0</v>
      </c>
      <c r="BT247" s="852">
        <f>BT245/BS245-1</f>
        <v>-7.1428571428571508E-2</v>
      </c>
      <c r="BU247" s="851">
        <f>BU245/BT245-1</f>
        <v>2.7472527472527375E-3</v>
      </c>
      <c r="BV247" s="852">
        <f>BV245/BU245-1</f>
        <v>8.2191780821917915E-2</v>
      </c>
      <c r="BW247" s="852">
        <f>BW245/BV245-1</f>
        <v>1.2658227848101333E-2</v>
      </c>
      <c r="BX247" s="360">
        <v>-4.4999999999999998E-2</v>
      </c>
      <c r="BY247" s="361">
        <v>-0.01</v>
      </c>
      <c r="BZ247" s="360">
        <v>0.08</v>
      </c>
      <c r="CA247" s="360">
        <v>0.02</v>
      </c>
      <c r="CB247" s="360">
        <v>-0.03</v>
      </c>
      <c r="CC247" s="361">
        <v>-0.02</v>
      </c>
      <c r="CD247" s="9"/>
      <c r="CE247" s="145"/>
      <c r="CF247" s="145"/>
      <c r="CG247" s="145"/>
      <c r="CH247" s="145"/>
      <c r="CI247" s="145"/>
      <c r="CJ247" s="145"/>
      <c r="CK247" s="145"/>
      <c r="CL247" s="145"/>
      <c r="CM247" s="145"/>
      <c r="CN247" s="145"/>
      <c r="CO247" s="145"/>
      <c r="CP247" s="145"/>
      <c r="CQ247" s="145"/>
      <c r="CR247" s="141"/>
      <c r="CS247" s="141"/>
      <c r="CT247" s="141"/>
      <c r="CU247" s="141"/>
      <c r="CV247" s="141"/>
      <c r="CW247" s="141"/>
      <c r="CX247" s="141"/>
      <c r="CY247" s="141"/>
      <c r="CZ247" s="141"/>
      <c r="DA247" s="141"/>
      <c r="DB247" s="141"/>
      <c r="DC247" s="141"/>
      <c r="DD247" s="1517"/>
      <c r="DE247" s="1483"/>
      <c r="DF247" s="141"/>
      <c r="DG247" s="141"/>
      <c r="DH247" s="141"/>
      <c r="DI247" s="141"/>
      <c r="DJ247" s="141"/>
      <c r="DK247" s="141"/>
      <c r="DL247" s="141"/>
      <c r="DM247" s="141"/>
      <c r="DN247" s="141"/>
      <c r="DO247" s="141"/>
      <c r="DP247" s="141"/>
      <c r="DQ247" s="141"/>
      <c r="DR247" s="141"/>
      <c r="DS247" s="141"/>
      <c r="DT247" s="141"/>
      <c r="DU247" s="141"/>
      <c r="DV247" s="141"/>
      <c r="DW247" s="141"/>
      <c r="DX247" s="141"/>
      <c r="DY247" s="141"/>
      <c r="DZ247" s="1676"/>
    </row>
    <row r="248" spans="1:136">
      <c r="A248" s="9"/>
      <c r="B248" s="187"/>
      <c r="C248" s="578"/>
      <c r="D248" s="333"/>
      <c r="E248" s="578"/>
      <c r="F248" s="145"/>
      <c r="G248" s="145"/>
      <c r="H248" s="145"/>
      <c r="I248" s="228"/>
      <c r="J248" s="145"/>
      <c r="K248" s="145"/>
      <c r="L248" s="145"/>
      <c r="M248" s="228"/>
      <c r="N248" s="145"/>
      <c r="O248" s="145"/>
      <c r="P248" s="145"/>
      <c r="Q248" s="145"/>
      <c r="R248" s="145"/>
      <c r="S248" s="145"/>
      <c r="T248" s="145"/>
      <c r="U248" s="145"/>
      <c r="V248" s="227"/>
      <c r="W248" s="145"/>
      <c r="X248" s="145"/>
      <c r="Y248" s="145"/>
      <c r="Z248" s="227"/>
      <c r="AA248" s="145"/>
      <c r="AB248" s="145"/>
      <c r="AC248" s="145"/>
      <c r="AD248" s="227"/>
      <c r="AE248" s="145"/>
      <c r="AF248" s="145"/>
      <c r="AG248" s="145"/>
      <c r="AH248" s="227"/>
      <c r="AI248" s="145"/>
      <c r="AJ248" s="145"/>
      <c r="AK248" s="145"/>
      <c r="AL248" s="145"/>
      <c r="AM248" s="145"/>
      <c r="AN248" s="145"/>
      <c r="AO248" s="228"/>
      <c r="AP248" s="145"/>
      <c r="AQ248" s="145"/>
      <c r="AR248" s="145"/>
      <c r="AS248" s="145"/>
      <c r="AT248" s="145"/>
      <c r="AU248" s="145"/>
      <c r="AV248" s="145"/>
      <c r="AW248" s="145"/>
      <c r="AX248" s="145"/>
      <c r="AY248" s="145"/>
      <c r="AZ248" s="145"/>
      <c r="BA248" s="228"/>
      <c r="BB248" s="852"/>
      <c r="BC248" s="852"/>
      <c r="BD248" s="852"/>
      <c r="BE248" s="851"/>
      <c r="BF248" s="852"/>
      <c r="BG248" s="852"/>
      <c r="BH248" s="852"/>
      <c r="BI248" s="851"/>
      <c r="BJ248" s="852"/>
      <c r="BK248" s="852"/>
      <c r="BL248" s="852"/>
      <c r="BM248" s="852"/>
      <c r="BN248" s="850"/>
      <c r="BO248" s="852"/>
      <c r="BP248" s="852"/>
      <c r="BQ248" s="851"/>
      <c r="BR248" s="852"/>
      <c r="BS248" s="852"/>
      <c r="BT248" s="2184"/>
      <c r="BU248" s="851"/>
      <c r="BV248" s="852"/>
      <c r="BW248" s="2215"/>
      <c r="BX248" s="2215"/>
      <c r="BY248" s="2216"/>
      <c r="BZ248" s="2215"/>
      <c r="CA248" s="2215"/>
      <c r="CB248" s="2215"/>
      <c r="CC248" s="2216"/>
      <c r="CD248" s="9"/>
      <c r="CE248" s="145"/>
      <c r="CF248" s="145"/>
      <c r="CG248" s="145"/>
      <c r="CH248" s="145"/>
      <c r="CI248" s="145"/>
      <c r="CJ248" s="145"/>
      <c r="CK248" s="145"/>
      <c r="CL248" s="145"/>
      <c r="CM248" s="145"/>
      <c r="CN248" s="145"/>
      <c r="CO248" s="145"/>
      <c r="CP248" s="145"/>
      <c r="CQ248" s="145"/>
      <c r="CR248" s="141"/>
      <c r="CS248" s="141"/>
      <c r="CT248" s="141"/>
      <c r="CU248" s="141"/>
      <c r="CV248" s="141"/>
      <c r="CW248" s="141"/>
      <c r="CX248" s="141"/>
      <c r="CY248" s="141"/>
      <c r="CZ248" s="141"/>
      <c r="DA248" s="141"/>
      <c r="DB248" s="141"/>
      <c r="DC248" s="141"/>
      <c r="DD248" s="1517"/>
      <c r="DE248" s="1483"/>
      <c r="DF248" s="141"/>
      <c r="DG248" s="141"/>
      <c r="DH248" s="141"/>
      <c r="DI248" s="141"/>
      <c r="DJ248" s="141"/>
      <c r="DK248" s="141"/>
      <c r="DL248" s="141"/>
      <c r="DM248" s="141"/>
      <c r="DN248" s="141"/>
      <c r="DO248" s="141"/>
      <c r="DP248" s="141"/>
      <c r="DQ248" s="141"/>
      <c r="DR248" s="141"/>
      <c r="DS248" s="141"/>
      <c r="DT248" s="141"/>
      <c r="DU248" s="141"/>
      <c r="DV248" s="141"/>
      <c r="DW248" s="141"/>
      <c r="DX248" s="141"/>
      <c r="DY248" s="141"/>
      <c r="DZ248" s="1676"/>
    </row>
    <row r="249" spans="1:136">
      <c r="A249" s="9"/>
      <c r="B249" s="187"/>
      <c r="C249" s="187" t="s">
        <v>979</v>
      </c>
      <c r="D249" s="31"/>
      <c r="E249" s="816"/>
      <c r="F249" s="145"/>
      <c r="G249" s="145"/>
      <c r="H249" s="145"/>
      <c r="I249" s="228"/>
      <c r="J249" s="145"/>
      <c r="K249" s="145"/>
      <c r="L249" s="145"/>
      <c r="M249" s="228"/>
      <c r="N249" s="145"/>
      <c r="O249" s="145"/>
      <c r="P249" s="145"/>
      <c r="Q249" s="145"/>
      <c r="R249" s="145"/>
      <c r="S249" s="145"/>
      <c r="T249" s="145"/>
      <c r="U249" s="145"/>
      <c r="V249" s="227"/>
      <c r="W249" s="145"/>
      <c r="X249" s="145"/>
      <c r="Y249" s="145"/>
      <c r="Z249" s="227"/>
      <c r="AA249" s="145"/>
      <c r="AB249" s="145"/>
      <c r="AC249" s="145"/>
      <c r="AD249" s="227"/>
      <c r="AE249" s="145"/>
      <c r="AF249" s="145"/>
      <c r="AG249" s="145"/>
      <c r="AH249" s="227"/>
      <c r="AI249" s="145"/>
      <c r="AJ249" s="145"/>
      <c r="AK249" s="145"/>
      <c r="AL249" s="145"/>
      <c r="AM249" s="145"/>
      <c r="AN249" s="145"/>
      <c r="AO249" s="228"/>
      <c r="AP249" s="145"/>
      <c r="AQ249" s="145"/>
      <c r="AR249" s="145"/>
      <c r="AS249" s="145"/>
      <c r="AT249" s="145"/>
      <c r="AU249" s="145"/>
      <c r="AV249" s="145"/>
      <c r="AW249" s="145"/>
      <c r="AX249" s="145"/>
      <c r="AY249" s="145"/>
      <c r="AZ249" s="145"/>
      <c r="BA249" s="228"/>
      <c r="BB249" s="1663">
        <f t="shared" ref="BB249:BS249" si="606">BB241/BB245</f>
        <v>94.642857142857139</v>
      </c>
      <c r="BC249" s="1620">
        <f t="shared" si="606"/>
        <v>80.678571428571431</v>
      </c>
      <c r="BD249" s="1620">
        <f t="shared" si="606"/>
        <v>77.15302491103202</v>
      </c>
      <c r="BE249" s="1621">
        <f t="shared" si="606"/>
        <v>75.591397849462368</v>
      </c>
      <c r="BF249" s="1663">
        <f t="shared" si="606"/>
        <v>72.30263157894737</v>
      </c>
      <c r="BG249" s="1620">
        <f t="shared" si="606"/>
        <v>67.454545454545453</v>
      </c>
      <c r="BH249" s="1620">
        <f t="shared" si="606"/>
        <v>64.620060790273556</v>
      </c>
      <c r="BI249" s="1621">
        <f t="shared" si="606"/>
        <v>62.356321839080465</v>
      </c>
      <c r="BJ249" s="1663">
        <f t="shared" si="606"/>
        <v>57.672634271099739</v>
      </c>
      <c r="BK249" s="1620">
        <f t="shared" si="606"/>
        <v>55.558510638297868</v>
      </c>
      <c r="BL249" s="1620">
        <f t="shared" si="606"/>
        <v>53.061224489795926</v>
      </c>
      <c r="BM249" s="1620">
        <f t="shared" si="606"/>
        <v>50.688524590163937</v>
      </c>
      <c r="BN249" s="1663">
        <f>BN241/BN245</f>
        <v>48.688046647230323</v>
      </c>
      <c r="BO249" s="1620">
        <f t="shared" si="606"/>
        <v>44.787535410764875</v>
      </c>
      <c r="BP249" s="1620">
        <f t="shared" si="606"/>
        <v>43.217665615141954</v>
      </c>
      <c r="BQ249" s="1621">
        <f t="shared" si="606"/>
        <v>49.5</v>
      </c>
      <c r="BR249" s="1663">
        <f t="shared" si="606"/>
        <v>60.561224489795912</v>
      </c>
      <c r="BS249" s="1620">
        <f t="shared" si="606"/>
        <v>61.683673469387749</v>
      </c>
      <c r="BT249" s="1620">
        <f>BT241/BT245</f>
        <v>63.681318681318686</v>
      </c>
      <c r="BU249" s="1621">
        <f>BU241/BU245</f>
        <v>66.027397260273972</v>
      </c>
      <c r="BV249" s="1663">
        <f>BV241/BV245</f>
        <v>67.74683544303798</v>
      </c>
      <c r="BW249" s="1620">
        <f>BW241/BW245</f>
        <v>66.174999999999997</v>
      </c>
      <c r="BX249" s="1620">
        <f t="shared" ref="BX249:CC249" si="607">BW249*(1+BX251)</f>
        <v>64.189749999999989</v>
      </c>
      <c r="BY249" s="1621">
        <f t="shared" si="607"/>
        <v>64.189749999999989</v>
      </c>
      <c r="BZ249" s="1663">
        <f t="shared" si="607"/>
        <v>60.338364999999989</v>
      </c>
      <c r="CA249" s="1620">
        <f t="shared" si="607"/>
        <v>57.924830399999991</v>
      </c>
      <c r="CB249" s="1620">
        <f t="shared" si="607"/>
        <v>55.60783718399999</v>
      </c>
      <c r="CC249" s="1621">
        <f t="shared" si="607"/>
        <v>53.38352369663999</v>
      </c>
      <c r="CD249" s="9"/>
      <c r="CE249" s="145"/>
      <c r="CF249" s="145"/>
      <c r="CG249" s="145"/>
      <c r="CH249" s="145"/>
      <c r="CI249" s="145"/>
      <c r="CJ249" s="145"/>
      <c r="CK249" s="145"/>
      <c r="CL249" s="145"/>
      <c r="CM249" s="145"/>
      <c r="CN249" s="145"/>
      <c r="CO249" s="145"/>
      <c r="CP249" s="145"/>
      <c r="CQ249" s="1620">
        <f t="shared" ref="CQ249:CV249" si="608">CQ241/CQ245</f>
        <v>82.017857142857139</v>
      </c>
      <c r="CR249" s="1620">
        <f t="shared" si="608"/>
        <v>66.514111365369956</v>
      </c>
      <c r="CS249" s="1620">
        <f t="shared" si="608"/>
        <v>54.487632508833926</v>
      </c>
      <c r="CT249" s="1620">
        <f t="shared" si="608"/>
        <v>46.549137284321077</v>
      </c>
      <c r="CU249" s="1620">
        <f t="shared" si="608"/>
        <v>62.921348314606739</v>
      </c>
      <c r="CV249" s="1620">
        <f t="shared" si="608"/>
        <v>65.603829881428524</v>
      </c>
      <c r="CW249" s="1620">
        <f>CW241/CW245</f>
        <v>56.848632599347795</v>
      </c>
      <c r="CX249" s="1620">
        <f t="shared" ref="CX249:DC249" si="609">CW249*(1+CX250)</f>
        <v>56.848632599347795</v>
      </c>
      <c r="CY249" s="1620">
        <f t="shared" si="609"/>
        <v>55.711659947360836</v>
      </c>
      <c r="CZ249" s="1620">
        <f t="shared" si="609"/>
        <v>54.597426748413618</v>
      </c>
      <c r="DA249" s="1620">
        <f t="shared" si="609"/>
        <v>53.505478213445343</v>
      </c>
      <c r="DB249" s="1620">
        <f t="shared" si="609"/>
        <v>52.435368649176432</v>
      </c>
      <c r="DC249" s="1620">
        <f t="shared" si="609"/>
        <v>51.386661276192903</v>
      </c>
      <c r="DD249" s="1517"/>
      <c r="DE249" s="1483"/>
      <c r="DF249" s="141"/>
      <c r="DG249" s="141"/>
      <c r="DH249" s="141"/>
      <c r="DI249" s="141"/>
      <c r="DJ249" s="141"/>
      <c r="DK249" s="141"/>
      <c r="DL249" s="141"/>
      <c r="DM249" s="141"/>
      <c r="DN249" s="141"/>
      <c r="DO249" s="141"/>
      <c r="DP249" s="141"/>
      <c r="DQ249" s="141"/>
      <c r="DR249" s="141"/>
      <c r="DS249" s="141"/>
      <c r="DT249" s="141"/>
      <c r="DU249" s="141"/>
      <c r="DV249" s="141"/>
      <c r="DW249" s="141"/>
      <c r="DX249" s="141"/>
      <c r="DY249" s="141"/>
      <c r="DZ249" s="1676"/>
    </row>
    <row r="250" spans="1:136">
      <c r="A250" s="9"/>
      <c r="B250" s="224"/>
      <c r="C250" s="1180"/>
      <c r="D250" s="1180" t="s">
        <v>76</v>
      </c>
      <c r="E250" s="1182"/>
      <c r="F250" s="145"/>
      <c r="G250" s="145"/>
      <c r="H250" s="145"/>
      <c r="I250" s="228"/>
      <c r="J250" s="145"/>
      <c r="K250" s="145"/>
      <c r="L250" s="145"/>
      <c r="M250" s="228"/>
      <c r="N250" s="145"/>
      <c r="O250" s="145"/>
      <c r="P250" s="145"/>
      <c r="Q250" s="145"/>
      <c r="R250" s="145"/>
      <c r="S250" s="145"/>
      <c r="T250" s="145"/>
      <c r="U250" s="145"/>
      <c r="V250" s="227"/>
      <c r="W250" s="145"/>
      <c r="X250" s="145"/>
      <c r="Y250" s="145"/>
      <c r="Z250" s="227"/>
      <c r="AA250" s="145"/>
      <c r="AB250" s="145"/>
      <c r="AC250" s="145"/>
      <c r="AD250" s="227"/>
      <c r="AE250" s="145"/>
      <c r="AF250" s="145"/>
      <c r="AG250" s="145"/>
      <c r="AH250" s="227"/>
      <c r="AI250" s="145"/>
      <c r="AJ250" s="145"/>
      <c r="AK250" s="145"/>
      <c r="AL250" s="145"/>
      <c r="AM250" s="145"/>
      <c r="AN250" s="145"/>
      <c r="AO250" s="228"/>
      <c r="AP250" s="145"/>
      <c r="AQ250" s="145"/>
      <c r="AR250" s="145"/>
      <c r="AS250" s="145"/>
      <c r="AT250" s="145"/>
      <c r="AU250" s="145"/>
      <c r="AV250" s="145"/>
      <c r="AW250" s="145"/>
      <c r="AX250" s="145"/>
      <c r="AY250" s="145"/>
      <c r="AZ250" s="145"/>
      <c r="BA250" s="228"/>
      <c r="BB250" s="852"/>
      <c r="BC250" s="640"/>
      <c r="BD250" s="640"/>
      <c r="BE250" s="949"/>
      <c r="BF250" s="640">
        <f t="shared" ref="BF250:BT250" si="610">BF249/BB249-1</f>
        <v>-0.23604766633565044</v>
      </c>
      <c r="BG250" s="640">
        <f t="shared" si="610"/>
        <v>-0.16391001649965797</v>
      </c>
      <c r="BH250" s="640">
        <f t="shared" si="610"/>
        <v>-0.16244293901905571</v>
      </c>
      <c r="BI250" s="949">
        <f t="shared" si="610"/>
        <v>-0.17508706528670226</v>
      </c>
      <c r="BJ250" s="640">
        <f t="shared" si="610"/>
        <v>-0.20234391181008549</v>
      </c>
      <c r="BK250" s="640">
        <f t="shared" si="610"/>
        <v>-0.17635631129208007</v>
      </c>
      <c r="BL250" s="640">
        <f t="shared" si="610"/>
        <v>-0.17887380728396707</v>
      </c>
      <c r="BM250" s="640">
        <f t="shared" si="610"/>
        <v>-0.18711490518999774</v>
      </c>
      <c r="BN250" s="2209">
        <f t="shared" si="610"/>
        <v>-0.15578597609458722</v>
      </c>
      <c r="BO250" s="640">
        <f t="shared" si="610"/>
        <v>-0.193867242008253</v>
      </c>
      <c r="BP250" s="640">
        <f t="shared" si="610"/>
        <v>-0.18551322494540179</v>
      </c>
      <c r="BQ250" s="949">
        <f t="shared" si="610"/>
        <v>-2.3447606727037607E-2</v>
      </c>
      <c r="BR250" s="640">
        <f>BR249/BN249-1</f>
        <v>0.24386227544910155</v>
      </c>
      <c r="BS250" s="640">
        <f t="shared" si="610"/>
        <v>0.37725090036014386</v>
      </c>
      <c r="BT250" s="640">
        <f t="shared" si="610"/>
        <v>0.47350204539985574</v>
      </c>
      <c r="BU250" s="949">
        <f t="shared" ref="BU250:CC250" si="611">BU249/BQ249-1</f>
        <v>0.33388681333886816</v>
      </c>
      <c r="BV250" s="640">
        <f>BV249/BR249-1</f>
        <v>0.11865035777889177</v>
      </c>
      <c r="BW250" s="640">
        <f t="shared" si="611"/>
        <v>7.2812241521919008E-2</v>
      </c>
      <c r="BX250" s="640">
        <f t="shared" si="611"/>
        <v>7.983994823123064E-3</v>
      </c>
      <c r="BY250" s="949">
        <f t="shared" si="611"/>
        <v>-2.783158713692957E-2</v>
      </c>
      <c r="BZ250" s="640">
        <f t="shared" si="611"/>
        <v>-0.10935522514947704</v>
      </c>
      <c r="CA250" s="640">
        <f t="shared" si="611"/>
        <v>-0.12467200000000012</v>
      </c>
      <c r="CB250" s="640">
        <f t="shared" si="611"/>
        <v>-0.13369600000000004</v>
      </c>
      <c r="CC250" s="949">
        <f t="shared" si="611"/>
        <v>-0.16834815999999997</v>
      </c>
      <c r="CD250" s="9"/>
      <c r="CE250" s="145"/>
      <c r="CF250" s="145"/>
      <c r="CG250" s="145"/>
      <c r="CH250" s="145"/>
      <c r="CI250" s="145"/>
      <c r="CJ250" s="145"/>
      <c r="CK250" s="145"/>
      <c r="CL250" s="145"/>
      <c r="CM250" s="145"/>
      <c r="CN250" s="145"/>
      <c r="CO250" s="145"/>
      <c r="CP250" s="145"/>
      <c r="CQ250" s="640"/>
      <c r="CR250" s="1471">
        <f t="shared" ref="CR250:CW250" si="612">CR249/CQ249-1</f>
        <v>-0.18902890562579622</v>
      </c>
      <c r="CS250" s="1471">
        <f t="shared" si="612"/>
        <v>-0.18081093785457258</v>
      </c>
      <c r="CT250" s="1471">
        <f t="shared" si="612"/>
        <v>-0.14569352454845241</v>
      </c>
      <c r="CU250" s="1471">
        <f t="shared" si="612"/>
        <v>0.35171889288268798</v>
      </c>
      <c r="CV250" s="1471">
        <f t="shared" si="612"/>
        <v>4.263229632984622E-2</v>
      </c>
      <c r="CW250" s="1471">
        <f t="shared" si="612"/>
        <v>-0.13345558175345484</v>
      </c>
      <c r="CX250" s="360">
        <v>0</v>
      </c>
      <c r="CY250" s="360">
        <v>-0.02</v>
      </c>
      <c r="CZ250" s="360">
        <v>-0.02</v>
      </c>
      <c r="DA250" s="360">
        <v>-0.02</v>
      </c>
      <c r="DB250" s="360">
        <v>-0.02</v>
      </c>
      <c r="DC250" s="360">
        <v>-0.02</v>
      </c>
      <c r="DD250" s="1517"/>
      <c r="DE250" s="1483"/>
      <c r="DF250" s="141"/>
      <c r="DG250" s="141"/>
      <c r="DH250" s="141"/>
      <c r="DI250" s="141"/>
      <c r="DJ250" s="141"/>
      <c r="DK250" s="141"/>
      <c r="DL250" s="141"/>
      <c r="DM250" s="141"/>
      <c r="DN250" s="141"/>
      <c r="DO250" s="141"/>
      <c r="DP250" s="141"/>
      <c r="DQ250" s="141"/>
      <c r="DR250" s="141"/>
      <c r="DS250" s="141"/>
      <c r="DT250" s="141"/>
      <c r="DU250" s="141"/>
      <c r="DV250" s="141"/>
      <c r="DW250" s="141"/>
      <c r="DX250" s="141"/>
      <c r="DY250" s="141"/>
      <c r="DZ250" s="1676"/>
    </row>
    <row r="251" spans="1:136">
      <c r="A251" s="9"/>
      <c r="B251" s="187"/>
      <c r="C251" s="578"/>
      <c r="D251" s="333" t="s">
        <v>77</v>
      </c>
      <c r="E251" s="578"/>
      <c r="F251" s="145"/>
      <c r="G251" s="145"/>
      <c r="H251" s="145"/>
      <c r="I251" s="228"/>
      <c r="J251" s="145"/>
      <c r="K251" s="145"/>
      <c r="L251" s="145"/>
      <c r="M251" s="228"/>
      <c r="N251" s="145"/>
      <c r="O251" s="145"/>
      <c r="P251" s="145"/>
      <c r="Q251" s="145"/>
      <c r="R251" s="145"/>
      <c r="S251" s="145"/>
      <c r="T251" s="145"/>
      <c r="U251" s="145"/>
      <c r="V251" s="227"/>
      <c r="W251" s="145"/>
      <c r="X251" s="145"/>
      <c r="Y251" s="145"/>
      <c r="Z251" s="227"/>
      <c r="AA251" s="145"/>
      <c r="AB251" s="145"/>
      <c r="AC251" s="145"/>
      <c r="AD251" s="227"/>
      <c r="AE251" s="145"/>
      <c r="AF251" s="145"/>
      <c r="AG251" s="145"/>
      <c r="AH251" s="227"/>
      <c r="AI251" s="145"/>
      <c r="AJ251" s="145"/>
      <c r="AK251" s="145"/>
      <c r="AL251" s="145"/>
      <c r="AM251" s="145"/>
      <c r="AN251" s="145"/>
      <c r="AO251" s="228"/>
      <c r="AP251" s="145"/>
      <c r="AQ251" s="145"/>
      <c r="AR251" s="145"/>
      <c r="AS251" s="145"/>
      <c r="AT251" s="145"/>
      <c r="AU251" s="145"/>
      <c r="AV251" s="145"/>
      <c r="AW251" s="145"/>
      <c r="AX251" s="145"/>
      <c r="AY251" s="145"/>
      <c r="AZ251" s="145"/>
      <c r="BA251" s="228"/>
      <c r="BB251" s="852"/>
      <c r="BC251" s="852">
        <f t="shared" ref="BC251:BW251" si="613">BC249/BB249-1</f>
        <v>-0.14754716981132066</v>
      </c>
      <c r="BD251" s="852">
        <f t="shared" si="613"/>
        <v>-4.3698673081497774E-2</v>
      </c>
      <c r="BE251" s="851">
        <f t="shared" si="613"/>
        <v>-2.0240645954846537E-2</v>
      </c>
      <c r="BF251" s="852">
        <f t="shared" si="613"/>
        <v>-4.3507149809088874E-2</v>
      </c>
      <c r="BG251" s="852">
        <f t="shared" si="613"/>
        <v>-6.7052692530399582E-2</v>
      </c>
      <c r="BH251" s="852">
        <f t="shared" si="613"/>
        <v>-4.2020662138801734E-2</v>
      </c>
      <c r="BI251" s="851">
        <f t="shared" si="613"/>
        <v>-3.5031519987889337E-2</v>
      </c>
      <c r="BJ251" s="852">
        <f t="shared" si="613"/>
        <v>-7.5111671597110297E-2</v>
      </c>
      <c r="BK251" s="852">
        <f t="shared" si="613"/>
        <v>-3.6657309996697585E-2</v>
      </c>
      <c r="BL251" s="852">
        <f t="shared" si="613"/>
        <v>-4.4948759781557213E-2</v>
      </c>
      <c r="BM251" s="852">
        <f t="shared" si="613"/>
        <v>-4.4716267339218296E-2</v>
      </c>
      <c r="BN251" s="850">
        <f t="shared" si="613"/>
        <v>-3.9466091370941259E-2</v>
      </c>
      <c r="BO251" s="852">
        <f t="shared" si="613"/>
        <v>-8.0112296653152559E-2</v>
      </c>
      <c r="BP251" s="852">
        <f t="shared" si="613"/>
        <v>-3.5051488795375785E-2</v>
      </c>
      <c r="BQ251" s="851">
        <f t="shared" si="613"/>
        <v>0.1453649635036498</v>
      </c>
      <c r="BR251" s="852">
        <f t="shared" si="613"/>
        <v>0.22345908060193764</v>
      </c>
      <c r="BS251" s="852">
        <f t="shared" si="613"/>
        <v>1.8534119629317614E-2</v>
      </c>
      <c r="BT251" s="852">
        <f t="shared" si="613"/>
        <v>3.2385315263727454E-2</v>
      </c>
      <c r="BU251" s="851">
        <f>BU249/BT249-1</f>
        <v>3.6840923327857045E-2</v>
      </c>
      <c r="BV251" s="852">
        <f t="shared" si="613"/>
        <v>2.6041283680865668E-2</v>
      </c>
      <c r="BW251" s="852">
        <f t="shared" si="613"/>
        <v>-2.3201606875934311E-2</v>
      </c>
      <c r="BX251" s="360">
        <v>-0.03</v>
      </c>
      <c r="BY251" s="361">
        <v>0</v>
      </c>
      <c r="BZ251" s="360">
        <v>-0.06</v>
      </c>
      <c r="CA251" s="360">
        <v>-0.04</v>
      </c>
      <c r="CB251" s="360">
        <v>-0.04</v>
      </c>
      <c r="CC251" s="361">
        <v>-0.04</v>
      </c>
      <c r="CD251" s="9"/>
      <c r="CE251" s="145"/>
      <c r="CF251" s="145"/>
      <c r="CG251" s="145"/>
      <c r="CH251" s="145"/>
      <c r="CI251" s="145"/>
      <c r="CJ251" s="145"/>
      <c r="CK251" s="145"/>
      <c r="CL251" s="145"/>
      <c r="CM251" s="145"/>
      <c r="CN251" s="145"/>
      <c r="CO251" s="145"/>
      <c r="CP251" s="145"/>
      <c r="CQ251" s="852"/>
      <c r="CS251" s="852"/>
      <c r="CT251" s="852"/>
      <c r="CU251" s="141"/>
      <c r="CV251" s="141"/>
      <c r="CW251" s="141"/>
      <c r="CX251" s="141"/>
      <c r="CY251" s="141"/>
      <c r="CZ251" s="141"/>
      <c r="DA251" s="141"/>
      <c r="DB251" s="141"/>
      <c r="DC251" s="141"/>
      <c r="DD251" s="1517"/>
      <c r="DE251" s="1483"/>
      <c r="DF251" s="141"/>
      <c r="DG251" s="141"/>
      <c r="DH251" s="141"/>
      <c r="DI251" s="141"/>
      <c r="DJ251" s="141"/>
      <c r="DK251" s="141"/>
      <c r="DL251" s="141"/>
      <c r="DM251" s="141"/>
      <c r="DN251" s="141"/>
      <c r="DO251" s="141"/>
      <c r="DP251" s="141"/>
      <c r="DQ251" s="141"/>
      <c r="DR251" s="141"/>
      <c r="DS251" s="141"/>
      <c r="DT251" s="141"/>
      <c r="DU251" s="141"/>
      <c r="DV251" s="141"/>
      <c r="DW251" s="141"/>
      <c r="DX251" s="141"/>
      <c r="DY251" s="141"/>
      <c r="DZ251" s="1676"/>
    </row>
    <row r="252" spans="1:136">
      <c r="A252" s="9"/>
      <c r="B252" s="187"/>
      <c r="C252" s="578"/>
      <c r="D252" s="333"/>
      <c r="E252" s="578"/>
      <c r="F252" s="145"/>
      <c r="G252" s="145"/>
      <c r="H252" s="145"/>
      <c r="I252" s="228"/>
      <c r="J252" s="145"/>
      <c r="K252" s="145"/>
      <c r="L252" s="145"/>
      <c r="M252" s="228"/>
      <c r="N252" s="145"/>
      <c r="O252" s="145"/>
      <c r="P252" s="145"/>
      <c r="Q252" s="228"/>
      <c r="R252" s="145"/>
      <c r="S252" s="145"/>
      <c r="T252" s="145"/>
      <c r="U252" s="228"/>
      <c r="V252" s="227"/>
      <c r="W252" s="145"/>
      <c r="X252" s="145"/>
      <c r="Y252" s="228"/>
      <c r="Z252" s="227"/>
      <c r="AA252" s="145"/>
      <c r="AB252" s="145"/>
      <c r="AC252" s="228"/>
      <c r="AD252" s="227"/>
      <c r="AE252" s="145"/>
      <c r="AF252" s="145"/>
      <c r="AG252" s="145"/>
      <c r="AH252" s="227"/>
      <c r="AI252" s="145"/>
      <c r="AJ252" s="145"/>
      <c r="AK252" s="145"/>
      <c r="AL252" s="227"/>
      <c r="AM252" s="145"/>
      <c r="AN252" s="145"/>
      <c r="AO252" s="228"/>
      <c r="AP252" s="145"/>
      <c r="AQ252" s="145"/>
      <c r="AR252" s="145"/>
      <c r="AS252" s="145"/>
      <c r="AT252" s="145"/>
      <c r="AU252" s="145"/>
      <c r="AV252" s="145"/>
      <c r="AW252" s="145"/>
      <c r="AX252" s="145"/>
      <c r="AY252" s="145"/>
      <c r="AZ252" s="145"/>
      <c r="BA252" s="228"/>
      <c r="BB252" s="852"/>
      <c r="BC252" s="852"/>
      <c r="BD252" s="852"/>
      <c r="BE252" s="851"/>
      <c r="BF252" s="852"/>
      <c r="BG252" s="852"/>
      <c r="BH252" s="852"/>
      <c r="BI252" s="851"/>
      <c r="BJ252" s="852"/>
      <c r="BK252" s="852"/>
      <c r="BL252" s="852"/>
      <c r="BM252" s="852"/>
      <c r="BN252" s="850"/>
      <c r="BO252" s="852"/>
      <c r="BP252" s="852"/>
      <c r="BQ252" s="851"/>
      <c r="BR252" s="852"/>
      <c r="BS252" s="852"/>
      <c r="BT252" s="1698"/>
      <c r="BU252" s="1699"/>
      <c r="BV252" s="2184"/>
      <c r="BW252" s="2215"/>
      <c r="BX252" s="2215"/>
      <c r="BY252" s="2216"/>
      <c r="BZ252" s="2215"/>
      <c r="CA252" s="2215"/>
      <c r="CB252" s="2215"/>
      <c r="CC252" s="2216"/>
      <c r="CD252" s="9"/>
      <c r="CE252" s="145"/>
      <c r="CF252" s="145"/>
      <c r="CG252" s="145"/>
      <c r="CH252" s="145"/>
      <c r="CI252" s="145"/>
      <c r="CJ252" s="145"/>
      <c r="CK252" s="145"/>
      <c r="CL252" s="145"/>
      <c r="CM252" s="145"/>
      <c r="CN252" s="145"/>
      <c r="CO252" s="145"/>
      <c r="CP252" s="145"/>
      <c r="CQ252" s="145"/>
      <c r="CR252" s="141"/>
      <c r="CS252" s="141"/>
      <c r="CT252" s="141"/>
      <c r="CU252" s="141"/>
      <c r="CV252" s="141"/>
      <c r="CW252" s="141"/>
      <c r="CX252" s="141"/>
      <c r="CY252" s="141"/>
      <c r="CZ252" s="141"/>
      <c r="DA252" s="141"/>
      <c r="DB252" s="141"/>
      <c r="DC252" s="141"/>
      <c r="DD252" s="1517"/>
      <c r="DE252" s="1483"/>
      <c r="DF252" s="141"/>
      <c r="DG252" s="141"/>
      <c r="DH252" s="141"/>
      <c r="DI252" s="141"/>
      <c r="DJ252" s="141"/>
      <c r="DK252" s="141"/>
      <c r="DL252" s="141"/>
      <c r="DM252" s="141"/>
      <c r="DN252" s="141"/>
      <c r="DO252" s="141"/>
      <c r="DP252" s="141"/>
      <c r="DQ252" s="141"/>
      <c r="DR252" s="141"/>
      <c r="DS252" s="141"/>
      <c r="DT252" s="141"/>
      <c r="DU252" s="141"/>
      <c r="DV252" s="141"/>
      <c r="DW252" s="141"/>
      <c r="DX252" s="141"/>
      <c r="DY252" s="141"/>
      <c r="DZ252" s="1676"/>
    </row>
    <row r="253" spans="1:136" s="52" customFormat="1" hidden="1" outlineLevel="1">
      <c r="A253" s="338"/>
      <c r="B253" s="196"/>
      <c r="C253" s="196" t="s">
        <v>966</v>
      </c>
      <c r="D253" s="333"/>
      <c r="E253" s="578"/>
      <c r="F253" s="145"/>
      <c r="G253" s="145"/>
      <c r="H253" s="145"/>
      <c r="I253" s="228"/>
      <c r="J253" s="145"/>
      <c r="K253" s="145"/>
      <c r="L253" s="145"/>
      <c r="M253" s="228"/>
      <c r="N253" s="145"/>
      <c r="O253" s="145"/>
      <c r="P253" s="145"/>
      <c r="Q253" s="228"/>
      <c r="R253" s="145"/>
      <c r="S253" s="145"/>
      <c r="T253" s="145"/>
      <c r="U253" s="228"/>
      <c r="V253" s="227"/>
      <c r="W253" s="145"/>
      <c r="X253" s="145"/>
      <c r="Y253" s="228"/>
      <c r="Z253" s="227"/>
      <c r="AA253" s="145"/>
      <c r="AB253" s="145"/>
      <c r="AC253" s="228"/>
      <c r="AD253" s="227"/>
      <c r="AE253" s="145"/>
      <c r="AF253" s="145"/>
      <c r="AG253" s="145"/>
      <c r="AH253" s="227"/>
      <c r="AI253" s="145"/>
      <c r="AJ253" s="145"/>
      <c r="AK253" s="145"/>
      <c r="AL253" s="227"/>
      <c r="AM253" s="145"/>
      <c r="AN253" s="145"/>
      <c r="AO253" s="228"/>
      <c r="AP253" s="145"/>
      <c r="AQ253" s="145"/>
      <c r="AR253" s="145"/>
      <c r="AS253" s="145"/>
      <c r="AT253" s="145"/>
      <c r="AU253" s="145"/>
      <c r="AV253" s="145"/>
      <c r="AW253" s="145"/>
      <c r="AX253" s="145"/>
      <c r="AY253" s="145"/>
      <c r="AZ253" s="145"/>
      <c r="BA253" s="228"/>
      <c r="BB253" s="2101">
        <f t="shared" ref="BB253:BS253" si="614">BB241-BB257</f>
        <v>91.128320284187794</v>
      </c>
      <c r="BC253" s="2102">
        <f t="shared" si="614"/>
        <v>39.803895697209555</v>
      </c>
      <c r="BD253" s="2102">
        <f t="shared" si="614"/>
        <v>2.2754803875509424</v>
      </c>
      <c r="BE253" s="2103">
        <f t="shared" si="614"/>
        <v>1.3639298775951829</v>
      </c>
      <c r="BF253" s="2101">
        <f t="shared" si="614"/>
        <v>75.395147485188772</v>
      </c>
      <c r="BG253" s="2102">
        <f t="shared" si="614"/>
        <v>17.680821588746312</v>
      </c>
      <c r="BH253" s="2102">
        <f t="shared" si="614"/>
        <v>18.627682360908238</v>
      </c>
      <c r="BI253" s="2103">
        <f t="shared" si="614"/>
        <v>17.283714018567935</v>
      </c>
      <c r="BJ253" s="2101">
        <f t="shared" si="614"/>
        <v>41.356397178010411</v>
      </c>
      <c r="BK253" s="2102">
        <f t="shared" si="614"/>
        <v>38.46408074070132</v>
      </c>
      <c r="BL253" s="2102">
        <f t="shared" si="614"/>
        <v>12.509694373272396</v>
      </c>
      <c r="BM253" s="2102">
        <f t="shared" si="614"/>
        <v>15.623190605681884</v>
      </c>
      <c r="BN253" s="2101">
        <f>BN241-BN257</f>
        <v>44.000442606445176</v>
      </c>
      <c r="BO253" s="2102">
        <f t="shared" si="614"/>
        <v>30.262972089932418</v>
      </c>
      <c r="BP253" s="2102">
        <f t="shared" si="614"/>
        <v>44.01504848569698</v>
      </c>
      <c r="BQ253" s="2103">
        <f t="shared" si="614"/>
        <v>290.60925539677919</v>
      </c>
      <c r="BR253" s="2101">
        <f t="shared" si="614"/>
        <v>795.049102034518</v>
      </c>
      <c r="BS253" s="2102">
        <f t="shared" si="614"/>
        <v>967.66493786129718</v>
      </c>
      <c r="BT253" s="2102"/>
      <c r="BU253" s="2103"/>
      <c r="BV253" s="2101"/>
      <c r="BW253" s="2102"/>
      <c r="BX253" s="2102"/>
      <c r="BY253" s="2103"/>
      <c r="BZ253" s="640"/>
      <c r="CA253" s="640"/>
      <c r="CB253" s="640"/>
      <c r="CC253" s="949"/>
      <c r="CD253" s="9"/>
      <c r="CE253" s="145"/>
      <c r="CF253" s="145"/>
      <c r="CG253" s="145"/>
      <c r="CH253" s="145"/>
      <c r="CI253" s="145"/>
      <c r="CJ253" s="145"/>
      <c r="CK253" s="145"/>
      <c r="CL253" s="145"/>
      <c r="CM253" s="145"/>
      <c r="CN253" s="145"/>
      <c r="CO253" s="145"/>
      <c r="CP253" s="145"/>
      <c r="CQ253" s="2102">
        <f>SUM(BB253:BE253)</f>
        <v>134.57162624654347</v>
      </c>
      <c r="CR253" s="2102">
        <f>SUM(BF253:BI253)</f>
        <v>128.98736545341126</v>
      </c>
      <c r="CS253" s="2102">
        <f>SUM(BJ253:BM253)</f>
        <v>107.95336289766601</v>
      </c>
      <c r="CT253" s="2102">
        <f>SUM(BN253:BQ253)</f>
        <v>408.88771857885376</v>
      </c>
      <c r="CU253" s="2102">
        <f>SUM(BR253:BU253)</f>
        <v>1762.7140398958152</v>
      </c>
      <c r="CV253" s="2102"/>
      <c r="CW253" s="2102"/>
      <c r="CX253" s="2102"/>
      <c r="CY253" s="2102"/>
      <c r="CZ253" s="2102"/>
      <c r="DA253" s="2102"/>
      <c r="DB253" s="2102"/>
      <c r="DC253" s="2102"/>
      <c r="DD253" s="1517"/>
      <c r="DE253" s="1483"/>
      <c r="DF253" s="141"/>
      <c r="DG253" s="141"/>
      <c r="DH253" s="141"/>
      <c r="DI253" s="141"/>
      <c r="DJ253" s="141"/>
      <c r="DK253" s="141"/>
      <c r="DL253" s="141"/>
      <c r="DM253" s="141"/>
      <c r="DN253" s="141"/>
      <c r="DO253" s="141"/>
      <c r="DP253" s="141"/>
      <c r="DQ253" s="141"/>
      <c r="DR253" s="141"/>
      <c r="DS253" s="141"/>
      <c r="DT253" s="141"/>
      <c r="DU253" s="141"/>
      <c r="DV253" s="141"/>
      <c r="DW253" s="141"/>
      <c r="DX253" s="141"/>
      <c r="DY253" s="141"/>
      <c r="DZ253" s="1676"/>
      <c r="EA253"/>
      <c r="EB253"/>
      <c r="EC253"/>
      <c r="ED253"/>
      <c r="EE253"/>
      <c r="EF253"/>
    </row>
    <row r="254" spans="1:136" s="52" customFormat="1" hidden="1" outlineLevel="1">
      <c r="A254" s="436"/>
      <c r="B254" s="208"/>
      <c r="C254" s="1180"/>
      <c r="D254" s="1180" t="s">
        <v>76</v>
      </c>
      <c r="E254" s="2175"/>
      <c r="F254" s="145"/>
      <c r="G254" s="145"/>
      <c r="H254" s="145"/>
      <c r="I254" s="228"/>
      <c r="J254" s="145"/>
      <c r="K254" s="145"/>
      <c r="L254" s="145"/>
      <c r="M254" s="228"/>
      <c r="N254" s="145"/>
      <c r="O254" s="145"/>
      <c r="P254" s="145"/>
      <c r="Q254" s="228"/>
      <c r="R254" s="145"/>
      <c r="S254" s="145"/>
      <c r="T254" s="145"/>
      <c r="U254" s="228"/>
      <c r="V254" s="227"/>
      <c r="W254" s="145"/>
      <c r="X254" s="145"/>
      <c r="Y254" s="228"/>
      <c r="Z254" s="227"/>
      <c r="AA254" s="145"/>
      <c r="AB254" s="145"/>
      <c r="AC254" s="228"/>
      <c r="AD254" s="227"/>
      <c r="AE254" s="145"/>
      <c r="AF254" s="145"/>
      <c r="AG254" s="145"/>
      <c r="AH254" s="227"/>
      <c r="AI254" s="145"/>
      <c r="AJ254" s="145"/>
      <c r="AK254" s="145"/>
      <c r="AL254" s="227"/>
      <c r="AM254" s="145"/>
      <c r="AN254" s="145"/>
      <c r="AO254" s="228"/>
      <c r="AP254" s="145"/>
      <c r="AQ254" s="145"/>
      <c r="AR254" s="145"/>
      <c r="AS254" s="145"/>
      <c r="AT254" s="145"/>
      <c r="AU254" s="145"/>
      <c r="AV254" s="145"/>
      <c r="AW254" s="145"/>
      <c r="AX254" s="145"/>
      <c r="AY254" s="145"/>
      <c r="AZ254" s="145"/>
      <c r="BA254" s="228"/>
      <c r="BB254" s="640"/>
      <c r="BC254" s="640"/>
      <c r="BD254" s="640"/>
      <c r="BE254" s="949"/>
      <c r="BF254" s="640">
        <f t="shared" ref="BF254:BS254" si="615">BF253/BB253-1</f>
        <v>-0.17264855480639174</v>
      </c>
      <c r="BG254" s="640">
        <f t="shared" si="615"/>
        <v>-0.55580173048273207</v>
      </c>
      <c r="BH254" s="640">
        <f t="shared" si="615"/>
        <v>7.186263640337005</v>
      </c>
      <c r="BI254" s="949">
        <f t="shared" si="615"/>
        <v>11.671996047950623</v>
      </c>
      <c r="BJ254" s="640">
        <f t="shared" si="615"/>
        <v>-0.45147136709116731</v>
      </c>
      <c r="BK254" s="640">
        <f t="shared" si="615"/>
        <v>1.1754690836982014</v>
      </c>
      <c r="BL254" s="640">
        <f t="shared" si="615"/>
        <v>-0.32843527547339735</v>
      </c>
      <c r="BM254" s="640">
        <f t="shared" si="615"/>
        <v>-9.6074455473062481E-2</v>
      </c>
      <c r="BN254" s="2209">
        <f t="shared" si="615"/>
        <v>6.3933166543835851E-2</v>
      </c>
      <c r="BO254" s="640">
        <f t="shared" si="615"/>
        <v>-0.21321473158438908</v>
      </c>
      <c r="BP254" s="853">
        <f>IF(BP253/BL253-1&gt;300%, "NM", BP253/BL253-1)</f>
        <v>2.518475125958104</v>
      </c>
      <c r="BQ254" s="1601" t="str">
        <f>IF(BQ253/BM253-1&gt;300%, "NM", BQ253/BM253-1)</f>
        <v>NM</v>
      </c>
      <c r="BR254" s="853" t="str">
        <f>IF(BR253/BN253-1&gt;300%, "NM", BR253/BN253-1)</f>
        <v>NM</v>
      </c>
      <c r="BS254" s="640">
        <f t="shared" si="615"/>
        <v>30.97521165421853</v>
      </c>
      <c r="BT254" s="852"/>
      <c r="BU254" s="851"/>
      <c r="BV254" s="640"/>
      <c r="BW254" s="640"/>
      <c r="BX254" s="640"/>
      <c r="BY254" s="949"/>
      <c r="BZ254" s="640"/>
      <c r="CA254" s="640"/>
      <c r="CB254" s="640"/>
      <c r="CC254" s="949"/>
      <c r="CD254" s="9"/>
      <c r="CE254" s="145"/>
      <c r="CF254" s="145"/>
      <c r="CG254" s="145"/>
      <c r="CH254" s="145"/>
      <c r="CI254" s="145"/>
      <c r="CJ254" s="145"/>
      <c r="CK254" s="145"/>
      <c r="CL254" s="145"/>
      <c r="CM254" s="145"/>
      <c r="CN254" s="145"/>
      <c r="CO254" s="145"/>
      <c r="CP254" s="145"/>
      <c r="CQ254" s="145"/>
      <c r="CR254" s="640">
        <f>CR253/CQ253-1</f>
        <v>-4.1496569142305706E-2</v>
      </c>
      <c r="CS254" s="1471">
        <f>CS253/CR253-1</f>
        <v>-0.16307025484090909</v>
      </c>
      <c r="CT254" s="1471">
        <f>CT253/CS253-1</f>
        <v>2.7876329889459521</v>
      </c>
      <c r="CU254" s="1471">
        <f>CU253/CT253-1</f>
        <v>3.3109977624722342</v>
      </c>
      <c r="CV254" s="1471"/>
      <c r="CW254" s="495"/>
      <c r="CX254" s="495"/>
      <c r="CY254" s="495"/>
      <c r="CZ254" s="495"/>
      <c r="DA254" s="495"/>
      <c r="DB254" s="495"/>
      <c r="DC254" s="495"/>
      <c r="DD254" s="1517"/>
      <c r="DE254" s="1483"/>
      <c r="DF254" s="141"/>
      <c r="DG254" s="141"/>
      <c r="DH254" s="141"/>
      <c r="DI254" s="141"/>
      <c r="DJ254" s="141"/>
      <c r="DK254" s="141"/>
      <c r="DL254" s="141"/>
      <c r="DM254" s="141"/>
      <c r="DN254" s="141"/>
      <c r="DO254" s="141"/>
      <c r="DP254" s="141"/>
      <c r="DQ254" s="141"/>
      <c r="DR254" s="141"/>
      <c r="DS254" s="141"/>
      <c r="DT254" s="141"/>
      <c r="DU254" s="141"/>
      <c r="DV254" s="141"/>
      <c r="DW254" s="141"/>
      <c r="DX254" s="141"/>
      <c r="DY254" s="141"/>
      <c r="DZ254" s="1676"/>
      <c r="EA254"/>
      <c r="EB254"/>
      <c r="EC254"/>
      <c r="ED254"/>
      <c r="EE254"/>
      <c r="EF254"/>
    </row>
    <row r="255" spans="1:136" s="52" customFormat="1" hidden="1" outlineLevel="1">
      <c r="A255" s="338"/>
      <c r="B255" s="196"/>
      <c r="C255" s="578"/>
      <c r="D255" s="333" t="s">
        <v>77</v>
      </c>
      <c r="E255" s="578"/>
      <c r="F255" s="145"/>
      <c r="G255" s="145"/>
      <c r="H255" s="145"/>
      <c r="I255" s="228"/>
      <c r="J255" s="145"/>
      <c r="K255" s="145"/>
      <c r="L255" s="145"/>
      <c r="M255" s="228"/>
      <c r="N255" s="145"/>
      <c r="O255" s="145"/>
      <c r="P255" s="145"/>
      <c r="Q255" s="228"/>
      <c r="R255" s="145"/>
      <c r="S255" s="145"/>
      <c r="T255" s="145"/>
      <c r="U255" s="228"/>
      <c r="V255" s="227"/>
      <c r="W255" s="145"/>
      <c r="X255" s="145"/>
      <c r="Y255" s="228"/>
      <c r="Z255" s="227"/>
      <c r="AA255" s="145"/>
      <c r="AB255" s="145"/>
      <c r="AC255" s="228"/>
      <c r="AD255" s="227"/>
      <c r="AE255" s="145"/>
      <c r="AF255" s="145"/>
      <c r="AG255" s="145"/>
      <c r="AH255" s="227"/>
      <c r="AI255" s="145"/>
      <c r="AJ255" s="145"/>
      <c r="AK255" s="145"/>
      <c r="AL255" s="227"/>
      <c r="AM255" s="145"/>
      <c r="AN255" s="145"/>
      <c r="AO255" s="228"/>
      <c r="AP255" s="145"/>
      <c r="AQ255" s="145"/>
      <c r="AR255" s="145"/>
      <c r="AS255" s="145"/>
      <c r="AT255" s="145"/>
      <c r="AU255" s="145"/>
      <c r="AV255" s="145"/>
      <c r="AW255" s="145"/>
      <c r="AX255" s="145"/>
      <c r="AY255" s="145"/>
      <c r="AZ255" s="145"/>
      <c r="BA255" s="228"/>
      <c r="BB255" s="852"/>
      <c r="BC255" s="852">
        <f t="shared" ref="BC255:BS255" si="616">BC253/BB253-1</f>
        <v>-0.56321047537056201</v>
      </c>
      <c r="BD255" s="852">
        <f t="shared" si="616"/>
        <v>-0.94283272157929843</v>
      </c>
      <c r="BE255" s="851">
        <f t="shared" si="616"/>
        <v>-0.40059695304025211</v>
      </c>
      <c r="BF255" s="852">
        <f t="shared" si="616"/>
        <v>54.277876614978148</v>
      </c>
      <c r="BG255" s="852">
        <f t="shared" si="616"/>
        <v>-0.7654912527066855</v>
      </c>
      <c r="BH255" s="852">
        <f t="shared" si="616"/>
        <v>5.3552984933946446E-2</v>
      </c>
      <c r="BI255" s="851">
        <f t="shared" si="616"/>
        <v>-7.2148983233723984E-2</v>
      </c>
      <c r="BJ255" s="852">
        <f t="shared" si="616"/>
        <v>1.3927957343879411</v>
      </c>
      <c r="BK255" s="852">
        <f t="shared" si="616"/>
        <v>-6.9936373443259314E-2</v>
      </c>
      <c r="BL255" s="852">
        <f t="shared" si="616"/>
        <v>-0.67476944379343817</v>
      </c>
      <c r="BM255" s="852">
        <f t="shared" si="616"/>
        <v>0.24888667456669711</v>
      </c>
      <c r="BN255" s="850">
        <f t="shared" si="616"/>
        <v>1.8163544641414653</v>
      </c>
      <c r="BO255" s="852">
        <f t="shared" si="616"/>
        <v>-0.31221209839603969</v>
      </c>
      <c r="BP255" s="852">
        <f t="shared" si="616"/>
        <v>0.45441922739437302</v>
      </c>
      <c r="BQ255" s="851">
        <f t="shared" si="616"/>
        <v>5.6024976773844708</v>
      </c>
      <c r="BR255" s="852">
        <f t="shared" si="616"/>
        <v>1.7358010361679952</v>
      </c>
      <c r="BS255" s="852">
        <f t="shared" si="616"/>
        <v>0.21711342781855603</v>
      </c>
      <c r="BT255" s="852"/>
      <c r="BU255" s="851"/>
      <c r="BV255" s="640"/>
      <c r="BW255" s="640"/>
      <c r="BX255" s="640"/>
      <c r="BY255" s="949"/>
      <c r="BZ255" s="640"/>
      <c r="CA255" s="640"/>
      <c r="CB255" s="640"/>
      <c r="CC255" s="949"/>
      <c r="CD255" s="9"/>
      <c r="CE255" s="145"/>
      <c r="CF255" s="145"/>
      <c r="CG255" s="145"/>
      <c r="CH255" s="145"/>
      <c r="CI255" s="145"/>
      <c r="CJ255" s="145"/>
      <c r="CK255" s="145"/>
      <c r="CL255" s="145"/>
      <c r="CM255" s="145"/>
      <c r="CN255" s="145"/>
      <c r="CO255" s="145"/>
      <c r="CP255" s="145"/>
      <c r="CQ255" s="145"/>
      <c r="CR255" s="141"/>
      <c r="CS255" s="141"/>
      <c r="CT255" s="141"/>
      <c r="CU255" s="141"/>
      <c r="CV255" s="141"/>
      <c r="CW255" s="51"/>
      <c r="CX255" s="51"/>
      <c r="CY255" s="51"/>
      <c r="CZ255" s="51"/>
      <c r="DA255" s="51"/>
      <c r="DB255" s="51"/>
      <c r="DC255" s="51"/>
      <c r="DD255" s="1517"/>
      <c r="DE255" s="1483"/>
      <c r="DF255" s="141"/>
      <c r="DG255" s="141"/>
      <c r="DH255" s="141"/>
      <c r="DI255" s="141"/>
      <c r="DJ255" s="141"/>
      <c r="DK255" s="141"/>
      <c r="DL255" s="141"/>
      <c r="DM255" s="141"/>
      <c r="DN255" s="141"/>
      <c r="DO255" s="141"/>
      <c r="DP255" s="141"/>
      <c r="DQ255" s="141"/>
      <c r="DR255" s="141"/>
      <c r="DS255" s="141"/>
      <c r="DT255" s="141"/>
      <c r="DU255" s="141"/>
      <c r="DV255" s="141"/>
      <c r="DW255" s="141"/>
      <c r="DX255" s="141"/>
      <c r="DY255" s="141"/>
      <c r="DZ255" s="1676"/>
      <c r="EA255"/>
      <c r="EB255"/>
      <c r="EC255"/>
      <c r="ED255"/>
      <c r="EE255"/>
      <c r="EF255"/>
    </row>
    <row r="256" spans="1:136" s="52" customFormat="1" hidden="1" outlineLevel="1">
      <c r="A256" s="334"/>
      <c r="B256" s="196"/>
      <c r="C256" s="578"/>
      <c r="D256" s="333"/>
      <c r="E256" s="578"/>
      <c r="F256" s="141"/>
      <c r="G256" s="141"/>
      <c r="H256" s="141"/>
      <c r="I256" s="216"/>
      <c r="J256" s="141"/>
      <c r="K256" s="141"/>
      <c r="L256" s="141"/>
      <c r="M256" s="216"/>
      <c r="N256" s="141"/>
      <c r="O256" s="141"/>
      <c r="P256" s="141"/>
      <c r="Q256" s="216"/>
      <c r="R256" s="141"/>
      <c r="S256" s="141"/>
      <c r="T256" s="141"/>
      <c r="U256" s="216"/>
      <c r="V256" s="215"/>
      <c r="W256" s="141"/>
      <c r="X256" s="141"/>
      <c r="Y256" s="216"/>
      <c r="Z256" s="215"/>
      <c r="AA256" s="141"/>
      <c r="AB256" s="141"/>
      <c r="AC256" s="216"/>
      <c r="AD256" s="215"/>
      <c r="AE256" s="141"/>
      <c r="AF256" s="141"/>
      <c r="AG256" s="141"/>
      <c r="AH256" s="215"/>
      <c r="AI256" s="141"/>
      <c r="AJ256" s="141"/>
      <c r="AK256" s="141"/>
      <c r="AL256" s="215"/>
      <c r="AM256" s="141"/>
      <c r="AN256" s="141"/>
      <c r="AO256" s="216"/>
      <c r="AP256" s="141"/>
      <c r="AQ256" s="141"/>
      <c r="AR256" s="141"/>
      <c r="AS256" s="141"/>
      <c r="AT256" s="141"/>
      <c r="AU256" s="141"/>
      <c r="AV256" s="141"/>
      <c r="AW256" s="141"/>
      <c r="AX256" s="141"/>
      <c r="AY256" s="141"/>
      <c r="AZ256" s="141"/>
      <c r="BA256" s="216"/>
      <c r="BB256" s="852"/>
      <c r="BC256" s="852"/>
      <c r="BD256" s="852"/>
      <c r="BE256" s="851"/>
      <c r="BF256" s="852"/>
      <c r="BG256" s="852"/>
      <c r="BH256" s="852"/>
      <c r="BI256" s="851"/>
      <c r="BJ256" s="852"/>
      <c r="BK256" s="852"/>
      <c r="BL256" s="852"/>
      <c r="BM256" s="852"/>
      <c r="BN256" s="850"/>
      <c r="BO256" s="852"/>
      <c r="BP256" s="852"/>
      <c r="BQ256" s="851"/>
      <c r="BR256" s="852"/>
      <c r="BS256" s="495"/>
      <c r="BT256" s="495"/>
      <c r="BU256" s="499"/>
      <c r="BV256" s="495"/>
      <c r="BW256" s="495"/>
      <c r="BX256" s="495"/>
      <c r="BY256" s="499"/>
      <c r="BZ256" s="495"/>
      <c r="CA256" s="495"/>
      <c r="CB256" s="495"/>
      <c r="CC256" s="499"/>
      <c r="CD256" s="25"/>
      <c r="CE256" s="141"/>
      <c r="CF256" s="141"/>
      <c r="CG256" s="141"/>
      <c r="CH256" s="141"/>
      <c r="CI256" s="141"/>
      <c r="CJ256" s="141"/>
      <c r="CK256" s="141"/>
      <c r="CL256" s="141"/>
      <c r="CM256" s="141"/>
      <c r="CN256" s="141"/>
      <c r="CO256" s="141"/>
      <c r="CP256" s="141"/>
      <c r="CQ256" s="141"/>
      <c r="CR256" s="141"/>
      <c r="CS256" s="141"/>
      <c r="CT256" s="141"/>
      <c r="CU256" s="141"/>
      <c r="CV256" s="141"/>
      <c r="CW256" s="51"/>
      <c r="CX256" s="51"/>
      <c r="CY256" s="51"/>
      <c r="CZ256" s="51"/>
      <c r="DA256" s="51"/>
      <c r="DB256" s="51"/>
      <c r="DC256" s="51"/>
      <c r="DD256" s="1529"/>
      <c r="DE256" s="1561"/>
      <c r="DF256" s="141"/>
      <c r="DG256" s="141"/>
      <c r="DH256" s="141"/>
      <c r="DI256" s="141"/>
      <c r="DJ256" s="141"/>
      <c r="DK256" s="141"/>
      <c r="DL256" s="141"/>
      <c r="DM256" s="141"/>
      <c r="DN256" s="141"/>
      <c r="DO256" s="141"/>
      <c r="DP256" s="141"/>
      <c r="DQ256" s="141"/>
      <c r="DR256" s="141"/>
      <c r="DS256" s="141"/>
      <c r="DT256" s="141"/>
      <c r="DU256" s="141"/>
      <c r="DV256" s="141"/>
      <c r="DW256" s="141"/>
      <c r="DX256" s="141"/>
      <c r="DY256" s="141"/>
      <c r="DZ256" s="1676"/>
      <c r="EA256"/>
      <c r="EB256"/>
      <c r="EC256"/>
      <c r="ED256"/>
      <c r="EE256"/>
      <c r="EF256"/>
    </row>
    <row r="257" spans="1:136" s="52" customFormat="1" hidden="1" outlineLevel="1">
      <c r="A257" s="338"/>
      <c r="B257" s="196"/>
      <c r="C257" s="196" t="s">
        <v>965</v>
      </c>
      <c r="D257" s="333"/>
      <c r="E257" s="578"/>
      <c r="F257" s="145"/>
      <c r="G257" s="145"/>
      <c r="H257" s="145"/>
      <c r="I257" s="228"/>
      <c r="J257" s="145"/>
      <c r="K257" s="145"/>
      <c r="L257" s="145"/>
      <c r="M257" s="228"/>
      <c r="N257" s="145"/>
      <c r="O257" s="145"/>
      <c r="P257" s="145"/>
      <c r="Q257" s="228"/>
      <c r="R257" s="145"/>
      <c r="S257" s="145"/>
      <c r="T257" s="145"/>
      <c r="U257" s="228"/>
      <c r="V257" s="227"/>
      <c r="W257" s="145"/>
      <c r="X257" s="145"/>
      <c r="Y257" s="228"/>
      <c r="Z257" s="227"/>
      <c r="AA257" s="145"/>
      <c r="AB257" s="145"/>
      <c r="AC257" s="228"/>
      <c r="AD257" s="227"/>
      <c r="AE257" s="145"/>
      <c r="AF257" s="145"/>
      <c r="AG257" s="145"/>
      <c r="AH257" s="227"/>
      <c r="AI257" s="145"/>
      <c r="AJ257" s="145"/>
      <c r="AK257" s="145"/>
      <c r="AL257" s="227"/>
      <c r="AM257" s="145"/>
      <c r="AN257" s="145"/>
      <c r="AO257" s="228"/>
      <c r="AP257" s="145"/>
      <c r="AQ257" s="145"/>
      <c r="AR257" s="145"/>
      <c r="AS257" s="145"/>
      <c r="AT257" s="145"/>
      <c r="AU257" s="145"/>
      <c r="AV257" s="145"/>
      <c r="AW257" s="145"/>
      <c r="AX257" s="145"/>
      <c r="AY257" s="145"/>
      <c r="AZ257" s="145"/>
      <c r="BA257" s="228"/>
      <c r="BB257" s="2101">
        <f>SUM(BB261, BB271, BB281)</f>
        <v>2558.8716797158122</v>
      </c>
      <c r="BC257" s="2102">
        <f t="shared" ref="BC257:BR257" si="617">SUM(BC261, BC271, BC281)</f>
        <v>2219.1961043027904</v>
      </c>
      <c r="BD257" s="2102">
        <f t="shared" si="617"/>
        <v>2165.7245196124491</v>
      </c>
      <c r="BE257" s="2103">
        <f t="shared" si="617"/>
        <v>2107.6360701224048</v>
      </c>
      <c r="BF257" s="2101">
        <f t="shared" si="617"/>
        <v>2122.6048525148112</v>
      </c>
      <c r="BG257" s="2102">
        <f t="shared" si="617"/>
        <v>2208.3191784112537</v>
      </c>
      <c r="BH257" s="2102">
        <f t="shared" si="617"/>
        <v>2107.3723176390918</v>
      </c>
      <c r="BI257" s="2103">
        <f t="shared" si="617"/>
        <v>2152.7162859814321</v>
      </c>
      <c r="BJ257" s="2101">
        <f t="shared" si="617"/>
        <v>2213.6436028219896</v>
      </c>
      <c r="BK257" s="2102">
        <f t="shared" si="617"/>
        <v>2050.5359192592987</v>
      </c>
      <c r="BL257" s="2102">
        <f t="shared" si="617"/>
        <v>1807.4903056267276</v>
      </c>
      <c r="BM257" s="2102">
        <f t="shared" si="617"/>
        <v>1530.3768093943181</v>
      </c>
      <c r="BN257" s="2101">
        <f t="shared" si="617"/>
        <v>1625.9995573935548</v>
      </c>
      <c r="BO257" s="2102">
        <f t="shared" si="617"/>
        <v>1550.7370279100676</v>
      </c>
      <c r="BP257" s="2102">
        <f t="shared" si="617"/>
        <v>1325.984951514303</v>
      </c>
      <c r="BQ257" s="2103">
        <f t="shared" si="617"/>
        <v>1293.3907446032208</v>
      </c>
      <c r="BR257" s="2101">
        <f t="shared" si="617"/>
        <v>1578.950897965482</v>
      </c>
      <c r="BS257" s="2102">
        <f>SUM(BS261, BS271, BS281)</f>
        <v>1450.3350621387028</v>
      </c>
      <c r="BT257" s="2102"/>
      <c r="BU257" s="2103"/>
      <c r="BV257" s="2101"/>
      <c r="BW257" s="2102"/>
      <c r="BX257" s="2102"/>
      <c r="BY257" s="2103"/>
      <c r="BZ257" s="2101"/>
      <c r="CA257" s="2102"/>
      <c r="CB257" s="2102"/>
      <c r="CC257" s="2103"/>
      <c r="CD257" s="9"/>
      <c r="CE257" s="145"/>
      <c r="CF257" s="145"/>
      <c r="CG257" s="145"/>
      <c r="CH257" s="145"/>
      <c r="CI257" s="145"/>
      <c r="CJ257" s="145"/>
      <c r="CK257" s="145"/>
      <c r="CL257" s="145"/>
      <c r="CM257" s="145"/>
      <c r="CN257" s="145"/>
      <c r="CO257" s="145"/>
      <c r="CP257" s="145"/>
      <c r="CQ257" s="2102">
        <f>SUM(CQ261, CQ271, CQ281)</f>
        <v>9051.428373753457</v>
      </c>
      <c r="CR257" s="2102">
        <f>SUM(CR261, CR271, CR281)</f>
        <v>8591.0126345465906</v>
      </c>
      <c r="CS257" s="2102">
        <f>SUM(CS261, CS271, CS281)</f>
        <v>7602.046637102334</v>
      </c>
      <c r="CT257" s="2102">
        <f>SUM(CT261, CT271, CT281)</f>
        <v>5796.1122814211467</v>
      </c>
      <c r="CU257" s="2102">
        <f>SUM(CU261, CU271, CU281)</f>
        <v>3029.2859601041851</v>
      </c>
      <c r="CV257" s="2102"/>
      <c r="CW257" s="2102"/>
      <c r="CX257" s="2102"/>
      <c r="CY257" s="2102"/>
      <c r="CZ257" s="2102"/>
      <c r="DA257" s="2102"/>
      <c r="DB257" s="2102"/>
      <c r="DC257" s="2102"/>
      <c r="DD257" s="1517"/>
      <c r="DE257" s="1483"/>
      <c r="DF257" s="141"/>
      <c r="DG257" s="141"/>
      <c r="DH257" s="141"/>
      <c r="DI257" s="141"/>
      <c r="DJ257" s="141"/>
      <c r="DK257" s="141"/>
      <c r="DL257" s="141"/>
      <c r="DM257" s="141"/>
      <c r="DN257" s="141"/>
      <c r="DO257" s="141"/>
      <c r="DP257" s="141"/>
      <c r="DQ257" s="141"/>
      <c r="DR257" s="141"/>
      <c r="DS257" s="141"/>
      <c r="DT257" s="141"/>
      <c r="DU257" s="141"/>
      <c r="DV257" s="141"/>
      <c r="DW257" s="141"/>
      <c r="DX257" s="141"/>
      <c r="DY257" s="141"/>
      <c r="DZ257" s="1676"/>
      <c r="EA257"/>
      <c r="EB257"/>
      <c r="EC257"/>
      <c r="ED257"/>
      <c r="EE257"/>
      <c r="EF257"/>
    </row>
    <row r="258" spans="1:136" s="52" customFormat="1" hidden="1" outlineLevel="1">
      <c r="A258" s="436"/>
      <c r="B258" s="208"/>
      <c r="C258" s="1180"/>
      <c r="D258" s="1180" t="s">
        <v>76</v>
      </c>
      <c r="E258" s="2175"/>
      <c r="F258" s="145"/>
      <c r="G258" s="145"/>
      <c r="H258" s="145"/>
      <c r="I258" s="228"/>
      <c r="J258" s="145"/>
      <c r="K258" s="145"/>
      <c r="L258" s="145"/>
      <c r="M258" s="228"/>
      <c r="N258" s="145"/>
      <c r="O258" s="145"/>
      <c r="P258" s="145"/>
      <c r="Q258" s="228"/>
      <c r="R258" s="145"/>
      <c r="S258" s="145"/>
      <c r="T258" s="145"/>
      <c r="U258" s="228"/>
      <c r="V258" s="227"/>
      <c r="W258" s="145"/>
      <c r="X258" s="145"/>
      <c r="Y258" s="228"/>
      <c r="Z258" s="227"/>
      <c r="AA258" s="145"/>
      <c r="AB258" s="145"/>
      <c r="AC258" s="228"/>
      <c r="AD258" s="227"/>
      <c r="AE258" s="145"/>
      <c r="AF258" s="145"/>
      <c r="AG258" s="145"/>
      <c r="AH258" s="227"/>
      <c r="AI258" s="145"/>
      <c r="AJ258" s="145"/>
      <c r="AK258" s="145"/>
      <c r="AL258" s="227"/>
      <c r="AM258" s="145"/>
      <c r="AN258" s="145"/>
      <c r="AO258" s="228"/>
      <c r="AP258" s="145"/>
      <c r="AQ258" s="145"/>
      <c r="AR258" s="145"/>
      <c r="AS258" s="145"/>
      <c r="AT258" s="145"/>
      <c r="AU258" s="145"/>
      <c r="AV258" s="145"/>
      <c r="AW258" s="145"/>
      <c r="AX258" s="145"/>
      <c r="AY258" s="145"/>
      <c r="AZ258" s="145"/>
      <c r="BA258" s="228"/>
      <c r="BB258" s="640"/>
      <c r="BC258" s="640"/>
      <c r="BD258" s="640"/>
      <c r="BE258" s="949"/>
      <c r="BF258" s="640">
        <f t="shared" ref="BF258:BO258" si="618">BF257/BB257-1</f>
        <v>-0.17049187368764529</v>
      </c>
      <c r="BG258" s="640">
        <f t="shared" si="618"/>
        <v>-4.9012909992260933E-3</v>
      </c>
      <c r="BH258" s="640">
        <f t="shared" si="618"/>
        <v>-2.6943501560299676E-2</v>
      </c>
      <c r="BI258" s="949">
        <f t="shared" si="618"/>
        <v>2.1388994285151508E-2</v>
      </c>
      <c r="BJ258" s="640">
        <f t="shared" si="618"/>
        <v>4.2890107501317498E-2</v>
      </c>
      <c r="BK258" s="640">
        <f t="shared" si="618"/>
        <v>-7.1449480987377023E-2</v>
      </c>
      <c r="BL258" s="640">
        <f t="shared" si="618"/>
        <v>-0.14230139093234584</v>
      </c>
      <c r="BM258" s="640">
        <f t="shared" si="618"/>
        <v>-0.28909498229739405</v>
      </c>
      <c r="BN258" s="2209">
        <f t="shared" si="618"/>
        <v>-0.26546461439379687</v>
      </c>
      <c r="BO258" s="640">
        <f t="shared" si="618"/>
        <v>-0.24374061758926424</v>
      </c>
      <c r="BP258" s="853">
        <f>IF(BP257/BL257-1&gt;300%, "NM", BP257/BL257-1)</f>
        <v>-0.26639443244231831</v>
      </c>
      <c r="BQ258" s="1601">
        <f>IF(BQ257/BM257-1&gt;300%, "NM", BQ257/BM257-1)</f>
        <v>-0.15485471508477056</v>
      </c>
      <c r="BR258" s="640">
        <f>BR257/BN257-1</f>
        <v>-2.8935222776745984E-2</v>
      </c>
      <c r="BS258" s="853">
        <f>IF(BS257/BO257-1&gt;300%, "NM", BS257/BO257-1)</f>
        <v>-6.4744675573186528E-2</v>
      </c>
      <c r="BT258" s="853"/>
      <c r="BU258" s="1601"/>
      <c r="BV258" s="640"/>
      <c r="BW258" s="640"/>
      <c r="BX258" s="853"/>
      <c r="BY258" s="1601"/>
      <c r="BZ258" s="640"/>
      <c r="CA258" s="640"/>
      <c r="CB258" s="853"/>
      <c r="CC258" s="1601"/>
      <c r="CD258" s="9"/>
      <c r="CE258" s="145"/>
      <c r="CF258" s="145"/>
      <c r="CG258" s="145"/>
      <c r="CH258" s="145"/>
      <c r="CI258" s="145"/>
      <c r="CJ258" s="145"/>
      <c r="CK258" s="145"/>
      <c r="CL258" s="145"/>
      <c r="CM258" s="145"/>
      <c r="CN258" s="145"/>
      <c r="CO258" s="145"/>
      <c r="CP258" s="145"/>
      <c r="CQ258" s="145"/>
      <c r="CR258" s="640">
        <f>CR257/CQ257-1</f>
        <v>-5.0866638965175959E-2</v>
      </c>
      <c r="CS258" s="1471">
        <f>CS257/CR257-1</f>
        <v>-0.11511634768960521</v>
      </c>
      <c r="CT258" s="1471">
        <f>CT257/CS257-1</f>
        <v>-0.23755896824773415</v>
      </c>
      <c r="CU258" s="1471">
        <f>CU257/CT257-1</f>
        <v>-0.47735899288661887</v>
      </c>
      <c r="CV258" s="1471"/>
      <c r="CW258" s="1471"/>
      <c r="CX258" s="1471"/>
      <c r="CY258" s="1471"/>
      <c r="CZ258" s="1471"/>
      <c r="DA258" s="1471"/>
      <c r="DB258" s="1471"/>
      <c r="DC258" s="1471"/>
      <c r="DD258" s="1517"/>
      <c r="DE258" s="1483"/>
      <c r="DF258" s="141"/>
      <c r="DG258" s="141"/>
      <c r="DH258" s="141"/>
      <c r="DI258" s="141"/>
      <c r="DJ258" s="141"/>
      <c r="DK258" s="141"/>
      <c r="DL258" s="141"/>
      <c r="DM258" s="141"/>
      <c r="DN258" s="141"/>
      <c r="DO258" s="141"/>
      <c r="DP258" s="141"/>
      <c r="DQ258" s="141"/>
      <c r="DR258" s="141"/>
      <c r="DS258" s="141"/>
      <c r="DT258" s="141"/>
      <c r="DU258" s="141"/>
      <c r="DV258" s="141"/>
      <c r="DW258" s="141"/>
      <c r="DX258" s="141"/>
      <c r="DY258" s="141"/>
      <c r="DZ258" s="1676"/>
      <c r="EA258"/>
      <c r="EB258"/>
      <c r="EC258"/>
      <c r="ED258"/>
      <c r="EE258"/>
      <c r="EF258"/>
    </row>
    <row r="259" spans="1:136" s="52" customFormat="1" hidden="1" outlineLevel="1">
      <c r="A259" s="338"/>
      <c r="B259" s="196"/>
      <c r="C259" s="578"/>
      <c r="D259" s="333" t="s">
        <v>77</v>
      </c>
      <c r="E259" s="578"/>
      <c r="F259" s="145"/>
      <c r="G259" s="145"/>
      <c r="H259" s="145"/>
      <c r="I259" s="228"/>
      <c r="J259" s="145"/>
      <c r="K259" s="145"/>
      <c r="L259" s="145"/>
      <c r="M259" s="228"/>
      <c r="N259" s="145"/>
      <c r="O259" s="145"/>
      <c r="P259" s="145"/>
      <c r="Q259" s="228"/>
      <c r="R259" s="145"/>
      <c r="S259" s="145"/>
      <c r="T259" s="145"/>
      <c r="U259" s="228"/>
      <c r="V259" s="227"/>
      <c r="W259" s="145"/>
      <c r="X259" s="145"/>
      <c r="Y259" s="228"/>
      <c r="Z259" s="227"/>
      <c r="AA259" s="145"/>
      <c r="AB259" s="145"/>
      <c r="AC259" s="228"/>
      <c r="AD259" s="227"/>
      <c r="AE259" s="145"/>
      <c r="AF259" s="145"/>
      <c r="AG259" s="145"/>
      <c r="AH259" s="227"/>
      <c r="AI259" s="145"/>
      <c r="AJ259" s="145"/>
      <c r="AK259" s="145"/>
      <c r="AL259" s="227"/>
      <c r="AM259" s="145"/>
      <c r="AN259" s="145"/>
      <c r="AO259" s="228"/>
      <c r="AP259" s="145"/>
      <c r="AQ259" s="145"/>
      <c r="AR259" s="145"/>
      <c r="AS259" s="145"/>
      <c r="AT259" s="145"/>
      <c r="AU259" s="145"/>
      <c r="AV259" s="145"/>
      <c r="AW259" s="145"/>
      <c r="AX259" s="145"/>
      <c r="AY259" s="145"/>
      <c r="AZ259" s="145"/>
      <c r="BA259" s="228"/>
      <c r="BB259" s="852"/>
      <c r="BC259" s="852">
        <f t="shared" ref="BC259:BS259" si="619">BC257/BB257-1</f>
        <v>-0.13274427870128525</v>
      </c>
      <c r="BD259" s="852">
        <f t="shared" si="619"/>
        <v>-2.4095024584202207E-2</v>
      </c>
      <c r="BE259" s="851">
        <f t="shared" si="619"/>
        <v>-2.6821716688343655E-2</v>
      </c>
      <c r="BF259" s="852">
        <f t="shared" si="619"/>
        <v>7.1021665479169549E-3</v>
      </c>
      <c r="BG259" s="852">
        <f t="shared" si="619"/>
        <v>4.0381668681709781E-2</v>
      </c>
      <c r="BH259" s="852">
        <f t="shared" si="619"/>
        <v>-4.5712079014224249E-2</v>
      </c>
      <c r="BI259" s="851">
        <f t="shared" si="619"/>
        <v>2.1516828309265934E-2</v>
      </c>
      <c r="BJ259" s="852">
        <f t="shared" si="619"/>
        <v>2.8302529802611831E-2</v>
      </c>
      <c r="BK259" s="852">
        <f t="shared" si="619"/>
        <v>-7.3682901508968501E-2</v>
      </c>
      <c r="BL259" s="852">
        <f t="shared" si="619"/>
        <v>-0.1185278498902691</v>
      </c>
      <c r="BM259" s="852">
        <f t="shared" si="619"/>
        <v>-0.15331395989773977</v>
      </c>
      <c r="BN259" s="850">
        <f t="shared" si="619"/>
        <v>6.2483139715820535E-2</v>
      </c>
      <c r="BO259" s="852">
        <f t="shared" si="619"/>
        <v>-4.6286931101095496E-2</v>
      </c>
      <c r="BP259" s="852">
        <f t="shared" si="619"/>
        <v>-0.14493242397046746</v>
      </c>
      <c r="BQ259" s="851">
        <f t="shared" si="619"/>
        <v>-2.4581128823414566E-2</v>
      </c>
      <c r="BR259" s="852">
        <f t="shared" si="619"/>
        <v>0.22078413236972994</v>
      </c>
      <c r="BS259" s="852">
        <f t="shared" si="619"/>
        <v>-8.1456513937516295E-2</v>
      </c>
      <c r="BT259" s="852"/>
      <c r="BU259" s="851"/>
      <c r="BV259" s="852"/>
      <c r="BW259" s="852"/>
      <c r="BX259" s="852"/>
      <c r="BY259" s="851"/>
      <c r="BZ259" s="852"/>
      <c r="CA259" s="852"/>
      <c r="CB259" s="852"/>
      <c r="CC259" s="851"/>
      <c r="CD259" s="9"/>
      <c r="CE259" s="145"/>
      <c r="CF259" s="145"/>
      <c r="CG259" s="145"/>
      <c r="CH259" s="145"/>
      <c r="CI259" s="145"/>
      <c r="CJ259" s="145"/>
      <c r="CK259" s="145"/>
      <c r="CL259" s="145"/>
      <c r="CM259" s="145"/>
      <c r="CN259" s="145"/>
      <c r="CO259" s="145"/>
      <c r="CP259" s="145"/>
      <c r="CQ259" s="145"/>
      <c r="CR259" s="141"/>
      <c r="CS259" s="141"/>
      <c r="CT259" s="141"/>
      <c r="CU259" s="141"/>
      <c r="CV259" s="141"/>
      <c r="CW259" s="51"/>
      <c r="CX259" s="51"/>
      <c r="CY259" s="51"/>
      <c r="CZ259" s="51"/>
      <c r="DA259" s="51"/>
      <c r="DB259" s="51"/>
      <c r="DC259" s="51"/>
      <c r="DD259" s="1517"/>
      <c r="DE259" s="1483"/>
      <c r="DF259" s="141"/>
      <c r="DG259" s="141"/>
      <c r="DH259" s="141"/>
      <c r="DI259" s="141"/>
      <c r="DJ259" s="141"/>
      <c r="DK259" s="141"/>
      <c r="DL259" s="141"/>
      <c r="DM259" s="141"/>
      <c r="DN259" s="141"/>
      <c r="DO259" s="141"/>
      <c r="DP259" s="141"/>
      <c r="DQ259" s="141"/>
      <c r="DR259" s="141"/>
      <c r="DS259" s="141"/>
      <c r="DT259" s="141"/>
      <c r="DU259" s="141"/>
      <c r="DV259" s="141"/>
      <c r="DW259" s="141"/>
      <c r="DX259" s="141"/>
      <c r="DY259" s="141"/>
      <c r="DZ259" s="1676"/>
      <c r="EA259"/>
      <c r="EB259"/>
      <c r="EC259"/>
      <c r="ED259"/>
      <c r="EE259"/>
      <c r="EF259"/>
    </row>
    <row r="260" spans="1:136" hidden="1" outlineLevel="1">
      <c r="A260" s="338"/>
      <c r="B260" s="187"/>
      <c r="C260" s="578"/>
      <c r="D260" s="333"/>
      <c r="E260" s="578"/>
      <c r="F260" s="145"/>
      <c r="G260" s="145"/>
      <c r="H260" s="145"/>
      <c r="I260" s="228"/>
      <c r="J260" s="145"/>
      <c r="K260" s="145"/>
      <c r="L260" s="145"/>
      <c r="M260" s="228"/>
      <c r="N260" s="145"/>
      <c r="O260" s="145"/>
      <c r="P260" s="145"/>
      <c r="Q260" s="228"/>
      <c r="R260" s="145"/>
      <c r="S260" s="145"/>
      <c r="T260" s="145"/>
      <c r="U260" s="228"/>
      <c r="V260" s="227"/>
      <c r="W260" s="145"/>
      <c r="X260" s="145"/>
      <c r="Y260" s="228"/>
      <c r="Z260" s="227"/>
      <c r="AA260" s="145"/>
      <c r="AB260" s="145"/>
      <c r="AC260" s="228"/>
      <c r="AD260" s="227"/>
      <c r="AE260" s="145"/>
      <c r="AF260" s="145"/>
      <c r="AG260" s="145"/>
      <c r="AH260" s="227"/>
      <c r="AI260" s="145"/>
      <c r="AJ260" s="145"/>
      <c r="AK260" s="145"/>
      <c r="AL260" s="227"/>
      <c r="AM260" s="145"/>
      <c r="AN260" s="145"/>
      <c r="AO260" s="228"/>
      <c r="AP260" s="145"/>
      <c r="AQ260" s="145"/>
      <c r="AR260" s="145"/>
      <c r="AS260" s="145"/>
      <c r="AT260" s="145"/>
      <c r="AU260" s="145"/>
      <c r="AV260" s="145"/>
      <c r="AW260" s="145"/>
      <c r="AX260" s="145"/>
      <c r="AY260" s="145"/>
      <c r="AZ260" s="145"/>
      <c r="BA260" s="228"/>
      <c r="BB260" s="1700"/>
      <c r="BC260" s="1701"/>
      <c r="BD260" s="1701"/>
      <c r="BE260" s="1702"/>
      <c r="BF260" s="1703"/>
      <c r="BG260" s="1704"/>
      <c r="BH260" s="1701"/>
      <c r="BI260" s="1702"/>
      <c r="BJ260" s="1703"/>
      <c r="BK260" s="1701"/>
      <c r="BL260" s="1701"/>
      <c r="BM260" s="1701"/>
      <c r="BN260" s="1703"/>
      <c r="BO260" s="1701"/>
      <c r="BP260" s="1701"/>
      <c r="BQ260" s="1702"/>
      <c r="BR260" s="1701"/>
      <c r="BS260" s="1701"/>
      <c r="BT260" s="2144"/>
      <c r="BU260" s="2145"/>
      <c r="BV260" s="2146"/>
      <c r="BW260" s="1667"/>
      <c r="BX260" s="1667"/>
      <c r="BY260" s="2147"/>
      <c r="BZ260" s="2146"/>
      <c r="CA260" s="1667"/>
      <c r="CB260" s="1667"/>
      <c r="CC260" s="2147"/>
      <c r="CD260" s="9"/>
      <c r="CE260" s="145"/>
      <c r="CF260" s="145"/>
      <c r="CG260" s="145"/>
      <c r="CH260" s="145"/>
      <c r="CI260" s="145"/>
      <c r="CJ260" s="145"/>
      <c r="CK260" s="145"/>
      <c r="CL260" s="145"/>
      <c r="CM260" s="145"/>
      <c r="CN260" s="145"/>
      <c r="CO260" s="145"/>
      <c r="CP260" s="145"/>
      <c r="CQ260" s="145"/>
      <c r="CR260" s="141"/>
      <c r="CS260" s="141"/>
      <c r="CT260" s="141"/>
      <c r="CU260" s="141"/>
      <c r="CV260" s="141"/>
      <c r="CW260" s="141"/>
      <c r="CX260" s="141"/>
      <c r="CY260" s="141"/>
      <c r="CZ260" s="141"/>
      <c r="DA260" s="141"/>
      <c r="DB260" s="141"/>
      <c r="DC260" s="141"/>
      <c r="DD260" s="1517"/>
      <c r="DE260" s="1483"/>
      <c r="DF260" s="141"/>
      <c r="DG260" s="141"/>
      <c r="DH260" s="141"/>
      <c r="DI260" s="141"/>
      <c r="DJ260" s="141"/>
      <c r="DK260" s="141"/>
      <c r="DL260" s="141"/>
      <c r="DM260" s="141"/>
      <c r="DN260" s="141"/>
      <c r="DO260" s="141"/>
      <c r="DP260" s="141"/>
      <c r="DQ260" s="141"/>
      <c r="DR260" s="141"/>
      <c r="DS260" s="141"/>
      <c r="DT260" s="141"/>
      <c r="DU260" s="141"/>
      <c r="DV260" s="141"/>
      <c r="DW260" s="141"/>
      <c r="DX260" s="141"/>
      <c r="DY260" s="141"/>
      <c r="DZ260" s="1676"/>
    </row>
    <row r="261" spans="1:136" s="52" customFormat="1" hidden="1" outlineLevel="1">
      <c r="A261" s="338"/>
      <c r="B261" s="196"/>
      <c r="C261" s="578" t="s">
        <v>949</v>
      </c>
      <c r="D261" s="333"/>
      <c r="E261" s="578"/>
      <c r="F261" s="145"/>
      <c r="G261" s="145"/>
      <c r="H261" s="145"/>
      <c r="I261" s="228"/>
      <c r="J261" s="145"/>
      <c r="K261" s="145"/>
      <c r="L261" s="145"/>
      <c r="M261" s="228"/>
      <c r="N261" s="145"/>
      <c r="O261" s="145"/>
      <c r="P261" s="145"/>
      <c r="Q261" s="228"/>
      <c r="R261" s="145"/>
      <c r="S261" s="145"/>
      <c r="T261" s="145"/>
      <c r="U261" s="228"/>
      <c r="V261" s="227"/>
      <c r="W261" s="145"/>
      <c r="X261" s="145"/>
      <c r="Y261" s="228"/>
      <c r="Z261" s="227"/>
      <c r="AA261" s="145"/>
      <c r="AB261" s="145"/>
      <c r="AC261" s="228"/>
      <c r="AD261" s="227"/>
      <c r="AE261" s="145"/>
      <c r="AF261" s="145"/>
      <c r="AG261" s="145"/>
      <c r="AH261" s="227"/>
      <c r="AI261" s="145"/>
      <c r="AJ261" s="145"/>
      <c r="AK261" s="145"/>
      <c r="AL261" s="227"/>
      <c r="AM261" s="145"/>
      <c r="AN261" s="145"/>
      <c r="AO261" s="228"/>
      <c r="AP261" s="145"/>
      <c r="AQ261" s="145"/>
      <c r="AR261" s="145"/>
      <c r="AS261" s="145"/>
      <c r="AT261" s="145"/>
      <c r="AU261" s="145"/>
      <c r="AV261" s="145"/>
      <c r="AW261" s="145"/>
      <c r="AX261" s="145"/>
      <c r="AY261" s="145"/>
      <c r="AZ261" s="145"/>
      <c r="BA261" s="228"/>
      <c r="BB261" s="2101">
        <f>BB264*BB267/1000</f>
        <v>1345.3569356975941</v>
      </c>
      <c r="BC261" s="2102">
        <f t="shared" ref="BC261:BQ261" si="620">BC264*BC267/1000</f>
        <v>1073.7597886370761</v>
      </c>
      <c r="BD261" s="2102">
        <f t="shared" si="620"/>
        <v>1042.7629145132655</v>
      </c>
      <c r="BE261" s="2103">
        <f t="shared" si="620"/>
        <v>1126.1147430997801</v>
      </c>
      <c r="BF261" s="2101">
        <f t="shared" si="620"/>
        <v>1054.0460283473308</v>
      </c>
      <c r="BG261" s="2102">
        <f t="shared" si="620"/>
        <v>1105.0977025170935</v>
      </c>
      <c r="BH261" s="2102">
        <f t="shared" si="620"/>
        <v>1042.4706229394455</v>
      </c>
      <c r="BI261" s="2103">
        <f t="shared" si="620"/>
        <v>1061.4921037338247</v>
      </c>
      <c r="BJ261" s="2101">
        <f t="shared" si="620"/>
        <v>1107.2041616343781</v>
      </c>
      <c r="BK261" s="2102">
        <f t="shared" si="620"/>
        <v>1014.7663855693932</v>
      </c>
      <c r="BL261" s="2102">
        <f t="shared" si="620"/>
        <v>891.1022139669393</v>
      </c>
      <c r="BM261" s="2102">
        <f t="shared" si="620"/>
        <v>713.81200883210295</v>
      </c>
      <c r="BN261" s="2101">
        <f t="shared" si="620"/>
        <v>727.20202330835775</v>
      </c>
      <c r="BO261" s="2102">
        <f t="shared" si="620"/>
        <v>708.36351531274431</v>
      </c>
      <c r="BP261" s="2102">
        <f t="shared" si="620"/>
        <v>609.01735892277691</v>
      </c>
      <c r="BQ261" s="2103">
        <f t="shared" si="620"/>
        <v>544.37638114791821</v>
      </c>
      <c r="BR261" s="2101">
        <f>BR264*BR267/1000</f>
        <v>694.53278010548001</v>
      </c>
      <c r="BS261" s="2102">
        <f>BS264*BS267/1000</f>
        <v>685.39501672623226</v>
      </c>
      <c r="BT261" s="2102"/>
      <c r="BU261" s="2103"/>
      <c r="BV261" s="2101"/>
      <c r="BW261" s="2102"/>
      <c r="BX261" s="2102"/>
      <c r="BY261" s="2103"/>
      <c r="BZ261" s="2101"/>
      <c r="CA261" s="2102"/>
      <c r="CB261" s="2102"/>
      <c r="CC261" s="2103"/>
      <c r="CD261" s="9"/>
      <c r="CE261" s="145"/>
      <c r="CF261" s="145"/>
      <c r="CG261" s="145"/>
      <c r="CH261" s="145"/>
      <c r="CI261" s="145"/>
      <c r="CJ261" s="145"/>
      <c r="CK261" s="145"/>
      <c r="CL261" s="145"/>
      <c r="CM261" s="145"/>
      <c r="CN261" s="145"/>
      <c r="CO261" s="145"/>
      <c r="CP261" s="145"/>
      <c r="CQ261" s="2102">
        <f>SUM(BB261:BE261)</f>
        <v>4587.9943819477157</v>
      </c>
      <c r="CR261" s="2102">
        <f>SUM(BF261:BI261)</f>
        <v>4263.106457537695</v>
      </c>
      <c r="CS261" s="2102">
        <f>SUM(BJ261:BM261)</f>
        <v>3726.8847700028136</v>
      </c>
      <c r="CT261" s="2102">
        <f>SUM(BN261:BQ261)</f>
        <v>2588.9592786917974</v>
      </c>
      <c r="CU261" s="2102">
        <f>SUM(BR261:BU261)</f>
        <v>1379.9277968317124</v>
      </c>
      <c r="CV261" s="2102"/>
      <c r="CW261" s="2102"/>
      <c r="CX261" s="2102"/>
      <c r="CY261" s="2102"/>
      <c r="CZ261" s="2102"/>
      <c r="DA261" s="2102"/>
      <c r="DB261" s="2102"/>
      <c r="DC261" s="2102"/>
      <c r="DD261" s="1517"/>
      <c r="DE261" s="1483"/>
      <c r="DF261" s="141"/>
      <c r="DG261" s="141"/>
      <c r="DH261" s="141"/>
      <c r="DI261" s="141"/>
      <c r="DJ261" s="141"/>
      <c r="DK261" s="141"/>
      <c r="DL261" s="141"/>
      <c r="DM261" s="141"/>
      <c r="DN261" s="141"/>
      <c r="DO261" s="141"/>
      <c r="DP261" s="141"/>
      <c r="DQ261" s="141"/>
      <c r="DR261" s="141"/>
      <c r="DS261" s="141"/>
      <c r="DT261" s="141"/>
      <c r="DU261" s="141"/>
      <c r="DV261" s="141"/>
      <c r="DW261" s="141"/>
      <c r="DX261" s="141"/>
      <c r="DY261" s="141"/>
      <c r="DZ261" s="1676"/>
      <c r="EA261"/>
      <c r="EB261"/>
      <c r="EC261"/>
      <c r="ED261"/>
      <c r="EE261"/>
      <c r="EF261"/>
    </row>
    <row r="262" spans="1:136" s="52" customFormat="1" hidden="1" outlineLevel="1">
      <c r="A262" s="338"/>
      <c r="B262" s="196"/>
      <c r="C262" s="578"/>
      <c r="D262" s="1180" t="s">
        <v>76</v>
      </c>
      <c r="E262" s="578"/>
      <c r="F262" s="145"/>
      <c r="G262" s="145"/>
      <c r="H262" s="145"/>
      <c r="I262" s="228"/>
      <c r="J262" s="145"/>
      <c r="K262" s="145"/>
      <c r="L262" s="145"/>
      <c r="M262" s="228"/>
      <c r="N262" s="145"/>
      <c r="O262" s="145"/>
      <c r="P262" s="145"/>
      <c r="Q262" s="228"/>
      <c r="R262" s="145"/>
      <c r="S262" s="145"/>
      <c r="T262" s="145"/>
      <c r="U262" s="228"/>
      <c r="V262" s="227"/>
      <c r="W262" s="145"/>
      <c r="X262" s="145"/>
      <c r="Y262" s="228"/>
      <c r="Z262" s="227"/>
      <c r="AA262" s="145"/>
      <c r="AB262" s="145"/>
      <c r="AC262" s="228"/>
      <c r="AD262" s="227"/>
      <c r="AE262" s="145"/>
      <c r="AF262" s="145"/>
      <c r="AG262" s="145"/>
      <c r="AH262" s="227"/>
      <c r="AI262" s="145"/>
      <c r="AJ262" s="145"/>
      <c r="AK262" s="145"/>
      <c r="AL262" s="227"/>
      <c r="AM262" s="145"/>
      <c r="AN262" s="145"/>
      <c r="AO262" s="228"/>
      <c r="AP262" s="145"/>
      <c r="AQ262" s="145"/>
      <c r="AR262" s="145"/>
      <c r="AS262" s="145"/>
      <c r="AT262" s="145"/>
      <c r="AU262" s="145"/>
      <c r="AV262" s="145"/>
      <c r="AW262" s="145"/>
      <c r="AX262" s="145"/>
      <c r="AY262" s="145"/>
      <c r="AZ262" s="145"/>
      <c r="BA262" s="228"/>
      <c r="BB262" s="852"/>
      <c r="BC262" s="640"/>
      <c r="BD262" s="640"/>
      <c r="BE262" s="949"/>
      <c r="BF262" s="640">
        <f t="shared" ref="BF262:BS262" si="621">BF261/BB261-1</f>
        <v>-0.21653057238613993</v>
      </c>
      <c r="BG262" s="640">
        <f t="shared" si="621"/>
        <v>2.9185218343662056E-2</v>
      </c>
      <c r="BH262" s="640">
        <f t="shared" si="621"/>
        <v>-2.8030491855035589E-4</v>
      </c>
      <c r="BI262" s="949">
        <f t="shared" si="621"/>
        <v>-5.7385483816749461E-2</v>
      </c>
      <c r="BJ262" s="640">
        <f t="shared" si="621"/>
        <v>5.0432459169164945E-2</v>
      </c>
      <c r="BK262" s="640">
        <f t="shared" si="621"/>
        <v>-8.1740570758541686E-2</v>
      </c>
      <c r="BL262" s="640">
        <f t="shared" si="621"/>
        <v>-0.1452016063010908</v>
      </c>
      <c r="BM262" s="640">
        <f t="shared" si="621"/>
        <v>-0.32753903084040703</v>
      </c>
      <c r="BN262" s="2209">
        <f t="shared" si="621"/>
        <v>-0.34320873375790739</v>
      </c>
      <c r="BO262" s="640">
        <f t="shared" si="621"/>
        <v>-0.30194424511285312</v>
      </c>
      <c r="BP262" s="640">
        <f t="shared" si="621"/>
        <v>-0.31655723734362529</v>
      </c>
      <c r="BQ262" s="949">
        <f t="shared" si="621"/>
        <v>-0.23736729781473598</v>
      </c>
      <c r="BR262" s="640">
        <f t="shared" si="621"/>
        <v>-4.4924576879270983E-2</v>
      </c>
      <c r="BS262" s="640">
        <f t="shared" si="621"/>
        <v>-3.2424734038386194E-2</v>
      </c>
      <c r="BT262" s="640"/>
      <c r="BU262" s="949"/>
      <c r="BV262" s="640"/>
      <c r="BW262" s="640"/>
      <c r="BX262" s="640"/>
      <c r="BY262" s="949"/>
      <c r="BZ262" s="640"/>
      <c r="CA262" s="640"/>
      <c r="CB262" s="640"/>
      <c r="CC262" s="949"/>
      <c r="CD262" s="9"/>
      <c r="CE262" s="145"/>
      <c r="CF262" s="145"/>
      <c r="CG262" s="145"/>
      <c r="CH262" s="145"/>
      <c r="CI262" s="145"/>
      <c r="CJ262" s="145"/>
      <c r="CK262" s="145"/>
      <c r="CL262" s="145"/>
      <c r="CM262" s="145"/>
      <c r="CN262" s="145"/>
      <c r="CO262" s="145"/>
      <c r="CP262" s="145"/>
      <c r="CQ262" s="145"/>
      <c r="CR262" s="640">
        <f>CR261/CQ261-1</f>
        <v>-7.0812624725163253E-2</v>
      </c>
      <c r="CS262" s="1471">
        <f>CS261/CR261-1</f>
        <v>-0.12578191346518586</v>
      </c>
      <c r="CT262" s="1471">
        <f>CT261/CS261-1</f>
        <v>-0.30532886352430932</v>
      </c>
      <c r="CU262" s="1471">
        <f>CU261/CT261-1</f>
        <v>-0.46699517130721702</v>
      </c>
      <c r="CV262" s="1471"/>
      <c r="CW262" s="1471"/>
      <c r="CX262" s="1471"/>
      <c r="CY262" s="1471"/>
      <c r="CZ262" s="1471"/>
      <c r="DA262" s="1471"/>
      <c r="DB262" s="1471"/>
      <c r="DC262" s="1471"/>
      <c r="DD262" s="1517"/>
      <c r="DE262" s="1483"/>
      <c r="DF262" s="141"/>
      <c r="DG262" s="141"/>
      <c r="DH262" s="141"/>
      <c r="DI262" s="141"/>
      <c r="DJ262" s="141"/>
      <c r="DK262" s="141"/>
      <c r="DL262" s="141"/>
      <c r="DM262" s="141"/>
      <c r="DN262" s="141"/>
      <c r="DO262" s="141"/>
      <c r="DP262" s="141"/>
      <c r="DQ262" s="141"/>
      <c r="DR262" s="141"/>
      <c r="DS262" s="141"/>
      <c r="DT262" s="141"/>
      <c r="DU262" s="141"/>
      <c r="DV262" s="141"/>
      <c r="DW262" s="141"/>
      <c r="DX262" s="141"/>
      <c r="DY262" s="141"/>
      <c r="DZ262" s="1676"/>
      <c r="EA262"/>
      <c r="EB262"/>
      <c r="EC262"/>
      <c r="ED262"/>
      <c r="EE262"/>
      <c r="EF262"/>
    </row>
    <row r="263" spans="1:136" s="52" customFormat="1" hidden="1" outlineLevel="1">
      <c r="A263" s="338"/>
      <c r="B263" s="196"/>
      <c r="C263" s="578"/>
      <c r="D263" s="333" t="s">
        <v>77</v>
      </c>
      <c r="E263" s="578"/>
      <c r="F263" s="145"/>
      <c r="G263" s="145"/>
      <c r="H263" s="145"/>
      <c r="I263" s="228"/>
      <c r="J263" s="145"/>
      <c r="K263" s="145"/>
      <c r="L263" s="145"/>
      <c r="M263" s="228"/>
      <c r="N263" s="145"/>
      <c r="O263" s="145"/>
      <c r="P263" s="145"/>
      <c r="Q263" s="228"/>
      <c r="R263" s="145"/>
      <c r="S263" s="145"/>
      <c r="T263" s="145"/>
      <c r="U263" s="228"/>
      <c r="V263" s="227"/>
      <c r="W263" s="145"/>
      <c r="X263" s="145"/>
      <c r="Y263" s="228"/>
      <c r="Z263" s="227"/>
      <c r="AA263" s="145"/>
      <c r="AB263" s="145"/>
      <c r="AC263" s="228"/>
      <c r="AD263" s="227"/>
      <c r="AE263" s="145"/>
      <c r="AF263" s="145"/>
      <c r="AG263" s="145"/>
      <c r="AH263" s="227"/>
      <c r="AI263" s="145"/>
      <c r="AJ263" s="145"/>
      <c r="AK263" s="145"/>
      <c r="AL263" s="227"/>
      <c r="AM263" s="145"/>
      <c r="AN263" s="145"/>
      <c r="AO263" s="228"/>
      <c r="AP263" s="145"/>
      <c r="AQ263" s="145"/>
      <c r="AR263" s="145"/>
      <c r="AS263" s="145"/>
      <c r="AT263" s="145"/>
      <c r="AU263" s="145"/>
      <c r="AV263" s="145"/>
      <c r="AW263" s="145"/>
      <c r="AX263" s="145"/>
      <c r="AY263" s="145"/>
      <c r="AZ263" s="145"/>
      <c r="BA263" s="228"/>
      <c r="BB263" s="852"/>
      <c r="BC263" s="852">
        <f t="shared" ref="BC263:BS263" si="622">BC261/BB261-1</f>
        <v>-0.20187739019585127</v>
      </c>
      <c r="BD263" s="852">
        <f t="shared" si="622"/>
        <v>-2.8867605633802862E-2</v>
      </c>
      <c r="BE263" s="851">
        <f t="shared" si="622"/>
        <v>7.9933633452452524E-2</v>
      </c>
      <c r="BF263" s="852">
        <f t="shared" si="622"/>
        <v>-6.3997665596731812E-2</v>
      </c>
      <c r="BG263" s="852">
        <f t="shared" si="622"/>
        <v>4.8434008379888427E-2</v>
      </c>
      <c r="BH263" s="852">
        <f t="shared" si="622"/>
        <v>-5.6671079339864261E-2</v>
      </c>
      <c r="BI263" s="851">
        <f t="shared" si="622"/>
        <v>1.8246538919959532E-2</v>
      </c>
      <c r="BJ263" s="852">
        <f t="shared" si="622"/>
        <v>4.3063964149860468E-2</v>
      </c>
      <c r="BK263" s="852">
        <f t="shared" si="622"/>
        <v>-8.3487561976406166E-2</v>
      </c>
      <c r="BL263" s="852">
        <f t="shared" si="622"/>
        <v>-0.12186467088488051</v>
      </c>
      <c r="BM263" s="852">
        <f t="shared" si="622"/>
        <v>-0.19895608198030357</v>
      </c>
      <c r="BN263" s="850">
        <f t="shared" si="622"/>
        <v>1.8758460645909691E-2</v>
      </c>
      <c r="BO263" s="852">
        <f t="shared" si="622"/>
        <v>-2.5905466970387203E-2</v>
      </c>
      <c r="BP263" s="852">
        <f t="shared" si="622"/>
        <v>-0.14024742133437773</v>
      </c>
      <c r="BQ263" s="851">
        <f t="shared" si="622"/>
        <v>-0.10613979524195327</v>
      </c>
      <c r="BR263" s="852">
        <f t="shared" si="622"/>
        <v>0.27583195038868014</v>
      </c>
      <c r="BS263" s="852">
        <f t="shared" si="622"/>
        <v>-1.315670568905325E-2</v>
      </c>
      <c r="BT263" s="852"/>
      <c r="BU263" s="851"/>
      <c r="BV263" s="852"/>
      <c r="BW263" s="852"/>
      <c r="BX263" s="852"/>
      <c r="BY263" s="851"/>
      <c r="BZ263" s="852"/>
      <c r="CA263" s="852"/>
      <c r="CB263" s="852"/>
      <c r="CC263" s="851"/>
      <c r="CD263" s="9"/>
      <c r="CE263" s="145"/>
      <c r="CF263" s="145"/>
      <c r="CG263" s="145"/>
      <c r="CH263" s="145"/>
      <c r="CI263" s="145"/>
      <c r="CJ263" s="145"/>
      <c r="CK263" s="145"/>
      <c r="CL263" s="145"/>
      <c r="CM263" s="145"/>
      <c r="CN263" s="145"/>
      <c r="CO263" s="145"/>
      <c r="CP263" s="145"/>
      <c r="CQ263" s="145"/>
      <c r="CR263" s="141"/>
      <c r="CS263" s="141"/>
      <c r="CT263" s="141"/>
      <c r="CU263" s="141"/>
      <c r="CV263" s="141"/>
      <c r="CW263" s="141"/>
      <c r="CX263" s="141"/>
      <c r="CY263" s="141"/>
      <c r="CZ263" s="141"/>
      <c r="DA263" s="141"/>
      <c r="DB263" s="141"/>
      <c r="DC263" s="141"/>
      <c r="DD263" s="1517"/>
      <c r="DE263" s="1483"/>
      <c r="DF263" s="141"/>
      <c r="DG263" s="141"/>
      <c r="DH263" s="141"/>
      <c r="DI263" s="141"/>
      <c r="DJ263" s="141"/>
      <c r="DK263" s="141"/>
      <c r="DL263" s="141"/>
      <c r="DM263" s="141"/>
      <c r="DN263" s="141"/>
      <c r="DO263" s="141"/>
      <c r="DP263" s="141"/>
      <c r="DQ263" s="141"/>
      <c r="DR263" s="141"/>
      <c r="DS263" s="141"/>
      <c r="DT263" s="141"/>
      <c r="DU263" s="141"/>
      <c r="DV263" s="141"/>
      <c r="DW263" s="141"/>
      <c r="DX263" s="141"/>
      <c r="DY263" s="141"/>
      <c r="DZ263" s="1676"/>
      <c r="EA263"/>
      <c r="EB263"/>
      <c r="EC263"/>
      <c r="ED263"/>
      <c r="EE263"/>
      <c r="EF263"/>
    </row>
    <row r="264" spans="1:136" s="52" customFormat="1" hidden="1" outlineLevel="1">
      <c r="A264" s="338"/>
      <c r="B264" s="196"/>
      <c r="C264" s="578" t="s">
        <v>805</v>
      </c>
      <c r="D264" s="333"/>
      <c r="E264" s="578"/>
      <c r="F264" s="145"/>
      <c r="G264" s="145"/>
      <c r="H264" s="145"/>
      <c r="I264" s="228"/>
      <c r="J264" s="145"/>
      <c r="K264" s="145"/>
      <c r="L264" s="145"/>
      <c r="M264" s="228"/>
      <c r="N264" s="145"/>
      <c r="O264" s="145"/>
      <c r="P264" s="145"/>
      <c r="Q264" s="228"/>
      <c r="R264" s="145"/>
      <c r="S264" s="145"/>
      <c r="T264" s="145"/>
      <c r="U264" s="228"/>
      <c r="V264" s="227"/>
      <c r="W264" s="145"/>
      <c r="X264" s="145"/>
      <c r="Y264" s="228"/>
      <c r="Z264" s="227"/>
      <c r="AA264" s="145"/>
      <c r="AB264" s="145"/>
      <c r="AC264" s="228"/>
      <c r="AD264" s="227"/>
      <c r="AE264" s="145"/>
      <c r="AF264" s="145"/>
      <c r="AG264" s="145"/>
      <c r="AH264" s="227"/>
      <c r="AI264" s="145"/>
      <c r="AJ264" s="145"/>
      <c r="AK264" s="145"/>
      <c r="AL264" s="227"/>
      <c r="AM264" s="145"/>
      <c r="AN264" s="145"/>
      <c r="AO264" s="228"/>
      <c r="AP264" s="145"/>
      <c r="AQ264" s="145"/>
      <c r="AR264" s="145"/>
      <c r="AS264" s="145"/>
      <c r="AT264" s="145"/>
      <c r="AU264" s="145"/>
      <c r="AV264" s="145"/>
      <c r="AW264" s="145"/>
      <c r="AX264" s="145"/>
      <c r="AY264" s="145"/>
      <c r="AZ264" s="145"/>
      <c r="BA264" s="228"/>
      <c r="BB264" s="2104">
        <v>25887</v>
      </c>
      <c r="BC264" s="2105">
        <v>21300</v>
      </c>
      <c r="BD264" s="2105">
        <v>21547</v>
      </c>
      <c r="BE264" s="2106">
        <v>23989</v>
      </c>
      <c r="BF264" s="2104">
        <v>22912</v>
      </c>
      <c r="BG264" s="1336">
        <v>22662</v>
      </c>
      <c r="BH264" s="2105">
        <v>21814</v>
      </c>
      <c r="BI264" s="2106">
        <v>22899</v>
      </c>
      <c r="BJ264" s="2104">
        <v>23396</v>
      </c>
      <c r="BK264" s="2105">
        <v>21178</v>
      </c>
      <c r="BL264" s="2105">
        <v>18785</v>
      </c>
      <c r="BM264" s="2108">
        <v>15513</v>
      </c>
      <c r="BN264" s="2121">
        <v>15804</v>
      </c>
      <c r="BO264" s="2105">
        <v>15318</v>
      </c>
      <c r="BP264" s="1647">
        <v>13577</v>
      </c>
      <c r="BQ264" s="2107">
        <v>11449</v>
      </c>
      <c r="BR264" s="2108">
        <v>14607</v>
      </c>
      <c r="BS264" s="1647">
        <v>14709</v>
      </c>
      <c r="BT264" s="1647">
        <v>11300</v>
      </c>
      <c r="BU264" s="2107">
        <v>10300</v>
      </c>
      <c r="BV264" s="2121">
        <v>11400</v>
      </c>
      <c r="BW264" s="2108">
        <v>10900</v>
      </c>
      <c r="BX264" s="374"/>
      <c r="BY264" s="1696"/>
      <c r="BZ264" s="1695"/>
      <c r="CA264" s="1695"/>
      <c r="CB264" s="374"/>
      <c r="CC264" s="1696"/>
      <c r="CD264" s="9"/>
      <c r="CE264" s="145"/>
      <c r="CF264" s="145"/>
      <c r="CG264" s="145"/>
      <c r="CH264" s="145"/>
      <c r="CI264" s="145"/>
      <c r="CJ264" s="145"/>
      <c r="CK264" s="145"/>
      <c r="CL264" s="145"/>
      <c r="CM264" s="145"/>
      <c r="CN264" s="145"/>
      <c r="CO264" s="145"/>
      <c r="CP264" s="145"/>
      <c r="CQ264" s="1695">
        <f>SUM(BB264:BE264)</f>
        <v>92723</v>
      </c>
      <c r="CR264" s="1695">
        <f>SUM(BF264:BI264)</f>
        <v>90287</v>
      </c>
      <c r="CS264" s="1695">
        <f>SUM(BJ264:BM264)</f>
        <v>78872</v>
      </c>
      <c r="CT264" s="1695">
        <f>SUM(BN264:BQ264)</f>
        <v>56148</v>
      </c>
      <c r="CU264" s="1695">
        <f>SUM(BR264:BU264)</f>
        <v>50916</v>
      </c>
      <c r="CV264" s="1695"/>
      <c r="CW264" s="1695"/>
      <c r="CX264" s="1695"/>
      <c r="CY264" s="1695"/>
      <c r="CZ264" s="1695"/>
      <c r="DA264" s="1695"/>
      <c r="DB264" s="1695"/>
      <c r="DC264" s="1695"/>
      <c r="DD264" s="1517"/>
      <c r="DE264" s="1483"/>
      <c r="DF264" s="141"/>
      <c r="DG264" s="141"/>
      <c r="DH264" s="141"/>
      <c r="DI264" s="141"/>
      <c r="DJ264" s="141"/>
      <c r="DK264" s="141"/>
      <c r="DL264" s="141"/>
      <c r="DM264" s="141"/>
      <c r="DN264" s="141"/>
      <c r="DO264" s="141"/>
      <c r="DP264" s="141"/>
      <c r="DQ264" s="141"/>
      <c r="DR264" s="141"/>
      <c r="DS264" s="141"/>
      <c r="DT264" s="141"/>
      <c r="DU264" s="141"/>
      <c r="DV264" s="141"/>
      <c r="DW264" s="141"/>
      <c r="DX264" s="141"/>
      <c r="DY264" s="141"/>
      <c r="DZ264" s="1676"/>
      <c r="EA264"/>
      <c r="EB264"/>
      <c r="EC264"/>
      <c r="ED264"/>
      <c r="EE264"/>
      <c r="EF264"/>
    </row>
    <row r="265" spans="1:136" s="52" customFormat="1" hidden="1" outlineLevel="1">
      <c r="A265" s="338"/>
      <c r="B265" s="196"/>
      <c r="C265" s="578"/>
      <c r="D265" s="1180" t="s">
        <v>76</v>
      </c>
      <c r="E265" s="578"/>
      <c r="F265" s="145"/>
      <c r="G265" s="145"/>
      <c r="H265" s="145"/>
      <c r="I265" s="228"/>
      <c r="J265" s="145"/>
      <c r="K265" s="145"/>
      <c r="L265" s="145"/>
      <c r="M265" s="228"/>
      <c r="N265" s="145"/>
      <c r="O265" s="145"/>
      <c r="P265" s="145"/>
      <c r="Q265" s="228"/>
      <c r="R265" s="145"/>
      <c r="S265" s="145"/>
      <c r="T265" s="145"/>
      <c r="U265" s="228"/>
      <c r="V265" s="227"/>
      <c r="W265" s="145"/>
      <c r="X265" s="145"/>
      <c r="Y265" s="228"/>
      <c r="Z265" s="227"/>
      <c r="AA265" s="145"/>
      <c r="AB265" s="145"/>
      <c r="AC265" s="228"/>
      <c r="AD265" s="227"/>
      <c r="AE265" s="145"/>
      <c r="AF265" s="145"/>
      <c r="AG265" s="145"/>
      <c r="AH265" s="227"/>
      <c r="AI265" s="145"/>
      <c r="AJ265" s="145"/>
      <c r="AK265" s="145"/>
      <c r="AL265" s="227"/>
      <c r="AM265" s="145"/>
      <c r="AN265" s="145"/>
      <c r="AO265" s="228"/>
      <c r="AP265" s="145"/>
      <c r="AQ265" s="145"/>
      <c r="AR265" s="145"/>
      <c r="AS265" s="145"/>
      <c r="AT265" s="145"/>
      <c r="AU265" s="145"/>
      <c r="AV265" s="145"/>
      <c r="AW265" s="145"/>
      <c r="AX265" s="145"/>
      <c r="AY265" s="145"/>
      <c r="AZ265" s="145"/>
      <c r="BA265" s="228"/>
      <c r="BB265" s="852"/>
      <c r="BC265" s="640"/>
      <c r="BD265" s="640"/>
      <c r="BE265" s="949"/>
      <c r="BF265" s="640">
        <f t="shared" ref="BF265:BS265" si="623">BF264/BB264-1</f>
        <v>-0.11492254799706414</v>
      </c>
      <c r="BG265" s="640">
        <f t="shared" si="623"/>
        <v>6.394366197183099E-2</v>
      </c>
      <c r="BH265" s="640">
        <f t="shared" si="623"/>
        <v>1.2391516220355392E-2</v>
      </c>
      <c r="BI265" s="949">
        <f t="shared" si="623"/>
        <v>-4.5437492183917683E-2</v>
      </c>
      <c r="BJ265" s="640">
        <f t="shared" si="623"/>
        <v>2.1124301675977675E-2</v>
      </c>
      <c r="BK265" s="640">
        <f t="shared" si="623"/>
        <v>-6.5484070249757331E-2</v>
      </c>
      <c r="BL265" s="640">
        <f t="shared" si="623"/>
        <v>-0.13885578069129911</v>
      </c>
      <c r="BM265" s="640">
        <f t="shared" si="623"/>
        <v>-0.32254683610638024</v>
      </c>
      <c r="BN265" s="2209">
        <f t="shared" si="623"/>
        <v>-0.3244999145153018</v>
      </c>
      <c r="BO265" s="640">
        <f t="shared" si="623"/>
        <v>-0.2767022381716876</v>
      </c>
      <c r="BP265" s="640">
        <f t="shared" si="623"/>
        <v>-0.27724248070268831</v>
      </c>
      <c r="BQ265" s="949">
        <f t="shared" si="623"/>
        <v>-0.26197382840198546</v>
      </c>
      <c r="BR265" s="640">
        <f t="shared" si="623"/>
        <v>-7.574031890660593E-2</v>
      </c>
      <c r="BS265" s="640">
        <f t="shared" si="623"/>
        <v>-3.975714845280065E-2</v>
      </c>
      <c r="BT265" s="640">
        <f>BT264/BP264-1</f>
        <v>-0.16771009795978498</v>
      </c>
      <c r="BU265" s="949">
        <f>BU264/BQ264-1</f>
        <v>-0.10035810987859206</v>
      </c>
      <c r="BV265" s="640">
        <f>BV264/BR264-1</f>
        <v>-0.21955226945984807</v>
      </c>
      <c r="BW265" s="640">
        <f>BW264/BS264-1</f>
        <v>-0.25895710109456793</v>
      </c>
      <c r="BX265" s="640"/>
      <c r="BY265" s="949"/>
      <c r="BZ265" s="640"/>
      <c r="CA265" s="640"/>
      <c r="CB265" s="640"/>
      <c r="CC265" s="949"/>
      <c r="CD265" s="9"/>
      <c r="CE265" s="145"/>
      <c r="CF265" s="145"/>
      <c r="CG265" s="145"/>
      <c r="CH265" s="145"/>
      <c r="CI265" s="145"/>
      <c r="CJ265" s="145"/>
      <c r="CK265" s="145"/>
      <c r="CL265" s="145"/>
      <c r="CM265" s="145"/>
      <c r="CN265" s="145"/>
      <c r="CO265" s="145"/>
      <c r="CP265" s="145"/>
      <c r="CQ265" s="145"/>
      <c r="CR265" s="640">
        <f>CR264/CQ264-1</f>
        <v>-2.627179879857211E-2</v>
      </c>
      <c r="CS265" s="1471">
        <f>CS264/CR264-1</f>
        <v>-0.12643016159580001</v>
      </c>
      <c r="CT265" s="1471">
        <f>CT264/CS264-1</f>
        <v>-0.28811238462318689</v>
      </c>
      <c r="CU265" s="1471">
        <f>CU264/CT264-1</f>
        <v>-9.3182303911092168E-2</v>
      </c>
      <c r="CV265" s="1471"/>
      <c r="CW265" s="495"/>
      <c r="CX265" s="495"/>
      <c r="CY265" s="495"/>
      <c r="CZ265" s="495"/>
      <c r="DA265" s="495"/>
      <c r="DB265" s="495"/>
      <c r="DC265" s="495"/>
      <c r="DD265" s="1517"/>
      <c r="DE265" s="1483"/>
      <c r="DF265" s="141"/>
      <c r="DG265" s="141"/>
      <c r="DH265" s="141"/>
      <c r="DI265" s="141"/>
      <c r="DJ265" s="141"/>
      <c r="DK265" s="141"/>
      <c r="DL265" s="141"/>
      <c r="DM265" s="141"/>
      <c r="DN265" s="141"/>
      <c r="DO265" s="141"/>
      <c r="DP265" s="141"/>
      <c r="DQ265" s="141"/>
      <c r="DR265" s="141"/>
      <c r="DS265" s="141"/>
      <c r="DT265" s="141"/>
      <c r="DU265" s="141"/>
      <c r="DV265" s="141"/>
      <c r="DW265" s="141"/>
      <c r="DX265" s="141"/>
      <c r="DY265" s="141"/>
      <c r="DZ265" s="1676"/>
      <c r="EA265"/>
      <c r="EB265"/>
      <c r="EC265"/>
      <c r="ED265"/>
      <c r="EE265"/>
      <c r="EF265"/>
    </row>
    <row r="266" spans="1:136" s="52" customFormat="1" hidden="1" outlineLevel="1">
      <c r="A266" s="338"/>
      <c r="B266" s="196"/>
      <c r="C266" s="578"/>
      <c r="D266" s="333" t="s">
        <v>77</v>
      </c>
      <c r="E266" s="578"/>
      <c r="F266" s="145"/>
      <c r="G266" s="145"/>
      <c r="H266" s="145"/>
      <c r="I266" s="228"/>
      <c r="J266" s="145"/>
      <c r="K266" s="145"/>
      <c r="L266" s="145"/>
      <c r="M266" s="228"/>
      <c r="N266" s="145"/>
      <c r="O266" s="145"/>
      <c r="P266" s="145"/>
      <c r="Q266" s="228"/>
      <c r="R266" s="145"/>
      <c r="S266" s="145"/>
      <c r="T266" s="145"/>
      <c r="U266" s="228"/>
      <c r="V266" s="227"/>
      <c r="W266" s="145"/>
      <c r="X266" s="145"/>
      <c r="Y266" s="228"/>
      <c r="Z266" s="227"/>
      <c r="AA266" s="145"/>
      <c r="AB266" s="145"/>
      <c r="AC266" s="228"/>
      <c r="AD266" s="227"/>
      <c r="AE266" s="145"/>
      <c r="AF266" s="145"/>
      <c r="AG266" s="145"/>
      <c r="AH266" s="227"/>
      <c r="AI266" s="145"/>
      <c r="AJ266" s="145"/>
      <c r="AK266" s="145"/>
      <c r="AL266" s="227"/>
      <c r="AM266" s="145"/>
      <c r="AN266" s="145"/>
      <c r="AO266" s="228"/>
      <c r="AP266" s="145"/>
      <c r="AQ266" s="145"/>
      <c r="AR266" s="145"/>
      <c r="AS266" s="145"/>
      <c r="AT266" s="145"/>
      <c r="AU266" s="145"/>
      <c r="AV266" s="145"/>
      <c r="AW266" s="145"/>
      <c r="AX266" s="145"/>
      <c r="AY266" s="145"/>
      <c r="AZ266" s="145"/>
      <c r="BA266" s="228"/>
      <c r="BB266" s="852"/>
      <c r="BC266" s="852">
        <f t="shared" ref="BC266:BS266" si="624">BC264/BB264-1</f>
        <v>-0.17719318576891874</v>
      </c>
      <c r="BD266" s="852">
        <f t="shared" si="624"/>
        <v>1.1596244131455435E-2</v>
      </c>
      <c r="BE266" s="851">
        <f t="shared" si="624"/>
        <v>0.11333364273448732</v>
      </c>
      <c r="BF266" s="852">
        <f t="shared" si="624"/>
        <v>-4.4895577139522302E-2</v>
      </c>
      <c r="BG266" s="852">
        <f t="shared" si="624"/>
        <v>-1.0911312849162025E-2</v>
      </c>
      <c r="BH266" s="852">
        <f t="shared" si="624"/>
        <v>-3.7419468714147031E-2</v>
      </c>
      <c r="BI266" s="851">
        <f t="shared" si="624"/>
        <v>4.9738699917484253E-2</v>
      </c>
      <c r="BJ266" s="852">
        <f t="shared" si="624"/>
        <v>2.1704004541682975E-2</v>
      </c>
      <c r="BK266" s="852">
        <f t="shared" si="624"/>
        <v>-9.480253034706787E-2</v>
      </c>
      <c r="BL266" s="852">
        <f t="shared" si="624"/>
        <v>-0.1129946170554349</v>
      </c>
      <c r="BM266" s="852">
        <f t="shared" si="624"/>
        <v>-0.17418152781474583</v>
      </c>
      <c r="BN266" s="850">
        <f t="shared" si="624"/>
        <v>1.8758460645909913E-2</v>
      </c>
      <c r="BO266" s="852">
        <f t="shared" si="624"/>
        <v>-3.0751708428246038E-2</v>
      </c>
      <c r="BP266" s="852">
        <f t="shared" si="624"/>
        <v>-0.11365713539626587</v>
      </c>
      <c r="BQ266" s="851">
        <f t="shared" si="624"/>
        <v>-0.15673565588863514</v>
      </c>
      <c r="BR266" s="852">
        <f t="shared" si="624"/>
        <v>0.27583195038868014</v>
      </c>
      <c r="BS266" s="852">
        <f t="shared" si="624"/>
        <v>6.982953378517065E-3</v>
      </c>
      <c r="BT266" s="852">
        <f>BT264/BS264-1</f>
        <v>-0.23176286627235021</v>
      </c>
      <c r="BU266" s="851">
        <f>BU264/BT264-1</f>
        <v>-8.8495575221238965E-2</v>
      </c>
      <c r="BV266" s="852">
        <f>BV264/BU264-1</f>
        <v>0.10679611650485432</v>
      </c>
      <c r="BW266" s="852">
        <f>BW264/BV264-1</f>
        <v>-4.3859649122807043E-2</v>
      </c>
      <c r="BX266" s="495"/>
      <c r="BY266" s="499"/>
      <c r="BZ266" s="495"/>
      <c r="CA266" s="495"/>
      <c r="CB266" s="495"/>
      <c r="CC266" s="499"/>
      <c r="CD266" s="9"/>
      <c r="CE266" s="145"/>
      <c r="CF266" s="145"/>
      <c r="CG266" s="145"/>
      <c r="CH266" s="145"/>
      <c r="CI266" s="145"/>
      <c r="CJ266" s="145"/>
      <c r="CK266" s="145"/>
      <c r="CL266" s="145"/>
      <c r="CM266" s="145"/>
      <c r="CN266" s="145"/>
      <c r="CO266" s="145"/>
      <c r="CP266" s="145"/>
      <c r="CQ266" s="145"/>
      <c r="CR266" s="141"/>
      <c r="CS266" s="141"/>
      <c r="CT266" s="141"/>
      <c r="CU266" s="141"/>
      <c r="CV266" s="141"/>
      <c r="CW266" s="141"/>
      <c r="CX266" s="141"/>
      <c r="CY266" s="141"/>
      <c r="CZ266" s="141"/>
      <c r="DA266" s="141"/>
      <c r="DB266" s="141"/>
      <c r="DC266" s="141"/>
      <c r="DD266" s="1517"/>
      <c r="DE266" s="1483"/>
      <c r="DF266" s="141"/>
      <c r="DG266" s="141"/>
      <c r="DH266" s="141"/>
      <c r="DI266" s="141"/>
      <c r="DJ266" s="141"/>
      <c r="DK266" s="141"/>
      <c r="DL266" s="141"/>
      <c r="DM266" s="141"/>
      <c r="DN266" s="141"/>
      <c r="DO266" s="141"/>
      <c r="DP266" s="141"/>
      <c r="DQ266" s="141"/>
      <c r="DR266" s="141"/>
      <c r="DS266" s="141"/>
      <c r="DT266" s="141"/>
      <c r="DU266" s="141"/>
      <c r="DV266" s="141"/>
      <c r="DW266" s="141"/>
      <c r="DX266" s="141"/>
      <c r="DY266" s="141"/>
      <c r="DZ266" s="1676"/>
      <c r="EA266"/>
      <c r="EB266"/>
      <c r="EC266"/>
      <c r="ED266"/>
      <c r="EE266"/>
      <c r="EF266"/>
    </row>
    <row r="267" spans="1:136" s="52" customFormat="1" hidden="1" outlineLevel="1">
      <c r="A267" s="338"/>
      <c r="B267" s="196"/>
      <c r="C267" s="578" t="s">
        <v>806</v>
      </c>
      <c r="D267" s="333"/>
      <c r="E267" s="578"/>
      <c r="F267" s="145"/>
      <c r="G267" s="145"/>
      <c r="H267" s="145"/>
      <c r="I267" s="228"/>
      <c r="J267" s="145"/>
      <c r="K267" s="145"/>
      <c r="L267" s="145"/>
      <c r="M267" s="228"/>
      <c r="N267" s="145"/>
      <c r="O267" s="145"/>
      <c r="P267" s="145"/>
      <c r="Q267" s="228"/>
      <c r="R267" s="145"/>
      <c r="S267" s="145"/>
      <c r="T267" s="145"/>
      <c r="U267" s="228"/>
      <c r="V267" s="227"/>
      <c r="W267" s="145"/>
      <c r="X267" s="145"/>
      <c r="Y267" s="228"/>
      <c r="Z267" s="227"/>
      <c r="AA267" s="145"/>
      <c r="AB267" s="145"/>
      <c r="AC267" s="228"/>
      <c r="AD267" s="227"/>
      <c r="AE267" s="145"/>
      <c r="AF267" s="145"/>
      <c r="AG267" s="145"/>
      <c r="AH267" s="227"/>
      <c r="AI267" s="145"/>
      <c r="AJ267" s="145"/>
      <c r="AK267" s="145"/>
      <c r="AL267" s="227"/>
      <c r="AM267" s="145"/>
      <c r="AN267" s="145"/>
      <c r="AO267" s="228"/>
      <c r="AP267" s="145"/>
      <c r="AQ267" s="145"/>
      <c r="AR267" s="145"/>
      <c r="AS267" s="145"/>
      <c r="AT267" s="145"/>
      <c r="AU267" s="145"/>
      <c r="AV267" s="145"/>
      <c r="AW267" s="145"/>
      <c r="AX267" s="145"/>
      <c r="AY267" s="145"/>
      <c r="AZ267" s="145"/>
      <c r="BA267" s="228"/>
      <c r="BB267" s="2109">
        <v>51.970368744836946</v>
      </c>
      <c r="BC267" s="2110">
        <f t="shared" ref="BC267:BS267" si="625">BB267*(1+BC269)</f>
        <v>50.411257682491836</v>
      </c>
      <c r="BD267" s="2110">
        <f t="shared" si="625"/>
        <v>48.394807375192158</v>
      </c>
      <c r="BE267" s="2111">
        <f t="shared" si="625"/>
        <v>46.94296315393639</v>
      </c>
      <c r="BF267" s="2112">
        <f t="shared" si="625"/>
        <v>46.004103890857664</v>
      </c>
      <c r="BG267" s="2113">
        <f t="shared" si="625"/>
        <v>48.764350124309125</v>
      </c>
      <c r="BH267" s="2110">
        <f t="shared" si="625"/>
        <v>47.789063121822942</v>
      </c>
      <c r="BI267" s="2111">
        <f t="shared" si="625"/>
        <v>46.355391228168251</v>
      </c>
      <c r="BJ267" s="2112">
        <f t="shared" si="625"/>
        <v>47.324506823148326</v>
      </c>
      <c r="BK267" s="2110">
        <f t="shared" si="625"/>
        <v>47.91606315843768</v>
      </c>
      <c r="BL267" s="2110">
        <f t="shared" si="625"/>
        <v>47.436902526853302</v>
      </c>
      <c r="BM267" s="2110">
        <f t="shared" si="625"/>
        <v>46.013795451047699</v>
      </c>
      <c r="BN267" s="2112">
        <f t="shared" si="625"/>
        <v>46.013795451047699</v>
      </c>
      <c r="BO267" s="2110">
        <f t="shared" si="625"/>
        <v>46.243864428302935</v>
      </c>
      <c r="BP267" s="2110">
        <f t="shared" si="625"/>
        <v>44.856548495453843</v>
      </c>
      <c r="BQ267" s="2111">
        <f t="shared" si="625"/>
        <v>47.547941405181078</v>
      </c>
      <c r="BR267" s="2112">
        <f t="shared" si="625"/>
        <v>47.547941405181078</v>
      </c>
      <c r="BS267" s="2110">
        <f t="shared" si="625"/>
        <v>46.596982577077455</v>
      </c>
      <c r="BT267" s="2110"/>
      <c r="BU267" s="2111"/>
      <c r="BV267" s="2112"/>
      <c r="BW267" s="2110"/>
      <c r="BX267" s="2110"/>
      <c r="BY267" s="2111"/>
      <c r="BZ267" s="2112"/>
      <c r="CA267" s="2110"/>
      <c r="CB267" s="2110"/>
      <c r="CC267" s="2111"/>
      <c r="CD267" s="9"/>
      <c r="CE267" s="145"/>
      <c r="CF267" s="145"/>
      <c r="CG267" s="145"/>
      <c r="CH267" s="145"/>
      <c r="CI267" s="145"/>
      <c r="CJ267" s="145"/>
      <c r="CK267" s="145"/>
      <c r="CL267" s="145"/>
      <c r="CM267" s="145"/>
      <c r="CN267" s="145"/>
      <c r="CO267" s="145"/>
      <c r="CP267" s="145"/>
      <c r="CQ267" s="2110">
        <f>CQ261/CQ264*1000</f>
        <v>49.480650776481731</v>
      </c>
      <c r="CR267" s="2110">
        <f>CR261/CR264*1000</f>
        <v>47.217278872237365</v>
      </c>
      <c r="CS267" s="2110">
        <f>CS261/CS264*1000</f>
        <v>47.252317298950373</v>
      </c>
      <c r="CT267" s="2110">
        <f>CT261/CT264*1000</f>
        <v>46.109554724866378</v>
      </c>
      <c r="CU267" s="2110">
        <f>CU261/CU264*1000</f>
        <v>27.10204644574814</v>
      </c>
      <c r="CV267" s="2110"/>
      <c r="CW267" s="2110"/>
      <c r="CX267" s="2110"/>
      <c r="CY267" s="2110"/>
      <c r="CZ267" s="2110"/>
      <c r="DA267" s="2110"/>
      <c r="DB267" s="2110"/>
      <c r="DC267" s="2110"/>
      <c r="DD267" s="1517"/>
      <c r="DE267" s="1483"/>
      <c r="DF267" s="141"/>
      <c r="DG267" s="141"/>
      <c r="DH267" s="141"/>
      <c r="DI267" s="141"/>
      <c r="DJ267" s="141"/>
      <c r="DK267" s="141"/>
      <c r="DL267" s="141"/>
      <c r="DM267" s="141"/>
      <c r="DN267" s="141"/>
      <c r="DO267" s="141"/>
      <c r="DP267" s="141"/>
      <c r="DQ267" s="141"/>
      <c r="DR267" s="141"/>
      <c r="DS267" s="141"/>
      <c r="DT267" s="141"/>
      <c r="DU267" s="141"/>
      <c r="DV267" s="141"/>
      <c r="DW267" s="141"/>
      <c r="DX267" s="141"/>
      <c r="DY267" s="141"/>
      <c r="DZ267" s="1676"/>
      <c r="EA267"/>
      <c r="EB267"/>
      <c r="EC267"/>
      <c r="ED267"/>
      <c r="EE267"/>
      <c r="EF267"/>
    </row>
    <row r="268" spans="1:136" s="52" customFormat="1" hidden="1" outlineLevel="1">
      <c r="A268" s="338"/>
      <c r="B268" s="196"/>
      <c r="C268" s="578"/>
      <c r="D268" s="1180" t="s">
        <v>76</v>
      </c>
      <c r="E268" s="578"/>
      <c r="F268" s="145"/>
      <c r="G268" s="145"/>
      <c r="H268" s="145"/>
      <c r="I268" s="228"/>
      <c r="J268" s="145"/>
      <c r="K268" s="145"/>
      <c r="L268" s="145"/>
      <c r="M268" s="228"/>
      <c r="N268" s="145"/>
      <c r="O268" s="145"/>
      <c r="P268" s="145"/>
      <c r="Q268" s="228"/>
      <c r="R268" s="145"/>
      <c r="S268" s="145"/>
      <c r="T268" s="145"/>
      <c r="U268" s="228"/>
      <c r="V268" s="227"/>
      <c r="W268" s="145"/>
      <c r="X268" s="145"/>
      <c r="Y268" s="228"/>
      <c r="Z268" s="227"/>
      <c r="AA268" s="145"/>
      <c r="AB268" s="145"/>
      <c r="AC268" s="228"/>
      <c r="AD268" s="227"/>
      <c r="AE268" s="145"/>
      <c r="AF268" s="145"/>
      <c r="AG268" s="145"/>
      <c r="AH268" s="227"/>
      <c r="AI268" s="145"/>
      <c r="AJ268" s="145"/>
      <c r="AK268" s="145"/>
      <c r="AL268" s="227"/>
      <c r="AM268" s="145"/>
      <c r="AN268" s="145"/>
      <c r="AO268" s="228"/>
      <c r="AP268" s="145"/>
      <c r="AQ268" s="145"/>
      <c r="AR268" s="145"/>
      <c r="AS268" s="145"/>
      <c r="AT268" s="145"/>
      <c r="AU268" s="145"/>
      <c r="AV268" s="145"/>
      <c r="AW268" s="145"/>
      <c r="AX268" s="145"/>
      <c r="AY268" s="145"/>
      <c r="AZ268" s="145"/>
      <c r="BA268" s="228"/>
      <c r="BB268" s="852"/>
      <c r="BC268" s="492"/>
      <c r="BD268" s="492"/>
      <c r="BE268" s="493"/>
      <c r="BF268" s="497">
        <f t="shared" ref="BF268:BS268" si="626">BF267/BB267-1</f>
        <v>-0.11480128000000012</v>
      </c>
      <c r="BG268" s="436">
        <f t="shared" si="626"/>
        <v>-3.266944000000005E-2</v>
      </c>
      <c r="BH268" s="492">
        <f t="shared" si="626"/>
        <v>-1.2516720000000037E-2</v>
      </c>
      <c r="BI268" s="493">
        <f t="shared" si="626"/>
        <v>-1.2516720000000037E-2</v>
      </c>
      <c r="BJ268" s="497">
        <f t="shared" si="626"/>
        <v>2.870185093536981E-2</v>
      </c>
      <c r="BK268" s="492">
        <f t="shared" si="626"/>
        <v>-1.7395637667866115E-2</v>
      </c>
      <c r="BL268" s="492">
        <f t="shared" si="626"/>
        <v>-7.3690625420280709E-3</v>
      </c>
      <c r="BM268" s="492">
        <f t="shared" si="626"/>
        <v>-7.3690625420280709E-3</v>
      </c>
      <c r="BN268" s="497">
        <f t="shared" si="626"/>
        <v>-2.7696250000000089E-2</v>
      </c>
      <c r="BO268" s="492">
        <f t="shared" si="626"/>
        <v>-3.4898500000000165E-2</v>
      </c>
      <c r="BP268" s="492">
        <f t="shared" si="626"/>
        <v>-5.4395500000000263E-2</v>
      </c>
      <c r="BQ268" s="493">
        <f t="shared" si="626"/>
        <v>3.3340999999999843E-2</v>
      </c>
      <c r="BR268" s="497">
        <f t="shared" si="626"/>
        <v>3.3340999999999843E-2</v>
      </c>
      <c r="BS268" s="492">
        <f t="shared" si="626"/>
        <v>7.6359999999999761E-3</v>
      </c>
      <c r="BT268" s="492"/>
      <c r="BU268" s="493"/>
      <c r="BV268" s="497"/>
      <c r="BW268" s="492"/>
      <c r="BX268" s="492"/>
      <c r="BY268" s="493"/>
      <c r="BZ268" s="497"/>
      <c r="CA268" s="492"/>
      <c r="CB268" s="492"/>
      <c r="CC268" s="493"/>
      <c r="CD268" s="9"/>
      <c r="CE268" s="145"/>
      <c r="CF268" s="145"/>
      <c r="CG268" s="145"/>
      <c r="CH268" s="145"/>
      <c r="CI268" s="145"/>
      <c r="CJ268" s="145"/>
      <c r="CK268" s="145"/>
      <c r="CL268" s="145"/>
      <c r="CM268" s="145"/>
      <c r="CN268" s="145"/>
      <c r="CO268" s="145"/>
      <c r="CP268" s="145"/>
      <c r="CQ268" s="145"/>
      <c r="CR268" s="640">
        <f>CR267/CQ267-1</f>
        <v>-4.5742565401345803E-2</v>
      </c>
      <c r="CS268" s="1471">
        <f>CS267/CR267-1</f>
        <v>7.4206789442099463E-4</v>
      </c>
      <c r="CT268" s="1471">
        <f>CT267/CS267-1</f>
        <v>-2.4184265225641766E-2</v>
      </c>
      <c r="CU268" s="1471">
        <f>CU267/CT267-1</f>
        <v>-0.41222493673025418</v>
      </c>
      <c r="CV268" s="1471"/>
      <c r="CW268" s="495"/>
      <c r="CX268" s="495"/>
      <c r="CY268" s="495"/>
      <c r="CZ268" s="495"/>
      <c r="DA268" s="495"/>
      <c r="DB268" s="495"/>
      <c r="DC268" s="495"/>
      <c r="DD268" s="1517"/>
      <c r="DE268" s="1483"/>
      <c r="DF268" s="141"/>
      <c r="DG268" s="141"/>
      <c r="DH268" s="141"/>
      <c r="DI268" s="141"/>
      <c r="DJ268" s="141"/>
      <c r="DK268" s="141"/>
      <c r="DL268" s="141"/>
      <c r="DM268" s="141"/>
      <c r="DN268" s="141"/>
      <c r="DO268" s="141"/>
      <c r="DP268" s="141"/>
      <c r="DQ268" s="141"/>
      <c r="DR268" s="141"/>
      <c r="DS268" s="141"/>
      <c r="DT268" s="141"/>
      <c r="DU268" s="141"/>
      <c r="DV268" s="141"/>
      <c r="DW268" s="141"/>
      <c r="DX268" s="141"/>
      <c r="DY268" s="141"/>
      <c r="DZ268" s="1676"/>
      <c r="EA268"/>
      <c r="EB268"/>
      <c r="EC268"/>
      <c r="ED268"/>
      <c r="EE268"/>
      <c r="EF268"/>
    </row>
    <row r="269" spans="1:136" s="52" customFormat="1" hidden="1" outlineLevel="1">
      <c r="A269" s="338"/>
      <c r="B269" s="196"/>
      <c r="C269" s="578"/>
      <c r="D269" s="333" t="s">
        <v>77</v>
      </c>
      <c r="E269" s="578"/>
      <c r="F269" s="145"/>
      <c r="G269" s="145"/>
      <c r="H269" s="145"/>
      <c r="I269" s="228"/>
      <c r="J269" s="145"/>
      <c r="K269" s="145"/>
      <c r="L269" s="145"/>
      <c r="M269" s="228"/>
      <c r="N269" s="145"/>
      <c r="O269" s="145"/>
      <c r="P269" s="145"/>
      <c r="Q269" s="228"/>
      <c r="R269" s="145"/>
      <c r="S269" s="145"/>
      <c r="T269" s="145"/>
      <c r="U269" s="228"/>
      <c r="V269" s="227"/>
      <c r="W269" s="145"/>
      <c r="X269" s="145"/>
      <c r="Y269" s="228"/>
      <c r="Z269" s="227"/>
      <c r="AA269" s="145"/>
      <c r="AB269" s="145"/>
      <c r="AC269" s="228"/>
      <c r="AD269" s="227"/>
      <c r="AE269" s="145"/>
      <c r="AF269" s="145"/>
      <c r="AG269" s="145"/>
      <c r="AH269" s="227"/>
      <c r="AI269" s="145"/>
      <c r="AJ269" s="145"/>
      <c r="AK269" s="145"/>
      <c r="AL269" s="227"/>
      <c r="AM269" s="145"/>
      <c r="AN269" s="145"/>
      <c r="AO269" s="228"/>
      <c r="AP269" s="145"/>
      <c r="AQ269" s="145"/>
      <c r="AR269" s="145"/>
      <c r="AS269" s="145"/>
      <c r="AT269" s="145"/>
      <c r="AU269" s="145"/>
      <c r="AV269" s="145"/>
      <c r="AW269" s="145"/>
      <c r="AX269" s="145"/>
      <c r="AY269" s="145"/>
      <c r="AZ269" s="145"/>
      <c r="BA269" s="228"/>
      <c r="BB269" s="852"/>
      <c r="BC269" s="495">
        <v>-0.03</v>
      </c>
      <c r="BD269" s="495">
        <v>-0.04</v>
      </c>
      <c r="BE269" s="499">
        <v>-0.03</v>
      </c>
      <c r="BF269" s="1026">
        <v>-0.02</v>
      </c>
      <c r="BG269" s="935">
        <v>0.06</v>
      </c>
      <c r="BH269" s="495">
        <v>-0.02</v>
      </c>
      <c r="BI269" s="499">
        <v>-0.03</v>
      </c>
      <c r="BJ269" s="1026">
        <f>$BJ$424</f>
        <v>2.0906211107354095E-2</v>
      </c>
      <c r="BK269" s="495">
        <v>1.2500000000000001E-2</v>
      </c>
      <c r="BL269" s="495">
        <v>-0.01</v>
      </c>
      <c r="BM269" s="495">
        <v>-0.03</v>
      </c>
      <c r="BN269" s="1026">
        <v>0</v>
      </c>
      <c r="BO269" s="495">
        <v>5.0000000000000001E-3</v>
      </c>
      <c r="BP269" s="495">
        <v>-0.03</v>
      </c>
      <c r="BQ269" s="499">
        <v>0.06</v>
      </c>
      <c r="BR269" s="1026">
        <v>0</v>
      </c>
      <c r="BS269" s="495">
        <v>-0.02</v>
      </c>
      <c r="BT269" s="495"/>
      <c r="BU269" s="499"/>
      <c r="BV269" s="1026"/>
      <c r="BW269" s="495"/>
      <c r="BX269" s="495"/>
      <c r="BY269" s="499"/>
      <c r="BZ269" s="495"/>
      <c r="CA269" s="495"/>
      <c r="CB269" s="495"/>
      <c r="CC269" s="499"/>
      <c r="CD269" s="9"/>
      <c r="CE269" s="145"/>
      <c r="CF269" s="145"/>
      <c r="CG269" s="145"/>
      <c r="CH269" s="145"/>
      <c r="CI269" s="145"/>
      <c r="CJ269" s="145"/>
      <c r="CK269" s="145"/>
      <c r="CL269" s="145"/>
      <c r="CM269" s="145"/>
      <c r="CN269" s="145"/>
      <c r="CO269" s="145"/>
      <c r="CP269" s="145"/>
      <c r="CQ269" s="145"/>
      <c r="CR269" s="141"/>
      <c r="CS269" s="141"/>
      <c r="CT269" s="141"/>
      <c r="CU269" s="141"/>
      <c r="CV269" s="141"/>
      <c r="CW269" s="141"/>
      <c r="CX269" s="141"/>
      <c r="CY269" s="141"/>
      <c r="CZ269" s="141"/>
      <c r="DA269" s="141"/>
      <c r="DB269" s="141"/>
      <c r="DC269" s="141"/>
      <c r="DD269" s="1517"/>
      <c r="DE269" s="1483"/>
      <c r="DF269" s="141"/>
      <c r="DG269" s="141"/>
      <c r="DH269" s="141"/>
      <c r="DI269" s="141"/>
      <c r="DJ269" s="141"/>
      <c r="DK269" s="141"/>
      <c r="DL269" s="141"/>
      <c r="DM269" s="141"/>
      <c r="DN269" s="141"/>
      <c r="DO269" s="141"/>
      <c r="DP269" s="141"/>
      <c r="DQ269" s="141"/>
      <c r="DR269" s="141"/>
      <c r="DS269" s="141"/>
      <c r="DT269" s="141"/>
      <c r="DU269" s="141"/>
      <c r="DV269" s="141"/>
      <c r="DW269" s="141"/>
      <c r="DX269" s="141"/>
      <c r="DY269" s="141"/>
      <c r="DZ269" s="1676"/>
      <c r="EA269"/>
      <c r="EB269"/>
      <c r="EC269"/>
      <c r="ED269"/>
      <c r="EE269"/>
      <c r="EF269"/>
    </row>
    <row r="270" spans="1:136" s="52" customFormat="1" hidden="1" outlineLevel="1">
      <c r="A270" s="338"/>
      <c r="B270" s="196"/>
      <c r="C270" s="578"/>
      <c r="D270" s="333"/>
      <c r="E270" s="578"/>
      <c r="F270" s="145"/>
      <c r="G270" s="145"/>
      <c r="H270" s="145"/>
      <c r="I270" s="228"/>
      <c r="J270" s="145"/>
      <c r="K270" s="145"/>
      <c r="L270" s="145"/>
      <c r="M270" s="228"/>
      <c r="N270" s="145"/>
      <c r="O270" s="145"/>
      <c r="P270" s="145"/>
      <c r="Q270" s="228"/>
      <c r="R270" s="145"/>
      <c r="S270" s="145"/>
      <c r="T270" s="145"/>
      <c r="U270" s="228"/>
      <c r="V270" s="227"/>
      <c r="W270" s="145"/>
      <c r="X270" s="145"/>
      <c r="Y270" s="228"/>
      <c r="Z270" s="227"/>
      <c r="AA270" s="145"/>
      <c r="AB270" s="145"/>
      <c r="AC270" s="228"/>
      <c r="AD270" s="227"/>
      <c r="AE270" s="145"/>
      <c r="AF270" s="145"/>
      <c r="AG270" s="145"/>
      <c r="AH270" s="227"/>
      <c r="AI270" s="145"/>
      <c r="AJ270" s="145"/>
      <c r="AK270" s="145"/>
      <c r="AL270" s="227"/>
      <c r="AM270" s="145"/>
      <c r="AN270" s="145"/>
      <c r="AO270" s="228"/>
      <c r="AP270" s="145"/>
      <c r="AQ270" s="145"/>
      <c r="AR270" s="145"/>
      <c r="AS270" s="145"/>
      <c r="AT270" s="145"/>
      <c r="AU270" s="145"/>
      <c r="AV270" s="145"/>
      <c r="AW270" s="145"/>
      <c r="AX270" s="145"/>
      <c r="AY270" s="145"/>
      <c r="AZ270" s="145"/>
      <c r="BA270" s="228"/>
      <c r="BB270" s="2114"/>
      <c r="BC270" s="2115"/>
      <c r="BD270" s="2115"/>
      <c r="BE270" s="2116"/>
      <c r="BF270" s="2117"/>
      <c r="BG270" s="1584"/>
      <c r="BH270" s="2115"/>
      <c r="BI270" s="2116"/>
      <c r="BJ270" s="2117"/>
      <c r="BK270" s="2115"/>
      <c r="BL270" s="2115"/>
      <c r="BM270" s="2115"/>
      <c r="BN270" s="2117"/>
      <c r="BO270" s="2115"/>
      <c r="BP270" s="2115"/>
      <c r="BQ270" s="2116"/>
      <c r="BR270" s="2115"/>
      <c r="BS270" s="2115"/>
      <c r="BT270" s="2144"/>
      <c r="BU270" s="2145"/>
      <c r="BV270" s="2210"/>
      <c r="BW270" s="1667"/>
      <c r="BX270" s="1667"/>
      <c r="BY270" s="2147"/>
      <c r="BZ270" s="2146"/>
      <c r="CA270" s="1667"/>
      <c r="CB270" s="1667"/>
      <c r="CC270" s="2147"/>
      <c r="CD270" s="9"/>
      <c r="CE270" s="145"/>
      <c r="CF270" s="145"/>
      <c r="CG270" s="145"/>
      <c r="CH270" s="145"/>
      <c r="CI270" s="145"/>
      <c r="CJ270" s="145"/>
      <c r="CK270" s="145"/>
      <c r="CL270" s="145"/>
      <c r="CM270" s="145"/>
      <c r="CN270" s="145"/>
      <c r="CO270" s="145"/>
      <c r="CP270" s="145"/>
      <c r="CQ270" s="145"/>
      <c r="CR270" s="141"/>
      <c r="CS270" s="141"/>
      <c r="CT270" s="141"/>
      <c r="CU270" s="141"/>
      <c r="CV270" s="141"/>
      <c r="CW270" s="141"/>
      <c r="CX270" s="141"/>
      <c r="CY270" s="141"/>
      <c r="CZ270" s="141"/>
      <c r="DA270" s="141"/>
      <c r="DB270" s="141"/>
      <c r="DC270" s="141"/>
      <c r="DD270" s="1517"/>
      <c r="DE270" s="1483"/>
      <c r="DF270" s="141"/>
      <c r="DG270" s="141"/>
      <c r="DH270" s="141"/>
      <c r="DI270" s="141"/>
      <c r="DJ270" s="141"/>
      <c r="DK270" s="141"/>
      <c r="DL270" s="141"/>
      <c r="DM270" s="141"/>
      <c r="DN270" s="141"/>
      <c r="DO270" s="141"/>
      <c r="DP270" s="141"/>
      <c r="DQ270" s="141"/>
      <c r="DR270" s="141"/>
      <c r="DS270" s="141"/>
      <c r="DT270" s="141"/>
      <c r="DU270" s="141"/>
      <c r="DV270" s="141"/>
      <c r="DW270" s="141"/>
      <c r="DX270" s="141"/>
      <c r="DY270" s="141"/>
      <c r="DZ270" s="1676"/>
      <c r="EA270"/>
      <c r="EB270"/>
      <c r="EC270"/>
      <c r="ED270"/>
      <c r="EE270"/>
      <c r="EF270"/>
    </row>
    <row r="271" spans="1:136" s="52" customFormat="1" hidden="1" outlineLevel="1">
      <c r="A271" s="338"/>
      <c r="B271" s="196"/>
      <c r="C271" s="578" t="s">
        <v>950</v>
      </c>
      <c r="D271" s="333"/>
      <c r="E271" s="578"/>
      <c r="F271" s="145"/>
      <c r="G271" s="145"/>
      <c r="H271" s="145"/>
      <c r="I271" s="228"/>
      <c r="J271" s="145"/>
      <c r="K271" s="145"/>
      <c r="L271" s="145"/>
      <c r="M271" s="228"/>
      <c r="N271" s="145"/>
      <c r="O271" s="145"/>
      <c r="P271" s="145"/>
      <c r="Q271" s="228"/>
      <c r="R271" s="145"/>
      <c r="S271" s="145"/>
      <c r="T271" s="145"/>
      <c r="U271" s="228"/>
      <c r="V271" s="227"/>
      <c r="W271" s="145"/>
      <c r="X271" s="145"/>
      <c r="Y271" s="228"/>
      <c r="Z271" s="227"/>
      <c r="AA271" s="145"/>
      <c r="AB271" s="145"/>
      <c r="AC271" s="228"/>
      <c r="AD271" s="227"/>
      <c r="AE271" s="145"/>
      <c r="AF271" s="145"/>
      <c r="AG271" s="145"/>
      <c r="AH271" s="227"/>
      <c r="AI271" s="145"/>
      <c r="AJ271" s="145"/>
      <c r="AK271" s="145"/>
      <c r="AL271" s="227"/>
      <c r="AM271" s="145"/>
      <c r="AN271" s="145"/>
      <c r="AO271" s="228"/>
      <c r="AP271" s="145"/>
      <c r="AQ271" s="145"/>
      <c r="AR271" s="145"/>
      <c r="AS271" s="145"/>
      <c r="AT271" s="145"/>
      <c r="AU271" s="145"/>
      <c r="AV271" s="145"/>
      <c r="AW271" s="145"/>
      <c r="AX271" s="145"/>
      <c r="AY271" s="145"/>
      <c r="AZ271" s="145"/>
      <c r="BA271" s="228"/>
      <c r="BB271" s="2101">
        <f>BB274*BB277/1000</f>
        <v>857.4711440182183</v>
      </c>
      <c r="BC271" s="2102">
        <f t="shared" ref="BC271:BR271" si="627">BC274*BC277/1000</f>
        <v>876.15564366571425</v>
      </c>
      <c r="BD271" s="2102">
        <f t="shared" si="627"/>
        <v>872.72757405918344</v>
      </c>
      <c r="BE271" s="2103">
        <f t="shared" si="627"/>
        <v>745.32681893942481</v>
      </c>
      <c r="BF271" s="2101">
        <f t="shared" si="627"/>
        <v>781.05553477151261</v>
      </c>
      <c r="BG271" s="2102">
        <f t="shared" si="627"/>
        <v>804.86132402395231</v>
      </c>
      <c r="BH271" s="2102">
        <f t="shared" si="627"/>
        <v>779.85680610018892</v>
      </c>
      <c r="BI271" s="2103">
        <f t="shared" si="627"/>
        <v>735.86134963774316</v>
      </c>
      <c r="BJ271" s="2101">
        <f t="shared" si="627"/>
        <v>757.65203886411325</v>
      </c>
      <c r="BK271" s="2102">
        <f t="shared" si="627"/>
        <v>722.70290127174871</v>
      </c>
      <c r="BL271" s="2102">
        <f t="shared" si="627"/>
        <v>629.2930224753743</v>
      </c>
      <c r="BM271" s="2102">
        <f t="shared" si="627"/>
        <v>523.65713991900554</v>
      </c>
      <c r="BN271" s="2101">
        <f t="shared" si="627"/>
        <v>527.358535098159</v>
      </c>
      <c r="BO271" s="2102">
        <f t="shared" si="627"/>
        <v>565.15293960490692</v>
      </c>
      <c r="BP271" s="2102">
        <f t="shared" si="627"/>
        <v>470.00373988460512</v>
      </c>
      <c r="BQ271" s="2103">
        <f t="shared" si="627"/>
        <v>369.60661107914501</v>
      </c>
      <c r="BR271" s="2101">
        <f t="shared" si="627"/>
        <v>419.70220677563685</v>
      </c>
      <c r="BS271" s="2102">
        <f>BS274*BS277/1000</f>
        <v>453.45376454656946</v>
      </c>
      <c r="BT271" s="2102"/>
      <c r="BU271" s="2103"/>
      <c r="BV271" s="2101"/>
      <c r="BW271" s="2102"/>
      <c r="BX271" s="2102"/>
      <c r="BY271" s="2103"/>
      <c r="BZ271" s="2101"/>
      <c r="CA271" s="2102"/>
      <c r="CB271" s="2102"/>
      <c r="CC271" s="2103"/>
      <c r="CD271" s="9"/>
      <c r="CE271" s="145"/>
      <c r="CF271" s="145"/>
      <c r="CG271" s="145"/>
      <c r="CH271" s="145"/>
      <c r="CI271" s="145"/>
      <c r="CJ271" s="145"/>
      <c r="CK271" s="145"/>
      <c r="CL271" s="145"/>
      <c r="CM271" s="145"/>
      <c r="CN271" s="145"/>
      <c r="CO271" s="145"/>
      <c r="CP271" s="145"/>
      <c r="CQ271" s="2102">
        <f>SUM(BB271:BE271)</f>
        <v>3351.6811806825408</v>
      </c>
      <c r="CR271" s="2102">
        <f>SUM(BF271:BI271)</f>
        <v>3101.6350145333972</v>
      </c>
      <c r="CS271" s="2102">
        <f>SUM(BJ271:BM271)</f>
        <v>2633.3051025302416</v>
      </c>
      <c r="CT271" s="2102">
        <f>SUM(BN271:BQ271)</f>
        <v>1932.121825666816</v>
      </c>
      <c r="CU271" s="2102">
        <f>SUM(BR271:BU271)</f>
        <v>873.15597132220637</v>
      </c>
      <c r="CV271" s="2102"/>
      <c r="CW271" s="2102"/>
      <c r="CX271" s="2102"/>
      <c r="CY271" s="2102"/>
      <c r="CZ271" s="2102"/>
      <c r="DA271" s="2102"/>
      <c r="DB271" s="2102"/>
      <c r="DC271" s="2102"/>
      <c r="DD271" s="1517"/>
      <c r="DE271" s="1483"/>
      <c r="DF271" s="141"/>
      <c r="DG271" s="141"/>
      <c r="DH271" s="141"/>
      <c r="DI271" s="141"/>
      <c r="DJ271" s="141"/>
      <c r="DK271" s="141"/>
      <c r="DL271" s="141"/>
      <c r="DM271" s="141"/>
      <c r="DN271" s="141"/>
      <c r="DO271" s="141"/>
      <c r="DP271" s="141"/>
      <c r="DQ271" s="141"/>
      <c r="DR271" s="141"/>
      <c r="DS271" s="141"/>
      <c r="DT271" s="141"/>
      <c r="DU271" s="141"/>
      <c r="DV271" s="141"/>
      <c r="DW271" s="141"/>
      <c r="DX271" s="141"/>
      <c r="DY271" s="141"/>
      <c r="DZ271" s="1676"/>
      <c r="EA271"/>
      <c r="EB271"/>
      <c r="EC271"/>
      <c r="ED271"/>
      <c r="EE271"/>
      <c r="EF271"/>
    </row>
    <row r="272" spans="1:136" s="52" customFormat="1" hidden="1" outlineLevel="1">
      <c r="A272" s="338"/>
      <c r="B272" s="196"/>
      <c r="C272" s="578"/>
      <c r="D272" s="1180" t="s">
        <v>76</v>
      </c>
      <c r="E272" s="578"/>
      <c r="F272" s="145"/>
      <c r="G272" s="145"/>
      <c r="H272" s="145"/>
      <c r="I272" s="228"/>
      <c r="J272" s="145"/>
      <c r="K272" s="145"/>
      <c r="L272" s="145"/>
      <c r="M272" s="228"/>
      <c r="N272" s="145"/>
      <c r="O272" s="145"/>
      <c r="P272" s="145"/>
      <c r="Q272" s="228"/>
      <c r="R272" s="145"/>
      <c r="S272" s="145"/>
      <c r="T272" s="145"/>
      <c r="U272" s="228"/>
      <c r="V272" s="227"/>
      <c r="W272" s="145"/>
      <c r="X272" s="145"/>
      <c r="Y272" s="228"/>
      <c r="Z272" s="227"/>
      <c r="AA272" s="145"/>
      <c r="AB272" s="145"/>
      <c r="AC272" s="228"/>
      <c r="AD272" s="227"/>
      <c r="AE272" s="145"/>
      <c r="AF272" s="145"/>
      <c r="AG272" s="145"/>
      <c r="AH272" s="227"/>
      <c r="AI272" s="145"/>
      <c r="AJ272" s="145"/>
      <c r="AK272" s="145"/>
      <c r="AL272" s="227"/>
      <c r="AM272" s="145"/>
      <c r="AN272" s="145"/>
      <c r="AO272" s="228"/>
      <c r="AP272" s="145"/>
      <c r="AQ272" s="145"/>
      <c r="AR272" s="145"/>
      <c r="AS272" s="145"/>
      <c r="AT272" s="145"/>
      <c r="AU272" s="145"/>
      <c r="AV272" s="145"/>
      <c r="AW272" s="145"/>
      <c r="AX272" s="145"/>
      <c r="AY272" s="145"/>
      <c r="AZ272" s="145"/>
      <c r="BA272" s="228"/>
      <c r="BB272" s="852"/>
      <c r="BC272" s="640"/>
      <c r="BD272" s="640"/>
      <c r="BE272" s="949"/>
      <c r="BF272" s="640">
        <f t="shared" ref="BF272:BS272" si="628">BF271/BB271-1</f>
        <v>-8.9117412031631149E-2</v>
      </c>
      <c r="BG272" s="640">
        <f t="shared" si="628"/>
        <v>-8.1371751876728626E-2</v>
      </c>
      <c r="BH272" s="640">
        <f t="shared" si="628"/>
        <v>-0.10641438487733235</v>
      </c>
      <c r="BI272" s="949">
        <f t="shared" si="628"/>
        <v>-1.2699756752548752E-2</v>
      </c>
      <c r="BJ272" s="640">
        <f t="shared" si="628"/>
        <v>-2.996393324867197E-2</v>
      </c>
      <c r="BK272" s="640">
        <f t="shared" si="628"/>
        <v>-0.10207773724478109</v>
      </c>
      <c r="BL272" s="640">
        <f t="shared" si="628"/>
        <v>-0.19306593524231108</v>
      </c>
      <c r="BM272" s="640">
        <f t="shared" si="628"/>
        <v>-0.28837526230070853</v>
      </c>
      <c r="BN272" s="2209">
        <f t="shared" si="628"/>
        <v>-0.30395681916360284</v>
      </c>
      <c r="BO272" s="640">
        <f t="shared" si="628"/>
        <v>-0.21800100897560992</v>
      </c>
      <c r="BP272" s="640">
        <f t="shared" si="628"/>
        <v>-0.25312418365007783</v>
      </c>
      <c r="BQ272" s="949">
        <f t="shared" si="628"/>
        <v>-0.29418204603051468</v>
      </c>
      <c r="BR272" s="640">
        <f t="shared" si="628"/>
        <v>-0.20414257314046069</v>
      </c>
      <c r="BS272" s="640">
        <f t="shared" si="628"/>
        <v>-0.19764415475999342</v>
      </c>
      <c r="BT272" s="640"/>
      <c r="BU272" s="949"/>
      <c r="BV272" s="2209"/>
      <c r="BW272" s="640"/>
      <c r="BX272" s="640"/>
      <c r="BY272" s="949"/>
      <c r="BZ272" s="640"/>
      <c r="CA272" s="640"/>
      <c r="CB272" s="640"/>
      <c r="CC272" s="949"/>
      <c r="CD272" s="9"/>
      <c r="CE272" s="145"/>
      <c r="CF272" s="145"/>
      <c r="CG272" s="145"/>
      <c r="CH272" s="145"/>
      <c r="CI272" s="145"/>
      <c r="CJ272" s="145"/>
      <c r="CK272" s="145"/>
      <c r="CL272" s="145"/>
      <c r="CM272" s="145"/>
      <c r="CN272" s="145"/>
      <c r="CO272" s="145"/>
      <c r="CP272" s="145"/>
      <c r="CQ272" s="145"/>
      <c r="CR272" s="640">
        <f>CR271/CQ271-1</f>
        <v>-7.46032073665861E-2</v>
      </c>
      <c r="CS272" s="1471">
        <f>CS271/CR271-1</f>
        <v>-0.15099452701839267</v>
      </c>
      <c r="CT272" s="1471">
        <f>CT271/CS271-1</f>
        <v>-0.26627498507092306</v>
      </c>
      <c r="CU272" s="1471">
        <f>CU271/CT271-1</f>
        <v>-0.54808441179900136</v>
      </c>
      <c r="CV272" s="1471"/>
      <c r="CW272" s="1471"/>
      <c r="CX272" s="1471"/>
      <c r="CY272" s="1471"/>
      <c r="CZ272" s="1471"/>
      <c r="DA272" s="1471"/>
      <c r="DB272" s="1471"/>
      <c r="DC272" s="1471"/>
      <c r="DD272" s="1517"/>
      <c r="DE272" s="1483"/>
      <c r="DF272" s="141"/>
      <c r="DG272" s="141"/>
      <c r="DH272" s="141"/>
      <c r="DI272" s="141"/>
      <c r="DJ272" s="141"/>
      <c r="DK272" s="141"/>
      <c r="DL272" s="141"/>
      <c r="DM272" s="141"/>
      <c r="DN272" s="141"/>
      <c r="DO272" s="141"/>
      <c r="DP272" s="141"/>
      <c r="DQ272" s="141"/>
      <c r="DR272" s="141"/>
      <c r="DS272" s="141"/>
      <c r="DT272" s="141"/>
      <c r="DU272" s="141"/>
      <c r="DV272" s="141"/>
      <c r="DW272" s="141"/>
      <c r="DX272" s="141"/>
      <c r="DY272" s="141"/>
      <c r="DZ272" s="1676"/>
      <c r="EA272"/>
      <c r="EB272"/>
      <c r="EC272"/>
      <c r="ED272"/>
      <c r="EE272"/>
      <c r="EF272"/>
    </row>
    <row r="273" spans="1:136" s="52" customFormat="1" hidden="1" outlineLevel="1">
      <c r="A273" s="338"/>
      <c r="B273" s="196"/>
      <c r="C273" s="578"/>
      <c r="D273" s="333" t="s">
        <v>77</v>
      </c>
      <c r="E273" s="578"/>
      <c r="F273" s="145"/>
      <c r="G273" s="145"/>
      <c r="H273" s="145"/>
      <c r="I273" s="228"/>
      <c r="J273" s="145"/>
      <c r="K273" s="145"/>
      <c r="L273" s="145"/>
      <c r="M273" s="228"/>
      <c r="N273" s="145"/>
      <c r="O273" s="145"/>
      <c r="P273" s="145"/>
      <c r="Q273" s="228"/>
      <c r="R273" s="145"/>
      <c r="S273" s="145"/>
      <c r="T273" s="145"/>
      <c r="U273" s="228"/>
      <c r="V273" s="227"/>
      <c r="W273" s="145"/>
      <c r="X273" s="145"/>
      <c r="Y273" s="228"/>
      <c r="Z273" s="227"/>
      <c r="AA273" s="145"/>
      <c r="AB273" s="145"/>
      <c r="AC273" s="228"/>
      <c r="AD273" s="227"/>
      <c r="AE273" s="145"/>
      <c r="AF273" s="145"/>
      <c r="AG273" s="145"/>
      <c r="AH273" s="227"/>
      <c r="AI273" s="145"/>
      <c r="AJ273" s="145"/>
      <c r="AK273" s="145"/>
      <c r="AL273" s="227"/>
      <c r="AM273" s="145"/>
      <c r="AN273" s="145"/>
      <c r="AO273" s="228"/>
      <c r="AP273" s="145"/>
      <c r="AQ273" s="145"/>
      <c r="AR273" s="145"/>
      <c r="AS273" s="145"/>
      <c r="AT273" s="145"/>
      <c r="AU273" s="145"/>
      <c r="AV273" s="145"/>
      <c r="AW273" s="145"/>
      <c r="AX273" s="145"/>
      <c r="AY273" s="145"/>
      <c r="AZ273" s="145"/>
      <c r="BA273" s="228"/>
      <c r="BB273" s="852"/>
      <c r="BC273" s="852">
        <f t="shared" ref="BC273:BS273" si="629">BC271/BB271-1</f>
        <v>2.1790237231702037E-2</v>
      </c>
      <c r="BD273" s="852">
        <f t="shared" si="629"/>
        <v>-3.9126262911327592E-3</v>
      </c>
      <c r="BE273" s="851">
        <f t="shared" si="629"/>
        <v>-0.14597998150465108</v>
      </c>
      <c r="BF273" s="852">
        <f t="shared" si="629"/>
        <v>4.7936978683966514E-2</v>
      </c>
      <c r="BG273" s="852">
        <f t="shared" si="629"/>
        <v>3.0478996937655323E-2</v>
      </c>
      <c r="BH273" s="852">
        <f t="shared" si="629"/>
        <v>-3.1066864784546788E-2</v>
      </c>
      <c r="BI273" s="851">
        <f t="shared" si="629"/>
        <v>-5.6414788097385205E-2</v>
      </c>
      <c r="BJ273" s="852">
        <f t="shared" si="629"/>
        <v>2.9612493219133507E-2</v>
      </c>
      <c r="BK273" s="852">
        <f t="shared" si="629"/>
        <v>-4.6128216911764608E-2</v>
      </c>
      <c r="BL273" s="852">
        <f t="shared" si="629"/>
        <v>-0.12925073170731705</v>
      </c>
      <c r="BM273" s="852">
        <f t="shared" si="629"/>
        <v>-0.16786437920579766</v>
      </c>
      <c r="BN273" s="850">
        <f t="shared" si="629"/>
        <v>7.0683561761917257E-3</v>
      </c>
      <c r="BO273" s="852">
        <f t="shared" si="629"/>
        <v>7.1667379953778809E-2</v>
      </c>
      <c r="BP273" s="852">
        <f t="shared" si="629"/>
        <v>-0.16836008990207096</v>
      </c>
      <c r="BQ273" s="851">
        <f t="shared" si="629"/>
        <v>-0.21360921262054111</v>
      </c>
      <c r="BR273" s="852">
        <f t="shared" si="629"/>
        <v>0.13553760726905595</v>
      </c>
      <c r="BS273" s="852">
        <f t="shared" si="629"/>
        <v>8.0417870637919719E-2</v>
      </c>
      <c r="BT273" s="852"/>
      <c r="BU273" s="851"/>
      <c r="BV273" s="850"/>
      <c r="BW273" s="852"/>
      <c r="BX273" s="852"/>
      <c r="BY273" s="851"/>
      <c r="BZ273" s="852"/>
      <c r="CA273" s="852"/>
      <c r="CB273" s="852"/>
      <c r="CC273" s="851"/>
      <c r="CD273" s="9"/>
      <c r="CE273" s="145"/>
      <c r="CF273" s="145"/>
      <c r="CG273" s="145"/>
      <c r="CH273" s="145"/>
      <c r="CI273" s="145"/>
      <c r="CJ273" s="145"/>
      <c r="CK273" s="145"/>
      <c r="CL273" s="145"/>
      <c r="CM273" s="145"/>
      <c r="CN273" s="145"/>
      <c r="CO273" s="145"/>
      <c r="CP273" s="145"/>
      <c r="CQ273" s="145"/>
      <c r="CR273" s="141"/>
      <c r="CS273" s="141"/>
      <c r="CT273" s="141"/>
      <c r="CU273" s="141"/>
      <c r="CV273" s="141"/>
      <c r="CW273" s="141"/>
      <c r="CX273" s="141"/>
      <c r="CY273" s="141"/>
      <c r="CZ273" s="141"/>
      <c r="DA273" s="141"/>
      <c r="DB273" s="141"/>
      <c r="DC273" s="141"/>
      <c r="DD273" s="1517"/>
      <c r="DE273" s="1483"/>
      <c r="DF273" s="141"/>
      <c r="DG273" s="141"/>
      <c r="DH273" s="141"/>
      <c r="DI273" s="141"/>
      <c r="DJ273" s="141"/>
      <c r="DK273" s="141"/>
      <c r="DL273" s="141"/>
      <c r="DM273" s="141"/>
      <c r="DN273" s="141"/>
      <c r="DO273" s="141"/>
      <c r="DP273" s="141"/>
      <c r="DQ273" s="141"/>
      <c r="DR273" s="141"/>
      <c r="DS273" s="141"/>
      <c r="DT273" s="141"/>
      <c r="DU273" s="141"/>
      <c r="DV273" s="141"/>
      <c r="DW273" s="141"/>
      <c r="DX273" s="141"/>
      <c r="DY273" s="141"/>
      <c r="DZ273" s="1676"/>
      <c r="EA273"/>
      <c r="EB273"/>
      <c r="EC273"/>
      <c r="ED273"/>
      <c r="EE273"/>
      <c r="EF273"/>
    </row>
    <row r="274" spans="1:136" s="52" customFormat="1" hidden="1" outlineLevel="1">
      <c r="A274" s="338"/>
      <c r="B274" s="196"/>
      <c r="C274" s="578" t="s">
        <v>805</v>
      </c>
      <c r="D274" s="333"/>
      <c r="E274" s="578"/>
      <c r="F274" s="145"/>
      <c r="G274" s="145"/>
      <c r="H274" s="145"/>
      <c r="I274" s="228"/>
      <c r="J274" s="145"/>
      <c r="K274" s="145"/>
      <c r="L274" s="145"/>
      <c r="M274" s="228"/>
      <c r="N274" s="145"/>
      <c r="O274" s="145"/>
      <c r="P274" s="145"/>
      <c r="Q274" s="228"/>
      <c r="R274" s="145"/>
      <c r="S274" s="145"/>
      <c r="T274" s="145"/>
      <c r="U274" s="228"/>
      <c r="V274" s="227"/>
      <c r="W274" s="145"/>
      <c r="X274" s="145"/>
      <c r="Y274" s="228"/>
      <c r="Z274" s="227"/>
      <c r="AA274" s="145"/>
      <c r="AB274" s="145"/>
      <c r="AC274" s="228"/>
      <c r="AD274" s="227"/>
      <c r="AE274" s="145"/>
      <c r="AF274" s="145"/>
      <c r="AG274" s="145"/>
      <c r="AH274" s="227"/>
      <c r="AI274" s="145"/>
      <c r="AJ274" s="145"/>
      <c r="AK274" s="145"/>
      <c r="AL274" s="227"/>
      <c r="AM274" s="145"/>
      <c r="AN274" s="145"/>
      <c r="AO274" s="228"/>
      <c r="AP274" s="145"/>
      <c r="AQ274" s="145"/>
      <c r="AR274" s="145"/>
      <c r="AS274" s="145"/>
      <c r="AT274" s="145"/>
      <c r="AU274" s="145"/>
      <c r="AV274" s="145"/>
      <c r="AW274" s="145"/>
      <c r="AX274" s="145"/>
      <c r="AY274" s="145"/>
      <c r="AZ274" s="145"/>
      <c r="BA274" s="228"/>
      <c r="BB274" s="2104">
        <v>16819</v>
      </c>
      <c r="BC274" s="2105">
        <v>17717</v>
      </c>
      <c r="BD274" s="2105">
        <v>18383</v>
      </c>
      <c r="BE274" s="2106">
        <v>16185</v>
      </c>
      <c r="BF274" s="2104">
        <v>17307</v>
      </c>
      <c r="BG274" s="1336">
        <v>16825</v>
      </c>
      <c r="BH274" s="2105">
        <v>16635</v>
      </c>
      <c r="BI274" s="2106">
        <v>16182</v>
      </c>
      <c r="BJ274" s="2104">
        <v>16320</v>
      </c>
      <c r="BK274" s="2105">
        <v>15375</v>
      </c>
      <c r="BL274" s="2105">
        <v>13523</v>
      </c>
      <c r="BM274" s="2105">
        <v>11601</v>
      </c>
      <c r="BN274" s="2104">
        <v>11683</v>
      </c>
      <c r="BO274" s="2105">
        <v>12458</v>
      </c>
      <c r="BP274" s="2105">
        <v>10681</v>
      </c>
      <c r="BQ274" s="2106">
        <v>7924</v>
      </c>
      <c r="BR274" s="2104">
        <v>8998</v>
      </c>
      <c r="BS274" s="2105">
        <v>9920</v>
      </c>
      <c r="BT274" s="2105">
        <v>9400</v>
      </c>
      <c r="BU274" s="2107">
        <v>8900</v>
      </c>
      <c r="BV274" s="2121">
        <v>9500</v>
      </c>
      <c r="BW274" s="2108">
        <v>10200</v>
      </c>
      <c r="BX274" s="374"/>
      <c r="BY274" s="1696"/>
      <c r="BZ274" s="1695"/>
      <c r="CA274" s="1695"/>
      <c r="CB274" s="374"/>
      <c r="CC274" s="1696"/>
      <c r="CD274" s="9"/>
      <c r="CE274" s="145"/>
      <c r="CF274" s="145"/>
      <c r="CG274" s="145"/>
      <c r="CH274" s="145"/>
      <c r="CI274" s="145"/>
      <c r="CJ274" s="145"/>
      <c r="CK274" s="145"/>
      <c r="CL274" s="145"/>
      <c r="CM274" s="145"/>
      <c r="CN274" s="145"/>
      <c r="CO274" s="145"/>
      <c r="CP274" s="145"/>
      <c r="CQ274" s="1695">
        <f>SUM(BB274:BE274)</f>
        <v>69104</v>
      </c>
      <c r="CR274" s="1695">
        <f>SUM(BF274:BI274)</f>
        <v>66949</v>
      </c>
      <c r="CS274" s="1695">
        <f>SUM(BJ274:BM274)</f>
        <v>56819</v>
      </c>
      <c r="CT274" s="1695">
        <f>SUM(BN274:BQ274)</f>
        <v>42746</v>
      </c>
      <c r="CU274" s="1695">
        <f>SUM(BR274:BU274)</f>
        <v>37218</v>
      </c>
      <c r="CV274" s="1695"/>
      <c r="CW274" s="1695"/>
      <c r="CX274" s="1695"/>
      <c r="CY274" s="1695"/>
      <c r="CZ274" s="1695"/>
      <c r="DA274" s="1695"/>
      <c r="DB274" s="1695"/>
      <c r="DC274" s="1695"/>
      <c r="DD274" s="1517"/>
      <c r="DE274" s="1483"/>
      <c r="DF274" s="141"/>
      <c r="DG274" s="141"/>
      <c r="DH274" s="141"/>
      <c r="DI274" s="141"/>
      <c r="DJ274" s="141"/>
      <c r="DK274" s="141"/>
      <c r="DL274" s="141"/>
      <c r="DM274" s="141"/>
      <c r="DN274" s="141"/>
      <c r="DO274" s="141"/>
      <c r="DP274" s="141"/>
      <c r="DQ274" s="141"/>
      <c r="DR274" s="141"/>
      <c r="DS274" s="141"/>
      <c r="DT274" s="141"/>
      <c r="DU274" s="141"/>
      <c r="DV274" s="141"/>
      <c r="DW274" s="141"/>
      <c r="DX274" s="141"/>
      <c r="DY274" s="141"/>
      <c r="DZ274" s="1676"/>
      <c r="EA274"/>
      <c r="EB274"/>
      <c r="EC274"/>
      <c r="ED274"/>
      <c r="EE274"/>
      <c r="EF274"/>
    </row>
    <row r="275" spans="1:136" s="52" customFormat="1" hidden="1" outlineLevel="1">
      <c r="A275" s="338"/>
      <c r="B275" s="196"/>
      <c r="C275" s="578"/>
      <c r="D275" s="1180" t="s">
        <v>76</v>
      </c>
      <c r="E275" s="578"/>
      <c r="F275" s="145"/>
      <c r="G275" s="145"/>
      <c r="H275" s="145"/>
      <c r="I275" s="228"/>
      <c r="J275" s="145"/>
      <c r="K275" s="145"/>
      <c r="L275" s="145"/>
      <c r="M275" s="228"/>
      <c r="N275" s="145"/>
      <c r="O275" s="145"/>
      <c r="P275" s="145"/>
      <c r="Q275" s="228"/>
      <c r="R275" s="145"/>
      <c r="S275" s="145"/>
      <c r="T275" s="145"/>
      <c r="U275" s="228"/>
      <c r="V275" s="227"/>
      <c r="W275" s="145"/>
      <c r="X275" s="145"/>
      <c r="Y275" s="228"/>
      <c r="Z275" s="227"/>
      <c r="AA275" s="145"/>
      <c r="AB275" s="145"/>
      <c r="AC275" s="228"/>
      <c r="AD275" s="227"/>
      <c r="AE275" s="145"/>
      <c r="AF275" s="145"/>
      <c r="AG275" s="145"/>
      <c r="AH275" s="227"/>
      <c r="AI275" s="145"/>
      <c r="AJ275" s="145"/>
      <c r="AK275" s="145"/>
      <c r="AL275" s="227"/>
      <c r="AM275" s="145"/>
      <c r="AN275" s="145"/>
      <c r="AO275" s="228"/>
      <c r="AP275" s="145"/>
      <c r="AQ275" s="145"/>
      <c r="AR275" s="145"/>
      <c r="AS275" s="145"/>
      <c r="AT275" s="145"/>
      <c r="AU275" s="145"/>
      <c r="AV275" s="145"/>
      <c r="AW275" s="145"/>
      <c r="AX275" s="145"/>
      <c r="AY275" s="145"/>
      <c r="AZ275" s="145"/>
      <c r="BA275" s="228"/>
      <c r="BB275" s="852"/>
      <c r="BC275" s="640"/>
      <c r="BD275" s="640"/>
      <c r="BE275" s="949"/>
      <c r="BF275" s="640">
        <f t="shared" ref="BF275:BS275" si="630">BF274/BB274-1</f>
        <v>2.9014804685177475E-2</v>
      </c>
      <c r="BG275" s="640">
        <f t="shared" si="630"/>
        <v>-5.0347124230964657E-2</v>
      </c>
      <c r="BH275" s="640">
        <f t="shared" si="630"/>
        <v>-9.5087852907577708E-2</v>
      </c>
      <c r="BI275" s="949">
        <f t="shared" si="630"/>
        <v>-1.853568118628246E-4</v>
      </c>
      <c r="BJ275" s="640">
        <f t="shared" si="630"/>
        <v>-5.7028947824579679E-2</v>
      </c>
      <c r="BK275" s="640">
        <f t="shared" si="630"/>
        <v>-8.6181277860326921E-2</v>
      </c>
      <c r="BL275" s="640">
        <f t="shared" si="630"/>
        <v>-0.18707544334235049</v>
      </c>
      <c r="BM275" s="640">
        <f t="shared" si="630"/>
        <v>-0.2830923248053393</v>
      </c>
      <c r="BN275" s="2209">
        <f t="shared" si="630"/>
        <v>-0.28412990196078436</v>
      </c>
      <c r="BO275" s="640">
        <f t="shared" si="630"/>
        <v>-0.18972357723577238</v>
      </c>
      <c r="BP275" s="640">
        <f t="shared" si="630"/>
        <v>-0.21016046735191896</v>
      </c>
      <c r="BQ275" s="949">
        <f t="shared" si="630"/>
        <v>-0.31695543487630373</v>
      </c>
      <c r="BR275" s="640">
        <f t="shared" si="630"/>
        <v>-0.22982110759222807</v>
      </c>
      <c r="BS275" s="640">
        <f t="shared" si="630"/>
        <v>-0.20372451436827743</v>
      </c>
      <c r="BT275" s="640">
        <f>BT274/BP274-1</f>
        <v>-0.11993259058140626</v>
      </c>
      <c r="BU275" s="949">
        <f>BU274/BQ274-1</f>
        <v>0.12317011610297834</v>
      </c>
      <c r="BV275" s="640">
        <f>BV274/BR274-1</f>
        <v>5.5790175594576663E-2</v>
      </c>
      <c r="BW275" s="640">
        <f>BW274/BS274-1</f>
        <v>2.8225806451612989E-2</v>
      </c>
      <c r="BX275" s="640"/>
      <c r="BY275" s="949"/>
      <c r="BZ275" s="640"/>
      <c r="CA275" s="640"/>
      <c r="CB275" s="640"/>
      <c r="CC275" s="949"/>
      <c r="CD275" s="9"/>
      <c r="CE275" s="145"/>
      <c r="CF275" s="145"/>
      <c r="CG275" s="145"/>
      <c r="CH275" s="145"/>
      <c r="CI275" s="145"/>
      <c r="CJ275" s="145"/>
      <c r="CK275" s="145"/>
      <c r="CL275" s="145"/>
      <c r="CM275" s="145"/>
      <c r="CN275" s="145"/>
      <c r="CO275" s="145"/>
      <c r="CP275" s="145"/>
      <c r="CQ275" s="145"/>
      <c r="CR275" s="640">
        <f>CR274/CQ274-1</f>
        <v>-3.1184880759435041E-2</v>
      </c>
      <c r="CS275" s="1471">
        <f>CS274/CR274-1</f>
        <v>-0.15130920551464544</v>
      </c>
      <c r="CT275" s="1471">
        <f>CT274/CS274-1</f>
        <v>-0.24768123339023917</v>
      </c>
      <c r="CU275" s="1471">
        <f>CU274/CT274-1</f>
        <v>-0.12932204182847518</v>
      </c>
      <c r="CV275" s="1471"/>
      <c r="CW275" s="495"/>
      <c r="CX275" s="495"/>
      <c r="CY275" s="495"/>
      <c r="CZ275" s="495"/>
      <c r="DA275" s="495"/>
      <c r="DB275" s="495"/>
      <c r="DC275" s="495"/>
      <c r="DD275" s="1517"/>
      <c r="DE275" s="1483"/>
      <c r="DF275" s="141"/>
      <c r="DG275" s="141"/>
      <c r="DH275" s="141"/>
      <c r="DI275" s="141"/>
      <c r="DJ275" s="141"/>
      <c r="DK275" s="141"/>
      <c r="DL275" s="141"/>
      <c r="DM275" s="141"/>
      <c r="DN275" s="141"/>
      <c r="DO275" s="141"/>
      <c r="DP275" s="141"/>
      <c r="DQ275" s="141"/>
      <c r="DR275" s="141"/>
      <c r="DS275" s="141"/>
      <c r="DT275" s="141"/>
      <c r="DU275" s="141"/>
      <c r="DV275" s="141"/>
      <c r="DW275" s="141"/>
      <c r="DX275" s="141"/>
      <c r="DY275" s="141"/>
      <c r="DZ275" s="1676"/>
      <c r="EA275"/>
      <c r="EB275"/>
      <c r="EC275"/>
      <c r="ED275"/>
      <c r="EE275"/>
      <c r="EF275"/>
    </row>
    <row r="276" spans="1:136" s="52" customFormat="1" hidden="1" outlineLevel="1">
      <c r="A276" s="338"/>
      <c r="B276" s="196"/>
      <c r="C276" s="578"/>
      <c r="D276" s="333" t="s">
        <v>77</v>
      </c>
      <c r="E276" s="578"/>
      <c r="F276" s="145"/>
      <c r="G276" s="145"/>
      <c r="H276" s="145"/>
      <c r="I276" s="228"/>
      <c r="J276" s="145"/>
      <c r="K276" s="145"/>
      <c r="L276" s="145"/>
      <c r="M276" s="228"/>
      <c r="N276" s="145"/>
      <c r="O276" s="145"/>
      <c r="P276" s="145"/>
      <c r="Q276" s="228"/>
      <c r="R276" s="145"/>
      <c r="S276" s="145"/>
      <c r="T276" s="145"/>
      <c r="U276" s="228"/>
      <c r="V276" s="227"/>
      <c r="W276" s="145"/>
      <c r="X276" s="145"/>
      <c r="Y276" s="228"/>
      <c r="Z276" s="227"/>
      <c r="AA276" s="145"/>
      <c r="AB276" s="145"/>
      <c r="AC276" s="228"/>
      <c r="AD276" s="227"/>
      <c r="AE276" s="145"/>
      <c r="AF276" s="145"/>
      <c r="AG276" s="145"/>
      <c r="AH276" s="227"/>
      <c r="AI276" s="145"/>
      <c r="AJ276" s="145"/>
      <c r="AK276" s="145"/>
      <c r="AL276" s="227"/>
      <c r="AM276" s="145"/>
      <c r="AN276" s="145"/>
      <c r="AO276" s="228"/>
      <c r="AP276" s="145"/>
      <c r="AQ276" s="145"/>
      <c r="AR276" s="145"/>
      <c r="AS276" s="145"/>
      <c r="AT276" s="145"/>
      <c r="AU276" s="145"/>
      <c r="AV276" s="145"/>
      <c r="AW276" s="145"/>
      <c r="AX276" s="145"/>
      <c r="AY276" s="145"/>
      <c r="AZ276" s="145"/>
      <c r="BA276" s="228"/>
      <c r="BB276" s="852"/>
      <c r="BC276" s="852">
        <f t="shared" ref="BC276:BS276" si="631">BC274/BB274-1</f>
        <v>5.339199714608478E-2</v>
      </c>
      <c r="BD276" s="852">
        <f t="shared" si="631"/>
        <v>3.7591014280069945E-2</v>
      </c>
      <c r="BE276" s="851">
        <f t="shared" si="631"/>
        <v>-0.11956699124190828</v>
      </c>
      <c r="BF276" s="852">
        <f t="shared" si="631"/>
        <v>6.9323447636700619E-2</v>
      </c>
      <c r="BG276" s="852">
        <f t="shared" si="631"/>
        <v>-2.785000288900441E-2</v>
      </c>
      <c r="BH276" s="852">
        <f t="shared" si="631"/>
        <v>-1.1292719167904863E-2</v>
      </c>
      <c r="BI276" s="851">
        <f t="shared" si="631"/>
        <v>-2.7231740306582486E-2</v>
      </c>
      <c r="BJ276" s="852">
        <f t="shared" si="631"/>
        <v>8.5279940674822807E-3</v>
      </c>
      <c r="BK276" s="852">
        <f t="shared" si="631"/>
        <v>-5.7904411764705843E-2</v>
      </c>
      <c r="BL276" s="852">
        <f t="shared" si="631"/>
        <v>-0.12045528455284549</v>
      </c>
      <c r="BM276" s="852">
        <f t="shared" si="631"/>
        <v>-0.14212822598535824</v>
      </c>
      <c r="BN276" s="850">
        <f t="shared" si="631"/>
        <v>7.0683561761917257E-3</v>
      </c>
      <c r="BO276" s="852">
        <f t="shared" si="631"/>
        <v>6.6335701446546214E-2</v>
      </c>
      <c r="BP276" s="852">
        <f t="shared" si="631"/>
        <v>-0.14263926794027937</v>
      </c>
      <c r="BQ276" s="851">
        <f t="shared" si="631"/>
        <v>-0.25812189869862368</v>
      </c>
      <c r="BR276" s="852">
        <f t="shared" si="631"/>
        <v>0.13553760726905595</v>
      </c>
      <c r="BS276" s="852">
        <f t="shared" si="631"/>
        <v>0.10246721493665256</v>
      </c>
      <c r="BT276" s="852">
        <f>BT274/BS274-1</f>
        <v>-5.2419354838709631E-2</v>
      </c>
      <c r="BU276" s="851">
        <f>BU274/BT274-1</f>
        <v>-5.3191489361702149E-2</v>
      </c>
      <c r="BV276" s="852">
        <f>BV274/BU274-1</f>
        <v>6.7415730337078594E-2</v>
      </c>
      <c r="BW276" s="852">
        <f>BW274/BV274-1</f>
        <v>7.3684210526315796E-2</v>
      </c>
      <c r="BX276" s="495"/>
      <c r="BY276" s="499"/>
      <c r="BZ276" s="495"/>
      <c r="CA276" s="495"/>
      <c r="CB276" s="495"/>
      <c r="CC276" s="499"/>
      <c r="CD276" s="9"/>
      <c r="CE276" s="145"/>
      <c r="CF276" s="145"/>
      <c r="CG276" s="145"/>
      <c r="CH276" s="145"/>
      <c r="CI276" s="145"/>
      <c r="CJ276" s="145"/>
      <c r="CK276" s="145"/>
      <c r="CL276" s="145"/>
      <c r="CM276" s="145"/>
      <c r="CN276" s="145"/>
      <c r="CO276" s="145"/>
      <c r="CP276" s="145"/>
      <c r="CQ276" s="145"/>
      <c r="CR276" s="141"/>
      <c r="CS276" s="141"/>
      <c r="CT276" s="141"/>
      <c r="CU276" s="141"/>
      <c r="CV276" s="141"/>
      <c r="CW276" s="141"/>
      <c r="CX276" s="141"/>
      <c r="CY276" s="141"/>
      <c r="CZ276" s="141"/>
      <c r="DA276" s="141"/>
      <c r="DB276" s="141"/>
      <c r="DC276" s="141"/>
      <c r="DD276" s="1517"/>
      <c r="DE276" s="1483"/>
      <c r="DF276" s="141"/>
      <c r="DG276" s="141"/>
      <c r="DH276" s="141"/>
      <c r="DI276" s="141"/>
      <c r="DJ276" s="141"/>
      <c r="DK276" s="141"/>
      <c r="DL276" s="141"/>
      <c r="DM276" s="141"/>
      <c r="DN276" s="141"/>
      <c r="DO276" s="141"/>
      <c r="DP276" s="141"/>
      <c r="DQ276" s="141"/>
      <c r="DR276" s="141"/>
      <c r="DS276" s="141"/>
      <c r="DT276" s="141"/>
      <c r="DU276" s="141"/>
      <c r="DV276" s="141"/>
      <c r="DW276" s="141"/>
      <c r="DX276" s="141"/>
      <c r="DY276" s="141"/>
      <c r="DZ276" s="1676"/>
      <c r="EA276"/>
      <c r="EB276"/>
      <c r="EC276"/>
      <c r="ED276"/>
      <c r="EE276"/>
      <c r="EF276"/>
    </row>
    <row r="277" spans="1:136" s="52" customFormat="1" hidden="1" outlineLevel="1">
      <c r="A277" s="338"/>
      <c r="B277" s="196"/>
      <c r="C277" s="578" t="s">
        <v>806</v>
      </c>
      <c r="D277" s="333"/>
      <c r="E277" s="578"/>
      <c r="F277" s="145"/>
      <c r="G277" s="145"/>
      <c r="H277" s="145"/>
      <c r="I277" s="228"/>
      <c r="J277" s="145"/>
      <c r="K277" s="145"/>
      <c r="L277" s="145"/>
      <c r="M277" s="228"/>
      <c r="N277" s="145"/>
      <c r="O277" s="145"/>
      <c r="P277" s="145"/>
      <c r="Q277" s="228"/>
      <c r="R277" s="145"/>
      <c r="S277" s="145"/>
      <c r="T277" s="145"/>
      <c r="U277" s="228"/>
      <c r="V277" s="227"/>
      <c r="W277" s="145"/>
      <c r="X277" s="145"/>
      <c r="Y277" s="228"/>
      <c r="Z277" s="227"/>
      <c r="AA277" s="145"/>
      <c r="AB277" s="145"/>
      <c r="AC277" s="228"/>
      <c r="AD277" s="227"/>
      <c r="AE277" s="145"/>
      <c r="AF277" s="145"/>
      <c r="AG277" s="145"/>
      <c r="AH277" s="227"/>
      <c r="AI277" s="145"/>
      <c r="AJ277" s="145"/>
      <c r="AK277" s="145"/>
      <c r="AL277" s="227"/>
      <c r="AM277" s="145"/>
      <c r="AN277" s="145"/>
      <c r="AO277" s="228"/>
      <c r="AP277" s="145"/>
      <c r="AQ277" s="145"/>
      <c r="AR277" s="145"/>
      <c r="AS277" s="145"/>
      <c r="AT277" s="145"/>
      <c r="AU277" s="145"/>
      <c r="AV277" s="145"/>
      <c r="AW277" s="145"/>
      <c r="AX277" s="145"/>
      <c r="AY277" s="145"/>
      <c r="AZ277" s="145"/>
      <c r="BA277" s="228"/>
      <c r="BB277" s="2109">
        <v>50.98229050586945</v>
      </c>
      <c r="BC277" s="2110">
        <f t="shared" ref="BC277:BS277" si="632">BB277*(1+BC279)</f>
        <v>49.452821790693363</v>
      </c>
      <c r="BD277" s="2110">
        <f t="shared" si="632"/>
        <v>47.474708919065627</v>
      </c>
      <c r="BE277" s="2111">
        <f t="shared" si="632"/>
        <v>46.050467651493655</v>
      </c>
      <c r="BF277" s="2112">
        <f t="shared" si="632"/>
        <v>45.129458298463781</v>
      </c>
      <c r="BG277" s="2113">
        <f t="shared" si="632"/>
        <v>47.837225796371612</v>
      </c>
      <c r="BH277" s="2110">
        <f t="shared" si="632"/>
        <v>46.88048128044418</v>
      </c>
      <c r="BI277" s="2111">
        <f t="shared" si="632"/>
        <v>45.474066842030851</v>
      </c>
      <c r="BJ277" s="2112">
        <f t="shared" si="632"/>
        <v>46.424757283340277</v>
      </c>
      <c r="BK277" s="2110">
        <f t="shared" si="632"/>
        <v>47.005066749382031</v>
      </c>
      <c r="BL277" s="2110">
        <f t="shared" si="632"/>
        <v>46.535016081888209</v>
      </c>
      <c r="BM277" s="2110">
        <f t="shared" si="632"/>
        <v>45.138965599431565</v>
      </c>
      <c r="BN277" s="2112">
        <f t="shared" si="632"/>
        <v>45.138965599431565</v>
      </c>
      <c r="BO277" s="2110">
        <f t="shared" si="632"/>
        <v>45.364660427428717</v>
      </c>
      <c r="BP277" s="2110">
        <f t="shared" si="632"/>
        <v>44.003720614605854</v>
      </c>
      <c r="BQ277" s="2111">
        <f t="shared" si="632"/>
        <v>46.643943851482206</v>
      </c>
      <c r="BR277" s="2112">
        <f t="shared" si="632"/>
        <v>46.643943851482206</v>
      </c>
      <c r="BS277" s="2110">
        <f t="shared" si="632"/>
        <v>45.711064974452562</v>
      </c>
      <c r="BT277" s="2110"/>
      <c r="BU277" s="2111"/>
      <c r="BV277" s="2112"/>
      <c r="BW277" s="2110"/>
      <c r="BX277" s="2110"/>
      <c r="BY277" s="2111"/>
      <c r="BZ277" s="2112"/>
      <c r="CA277" s="2110"/>
      <c r="CB277" s="2110"/>
      <c r="CC277" s="2111"/>
      <c r="CD277" s="9"/>
      <c r="CE277" s="145"/>
      <c r="CF277" s="145"/>
      <c r="CG277" s="145"/>
      <c r="CH277" s="145"/>
      <c r="CI277" s="145"/>
      <c r="CJ277" s="145"/>
      <c r="CK277" s="145"/>
      <c r="CL277" s="145"/>
      <c r="CM277" s="145"/>
      <c r="CN277" s="145"/>
      <c r="CO277" s="145"/>
      <c r="CP277" s="145"/>
      <c r="CQ277" s="2110">
        <f>CQ271/CQ274*1000</f>
        <v>48.501985133748271</v>
      </c>
      <c r="CR277" s="2110">
        <f>CR271/CR274*1000</f>
        <v>46.328324762631212</v>
      </c>
      <c r="CS277" s="2110">
        <f>CS271/CS274*1000</f>
        <v>46.345502429297269</v>
      </c>
      <c r="CT277" s="2110">
        <f>CT271/CT274*1000</f>
        <v>45.200061424854155</v>
      </c>
      <c r="CU277" s="2110">
        <f>CU271/CU274*1000</f>
        <v>23.460582818050575</v>
      </c>
      <c r="CV277" s="2110"/>
      <c r="CW277" s="2110"/>
      <c r="CX277" s="2110"/>
      <c r="CY277" s="2110"/>
      <c r="CZ277" s="2110"/>
      <c r="DA277" s="2110"/>
      <c r="DB277" s="2110"/>
      <c r="DC277" s="2110"/>
      <c r="DD277" s="1517"/>
      <c r="DE277" s="1483"/>
      <c r="DF277" s="141"/>
      <c r="DG277" s="141"/>
      <c r="DH277" s="141"/>
      <c r="DI277" s="141"/>
      <c r="DJ277" s="141"/>
      <c r="DK277" s="141"/>
      <c r="DL277" s="141"/>
      <c r="DM277" s="141"/>
      <c r="DN277" s="141"/>
      <c r="DO277" s="141"/>
      <c r="DP277" s="141"/>
      <c r="DQ277" s="141"/>
      <c r="DR277" s="141"/>
      <c r="DS277" s="141"/>
      <c r="DT277" s="141"/>
      <c r="DU277" s="141"/>
      <c r="DV277" s="141"/>
      <c r="DW277" s="141"/>
      <c r="DX277" s="141"/>
      <c r="DY277" s="141"/>
      <c r="DZ277" s="1676"/>
      <c r="EA277"/>
      <c r="EB277"/>
      <c r="EC277"/>
      <c r="ED277"/>
      <c r="EE277"/>
      <c r="EF277"/>
    </row>
    <row r="278" spans="1:136" s="52" customFormat="1" hidden="1" outlineLevel="1">
      <c r="A278" s="338"/>
      <c r="B278" s="196"/>
      <c r="C278" s="578"/>
      <c r="D278" s="1180" t="s">
        <v>76</v>
      </c>
      <c r="E278" s="578"/>
      <c r="F278" s="145"/>
      <c r="G278" s="145"/>
      <c r="H278" s="145"/>
      <c r="I278" s="228"/>
      <c r="J278" s="145"/>
      <c r="K278" s="145"/>
      <c r="L278" s="145"/>
      <c r="M278" s="228"/>
      <c r="N278" s="145"/>
      <c r="O278" s="145"/>
      <c r="P278" s="145"/>
      <c r="Q278" s="228"/>
      <c r="R278" s="145"/>
      <c r="S278" s="145"/>
      <c r="T278" s="145"/>
      <c r="U278" s="228"/>
      <c r="V278" s="227"/>
      <c r="W278" s="145"/>
      <c r="X278" s="145"/>
      <c r="Y278" s="228"/>
      <c r="Z278" s="227"/>
      <c r="AA278" s="145"/>
      <c r="AB278" s="145"/>
      <c r="AC278" s="228"/>
      <c r="AD278" s="227"/>
      <c r="AE278" s="145"/>
      <c r="AF278" s="145"/>
      <c r="AG278" s="145"/>
      <c r="AH278" s="227"/>
      <c r="AI278" s="145"/>
      <c r="AJ278" s="145"/>
      <c r="AK278" s="145"/>
      <c r="AL278" s="227"/>
      <c r="AM278" s="145"/>
      <c r="AN278" s="145"/>
      <c r="AO278" s="228"/>
      <c r="AP278" s="145"/>
      <c r="AQ278" s="145"/>
      <c r="AR278" s="145"/>
      <c r="AS278" s="145"/>
      <c r="AT278" s="145"/>
      <c r="AU278" s="145"/>
      <c r="AV278" s="145"/>
      <c r="AW278" s="145"/>
      <c r="AX278" s="145"/>
      <c r="AY278" s="145"/>
      <c r="AZ278" s="145"/>
      <c r="BA278" s="228"/>
      <c r="BB278" s="852"/>
      <c r="BC278" s="492"/>
      <c r="BD278" s="492"/>
      <c r="BE278" s="493"/>
      <c r="BF278" s="497">
        <f t="shared" ref="BF278:BS278" si="633">BF277/BB277-1</f>
        <v>-0.11480128000000012</v>
      </c>
      <c r="BG278" s="436">
        <f t="shared" si="633"/>
        <v>-3.266944000000005E-2</v>
      </c>
      <c r="BH278" s="492">
        <f t="shared" si="633"/>
        <v>-1.2516720000000037E-2</v>
      </c>
      <c r="BI278" s="493">
        <f t="shared" si="633"/>
        <v>-1.2516720000000037E-2</v>
      </c>
      <c r="BJ278" s="497">
        <f t="shared" si="633"/>
        <v>2.870185093536981E-2</v>
      </c>
      <c r="BK278" s="492">
        <f t="shared" si="633"/>
        <v>-1.7395637667866115E-2</v>
      </c>
      <c r="BL278" s="492">
        <f t="shared" si="633"/>
        <v>-7.3690625420280709E-3</v>
      </c>
      <c r="BM278" s="492">
        <f t="shared" si="633"/>
        <v>-7.3690625420279599E-3</v>
      </c>
      <c r="BN278" s="497">
        <f t="shared" si="633"/>
        <v>-2.7696249999999978E-2</v>
      </c>
      <c r="BO278" s="492">
        <f t="shared" si="633"/>
        <v>-3.4898500000000165E-2</v>
      </c>
      <c r="BP278" s="492">
        <f t="shared" si="633"/>
        <v>-5.4395500000000152E-2</v>
      </c>
      <c r="BQ278" s="493">
        <f t="shared" si="633"/>
        <v>3.3340999999999843E-2</v>
      </c>
      <c r="BR278" s="497">
        <f t="shared" si="633"/>
        <v>3.3340999999999843E-2</v>
      </c>
      <c r="BS278" s="492">
        <f t="shared" si="633"/>
        <v>7.6359999999999761E-3</v>
      </c>
      <c r="BT278" s="492"/>
      <c r="BU278" s="493"/>
      <c r="BV278" s="497"/>
      <c r="BW278" s="492"/>
      <c r="BX278" s="492"/>
      <c r="BY278" s="493"/>
      <c r="BZ278" s="497"/>
      <c r="CA278" s="492"/>
      <c r="CB278" s="492"/>
      <c r="CC278" s="493"/>
      <c r="CD278" s="9"/>
      <c r="CE278" s="145"/>
      <c r="CF278" s="145"/>
      <c r="CG278" s="145"/>
      <c r="CH278" s="145"/>
      <c r="CI278" s="145"/>
      <c r="CJ278" s="145"/>
      <c r="CK278" s="145"/>
      <c r="CL278" s="145"/>
      <c r="CM278" s="145"/>
      <c r="CN278" s="145"/>
      <c r="CO278" s="145"/>
      <c r="CP278" s="145"/>
      <c r="CQ278" s="145"/>
      <c r="CR278" s="640">
        <f>CR277/CQ277-1</f>
        <v>-4.4815905269093848E-2</v>
      </c>
      <c r="CS278" s="1471">
        <f>CS277/CR277-1</f>
        <v>3.7078108811550159E-4</v>
      </c>
      <c r="CT278" s="1471">
        <f>CT277/CS277-1</f>
        <v>-2.4715257023926962E-2</v>
      </c>
      <c r="CU278" s="1471">
        <f>CU277/CT277-1</f>
        <v>-0.48096126247407478</v>
      </c>
      <c r="CV278" s="1471"/>
      <c r="CW278" s="495"/>
      <c r="CX278" s="495"/>
      <c r="CY278" s="495"/>
      <c r="CZ278" s="495"/>
      <c r="DA278" s="495"/>
      <c r="DB278" s="495"/>
      <c r="DC278" s="495"/>
      <c r="DD278" s="1517"/>
      <c r="DE278" s="1483"/>
      <c r="DF278" s="141"/>
      <c r="DG278" s="141"/>
      <c r="DH278" s="141"/>
      <c r="DI278" s="141"/>
      <c r="DJ278" s="141"/>
      <c r="DK278" s="141"/>
      <c r="DL278" s="141"/>
      <c r="DM278" s="141"/>
      <c r="DN278" s="141"/>
      <c r="DO278" s="141"/>
      <c r="DP278" s="141"/>
      <c r="DQ278" s="141"/>
      <c r="DR278" s="141"/>
      <c r="DS278" s="141"/>
      <c r="DT278" s="141"/>
      <c r="DU278" s="141"/>
      <c r="DV278" s="141"/>
      <c r="DW278" s="141"/>
      <c r="DX278" s="141"/>
      <c r="DY278" s="141"/>
      <c r="DZ278" s="1676"/>
      <c r="EA278"/>
      <c r="EB278"/>
      <c r="EC278"/>
      <c r="ED278"/>
      <c r="EE278"/>
      <c r="EF278"/>
    </row>
    <row r="279" spans="1:136" s="52" customFormat="1" hidden="1" outlineLevel="1">
      <c r="A279" s="338"/>
      <c r="B279" s="196"/>
      <c r="C279" s="578"/>
      <c r="D279" s="333" t="s">
        <v>77</v>
      </c>
      <c r="E279" s="578"/>
      <c r="F279" s="145"/>
      <c r="G279" s="145"/>
      <c r="H279" s="145"/>
      <c r="I279" s="228"/>
      <c r="J279" s="145"/>
      <c r="K279" s="145"/>
      <c r="L279" s="145"/>
      <c r="M279" s="228"/>
      <c r="N279" s="145"/>
      <c r="O279" s="145"/>
      <c r="P279" s="145"/>
      <c r="Q279" s="228"/>
      <c r="R279" s="145"/>
      <c r="S279" s="145"/>
      <c r="T279" s="145"/>
      <c r="U279" s="228"/>
      <c r="V279" s="227"/>
      <c r="W279" s="145"/>
      <c r="X279" s="145"/>
      <c r="Y279" s="228"/>
      <c r="Z279" s="227"/>
      <c r="AA279" s="145"/>
      <c r="AB279" s="145"/>
      <c r="AC279" s="228"/>
      <c r="AD279" s="227"/>
      <c r="AE279" s="145"/>
      <c r="AF279" s="145"/>
      <c r="AG279" s="145"/>
      <c r="AH279" s="227"/>
      <c r="AI279" s="145"/>
      <c r="AJ279" s="145"/>
      <c r="AK279" s="145"/>
      <c r="AL279" s="227"/>
      <c r="AM279" s="145"/>
      <c r="AN279" s="145"/>
      <c r="AO279" s="228"/>
      <c r="AP279" s="145"/>
      <c r="AQ279" s="145"/>
      <c r="AR279" s="145"/>
      <c r="AS279" s="145"/>
      <c r="AT279" s="145"/>
      <c r="AU279" s="145"/>
      <c r="AV279" s="145"/>
      <c r="AW279" s="145"/>
      <c r="AX279" s="145"/>
      <c r="AY279" s="145"/>
      <c r="AZ279" s="145"/>
      <c r="BA279" s="228"/>
      <c r="BB279" s="1026"/>
      <c r="BC279" s="495">
        <f>BC269</f>
        <v>-0.03</v>
      </c>
      <c r="BD279" s="495">
        <f t="shared" ref="BD279:BQ279" si="634">BD269</f>
        <v>-0.04</v>
      </c>
      <c r="BE279" s="499">
        <f t="shared" si="634"/>
        <v>-0.03</v>
      </c>
      <c r="BF279" s="1026">
        <f t="shared" si="634"/>
        <v>-0.02</v>
      </c>
      <c r="BG279" s="935">
        <f t="shared" si="634"/>
        <v>0.06</v>
      </c>
      <c r="BH279" s="495">
        <f t="shared" si="634"/>
        <v>-0.02</v>
      </c>
      <c r="BI279" s="499">
        <f t="shared" si="634"/>
        <v>-0.03</v>
      </c>
      <c r="BJ279" s="1026">
        <f t="shared" si="634"/>
        <v>2.0906211107354095E-2</v>
      </c>
      <c r="BK279" s="495">
        <f t="shared" si="634"/>
        <v>1.2500000000000001E-2</v>
      </c>
      <c r="BL279" s="495">
        <f t="shared" si="634"/>
        <v>-0.01</v>
      </c>
      <c r="BM279" s="495">
        <f t="shared" si="634"/>
        <v>-0.03</v>
      </c>
      <c r="BN279" s="1026">
        <f t="shared" si="634"/>
        <v>0</v>
      </c>
      <c r="BO279" s="495">
        <f t="shared" si="634"/>
        <v>5.0000000000000001E-3</v>
      </c>
      <c r="BP279" s="495">
        <f t="shared" si="634"/>
        <v>-0.03</v>
      </c>
      <c r="BQ279" s="499">
        <f t="shared" si="634"/>
        <v>0.06</v>
      </c>
      <c r="BR279" s="1026">
        <v>0</v>
      </c>
      <c r="BS279" s="495">
        <v>-0.02</v>
      </c>
      <c r="BT279" s="495"/>
      <c r="BU279" s="499"/>
      <c r="BV279" s="1026"/>
      <c r="BW279" s="495"/>
      <c r="BX279" s="495"/>
      <c r="BY279" s="499"/>
      <c r="BZ279" s="495"/>
      <c r="CA279" s="495"/>
      <c r="CB279" s="495"/>
      <c r="CC279" s="499"/>
      <c r="CD279" s="9"/>
      <c r="CE279" s="145"/>
      <c r="CF279" s="145"/>
      <c r="CG279" s="145"/>
      <c r="CH279" s="145"/>
      <c r="CI279" s="145"/>
      <c r="CJ279" s="145"/>
      <c r="CK279" s="145"/>
      <c r="CL279" s="145"/>
      <c r="CM279" s="145"/>
      <c r="CN279" s="145"/>
      <c r="CO279" s="145"/>
      <c r="CP279" s="145"/>
      <c r="CQ279" s="145"/>
      <c r="CR279" s="141"/>
      <c r="CS279" s="141"/>
      <c r="CT279" s="141"/>
      <c r="CU279" s="141"/>
      <c r="CV279" s="141"/>
      <c r="CW279" s="141"/>
      <c r="CX279" s="141"/>
      <c r="CY279" s="141"/>
      <c r="CZ279" s="141"/>
      <c r="DA279" s="141"/>
      <c r="DB279" s="141"/>
      <c r="DC279" s="141"/>
      <c r="DD279" s="1517"/>
      <c r="DE279" s="1483"/>
      <c r="DF279" s="141"/>
      <c r="DG279" s="141"/>
      <c r="DH279" s="141"/>
      <c r="DI279" s="141"/>
      <c r="DJ279" s="141"/>
      <c r="DK279" s="141"/>
      <c r="DL279" s="141"/>
      <c r="DM279" s="141"/>
      <c r="DN279" s="141"/>
      <c r="DO279" s="141"/>
      <c r="DP279" s="141"/>
      <c r="DQ279" s="141"/>
      <c r="DR279" s="141"/>
      <c r="DS279" s="141"/>
      <c r="DT279" s="141"/>
      <c r="DU279" s="141"/>
      <c r="DV279" s="141"/>
      <c r="DW279" s="141"/>
      <c r="DX279" s="141"/>
      <c r="DY279" s="141"/>
      <c r="DZ279" s="1676"/>
      <c r="EA279"/>
      <c r="EB279"/>
      <c r="EC279"/>
      <c r="ED279"/>
      <c r="EE279"/>
      <c r="EF279"/>
    </row>
    <row r="280" spans="1:136" s="52" customFormat="1" hidden="1" outlineLevel="1">
      <c r="A280" s="338"/>
      <c r="B280" s="196"/>
      <c r="C280" s="578"/>
      <c r="D280" s="333"/>
      <c r="E280" s="578"/>
      <c r="F280" s="145"/>
      <c r="G280" s="145"/>
      <c r="H280" s="145"/>
      <c r="I280" s="228"/>
      <c r="J280" s="145"/>
      <c r="K280" s="145"/>
      <c r="L280" s="145"/>
      <c r="M280" s="228"/>
      <c r="N280" s="145"/>
      <c r="O280" s="145"/>
      <c r="P280" s="145"/>
      <c r="Q280" s="228"/>
      <c r="R280" s="145"/>
      <c r="S280" s="145"/>
      <c r="T280" s="145"/>
      <c r="U280" s="228"/>
      <c r="V280" s="227"/>
      <c r="W280" s="145"/>
      <c r="X280" s="145"/>
      <c r="Y280" s="228"/>
      <c r="Z280" s="227"/>
      <c r="AA280" s="145"/>
      <c r="AB280" s="145"/>
      <c r="AC280" s="228"/>
      <c r="AD280" s="227"/>
      <c r="AE280" s="145"/>
      <c r="AF280" s="145"/>
      <c r="AG280" s="145"/>
      <c r="AH280" s="227"/>
      <c r="AI280" s="145"/>
      <c r="AJ280" s="145"/>
      <c r="AK280" s="145"/>
      <c r="AL280" s="227"/>
      <c r="AM280" s="145"/>
      <c r="AN280" s="145"/>
      <c r="AO280" s="228"/>
      <c r="AP280" s="145"/>
      <c r="AQ280" s="145"/>
      <c r="AR280" s="145"/>
      <c r="AS280" s="145"/>
      <c r="AT280" s="145"/>
      <c r="AU280" s="145"/>
      <c r="AV280" s="145"/>
      <c r="AW280" s="145"/>
      <c r="AX280" s="145"/>
      <c r="AY280" s="145"/>
      <c r="AZ280" s="145"/>
      <c r="BA280" s="228"/>
      <c r="BB280" s="852"/>
      <c r="BC280" s="852"/>
      <c r="BD280" s="852"/>
      <c r="BE280" s="851"/>
      <c r="BF280" s="852"/>
      <c r="BG280" s="852"/>
      <c r="BH280" s="852"/>
      <c r="BI280" s="851"/>
      <c r="BJ280" s="852"/>
      <c r="BK280" s="852"/>
      <c r="BL280" s="852"/>
      <c r="BM280" s="852"/>
      <c r="BN280" s="850"/>
      <c r="BO280" s="852"/>
      <c r="BP280" s="852"/>
      <c r="BQ280" s="851"/>
      <c r="BR280" s="852"/>
      <c r="BS280" s="2118"/>
      <c r="BT280" s="2144"/>
      <c r="BU280" s="2145"/>
      <c r="BV280" s="2210"/>
      <c r="BW280" s="1667"/>
      <c r="BX280" s="1667"/>
      <c r="BY280" s="2147"/>
      <c r="BZ280" s="2146"/>
      <c r="CA280" s="1667"/>
      <c r="CB280" s="1667"/>
      <c r="CC280" s="2147"/>
      <c r="CD280" s="9"/>
      <c r="CE280" s="145"/>
      <c r="CF280" s="145"/>
      <c r="CG280" s="145"/>
      <c r="CH280" s="145"/>
      <c r="CI280" s="145"/>
      <c r="CJ280" s="145"/>
      <c r="CK280" s="145"/>
      <c r="CL280" s="145"/>
      <c r="CM280" s="145"/>
      <c r="CN280" s="145"/>
      <c r="CO280" s="145"/>
      <c r="CP280" s="145"/>
      <c r="CQ280" s="145"/>
      <c r="CR280" s="141"/>
      <c r="CS280" s="141"/>
      <c r="CT280" s="141"/>
      <c r="CU280" s="141"/>
      <c r="CV280" s="141"/>
      <c r="CW280" s="141"/>
      <c r="CX280" s="141"/>
      <c r="CY280" s="141"/>
      <c r="CZ280" s="141"/>
      <c r="DA280" s="141"/>
      <c r="DB280" s="141"/>
      <c r="DC280" s="141"/>
      <c r="DD280" s="1517"/>
      <c r="DE280" s="1483"/>
      <c r="DF280" s="141"/>
      <c r="DG280" s="141"/>
      <c r="DH280" s="141"/>
      <c r="DI280" s="141"/>
      <c r="DJ280" s="141"/>
      <c r="DK280" s="141"/>
      <c r="DL280" s="141"/>
      <c r="DM280" s="141"/>
      <c r="DN280" s="141"/>
      <c r="DO280" s="141"/>
      <c r="DP280" s="141"/>
      <c r="DQ280" s="141"/>
      <c r="DR280" s="141"/>
      <c r="DS280" s="141"/>
      <c r="DT280" s="141"/>
      <c r="DU280" s="141"/>
      <c r="DV280" s="141"/>
      <c r="DW280" s="141"/>
      <c r="DX280" s="141"/>
      <c r="DY280" s="141"/>
      <c r="DZ280" s="1676"/>
      <c r="EA280"/>
      <c r="EB280"/>
      <c r="EC280"/>
      <c r="ED280"/>
      <c r="EE280"/>
      <c r="EF280"/>
    </row>
    <row r="281" spans="1:136" s="52" customFormat="1" hidden="1" outlineLevel="1">
      <c r="A281" s="338"/>
      <c r="B281" s="196"/>
      <c r="C281" s="578" t="s">
        <v>952</v>
      </c>
      <c r="D281" s="333"/>
      <c r="E281" s="578"/>
      <c r="F281" s="145"/>
      <c r="G281" s="145"/>
      <c r="H281" s="145"/>
      <c r="I281" s="228"/>
      <c r="J281" s="145"/>
      <c r="K281" s="145"/>
      <c r="L281" s="145"/>
      <c r="M281" s="228"/>
      <c r="N281" s="145"/>
      <c r="O281" s="145"/>
      <c r="P281" s="145"/>
      <c r="Q281" s="228"/>
      <c r="R281" s="145"/>
      <c r="S281" s="145"/>
      <c r="T281" s="145"/>
      <c r="U281" s="228"/>
      <c r="V281" s="227"/>
      <c r="W281" s="145"/>
      <c r="X281" s="145"/>
      <c r="Y281" s="228"/>
      <c r="Z281" s="227"/>
      <c r="AA281" s="145"/>
      <c r="AB281" s="145"/>
      <c r="AC281" s="228"/>
      <c r="AD281" s="227"/>
      <c r="AE281" s="145"/>
      <c r="AF281" s="145"/>
      <c r="AG281" s="145"/>
      <c r="AH281" s="227"/>
      <c r="AI281" s="145"/>
      <c r="AJ281" s="145"/>
      <c r="AK281" s="145"/>
      <c r="AL281" s="227"/>
      <c r="AM281" s="145"/>
      <c r="AN281" s="145"/>
      <c r="AO281" s="228"/>
      <c r="AP281" s="145"/>
      <c r="AQ281" s="145"/>
      <c r="AR281" s="145"/>
      <c r="AS281" s="145"/>
      <c r="AT281" s="145"/>
      <c r="AU281" s="145"/>
      <c r="AV281" s="145"/>
      <c r="AW281" s="145"/>
      <c r="AX281" s="145"/>
      <c r="AY281" s="145"/>
      <c r="AZ281" s="145"/>
      <c r="BA281" s="228"/>
      <c r="BB281" s="2101">
        <f>BB284*BB287/1000</f>
        <v>356.04359999999997</v>
      </c>
      <c r="BC281" s="2102">
        <f t="shared" ref="BC281:BR281" si="635">BC284*BC287/1000</f>
        <v>269.28067199999998</v>
      </c>
      <c r="BD281" s="2102">
        <f t="shared" si="635"/>
        <v>250.23403103999999</v>
      </c>
      <c r="BE281" s="2103">
        <f t="shared" si="635"/>
        <v>236.19450808319999</v>
      </c>
      <c r="BF281" s="2101">
        <f t="shared" si="635"/>
        <v>287.50328939596795</v>
      </c>
      <c r="BG281" s="2102">
        <f t="shared" si="635"/>
        <v>298.36015187020797</v>
      </c>
      <c r="BH281" s="2102">
        <f t="shared" si="635"/>
        <v>285.04488859945729</v>
      </c>
      <c r="BI281" s="2103">
        <f t="shared" si="635"/>
        <v>355.36283260986437</v>
      </c>
      <c r="BJ281" s="2101">
        <f t="shared" si="635"/>
        <v>348.78740232349816</v>
      </c>
      <c r="BK281" s="2102">
        <f t="shared" si="635"/>
        <v>313.06663241815704</v>
      </c>
      <c r="BL281" s="2102">
        <f t="shared" si="635"/>
        <v>287.09506918441411</v>
      </c>
      <c r="BM281" s="2102">
        <f t="shared" si="635"/>
        <v>292.9076606432094</v>
      </c>
      <c r="BN281" s="2101">
        <f t="shared" si="635"/>
        <v>371.43899898703802</v>
      </c>
      <c r="BO281" s="2102">
        <f t="shared" si="635"/>
        <v>277.22057299241641</v>
      </c>
      <c r="BP281" s="2102">
        <f t="shared" si="635"/>
        <v>246.96385270692093</v>
      </c>
      <c r="BQ281" s="2103">
        <f t="shared" si="635"/>
        <v>379.40775237615759</v>
      </c>
      <c r="BR281" s="2101">
        <f t="shared" si="635"/>
        <v>464.71591108436513</v>
      </c>
      <c r="BS281" s="2102">
        <f>BS284*BS287/1000</f>
        <v>311.48628086590105</v>
      </c>
      <c r="BT281" s="2102"/>
      <c r="BU281" s="2103"/>
      <c r="BV281" s="2101"/>
      <c r="BW281" s="2102"/>
      <c r="BX281" s="2102"/>
      <c r="BY281" s="2103"/>
      <c r="BZ281" s="2101"/>
      <c r="CA281" s="2102"/>
      <c r="CB281" s="2102"/>
      <c r="CC281" s="2103"/>
      <c r="CD281" s="9"/>
      <c r="CE281" s="145"/>
      <c r="CF281" s="145"/>
      <c r="CG281" s="145"/>
      <c r="CH281" s="145"/>
      <c r="CI281" s="145"/>
      <c r="CJ281" s="145"/>
      <c r="CK281" s="145"/>
      <c r="CL281" s="145"/>
      <c r="CM281" s="145"/>
      <c r="CN281" s="145"/>
      <c r="CO281" s="145"/>
      <c r="CP281" s="145"/>
      <c r="CQ281" s="2102">
        <f>SUM(BB281:BE281)</f>
        <v>1111.7528111232</v>
      </c>
      <c r="CR281" s="2102">
        <f>SUM(BF281:BI281)</f>
        <v>1226.2711624754975</v>
      </c>
      <c r="CS281" s="2102">
        <f>SUM(BJ281:BM281)</f>
        <v>1241.8567645692788</v>
      </c>
      <c r="CT281" s="2102">
        <f>SUM(BN281:BQ281)</f>
        <v>1275.0311770625328</v>
      </c>
      <c r="CU281" s="2102">
        <f>SUM(BR281:BU281)</f>
        <v>776.20219195026618</v>
      </c>
      <c r="CV281" s="2102"/>
      <c r="CW281" s="2102"/>
      <c r="CX281" s="2102"/>
      <c r="CY281" s="2102"/>
      <c r="CZ281" s="2102"/>
      <c r="DA281" s="2102"/>
      <c r="DB281" s="2102"/>
      <c r="DC281" s="2102"/>
      <c r="DD281" s="1517"/>
      <c r="DE281" s="1483"/>
      <c r="DF281" s="141"/>
      <c r="DG281" s="141"/>
      <c r="DH281" s="141"/>
      <c r="DI281" s="141"/>
      <c r="DJ281" s="141"/>
      <c r="DK281" s="141"/>
      <c r="DL281" s="141"/>
      <c r="DM281" s="141"/>
      <c r="DN281" s="141"/>
      <c r="DO281" s="141"/>
      <c r="DP281" s="141"/>
      <c r="DQ281" s="141"/>
      <c r="DR281" s="141"/>
      <c r="DS281" s="141"/>
      <c r="DT281" s="141"/>
      <c r="DU281" s="141"/>
      <c r="DV281" s="141"/>
      <c r="DW281" s="141"/>
      <c r="DX281" s="141"/>
      <c r="DY281" s="141"/>
      <c r="DZ281" s="1676"/>
      <c r="EA281"/>
      <c r="EB281"/>
      <c r="EC281"/>
      <c r="ED281"/>
      <c r="EE281"/>
      <c r="EF281"/>
    </row>
    <row r="282" spans="1:136" s="52" customFormat="1" hidden="1" outlineLevel="1">
      <c r="A282" s="338"/>
      <c r="B282" s="196"/>
      <c r="C282" s="578"/>
      <c r="D282" s="1180" t="s">
        <v>76</v>
      </c>
      <c r="E282" s="578"/>
      <c r="F282" s="145"/>
      <c r="G282" s="145"/>
      <c r="H282" s="145"/>
      <c r="I282" s="228"/>
      <c r="J282" s="145"/>
      <c r="K282" s="145"/>
      <c r="L282" s="145"/>
      <c r="M282" s="228"/>
      <c r="N282" s="145"/>
      <c r="O282" s="145"/>
      <c r="P282" s="145"/>
      <c r="Q282" s="228"/>
      <c r="R282" s="145"/>
      <c r="S282" s="145"/>
      <c r="T282" s="145"/>
      <c r="U282" s="228"/>
      <c r="V282" s="227"/>
      <c r="W282" s="145"/>
      <c r="X282" s="145"/>
      <c r="Y282" s="228"/>
      <c r="Z282" s="227"/>
      <c r="AA282" s="145"/>
      <c r="AB282" s="145"/>
      <c r="AC282" s="228"/>
      <c r="AD282" s="227"/>
      <c r="AE282" s="145"/>
      <c r="AF282" s="145"/>
      <c r="AG282" s="145"/>
      <c r="AH282" s="227"/>
      <c r="AI282" s="145"/>
      <c r="AJ282" s="145"/>
      <c r="AK282" s="145"/>
      <c r="AL282" s="227"/>
      <c r="AM282" s="145"/>
      <c r="AN282" s="145"/>
      <c r="AO282" s="228"/>
      <c r="AP282" s="145"/>
      <c r="AQ282" s="145"/>
      <c r="AR282" s="145"/>
      <c r="AS282" s="145"/>
      <c r="AT282" s="145"/>
      <c r="AU282" s="145"/>
      <c r="AV282" s="145"/>
      <c r="AW282" s="145"/>
      <c r="AX282" s="145"/>
      <c r="AY282" s="145"/>
      <c r="AZ282" s="145"/>
      <c r="BA282" s="228"/>
      <c r="BB282" s="852"/>
      <c r="BC282" s="640"/>
      <c r="BD282" s="640"/>
      <c r="BE282" s="949"/>
      <c r="BF282" s="640">
        <f t="shared" ref="BF282:BS282" si="636">BF281/BB281-1</f>
        <v>-0.19250538586856225</v>
      </c>
      <c r="BG282" s="640">
        <f t="shared" si="636"/>
        <v>0.10798948047117163</v>
      </c>
      <c r="BH282" s="640">
        <f t="shared" si="636"/>
        <v>0.13911320300751884</v>
      </c>
      <c r="BI282" s="949">
        <f t="shared" si="636"/>
        <v>0.50453469682151586</v>
      </c>
      <c r="BJ282" s="640">
        <f t="shared" si="636"/>
        <v>0.21315969308137483</v>
      </c>
      <c r="BK282" s="640">
        <f t="shared" si="636"/>
        <v>4.9291034529123978E-2</v>
      </c>
      <c r="BL282" s="640">
        <f t="shared" si="636"/>
        <v>7.1924832437102459E-3</v>
      </c>
      <c r="BM282" s="640">
        <f t="shared" si="636"/>
        <v>-0.17575043374111521</v>
      </c>
      <c r="BN282" s="2209">
        <f t="shared" si="636"/>
        <v>6.4943849785407792E-2</v>
      </c>
      <c r="BO282" s="640">
        <f t="shared" si="636"/>
        <v>-0.11449977644970399</v>
      </c>
      <c r="BP282" s="640">
        <f t="shared" si="636"/>
        <v>-0.1397837190011616</v>
      </c>
      <c r="BQ282" s="949">
        <f t="shared" si="636"/>
        <v>0.29531522508833907</v>
      </c>
      <c r="BR282" s="640">
        <f t="shared" si="636"/>
        <v>0.25112309787530451</v>
      </c>
      <c r="BS282" s="640">
        <f t="shared" si="636"/>
        <v>0.12360449119489414</v>
      </c>
      <c r="BT282" s="640"/>
      <c r="BU282" s="949"/>
      <c r="BV282" s="2209"/>
      <c r="BW282" s="640"/>
      <c r="BX282" s="640"/>
      <c r="BY282" s="949"/>
      <c r="BZ282" s="640"/>
      <c r="CA282" s="640"/>
      <c r="CB282" s="640"/>
      <c r="CC282" s="949"/>
      <c r="CD282" s="9"/>
      <c r="CE282" s="145"/>
      <c r="CF282" s="145"/>
      <c r="CG282" s="145"/>
      <c r="CH282" s="145"/>
      <c r="CI282" s="145"/>
      <c r="CJ282" s="145"/>
      <c r="CK282" s="145"/>
      <c r="CL282" s="145"/>
      <c r="CM282" s="145"/>
      <c r="CN282" s="145"/>
      <c r="CO282" s="145"/>
      <c r="CP282" s="145"/>
      <c r="CQ282" s="145"/>
      <c r="CR282" s="640">
        <f>CR281/CQ281-1</f>
        <v>0.10300702656789329</v>
      </c>
      <c r="CS282" s="1471">
        <f>CS281/CR281-1</f>
        <v>1.2709751783054557E-2</v>
      </c>
      <c r="CT282" s="1471">
        <f>CT281/CS281-1</f>
        <v>2.6713557827065637E-2</v>
      </c>
      <c r="CU282" s="1471">
        <f>CU281/CT281-1</f>
        <v>-0.39122885313399836</v>
      </c>
      <c r="CV282" s="1471"/>
      <c r="CW282" s="1471"/>
      <c r="CX282" s="1471"/>
      <c r="CY282" s="1471"/>
      <c r="CZ282" s="1471"/>
      <c r="DA282" s="1471"/>
      <c r="DB282" s="1471"/>
      <c r="DC282" s="1471"/>
      <c r="DD282" s="1517"/>
      <c r="DE282" s="1483"/>
      <c r="DF282" s="141"/>
      <c r="DG282" s="141"/>
      <c r="DH282" s="141"/>
      <c r="DI282" s="141"/>
      <c r="DJ282" s="141"/>
      <c r="DK282" s="141"/>
      <c r="DL282" s="141"/>
      <c r="DM282" s="141"/>
      <c r="DN282" s="141"/>
      <c r="DO282" s="141"/>
      <c r="DP282" s="141"/>
      <c r="DQ282" s="141"/>
      <c r="DR282" s="141"/>
      <c r="DS282" s="141"/>
      <c r="DT282" s="141"/>
      <c r="DU282" s="141"/>
      <c r="DV282" s="141"/>
      <c r="DW282" s="141"/>
      <c r="DX282" s="141"/>
      <c r="DY282" s="141"/>
      <c r="DZ282" s="1676"/>
      <c r="EA282"/>
      <c r="EB282"/>
      <c r="EC282"/>
      <c r="ED282"/>
      <c r="EE282"/>
      <c r="EF282"/>
    </row>
    <row r="283" spans="1:136" s="52" customFormat="1" hidden="1" outlineLevel="1">
      <c r="A283" s="338"/>
      <c r="B283" s="196"/>
      <c r="C283" s="578"/>
      <c r="D283" s="333" t="s">
        <v>77</v>
      </c>
      <c r="E283" s="578"/>
      <c r="F283" s="145"/>
      <c r="G283" s="145"/>
      <c r="H283" s="145"/>
      <c r="I283" s="228"/>
      <c r="J283" s="145"/>
      <c r="K283" s="145"/>
      <c r="L283" s="145"/>
      <c r="M283" s="228"/>
      <c r="N283" s="145"/>
      <c r="O283" s="145"/>
      <c r="P283" s="145"/>
      <c r="Q283" s="228"/>
      <c r="R283" s="145"/>
      <c r="S283" s="145"/>
      <c r="T283" s="145"/>
      <c r="U283" s="228"/>
      <c r="V283" s="227"/>
      <c r="W283" s="145"/>
      <c r="X283" s="145"/>
      <c r="Y283" s="228"/>
      <c r="Z283" s="227"/>
      <c r="AA283" s="145"/>
      <c r="AB283" s="145"/>
      <c r="AC283" s="228"/>
      <c r="AD283" s="227"/>
      <c r="AE283" s="145"/>
      <c r="AF283" s="145"/>
      <c r="AG283" s="145"/>
      <c r="AH283" s="227"/>
      <c r="AI283" s="145"/>
      <c r="AJ283" s="145"/>
      <c r="AK283" s="145"/>
      <c r="AL283" s="227"/>
      <c r="AM283" s="145"/>
      <c r="AN283" s="145"/>
      <c r="AO283" s="228"/>
      <c r="AP283" s="145"/>
      <c r="AQ283" s="145"/>
      <c r="AR283" s="145"/>
      <c r="AS283" s="145"/>
      <c r="AT283" s="145"/>
      <c r="AU283" s="145"/>
      <c r="AV283" s="145"/>
      <c r="AW283" s="145"/>
      <c r="AX283" s="145"/>
      <c r="AY283" s="145"/>
      <c r="AZ283" s="145"/>
      <c r="BA283" s="228"/>
      <c r="BB283" s="852"/>
      <c r="BC283" s="852">
        <f t="shared" ref="BC283:BS283" si="637">BC281/BB281-1</f>
        <v>-0.24368624516772663</v>
      </c>
      <c r="BD283" s="852">
        <f t="shared" si="637"/>
        <v>-7.073155610663362E-2</v>
      </c>
      <c r="BE283" s="851">
        <f t="shared" si="637"/>
        <v>-5.6105570047567888E-2</v>
      </c>
      <c r="BF283" s="852">
        <f t="shared" si="637"/>
        <v>0.21723105134474308</v>
      </c>
      <c r="BG283" s="852">
        <f t="shared" si="637"/>
        <v>3.7762567854614071E-2</v>
      </c>
      <c r="BH283" s="852">
        <f t="shared" si="637"/>
        <v>-4.4628155560609395E-2</v>
      </c>
      <c r="BI283" s="851">
        <f t="shared" si="637"/>
        <v>0.24669077335821754</v>
      </c>
      <c r="BJ283" s="852">
        <f t="shared" si="637"/>
        <v>-1.8503427153804375E-2</v>
      </c>
      <c r="BK283" s="852">
        <f t="shared" si="637"/>
        <v>-0.10241416309012885</v>
      </c>
      <c r="BL283" s="852">
        <f t="shared" si="637"/>
        <v>-8.2958579881656669E-2</v>
      </c>
      <c r="BM283" s="852">
        <f t="shared" si="637"/>
        <v>2.0246225319396238E-2</v>
      </c>
      <c r="BN283" s="850">
        <f t="shared" si="637"/>
        <v>0.26810954063604231</v>
      </c>
      <c r="BO283" s="852">
        <f t="shared" si="637"/>
        <v>-0.25365787182166488</v>
      </c>
      <c r="BP283" s="852">
        <f t="shared" si="637"/>
        <v>-0.1091431272899186</v>
      </c>
      <c r="BQ283" s="851">
        <f t="shared" si="637"/>
        <v>0.53628860344356388</v>
      </c>
      <c r="BR283" s="852">
        <f t="shared" si="637"/>
        <v>0.22484558677027278</v>
      </c>
      <c r="BS283" s="852">
        <f t="shared" si="637"/>
        <v>-0.32972753151687673</v>
      </c>
      <c r="BT283" s="852"/>
      <c r="BU283" s="851"/>
      <c r="BV283" s="850"/>
      <c r="BW283" s="852"/>
      <c r="BX283" s="852"/>
      <c r="BY283" s="851"/>
      <c r="BZ283" s="852"/>
      <c r="CA283" s="852"/>
      <c r="CB283" s="852"/>
      <c r="CC283" s="851"/>
      <c r="CD283" s="9"/>
      <c r="CE283" s="145"/>
      <c r="CF283" s="145"/>
      <c r="CG283" s="145"/>
      <c r="CH283" s="145"/>
      <c r="CI283" s="145"/>
      <c r="CJ283" s="145"/>
      <c r="CK283" s="145"/>
      <c r="CL283" s="145"/>
      <c r="CM283" s="145"/>
      <c r="CN283" s="145"/>
      <c r="CO283" s="145"/>
      <c r="CP283" s="145"/>
      <c r="CQ283" s="145"/>
      <c r="CR283" s="141"/>
      <c r="CS283" s="141"/>
      <c r="CT283" s="141"/>
      <c r="CU283" s="141"/>
      <c r="CV283" s="141"/>
      <c r="CW283" s="141"/>
      <c r="CX283" s="141"/>
      <c r="CY283" s="141"/>
      <c r="CZ283" s="141"/>
      <c r="DA283" s="141"/>
      <c r="DB283" s="141"/>
      <c r="DC283" s="141"/>
      <c r="DD283" s="1517"/>
      <c r="DE283" s="1483"/>
      <c r="DF283" s="141"/>
      <c r="DG283" s="141"/>
      <c r="DH283" s="141"/>
      <c r="DI283" s="141"/>
      <c r="DJ283" s="141"/>
      <c r="DK283" s="141"/>
      <c r="DL283" s="141"/>
      <c r="DM283" s="141"/>
      <c r="DN283" s="141"/>
      <c r="DO283" s="141"/>
      <c r="DP283" s="141"/>
      <c r="DQ283" s="141"/>
      <c r="DR283" s="141"/>
      <c r="DS283" s="141"/>
      <c r="DT283" s="141"/>
      <c r="DU283" s="141"/>
      <c r="DV283" s="141"/>
      <c r="DW283" s="141"/>
      <c r="DX283" s="141"/>
      <c r="DY283" s="141"/>
      <c r="DZ283" s="1676"/>
      <c r="EA283"/>
      <c r="EB283"/>
      <c r="EC283"/>
      <c r="ED283"/>
      <c r="EE283"/>
      <c r="EF283"/>
    </row>
    <row r="284" spans="1:136" s="52" customFormat="1" hidden="1" outlineLevel="1">
      <c r="A284" s="338"/>
      <c r="B284" s="196"/>
      <c r="C284" s="578" t="s">
        <v>805</v>
      </c>
      <c r="D284" s="333"/>
      <c r="E284" s="578"/>
      <c r="F284" s="145"/>
      <c r="G284" s="145"/>
      <c r="H284" s="145"/>
      <c r="I284" s="228"/>
      <c r="J284" s="145"/>
      <c r="K284" s="145"/>
      <c r="L284" s="145"/>
      <c r="M284" s="228"/>
      <c r="N284" s="145"/>
      <c r="O284" s="145"/>
      <c r="P284" s="145"/>
      <c r="Q284" s="228"/>
      <c r="R284" s="145"/>
      <c r="S284" s="145"/>
      <c r="T284" s="145"/>
      <c r="U284" s="228"/>
      <c r="V284" s="227"/>
      <c r="W284" s="145"/>
      <c r="X284" s="145"/>
      <c r="Y284" s="228"/>
      <c r="Z284" s="227"/>
      <c r="AA284" s="145"/>
      <c r="AB284" s="145"/>
      <c r="AC284" s="228"/>
      <c r="AD284" s="227"/>
      <c r="AE284" s="145"/>
      <c r="AF284" s="145"/>
      <c r="AG284" s="145"/>
      <c r="AH284" s="227"/>
      <c r="AI284" s="145"/>
      <c r="AJ284" s="145"/>
      <c r="AK284" s="145"/>
      <c r="AL284" s="227"/>
      <c r="AM284" s="145"/>
      <c r="AN284" s="145"/>
      <c r="AO284" s="228"/>
      <c r="AP284" s="145"/>
      <c r="AQ284" s="145"/>
      <c r="AR284" s="145"/>
      <c r="AS284" s="145"/>
      <c r="AT284" s="145"/>
      <c r="AU284" s="145"/>
      <c r="AV284" s="145"/>
      <c r="AW284" s="145"/>
      <c r="AX284" s="145"/>
      <c r="AY284" s="145"/>
      <c r="AZ284" s="145"/>
      <c r="BA284" s="228"/>
      <c r="BB284" s="2104">
        <v>8019</v>
      </c>
      <c r="BC284" s="2105">
        <v>6452</v>
      </c>
      <c r="BD284" s="2105">
        <v>6517</v>
      </c>
      <c r="BE284" s="2106">
        <v>6544</v>
      </c>
      <c r="BF284" s="2104">
        <v>8474</v>
      </c>
      <c r="BG284" s="1336">
        <v>8794</v>
      </c>
      <c r="BH284" s="2105">
        <v>8573</v>
      </c>
      <c r="BI284" s="2106">
        <v>10906</v>
      </c>
      <c r="BJ284" s="2104">
        <v>10485</v>
      </c>
      <c r="BK284" s="2105">
        <v>9295</v>
      </c>
      <c r="BL284" s="2105">
        <v>8610</v>
      </c>
      <c r="BM284" s="2105">
        <v>9056</v>
      </c>
      <c r="BN284" s="2104">
        <v>11484</v>
      </c>
      <c r="BO284" s="2105">
        <v>8461</v>
      </c>
      <c r="BP284" s="2105">
        <v>7318</v>
      </c>
      <c r="BQ284" s="2106">
        <v>10038</v>
      </c>
      <c r="BR284" s="2104">
        <v>12295</v>
      </c>
      <c r="BS284" s="2105">
        <v>8241</v>
      </c>
      <c r="BT284" s="2105">
        <v>7700</v>
      </c>
      <c r="BU284" s="2107">
        <v>9600</v>
      </c>
      <c r="BV284" s="2121">
        <v>10300</v>
      </c>
      <c r="BW284" s="2108">
        <v>8600</v>
      </c>
      <c r="BX284" s="374"/>
      <c r="BY284" s="1696"/>
      <c r="BZ284" s="1695"/>
      <c r="CA284" s="1695"/>
      <c r="CB284" s="374"/>
      <c r="CC284" s="1696"/>
      <c r="CD284" s="9"/>
      <c r="CE284" s="145"/>
      <c r="CF284" s="145"/>
      <c r="CG284" s="145"/>
      <c r="CH284" s="145"/>
      <c r="CI284" s="145"/>
      <c r="CJ284" s="145"/>
      <c r="CK284" s="145"/>
      <c r="CL284" s="145"/>
      <c r="CM284" s="145"/>
      <c r="CN284" s="145"/>
      <c r="CO284" s="145"/>
      <c r="CP284" s="145"/>
      <c r="CQ284" s="1695">
        <f>SUM(BB284:BE284)</f>
        <v>27532</v>
      </c>
      <c r="CR284" s="1695">
        <f>SUM(BF284:BI284)</f>
        <v>36747</v>
      </c>
      <c r="CS284" s="1695">
        <f>SUM(BJ284:BM284)</f>
        <v>37446</v>
      </c>
      <c r="CT284" s="1695">
        <f>SUM(BN284:BQ284)</f>
        <v>37301</v>
      </c>
      <c r="CU284" s="1695">
        <f>SUM(BR284:BU284)</f>
        <v>37836</v>
      </c>
      <c r="CV284" s="1695"/>
      <c r="CW284" s="1695"/>
      <c r="CX284" s="1695"/>
      <c r="CY284" s="1695"/>
      <c r="CZ284" s="1695"/>
      <c r="DA284" s="1695"/>
      <c r="DB284" s="1695"/>
      <c r="DC284" s="1695"/>
      <c r="DD284" s="1517"/>
      <c r="DE284" s="1483"/>
      <c r="DF284" s="141"/>
      <c r="DG284" s="141"/>
      <c r="DH284" s="141"/>
      <c r="DI284" s="141"/>
      <c r="DJ284" s="141"/>
      <c r="DK284" s="141"/>
      <c r="DL284" s="141"/>
      <c r="DM284" s="141"/>
      <c r="DN284" s="141"/>
      <c r="DO284" s="141"/>
      <c r="DP284" s="141"/>
      <c r="DQ284" s="141"/>
      <c r="DR284" s="141"/>
      <c r="DS284" s="141"/>
      <c r="DT284" s="141"/>
      <c r="DU284" s="141"/>
      <c r="DV284" s="141"/>
      <c r="DW284" s="141"/>
      <c r="DX284" s="141"/>
      <c r="DY284" s="141"/>
      <c r="DZ284" s="1676"/>
      <c r="EA284"/>
      <c r="EB284"/>
      <c r="EC284"/>
      <c r="ED284"/>
      <c r="EE284"/>
      <c r="EF284"/>
    </row>
    <row r="285" spans="1:136" s="52" customFormat="1" hidden="1" outlineLevel="1">
      <c r="A285" s="338"/>
      <c r="B285" s="196"/>
      <c r="C285" s="578"/>
      <c r="D285" s="1180" t="s">
        <v>76</v>
      </c>
      <c r="E285" s="578"/>
      <c r="F285" s="145"/>
      <c r="G285" s="145"/>
      <c r="H285" s="145"/>
      <c r="I285" s="228"/>
      <c r="J285" s="145"/>
      <c r="K285" s="145"/>
      <c r="L285" s="145"/>
      <c r="M285" s="228"/>
      <c r="N285" s="145"/>
      <c r="O285" s="145"/>
      <c r="P285" s="145"/>
      <c r="Q285" s="228"/>
      <c r="R285" s="145"/>
      <c r="S285" s="145"/>
      <c r="T285" s="145"/>
      <c r="U285" s="228"/>
      <c r="V285" s="227"/>
      <c r="W285" s="145"/>
      <c r="X285" s="145"/>
      <c r="Y285" s="228"/>
      <c r="Z285" s="227"/>
      <c r="AA285" s="145"/>
      <c r="AB285" s="145"/>
      <c r="AC285" s="228"/>
      <c r="AD285" s="227"/>
      <c r="AE285" s="145"/>
      <c r="AF285" s="145"/>
      <c r="AG285" s="145"/>
      <c r="AH285" s="227"/>
      <c r="AI285" s="145"/>
      <c r="AJ285" s="145"/>
      <c r="AK285" s="145"/>
      <c r="AL285" s="227"/>
      <c r="AM285" s="145"/>
      <c r="AN285" s="145"/>
      <c r="AO285" s="228"/>
      <c r="AP285" s="145"/>
      <c r="AQ285" s="145"/>
      <c r="AR285" s="145"/>
      <c r="AS285" s="145"/>
      <c r="AT285" s="145"/>
      <c r="AU285" s="145"/>
      <c r="AV285" s="145"/>
      <c r="AW285" s="145"/>
      <c r="AX285" s="145"/>
      <c r="AY285" s="145"/>
      <c r="AZ285" s="145"/>
      <c r="BA285" s="228"/>
      <c r="BB285" s="852"/>
      <c r="BC285" s="640"/>
      <c r="BD285" s="640"/>
      <c r="BE285" s="949"/>
      <c r="BF285" s="640">
        <f t="shared" ref="BF285:BS285" si="638">BF284/BB284-1</f>
        <v>5.6740241925427037E-2</v>
      </c>
      <c r="BG285" s="640">
        <f t="shared" si="638"/>
        <v>0.36298822070675762</v>
      </c>
      <c r="BH285" s="640">
        <f t="shared" si="638"/>
        <v>0.31548258401104801</v>
      </c>
      <c r="BI285" s="949">
        <f t="shared" si="638"/>
        <v>0.66656479217603914</v>
      </c>
      <c r="BJ285" s="640">
        <f t="shared" si="638"/>
        <v>0.23731413736134055</v>
      </c>
      <c r="BK285" s="640">
        <f t="shared" si="638"/>
        <v>5.6970661814873758E-2</v>
      </c>
      <c r="BL285" s="640">
        <f t="shared" si="638"/>
        <v>4.3158754228391771E-3</v>
      </c>
      <c r="BM285" s="640">
        <f t="shared" si="638"/>
        <v>-0.16963139556207596</v>
      </c>
      <c r="BN285" s="2209">
        <f t="shared" si="638"/>
        <v>9.5278969957081516E-2</v>
      </c>
      <c r="BO285" s="640">
        <f t="shared" si="638"/>
        <v>-8.9725658956428145E-2</v>
      </c>
      <c r="BP285" s="640">
        <f t="shared" si="638"/>
        <v>-0.15005807200929155</v>
      </c>
      <c r="BQ285" s="949">
        <f t="shared" si="638"/>
        <v>0.10843639575971742</v>
      </c>
      <c r="BR285" s="640">
        <f t="shared" si="638"/>
        <v>7.0619993033786077E-2</v>
      </c>
      <c r="BS285" s="640">
        <f t="shared" si="638"/>
        <v>-2.600165465075055E-2</v>
      </c>
      <c r="BT285" s="640">
        <f>BT284/BP284-1</f>
        <v>5.22000546597432E-2</v>
      </c>
      <c r="BU285" s="949">
        <f>BU284/BQ284-1</f>
        <v>-4.3634190077704749E-2</v>
      </c>
      <c r="BV285" s="640">
        <f>BV284/BR284-1</f>
        <v>-0.16226108174054499</v>
      </c>
      <c r="BW285" s="640">
        <f>BW284/BS284-1</f>
        <v>4.3562674432714443E-2</v>
      </c>
      <c r="BX285" s="640"/>
      <c r="BY285" s="949"/>
      <c r="BZ285" s="640"/>
      <c r="CA285" s="640"/>
      <c r="CB285" s="640"/>
      <c r="CC285" s="949"/>
      <c r="CD285" s="9"/>
      <c r="CE285" s="145"/>
      <c r="CF285" s="145"/>
      <c r="CG285" s="145"/>
      <c r="CH285" s="145"/>
      <c r="CI285" s="145"/>
      <c r="CJ285" s="145"/>
      <c r="CK285" s="145"/>
      <c r="CL285" s="145"/>
      <c r="CM285" s="145"/>
      <c r="CN285" s="145"/>
      <c r="CO285" s="145"/>
      <c r="CP285" s="145"/>
      <c r="CQ285" s="145"/>
      <c r="CR285" s="640">
        <f>CR284/CQ284-1</f>
        <v>0.33470143832631116</v>
      </c>
      <c r="CS285" s="1471">
        <f>CS284/CR284-1</f>
        <v>1.9021960976406183E-2</v>
      </c>
      <c r="CT285" s="1471">
        <f>CT284/CS284-1</f>
        <v>-3.8722426961491641E-3</v>
      </c>
      <c r="CU285" s="1471">
        <f>CU284/CT284-1</f>
        <v>1.4342779013967411E-2</v>
      </c>
      <c r="CV285" s="1471"/>
      <c r="CW285" s="495"/>
      <c r="CX285" s="495"/>
      <c r="CY285" s="495"/>
      <c r="CZ285" s="495"/>
      <c r="DA285" s="495"/>
      <c r="DB285" s="495"/>
      <c r="DC285" s="495"/>
      <c r="DD285" s="1517"/>
      <c r="DE285" s="1483"/>
      <c r="DF285" s="141"/>
      <c r="DG285" s="141"/>
      <c r="DH285" s="141"/>
      <c r="DI285" s="141"/>
      <c r="DJ285" s="141"/>
      <c r="DK285" s="141"/>
      <c r="DL285" s="141"/>
      <c r="DM285" s="141"/>
      <c r="DN285" s="141"/>
      <c r="DO285" s="141"/>
      <c r="DP285" s="141"/>
      <c r="DQ285" s="141"/>
      <c r="DR285" s="141"/>
      <c r="DS285" s="141"/>
      <c r="DT285" s="141"/>
      <c r="DU285" s="141"/>
      <c r="DV285" s="141"/>
      <c r="DW285" s="141"/>
      <c r="DX285" s="141"/>
      <c r="DY285" s="141"/>
      <c r="DZ285" s="1676"/>
      <c r="EA285"/>
      <c r="EB285"/>
      <c r="EC285"/>
      <c r="ED285"/>
      <c r="EE285"/>
      <c r="EF285"/>
    </row>
    <row r="286" spans="1:136" s="52" customFormat="1" hidden="1" outlineLevel="1">
      <c r="A286" s="338"/>
      <c r="B286" s="196"/>
      <c r="C286" s="578"/>
      <c r="D286" s="333" t="s">
        <v>77</v>
      </c>
      <c r="E286" s="578"/>
      <c r="F286" s="145"/>
      <c r="G286" s="145"/>
      <c r="H286" s="145"/>
      <c r="I286" s="228"/>
      <c r="J286" s="145"/>
      <c r="K286" s="145"/>
      <c r="L286" s="145"/>
      <c r="M286" s="228"/>
      <c r="N286" s="145"/>
      <c r="O286" s="145"/>
      <c r="P286" s="145"/>
      <c r="Q286" s="228"/>
      <c r="R286" s="145"/>
      <c r="S286" s="145"/>
      <c r="T286" s="145"/>
      <c r="U286" s="228"/>
      <c r="V286" s="227"/>
      <c r="W286" s="145"/>
      <c r="X286" s="145"/>
      <c r="Y286" s="228"/>
      <c r="Z286" s="227"/>
      <c r="AA286" s="145"/>
      <c r="AB286" s="145"/>
      <c r="AC286" s="228"/>
      <c r="AD286" s="227"/>
      <c r="AE286" s="145"/>
      <c r="AF286" s="145"/>
      <c r="AG286" s="145"/>
      <c r="AH286" s="227"/>
      <c r="AI286" s="145"/>
      <c r="AJ286" s="145"/>
      <c r="AK286" s="145"/>
      <c r="AL286" s="227"/>
      <c r="AM286" s="145"/>
      <c r="AN286" s="145"/>
      <c r="AO286" s="228"/>
      <c r="AP286" s="145"/>
      <c r="AQ286" s="145"/>
      <c r="AR286" s="145"/>
      <c r="AS286" s="145"/>
      <c r="AT286" s="145"/>
      <c r="AU286" s="145"/>
      <c r="AV286" s="145"/>
      <c r="AW286" s="145"/>
      <c r="AX286" s="145"/>
      <c r="AY286" s="145"/>
      <c r="AZ286" s="145"/>
      <c r="BA286" s="228"/>
      <c r="BB286" s="852"/>
      <c r="BC286" s="852">
        <f t="shared" ref="BC286:BS286" si="639">BC284/BB284-1</f>
        <v>-0.19541089911460285</v>
      </c>
      <c r="BD286" s="852">
        <f t="shared" si="639"/>
        <v>1.0074395536267877E-2</v>
      </c>
      <c r="BE286" s="851">
        <f t="shared" si="639"/>
        <v>4.1430105876936185E-3</v>
      </c>
      <c r="BF286" s="852">
        <f t="shared" si="639"/>
        <v>0.29492665036674826</v>
      </c>
      <c r="BG286" s="852">
        <f t="shared" si="639"/>
        <v>3.7762567854614071E-2</v>
      </c>
      <c r="BH286" s="852">
        <f t="shared" si="639"/>
        <v>-2.5130770980213768E-2</v>
      </c>
      <c r="BI286" s="851">
        <f t="shared" si="639"/>
        <v>0.27213344220226299</v>
      </c>
      <c r="BJ286" s="852">
        <f t="shared" si="639"/>
        <v>-3.8602604071153457E-2</v>
      </c>
      <c r="BK286" s="852">
        <f t="shared" si="639"/>
        <v>-0.11349546971864566</v>
      </c>
      <c r="BL286" s="852">
        <f t="shared" si="639"/>
        <v>-7.3695535233996745E-2</v>
      </c>
      <c r="BM286" s="852">
        <f t="shared" si="639"/>
        <v>5.1800232288037096E-2</v>
      </c>
      <c r="BN286" s="850">
        <f t="shared" si="639"/>
        <v>0.26810954063604231</v>
      </c>
      <c r="BO286" s="852">
        <f t="shared" si="639"/>
        <v>-0.26323580633925459</v>
      </c>
      <c r="BP286" s="852">
        <f t="shared" si="639"/>
        <v>-0.13509041484458106</v>
      </c>
      <c r="BQ286" s="851">
        <f t="shared" si="639"/>
        <v>0.37168625307461056</v>
      </c>
      <c r="BR286" s="852">
        <f t="shared" si="639"/>
        <v>0.224845586770273</v>
      </c>
      <c r="BS286" s="852">
        <f t="shared" si="639"/>
        <v>-0.32972753151687673</v>
      </c>
      <c r="BT286" s="852">
        <f>BT284/BS284-1</f>
        <v>-6.5647372891639355E-2</v>
      </c>
      <c r="BU286" s="851">
        <f>BU284/BT284-1</f>
        <v>0.24675324675324672</v>
      </c>
      <c r="BV286" s="852">
        <f>BV284/BU284-1</f>
        <v>7.2916666666666741E-2</v>
      </c>
      <c r="BW286" s="852">
        <f>BW284/BV284-1</f>
        <v>-0.16504854368932043</v>
      </c>
      <c r="BX286" s="495"/>
      <c r="BY286" s="499"/>
      <c r="BZ286" s="495"/>
      <c r="CA286" s="495"/>
      <c r="CB286" s="495"/>
      <c r="CC286" s="499"/>
      <c r="CD286" s="9"/>
      <c r="CE286" s="145"/>
      <c r="CF286" s="145"/>
      <c r="CG286" s="145"/>
      <c r="CH286" s="145"/>
      <c r="CI286" s="145"/>
      <c r="CJ286" s="145"/>
      <c r="CK286" s="145"/>
      <c r="CL286" s="145"/>
      <c r="CM286" s="145"/>
      <c r="CN286" s="145"/>
      <c r="CO286" s="145"/>
      <c r="CP286" s="145"/>
      <c r="CQ286" s="145"/>
      <c r="CR286" s="141"/>
      <c r="CS286" s="141"/>
      <c r="CT286" s="141"/>
      <c r="CU286" s="141"/>
      <c r="CV286" s="141"/>
      <c r="CW286" s="141"/>
      <c r="CX286" s="141"/>
      <c r="CY286" s="141"/>
      <c r="CZ286" s="141"/>
      <c r="DA286" s="141"/>
      <c r="DB286" s="141"/>
      <c r="DC286" s="141"/>
      <c r="DD286" s="1517"/>
      <c r="DE286" s="1483"/>
      <c r="DF286" s="141"/>
      <c r="DG286" s="141"/>
      <c r="DH286" s="141"/>
      <c r="DI286" s="141"/>
      <c r="DJ286" s="141"/>
      <c r="DK286" s="141"/>
      <c r="DL286" s="141"/>
      <c r="DM286" s="141"/>
      <c r="DN286" s="141"/>
      <c r="DO286" s="141"/>
      <c r="DP286" s="141"/>
      <c r="DQ286" s="141"/>
      <c r="DR286" s="141"/>
      <c r="DS286" s="141"/>
      <c r="DT286" s="141"/>
      <c r="DU286" s="141"/>
      <c r="DV286" s="141"/>
      <c r="DW286" s="141"/>
      <c r="DX286" s="141"/>
      <c r="DY286" s="141"/>
      <c r="DZ286" s="1676"/>
      <c r="EA286"/>
      <c r="EB286"/>
      <c r="EC286"/>
      <c r="ED286"/>
      <c r="EE286"/>
      <c r="EF286"/>
    </row>
    <row r="287" spans="1:136" s="52" customFormat="1" hidden="1" outlineLevel="1">
      <c r="A287" s="338"/>
      <c r="B287" s="196"/>
      <c r="C287" s="578" t="s">
        <v>806</v>
      </c>
      <c r="D287" s="333"/>
      <c r="E287" s="578"/>
      <c r="F287" s="145"/>
      <c r="G287" s="145"/>
      <c r="H287" s="145"/>
      <c r="I287" s="228"/>
      <c r="J287" s="145"/>
      <c r="K287" s="145"/>
      <c r="L287" s="145"/>
      <c r="M287" s="228"/>
      <c r="N287" s="145"/>
      <c r="O287" s="145"/>
      <c r="P287" s="145"/>
      <c r="Q287" s="228"/>
      <c r="R287" s="145"/>
      <c r="S287" s="145"/>
      <c r="T287" s="145"/>
      <c r="U287" s="228"/>
      <c r="V287" s="227"/>
      <c r="W287" s="145"/>
      <c r="X287" s="145"/>
      <c r="Y287" s="228"/>
      <c r="Z287" s="227"/>
      <c r="AA287" s="145"/>
      <c r="AB287" s="145"/>
      <c r="AC287" s="228"/>
      <c r="AD287" s="227"/>
      <c r="AE287" s="145"/>
      <c r="AF287" s="145"/>
      <c r="AG287" s="145"/>
      <c r="AH287" s="227"/>
      <c r="AI287" s="145"/>
      <c r="AJ287" s="145"/>
      <c r="AK287" s="145"/>
      <c r="AL287" s="227"/>
      <c r="AM287" s="145"/>
      <c r="AN287" s="145"/>
      <c r="AO287" s="228"/>
      <c r="AP287" s="145"/>
      <c r="AQ287" s="145"/>
      <c r="AR287" s="145"/>
      <c r="AS287" s="145"/>
      <c r="AT287" s="145"/>
      <c r="AU287" s="145"/>
      <c r="AV287" s="145"/>
      <c r="AW287" s="145"/>
      <c r="AX287" s="145"/>
      <c r="AY287" s="145"/>
      <c r="AZ287" s="145"/>
      <c r="BA287" s="228"/>
      <c r="BB287" s="2109">
        <v>44.4</v>
      </c>
      <c r="BC287" s="2110">
        <f t="shared" ref="BC287:BS287" si="640">BB287*(1+BC289)</f>
        <v>41.735999999999997</v>
      </c>
      <c r="BD287" s="2110">
        <f t="shared" si="640"/>
        <v>38.397120000000001</v>
      </c>
      <c r="BE287" s="2111">
        <f t="shared" si="640"/>
        <v>36.0932928</v>
      </c>
      <c r="BF287" s="2112">
        <f t="shared" si="640"/>
        <v>33.927695231999998</v>
      </c>
      <c r="BG287" s="2113">
        <f t="shared" si="640"/>
        <v>33.927695231999998</v>
      </c>
      <c r="BH287" s="2110">
        <f t="shared" si="640"/>
        <v>33.24914132736</v>
      </c>
      <c r="BI287" s="2111">
        <f t="shared" si="640"/>
        <v>32.584158500812798</v>
      </c>
      <c r="BJ287" s="2112">
        <f t="shared" si="640"/>
        <v>33.265369797186281</v>
      </c>
      <c r="BK287" s="2110">
        <f t="shared" si="640"/>
        <v>33.681186919651111</v>
      </c>
      <c r="BL287" s="2110">
        <f t="shared" si="640"/>
        <v>33.344375050454602</v>
      </c>
      <c r="BM287" s="2110">
        <f t="shared" si="640"/>
        <v>32.344043798940966</v>
      </c>
      <c r="BN287" s="2112">
        <f t="shared" si="640"/>
        <v>32.344043798940966</v>
      </c>
      <c r="BO287" s="2110">
        <f t="shared" si="640"/>
        <v>32.764516368327193</v>
      </c>
      <c r="BP287" s="2110">
        <f t="shared" si="640"/>
        <v>33.747451859377009</v>
      </c>
      <c r="BQ287" s="2111">
        <f t="shared" si="640"/>
        <v>37.797146082502252</v>
      </c>
      <c r="BR287" s="2110">
        <f t="shared" si="640"/>
        <v>37.797146082502252</v>
      </c>
      <c r="BS287" s="2110">
        <f t="shared" si="640"/>
        <v>37.797146082502252</v>
      </c>
      <c r="BT287" s="2110"/>
      <c r="BU287" s="2111"/>
      <c r="BV287" s="2112"/>
      <c r="BW287" s="2110"/>
      <c r="BX287" s="2110"/>
      <c r="BY287" s="2111"/>
      <c r="BZ287" s="2112"/>
      <c r="CA287" s="2110"/>
      <c r="CB287" s="2110"/>
      <c r="CC287" s="2111"/>
      <c r="CD287" s="9"/>
      <c r="CE287" s="145"/>
      <c r="CF287" s="145"/>
      <c r="CG287" s="145"/>
      <c r="CH287" s="145"/>
      <c r="CI287" s="145"/>
      <c r="CJ287" s="145"/>
      <c r="CK287" s="145"/>
      <c r="CL287" s="145"/>
      <c r="CM287" s="145"/>
      <c r="CN287" s="145"/>
      <c r="CO287" s="145"/>
      <c r="CP287" s="145"/>
      <c r="CQ287" s="2110">
        <f>CQ281/CQ284*1000</f>
        <v>40.380386863402585</v>
      </c>
      <c r="CR287" s="2110">
        <f>CR281/CR284*1000</f>
        <v>33.370646922891595</v>
      </c>
      <c r="CS287" s="2110">
        <f>CS281/CS284*1000</f>
        <v>33.163936457012198</v>
      </c>
      <c r="CT287" s="2110">
        <f>CT281/CT284*1000</f>
        <v>34.18222506266676</v>
      </c>
      <c r="CU287" s="2110">
        <f>CU281/CU284*1000</f>
        <v>20.514911511530453</v>
      </c>
      <c r="CV287" s="2110"/>
      <c r="CW287" s="2110"/>
      <c r="CX287" s="2110"/>
      <c r="CY287" s="2110"/>
      <c r="CZ287" s="2110"/>
      <c r="DA287" s="2110"/>
      <c r="DB287" s="2110"/>
      <c r="DC287" s="2110"/>
      <c r="DD287" s="1517"/>
      <c r="DE287" s="1483"/>
      <c r="DF287" s="141"/>
      <c r="DG287" s="141"/>
      <c r="DH287" s="141"/>
      <c r="DI287" s="141"/>
      <c r="DJ287" s="141"/>
      <c r="DK287" s="141"/>
      <c r="DL287" s="141"/>
      <c r="DM287" s="141"/>
      <c r="DN287" s="141"/>
      <c r="DO287" s="141"/>
      <c r="DP287" s="141"/>
      <c r="DQ287" s="141"/>
      <c r="DR287" s="141"/>
      <c r="DS287" s="141"/>
      <c r="DT287" s="141"/>
      <c r="DU287" s="141"/>
      <c r="DV287" s="141"/>
      <c r="DW287" s="141"/>
      <c r="DX287" s="141"/>
      <c r="DY287" s="141"/>
      <c r="DZ287" s="1676"/>
      <c r="EA287"/>
      <c r="EB287"/>
      <c r="EC287"/>
      <c r="ED287"/>
      <c r="EE287"/>
      <c r="EF287"/>
    </row>
    <row r="288" spans="1:136" s="52" customFormat="1" hidden="1" outlineLevel="1">
      <c r="A288" s="338"/>
      <c r="B288" s="196"/>
      <c r="C288" s="578"/>
      <c r="D288" s="1180" t="s">
        <v>76</v>
      </c>
      <c r="E288" s="578"/>
      <c r="F288" s="145"/>
      <c r="G288" s="145"/>
      <c r="H288" s="145"/>
      <c r="I288" s="228"/>
      <c r="J288" s="145"/>
      <c r="K288" s="145"/>
      <c r="L288" s="145"/>
      <c r="M288" s="228"/>
      <c r="N288" s="145"/>
      <c r="O288" s="145"/>
      <c r="P288" s="145"/>
      <c r="Q288" s="228"/>
      <c r="R288" s="145"/>
      <c r="S288" s="145"/>
      <c r="T288" s="145"/>
      <c r="U288" s="228"/>
      <c r="V288" s="227"/>
      <c r="W288" s="145"/>
      <c r="X288" s="145"/>
      <c r="Y288" s="228"/>
      <c r="Z288" s="227"/>
      <c r="AA288" s="145"/>
      <c r="AB288" s="145"/>
      <c r="AC288" s="228"/>
      <c r="AD288" s="227"/>
      <c r="AE288" s="145"/>
      <c r="AF288" s="145"/>
      <c r="AG288" s="145"/>
      <c r="AH288" s="227"/>
      <c r="AI288" s="145"/>
      <c r="AJ288" s="145"/>
      <c r="AK288" s="145"/>
      <c r="AL288" s="227"/>
      <c r="AM288" s="145"/>
      <c r="AN288" s="145"/>
      <c r="AO288" s="228"/>
      <c r="AP288" s="145"/>
      <c r="AQ288" s="145"/>
      <c r="AR288" s="145"/>
      <c r="AS288" s="145"/>
      <c r="AT288" s="145"/>
      <c r="AU288" s="145"/>
      <c r="AV288" s="145"/>
      <c r="AW288" s="145"/>
      <c r="AX288" s="145"/>
      <c r="AY288" s="145"/>
      <c r="AZ288" s="145"/>
      <c r="BA288" s="228"/>
      <c r="BB288" s="852"/>
      <c r="BC288" s="492"/>
      <c r="BD288" s="492"/>
      <c r="BE288" s="493"/>
      <c r="BF288" s="497">
        <f t="shared" ref="BF288:BS288" si="641">BF287/BB287-1</f>
        <v>-0.23586271999999997</v>
      </c>
      <c r="BG288" s="436">
        <f t="shared" si="641"/>
        <v>-0.18708800000000003</v>
      </c>
      <c r="BH288" s="492">
        <f t="shared" si="641"/>
        <v>-0.13407199999999997</v>
      </c>
      <c r="BI288" s="493">
        <f t="shared" si="641"/>
        <v>-9.7224000000000088E-2</v>
      </c>
      <c r="BJ288" s="497">
        <f t="shared" si="641"/>
        <v>-1.9521674852497006E-2</v>
      </c>
      <c r="BK288" s="492">
        <f t="shared" si="641"/>
        <v>-7.2656957881531703E-3</v>
      </c>
      <c r="BL288" s="492">
        <f t="shared" si="641"/>
        <v>2.8642460915595525E-3</v>
      </c>
      <c r="BM288" s="492">
        <f t="shared" si="641"/>
        <v>-7.3690625420276268E-3</v>
      </c>
      <c r="BN288" s="497">
        <f t="shared" si="641"/>
        <v>-2.7696249999999867E-2</v>
      </c>
      <c r="BO288" s="492">
        <f t="shared" si="641"/>
        <v>-2.7216100000000076E-2</v>
      </c>
      <c r="BP288" s="492">
        <f t="shared" si="641"/>
        <v>1.208829999999983E-2</v>
      </c>
      <c r="BQ288" s="493">
        <f t="shared" si="641"/>
        <v>0.16859679999999977</v>
      </c>
      <c r="BR288" s="492">
        <f t="shared" si="641"/>
        <v>0.16859679999999977</v>
      </c>
      <c r="BS288" s="492">
        <f t="shared" si="641"/>
        <v>0.15359999999999996</v>
      </c>
      <c r="BT288" s="492"/>
      <c r="BU288" s="493"/>
      <c r="BV288" s="497"/>
      <c r="BW288" s="492"/>
      <c r="BX288" s="492"/>
      <c r="BY288" s="493"/>
      <c r="BZ288" s="497"/>
      <c r="CA288" s="492"/>
      <c r="CB288" s="492"/>
      <c r="CC288" s="493"/>
      <c r="CD288" s="9"/>
      <c r="CE288" s="145"/>
      <c r="CF288" s="145"/>
      <c r="CG288" s="145"/>
      <c r="CH288" s="145"/>
      <c r="CI288" s="145"/>
      <c r="CJ288" s="145"/>
      <c r="CK288" s="145"/>
      <c r="CL288" s="145"/>
      <c r="CM288" s="145"/>
      <c r="CN288" s="145"/>
      <c r="CO288" s="145"/>
      <c r="CP288" s="145"/>
      <c r="CQ288" s="145"/>
      <c r="CR288" s="640">
        <f>CR287/CQ287-1</f>
        <v>-0.17359268905033776</v>
      </c>
      <c r="CS288" s="1471">
        <f>CS287/CR287-1</f>
        <v>-6.1943799398626043E-3</v>
      </c>
      <c r="CT288" s="1471">
        <f>CT287/CS287-1</f>
        <v>3.0704696560207356E-2</v>
      </c>
      <c r="CU288" s="1471">
        <f>CU287/CT287-1</f>
        <v>-0.399836860417361</v>
      </c>
      <c r="CV288" s="1471"/>
      <c r="CW288" s="495"/>
      <c r="CX288" s="495"/>
      <c r="CY288" s="495"/>
      <c r="CZ288" s="495"/>
      <c r="DA288" s="495"/>
      <c r="DB288" s="495"/>
      <c r="DC288" s="495"/>
      <c r="DD288" s="1517"/>
      <c r="DE288" s="1483"/>
      <c r="DF288" s="141"/>
      <c r="DG288" s="141"/>
      <c r="DH288" s="141"/>
      <c r="DI288" s="141"/>
      <c r="DJ288" s="141"/>
      <c r="DK288" s="141"/>
      <c r="DL288" s="141"/>
      <c r="DM288" s="141"/>
      <c r="DN288" s="141"/>
      <c r="DO288" s="141"/>
      <c r="DP288" s="141"/>
      <c r="DQ288" s="141"/>
      <c r="DR288" s="141"/>
      <c r="DS288" s="141"/>
      <c r="DT288" s="141"/>
      <c r="DU288" s="141"/>
      <c r="DV288" s="141"/>
      <c r="DW288" s="141"/>
      <c r="DX288" s="141"/>
      <c r="DY288" s="141"/>
      <c r="DZ288" s="1676"/>
      <c r="EA288"/>
      <c r="EB288"/>
      <c r="EC288"/>
      <c r="ED288"/>
      <c r="EE288"/>
      <c r="EF288"/>
    </row>
    <row r="289" spans="1:136" s="52" customFormat="1" hidden="1" outlineLevel="1">
      <c r="A289" s="338"/>
      <c r="B289" s="196"/>
      <c r="C289" s="578"/>
      <c r="D289" s="333" t="s">
        <v>77</v>
      </c>
      <c r="E289" s="578"/>
      <c r="F289" s="145"/>
      <c r="G289" s="145"/>
      <c r="H289" s="145"/>
      <c r="I289" s="228"/>
      <c r="J289" s="145"/>
      <c r="K289" s="145"/>
      <c r="L289" s="145"/>
      <c r="M289" s="228"/>
      <c r="N289" s="145"/>
      <c r="O289" s="145"/>
      <c r="P289" s="145"/>
      <c r="Q289" s="228"/>
      <c r="R289" s="145"/>
      <c r="S289" s="145"/>
      <c r="T289" s="145"/>
      <c r="U289" s="228"/>
      <c r="V289" s="227"/>
      <c r="W289" s="145"/>
      <c r="X289" s="145"/>
      <c r="Y289" s="228"/>
      <c r="Z289" s="227"/>
      <c r="AA289" s="145"/>
      <c r="AB289" s="145"/>
      <c r="AC289" s="228"/>
      <c r="AD289" s="227"/>
      <c r="AE289" s="145"/>
      <c r="AF289" s="145"/>
      <c r="AG289" s="145"/>
      <c r="AH289" s="227"/>
      <c r="AI289" s="145"/>
      <c r="AJ289" s="145"/>
      <c r="AK289" s="145"/>
      <c r="AL289" s="227"/>
      <c r="AM289" s="145"/>
      <c r="AN289" s="145"/>
      <c r="AO289" s="228"/>
      <c r="AP289" s="145"/>
      <c r="AQ289" s="145"/>
      <c r="AR289" s="145"/>
      <c r="AS289" s="145"/>
      <c r="AT289" s="145"/>
      <c r="AU289" s="145"/>
      <c r="AV289" s="145"/>
      <c r="AW289" s="145"/>
      <c r="AX289" s="145"/>
      <c r="AY289" s="145"/>
      <c r="AZ289" s="145"/>
      <c r="BA289" s="228"/>
      <c r="BB289" s="1026"/>
      <c r="BC289" s="495">
        <v>-0.06</v>
      </c>
      <c r="BD289" s="495">
        <v>-0.08</v>
      </c>
      <c r="BE289" s="499">
        <v>-0.06</v>
      </c>
      <c r="BF289" s="1026">
        <v>-0.06</v>
      </c>
      <c r="BG289" s="935">
        <v>0</v>
      </c>
      <c r="BH289" s="495">
        <v>-0.02</v>
      </c>
      <c r="BI289" s="499">
        <v>-0.02</v>
      </c>
      <c r="BJ289" s="1026">
        <v>2.0906211107354095E-2</v>
      </c>
      <c r="BK289" s="495">
        <v>1.2500000000000001E-2</v>
      </c>
      <c r="BL289" s="495">
        <v>-0.01</v>
      </c>
      <c r="BM289" s="495">
        <v>-0.03</v>
      </c>
      <c r="BN289" s="1026">
        <v>0</v>
      </c>
      <c r="BO289" s="495">
        <v>1.2999999999999999E-2</v>
      </c>
      <c r="BP289" s="495">
        <v>0.03</v>
      </c>
      <c r="BQ289" s="499">
        <v>0.12</v>
      </c>
      <c r="BR289" s="1026">
        <v>0</v>
      </c>
      <c r="BS289" s="495">
        <v>0</v>
      </c>
      <c r="BT289" s="495"/>
      <c r="BU289" s="499"/>
      <c r="BV289" s="495"/>
      <c r="BW289" s="495"/>
      <c r="BX289" s="495"/>
      <c r="BY289" s="499"/>
      <c r="BZ289" s="495"/>
      <c r="CA289" s="495"/>
      <c r="CB289" s="495"/>
      <c r="CC289" s="499"/>
      <c r="CD289" s="9"/>
      <c r="CE289" s="145"/>
      <c r="CF289" s="145"/>
      <c r="CG289" s="145"/>
      <c r="CH289" s="145"/>
      <c r="CI289" s="145"/>
      <c r="CJ289" s="145"/>
      <c r="CK289" s="145"/>
      <c r="CL289" s="145"/>
      <c r="CM289" s="145"/>
      <c r="CN289" s="145"/>
      <c r="CO289" s="145"/>
      <c r="CP289" s="145"/>
      <c r="CQ289" s="145"/>
      <c r="CR289" s="141"/>
      <c r="CS289" s="141"/>
      <c r="CT289" s="141"/>
      <c r="CU289" s="141"/>
      <c r="CV289" s="141"/>
      <c r="CW289" s="141"/>
      <c r="CX289" s="141"/>
      <c r="CY289" s="141"/>
      <c r="CZ289" s="141"/>
      <c r="DA289" s="141"/>
      <c r="DB289" s="141"/>
      <c r="DC289" s="141"/>
      <c r="DD289" s="1517"/>
      <c r="DE289" s="1483"/>
      <c r="DF289" s="141"/>
      <c r="DG289" s="141"/>
      <c r="DH289" s="141"/>
      <c r="DI289" s="141"/>
      <c r="DJ289" s="141"/>
      <c r="DK289" s="141"/>
      <c r="DL289" s="141"/>
      <c r="DM289" s="141"/>
      <c r="DN289" s="141"/>
      <c r="DO289" s="141"/>
      <c r="DP289" s="141"/>
      <c r="DQ289" s="141"/>
      <c r="DR289" s="141"/>
      <c r="DS289" s="141"/>
      <c r="DT289" s="141"/>
      <c r="DU289" s="141"/>
      <c r="DV289" s="141"/>
      <c r="DW289" s="141"/>
      <c r="DX289" s="141"/>
      <c r="DY289" s="141"/>
      <c r="DZ289" s="1676"/>
      <c r="EA289"/>
      <c r="EB289"/>
      <c r="EC289"/>
      <c r="ED289"/>
      <c r="EE289"/>
      <c r="EF289"/>
    </row>
    <row r="290" spans="1:136" hidden="1" outlineLevel="1">
      <c r="A290" s="338"/>
      <c r="B290" s="187"/>
      <c r="C290" s="578"/>
      <c r="D290" s="333"/>
      <c r="E290" s="578"/>
      <c r="F290" s="145"/>
      <c r="G290" s="145"/>
      <c r="H290" s="145"/>
      <c r="I290" s="228"/>
      <c r="J290" s="145"/>
      <c r="K290" s="145"/>
      <c r="L290" s="145"/>
      <c r="M290" s="228"/>
      <c r="N290" s="145"/>
      <c r="O290" s="145"/>
      <c r="P290" s="145"/>
      <c r="Q290" s="228"/>
      <c r="R290" s="145"/>
      <c r="S290" s="145"/>
      <c r="T290" s="145"/>
      <c r="U290" s="228"/>
      <c r="V290" s="227"/>
      <c r="W290" s="145"/>
      <c r="X290" s="145"/>
      <c r="Y290" s="228"/>
      <c r="Z290" s="227"/>
      <c r="AA290" s="145"/>
      <c r="AB290" s="145"/>
      <c r="AC290" s="228"/>
      <c r="AD290" s="227"/>
      <c r="AE290" s="145"/>
      <c r="AF290" s="145"/>
      <c r="AG290" s="145"/>
      <c r="AH290" s="227"/>
      <c r="AI290" s="145"/>
      <c r="AJ290" s="145"/>
      <c r="AK290" s="145"/>
      <c r="AL290" s="227"/>
      <c r="AM290" s="145"/>
      <c r="AN290" s="145"/>
      <c r="AO290" s="228"/>
      <c r="AP290" s="145"/>
      <c r="AQ290" s="145"/>
      <c r="AR290" s="145"/>
      <c r="AS290" s="145"/>
      <c r="AT290" s="145"/>
      <c r="AU290" s="145"/>
      <c r="AV290" s="145"/>
      <c r="AW290" s="145"/>
      <c r="AX290" s="145"/>
      <c r="AY290" s="145"/>
      <c r="AZ290" s="145"/>
      <c r="BA290" s="228"/>
      <c r="BB290" s="1026"/>
      <c r="BC290" s="495"/>
      <c r="BD290" s="495"/>
      <c r="BE290" s="499"/>
      <c r="BF290" s="1026"/>
      <c r="BG290" s="935"/>
      <c r="BH290" s="495"/>
      <c r="BI290" s="499"/>
      <c r="BJ290" s="1026"/>
      <c r="BK290" s="495"/>
      <c r="BL290" s="495"/>
      <c r="BM290" s="495"/>
      <c r="BN290" s="1026"/>
      <c r="BO290" s="495"/>
      <c r="BP290" s="495"/>
      <c r="BQ290" s="499"/>
      <c r="BR290" s="1026"/>
      <c r="BS290" s="145"/>
      <c r="BT290" s="145"/>
      <c r="BU290" s="228"/>
      <c r="BV290" s="145"/>
      <c r="BW290" s="145"/>
      <c r="BX290" s="145"/>
      <c r="BY290" s="228"/>
      <c r="BZ290" s="145"/>
      <c r="CA290" s="145"/>
      <c r="CB290" s="145"/>
      <c r="CC290" s="228"/>
      <c r="CD290" s="9"/>
      <c r="CE290" s="145"/>
      <c r="CF290" s="145"/>
      <c r="CG290" s="145"/>
      <c r="CH290" s="145"/>
      <c r="CI290" s="145"/>
      <c r="CJ290" s="145"/>
      <c r="CK290" s="145"/>
      <c r="CL290" s="145"/>
      <c r="CM290" s="145"/>
      <c r="CN290" s="145"/>
      <c r="CO290" s="145"/>
      <c r="CP290" s="145"/>
      <c r="CQ290" s="145"/>
      <c r="CR290" s="141"/>
      <c r="CS290" s="141"/>
      <c r="CT290" s="141"/>
      <c r="CU290" s="141"/>
      <c r="CV290" s="141"/>
      <c r="CW290" s="141"/>
      <c r="CX290" s="141"/>
      <c r="CY290" s="141"/>
      <c r="CZ290" s="141"/>
      <c r="DA290" s="141"/>
      <c r="DB290" s="141"/>
      <c r="DC290" s="141"/>
      <c r="DD290" s="1517"/>
      <c r="DE290" s="1483"/>
      <c r="DF290" s="141"/>
      <c r="DG290" s="141"/>
      <c r="DH290" s="141"/>
      <c r="DI290" s="141"/>
      <c r="DJ290" s="141"/>
      <c r="DK290" s="141"/>
      <c r="DL290" s="141"/>
      <c r="DM290" s="141"/>
      <c r="DN290" s="141"/>
      <c r="DO290" s="141"/>
      <c r="DP290" s="141"/>
      <c r="DQ290" s="141"/>
      <c r="DR290" s="141"/>
      <c r="DS290" s="141"/>
      <c r="DT290" s="141"/>
      <c r="DU290" s="141"/>
      <c r="DV290" s="141"/>
      <c r="DW290" s="141"/>
      <c r="DX290" s="141"/>
      <c r="DY290" s="141"/>
      <c r="DZ290" s="1676"/>
    </row>
    <row r="291" spans="1:136" collapsed="1">
      <c r="A291" s="9"/>
      <c r="B291" s="1705" t="s">
        <v>944</v>
      </c>
      <c r="C291" s="1706"/>
      <c r="D291" s="1707"/>
      <c r="E291" s="1707"/>
      <c r="F291" s="145"/>
      <c r="G291" s="145"/>
      <c r="H291" s="145"/>
      <c r="I291" s="228"/>
      <c r="J291" s="145"/>
      <c r="K291" s="145"/>
      <c r="L291" s="145"/>
      <c r="M291" s="228"/>
      <c r="N291" s="145"/>
      <c r="O291" s="145"/>
      <c r="P291" s="145"/>
      <c r="Q291" s="228"/>
      <c r="R291" s="145"/>
      <c r="S291" s="145"/>
      <c r="T291" s="145"/>
      <c r="U291" s="228"/>
      <c r="V291" s="227"/>
      <c r="W291" s="145"/>
      <c r="X291" s="145"/>
      <c r="Y291" s="228"/>
      <c r="Z291" s="227"/>
      <c r="AA291" s="145"/>
      <c r="AB291" s="145"/>
      <c r="AC291" s="228"/>
      <c r="AD291" s="227"/>
      <c r="AE291" s="145"/>
      <c r="AF291" s="145"/>
      <c r="AG291" s="145"/>
      <c r="AH291" s="227"/>
      <c r="AI291" s="145"/>
      <c r="AJ291" s="145"/>
      <c r="AK291" s="145"/>
      <c r="AL291" s="227"/>
      <c r="AM291" s="145"/>
      <c r="AN291" s="145"/>
      <c r="AO291" s="228"/>
      <c r="AP291" s="145"/>
      <c r="AQ291" s="145"/>
      <c r="AR291" s="145"/>
      <c r="AS291" s="145"/>
      <c r="AT291" s="145"/>
      <c r="AU291" s="145"/>
      <c r="AV291" s="145"/>
      <c r="AW291" s="145"/>
      <c r="AX291" s="145"/>
      <c r="AY291" s="145"/>
      <c r="AZ291" s="145"/>
      <c r="BA291" s="228"/>
      <c r="BB291" s="1458">
        <v>500</v>
      </c>
      <c r="BC291" s="1373">
        <v>568</v>
      </c>
      <c r="BD291" s="1373">
        <v>500</v>
      </c>
      <c r="BE291" s="1664">
        <v>401</v>
      </c>
      <c r="BF291" s="1458">
        <v>455</v>
      </c>
      <c r="BG291" s="1373">
        <v>543</v>
      </c>
      <c r="BH291" s="1373">
        <v>479</v>
      </c>
      <c r="BI291" s="1664">
        <v>444</v>
      </c>
      <c r="BJ291" s="1458">
        <v>504</v>
      </c>
      <c r="BK291" s="1373">
        <v>528</v>
      </c>
      <c r="BL291" s="1373">
        <v>452</v>
      </c>
      <c r="BM291" s="1373">
        <v>366</v>
      </c>
      <c r="BN291" s="1458">
        <v>399</v>
      </c>
      <c r="BO291" s="1373">
        <v>459</v>
      </c>
      <c r="BP291" s="1373">
        <v>346</v>
      </c>
      <c r="BQ291" s="1664">
        <v>666</v>
      </c>
      <c r="BR291" s="1458">
        <v>976</v>
      </c>
      <c r="BS291" s="1373">
        <v>1076</v>
      </c>
      <c r="BT291" s="1373">
        <v>1003</v>
      </c>
      <c r="BU291" s="1664">
        <v>1013</v>
      </c>
      <c r="BV291" s="1458">
        <v>1136</v>
      </c>
      <c r="BW291" s="2274">
        <v>1255</v>
      </c>
      <c r="BX291" s="729">
        <f t="shared" ref="BX291:CC291" si="642">BX295*BX299</f>
        <v>1073.527</v>
      </c>
      <c r="BY291" s="1216">
        <f t="shared" si="642"/>
        <v>1052.05646</v>
      </c>
      <c r="BZ291" s="1195">
        <f t="shared" si="642"/>
        <v>1109.3935370700001</v>
      </c>
      <c r="CA291" s="729">
        <f t="shared" si="642"/>
        <v>1113.7756415414262</v>
      </c>
      <c r="CB291" s="729">
        <f t="shared" si="642"/>
        <v>1026.0101209879617</v>
      </c>
      <c r="CC291" s="1216">
        <f t="shared" si="642"/>
        <v>1000.2059664451143</v>
      </c>
      <c r="CD291" s="9"/>
      <c r="CE291" s="145"/>
      <c r="CF291" s="145"/>
      <c r="CG291" s="145"/>
      <c r="CH291" s="145"/>
      <c r="CI291" s="145"/>
      <c r="CJ291" s="145"/>
      <c r="CK291" s="145"/>
      <c r="CL291" s="145"/>
      <c r="CM291" s="145"/>
      <c r="CN291" s="145"/>
      <c r="CO291" s="145"/>
      <c r="CP291" s="145"/>
      <c r="CQ291" s="729">
        <f>SUM(BB291:BE291)</f>
        <v>1969</v>
      </c>
      <c r="CR291" s="729">
        <f>SUM(BF291:BI291)</f>
        <v>1921</v>
      </c>
      <c r="CS291" s="729">
        <f>SUM(BJ291:BM291)</f>
        <v>1850</v>
      </c>
      <c r="CT291" s="729">
        <f>SUM(BN291:BQ291)</f>
        <v>1870</v>
      </c>
      <c r="CU291" s="729">
        <f>SUM(BR291:BU291)</f>
        <v>4068</v>
      </c>
      <c r="CV291" s="729">
        <f>SUM(BV291:BY291)</f>
        <v>4516.5834599999998</v>
      </c>
      <c r="CW291" s="729">
        <f>SUM(BZ291:CC291)</f>
        <v>4249.3852660445018</v>
      </c>
      <c r="CX291" s="729">
        <f t="shared" ref="CX291:DC291" si="643">CX295*CX299</f>
        <v>4334.372971365392</v>
      </c>
      <c r="CY291" s="729">
        <f t="shared" si="643"/>
        <v>4332.6392221768447</v>
      </c>
      <c r="CZ291" s="729">
        <f t="shared" si="643"/>
        <v>4288.4463021106412</v>
      </c>
      <c r="DA291" s="729">
        <f t="shared" si="643"/>
        <v>4244.7041498291137</v>
      </c>
      <c r="DB291" s="729">
        <f t="shared" si="643"/>
        <v>4201.4081675008565</v>
      </c>
      <c r="DC291" s="729">
        <f t="shared" si="643"/>
        <v>4158.5538041923473</v>
      </c>
      <c r="DD291" s="1517"/>
      <c r="DE291" s="1483"/>
      <c r="DF291" s="141"/>
      <c r="DG291" s="141"/>
      <c r="DH291" s="141"/>
      <c r="DI291" s="141"/>
      <c r="DJ291" s="141"/>
      <c r="DK291" s="141"/>
      <c r="DL291" s="141"/>
      <c r="DM291" s="141"/>
      <c r="DN291" s="141"/>
      <c r="DO291" s="141"/>
      <c r="DP291" s="141"/>
      <c r="DQ291" s="141"/>
      <c r="DR291" s="141"/>
      <c r="DS291" s="141"/>
      <c r="DT291" s="141"/>
      <c r="DU291" s="141"/>
      <c r="DV291" s="141"/>
      <c r="DW291" s="141"/>
      <c r="DX291" s="141"/>
      <c r="DY291" s="141"/>
      <c r="DZ291" s="1676"/>
    </row>
    <row r="292" spans="1:136">
      <c r="A292" s="338"/>
      <c r="B292" s="578"/>
      <c r="C292" s="1180" t="s">
        <v>76</v>
      </c>
      <c r="D292" s="1182"/>
      <c r="E292" s="1182"/>
      <c r="F292" s="145"/>
      <c r="G292" s="145"/>
      <c r="H292" s="145"/>
      <c r="I292" s="228"/>
      <c r="J292" s="145"/>
      <c r="K292" s="145"/>
      <c r="L292" s="145"/>
      <c r="M292" s="228"/>
      <c r="N292" s="145"/>
      <c r="O292" s="145"/>
      <c r="P292" s="145"/>
      <c r="Q292" s="228"/>
      <c r="R292" s="145"/>
      <c r="S292" s="145"/>
      <c r="T292" s="145"/>
      <c r="U292" s="228"/>
      <c r="V292" s="227"/>
      <c r="W292" s="145"/>
      <c r="X292" s="145"/>
      <c r="Y292" s="228"/>
      <c r="Z292" s="227"/>
      <c r="AA292" s="145"/>
      <c r="AB292" s="145"/>
      <c r="AC292" s="228"/>
      <c r="AD292" s="227"/>
      <c r="AE292" s="145"/>
      <c r="AF292" s="145"/>
      <c r="AG292" s="145"/>
      <c r="AH292" s="227"/>
      <c r="AI292" s="145"/>
      <c r="AJ292" s="145"/>
      <c r="AK292" s="145"/>
      <c r="AL292" s="227"/>
      <c r="AM292" s="145"/>
      <c r="AN292" s="145"/>
      <c r="AO292" s="228"/>
      <c r="AP292" s="145"/>
      <c r="AQ292" s="145"/>
      <c r="AR292" s="145"/>
      <c r="AS292" s="145"/>
      <c r="AT292" s="145"/>
      <c r="AU292" s="145"/>
      <c r="AV292" s="145"/>
      <c r="AW292" s="145"/>
      <c r="AX292" s="145"/>
      <c r="AY292" s="145"/>
      <c r="AZ292" s="145"/>
      <c r="BA292" s="228"/>
      <c r="BB292" s="640"/>
      <c r="BC292" s="640"/>
      <c r="BD292" s="640"/>
      <c r="BE292" s="949"/>
      <c r="BF292" s="640">
        <f t="shared" ref="BF292:BS292" si="644">BF291/BB291-1</f>
        <v>-8.9999999999999969E-2</v>
      </c>
      <c r="BG292" s="640">
        <f t="shared" si="644"/>
        <v>-4.401408450704225E-2</v>
      </c>
      <c r="BH292" s="640">
        <f t="shared" si="644"/>
        <v>-4.2000000000000037E-2</v>
      </c>
      <c r="BI292" s="949">
        <f t="shared" si="644"/>
        <v>0.10723192019950134</v>
      </c>
      <c r="BJ292" s="640">
        <f t="shared" si="644"/>
        <v>0.10769230769230775</v>
      </c>
      <c r="BK292" s="640">
        <f t="shared" si="644"/>
        <v>-2.7624309392265234E-2</v>
      </c>
      <c r="BL292" s="640">
        <f t="shared" si="644"/>
        <v>-5.6367432150313146E-2</v>
      </c>
      <c r="BM292" s="640">
        <f t="shared" si="644"/>
        <v>-0.17567567567567566</v>
      </c>
      <c r="BN292" s="2209">
        <f t="shared" si="644"/>
        <v>-0.20833333333333337</v>
      </c>
      <c r="BO292" s="640">
        <f t="shared" si="644"/>
        <v>-0.13068181818181823</v>
      </c>
      <c r="BP292" s="640">
        <f t="shared" si="644"/>
        <v>-0.23451327433628322</v>
      </c>
      <c r="BQ292" s="949">
        <f t="shared" si="644"/>
        <v>0.81967213114754101</v>
      </c>
      <c r="BR292" s="640">
        <f t="shared" ref="BR292:BY292" si="645">BR291/BN291-1</f>
        <v>1.4461152882205512</v>
      </c>
      <c r="BS292" s="640">
        <f t="shared" si="644"/>
        <v>1.3442265795206971</v>
      </c>
      <c r="BT292" s="640">
        <f t="shared" si="645"/>
        <v>1.898843930635838</v>
      </c>
      <c r="BU292" s="949">
        <f t="shared" si="645"/>
        <v>0.5210210210210211</v>
      </c>
      <c r="BV292" s="640">
        <f t="shared" si="645"/>
        <v>0.16393442622950816</v>
      </c>
      <c r="BW292" s="640">
        <f t="shared" si="645"/>
        <v>0.16635687732342008</v>
      </c>
      <c r="BX292" s="640">
        <f t="shared" si="645"/>
        <v>7.0316051844466543E-2</v>
      </c>
      <c r="BY292" s="949">
        <f t="shared" si="645"/>
        <v>3.8555241855873668E-2</v>
      </c>
      <c r="BZ292" s="640">
        <f>BZ291/BV291-1</f>
        <v>-2.342118215669009E-2</v>
      </c>
      <c r="CA292" s="640">
        <f>CA291/BW291-1</f>
        <v>-0.11252936928970025</v>
      </c>
      <c r="CB292" s="640">
        <f>CB291/BX291-1</f>
        <v>-4.4262397696600342E-2</v>
      </c>
      <c r="CC292" s="949">
        <f>CC291/BY291-1</f>
        <v>-4.9284896320950011E-2</v>
      </c>
      <c r="CD292" s="9"/>
      <c r="CE292" s="145"/>
      <c r="CF292" s="145"/>
      <c r="CG292" s="145"/>
      <c r="CH292" s="145"/>
      <c r="CI292" s="145"/>
      <c r="CJ292" s="145"/>
      <c r="CK292" s="145"/>
      <c r="CL292" s="145"/>
      <c r="CM292" s="145"/>
      <c r="CN292" s="145"/>
      <c r="CO292" s="145"/>
      <c r="CP292" s="145"/>
      <c r="CQ292" s="145"/>
      <c r="CR292" s="640">
        <f>CR291/CQ291-1</f>
        <v>-2.4377856780091411E-2</v>
      </c>
      <c r="CS292" s="1471">
        <f>CS291/CR291-1</f>
        <v>-3.6959916710046836E-2</v>
      </c>
      <c r="CT292" s="1471">
        <f>CT291/CS291-1</f>
        <v>1.08108108108107E-2</v>
      </c>
      <c r="CU292" s="1471">
        <f>CU291/CT291-1</f>
        <v>1.1754010695187165</v>
      </c>
      <c r="CV292" s="1471">
        <f t="shared" ref="CV292:DC292" si="646">CV291/CU291-1</f>
        <v>0.11027125368731561</v>
      </c>
      <c r="CW292" s="1471">
        <f t="shared" si="646"/>
        <v>-5.9159361566518687E-2</v>
      </c>
      <c r="CX292" s="1471">
        <f t="shared" si="646"/>
        <v>2.0000000000000018E-2</v>
      </c>
      <c r="CY292" s="1471">
        <f t="shared" si="646"/>
        <v>-4.0000000000028901E-4</v>
      </c>
      <c r="CZ292" s="1471">
        <f t="shared" si="646"/>
        <v>-1.0199999999999876E-2</v>
      </c>
      <c r="DA292" s="1471">
        <f t="shared" si="646"/>
        <v>-1.0199999999999765E-2</v>
      </c>
      <c r="DB292" s="1471">
        <f t="shared" si="646"/>
        <v>-1.0200000000000098E-2</v>
      </c>
      <c r="DC292" s="1471">
        <f t="shared" si="646"/>
        <v>-1.0200000000000098E-2</v>
      </c>
      <c r="DD292" s="1517"/>
      <c r="DE292" s="2126"/>
      <c r="DF292" s="141"/>
      <c r="DG292" s="141"/>
      <c r="DH292" s="141"/>
      <c r="DI292" s="141"/>
      <c r="DJ292" s="141"/>
      <c r="DK292" s="141"/>
      <c r="DL292" s="141"/>
      <c r="DM292" s="141"/>
      <c r="DN292" s="141"/>
      <c r="DO292" s="141"/>
      <c r="DP292" s="141"/>
      <c r="DQ292" s="141"/>
      <c r="DR292" s="141"/>
      <c r="DS292" s="141"/>
      <c r="DT292" s="141"/>
      <c r="DU292" s="141"/>
      <c r="DV292" s="141"/>
      <c r="DW292" s="141"/>
      <c r="DX292" s="141"/>
      <c r="DY292" s="141"/>
      <c r="DZ292" s="1676"/>
    </row>
    <row r="293" spans="1:136">
      <c r="A293" s="338"/>
      <c r="B293" s="578"/>
      <c r="C293" s="333" t="s">
        <v>77</v>
      </c>
      <c r="D293" s="578"/>
      <c r="E293" s="578"/>
      <c r="F293" s="145"/>
      <c r="G293" s="145"/>
      <c r="H293" s="145"/>
      <c r="I293" s="228"/>
      <c r="J293" s="145"/>
      <c r="K293" s="145"/>
      <c r="L293" s="145"/>
      <c r="M293" s="228"/>
      <c r="N293" s="145"/>
      <c r="O293" s="145"/>
      <c r="P293" s="145"/>
      <c r="Q293" s="228"/>
      <c r="R293" s="145"/>
      <c r="S293" s="145"/>
      <c r="T293" s="145"/>
      <c r="U293" s="228"/>
      <c r="V293" s="227"/>
      <c r="W293" s="145"/>
      <c r="X293" s="145"/>
      <c r="Y293" s="228"/>
      <c r="Z293" s="227"/>
      <c r="AA293" s="145"/>
      <c r="AB293" s="145"/>
      <c r="AC293" s="228"/>
      <c r="AD293" s="227"/>
      <c r="AE293" s="145"/>
      <c r="AF293" s="145"/>
      <c r="AG293" s="145"/>
      <c r="AH293" s="227"/>
      <c r="AI293" s="145"/>
      <c r="AJ293" s="145"/>
      <c r="AK293" s="145"/>
      <c r="AL293" s="227"/>
      <c r="AM293" s="145"/>
      <c r="AN293" s="145"/>
      <c r="AO293" s="228"/>
      <c r="AP293" s="145"/>
      <c r="AQ293" s="145"/>
      <c r="AR293" s="145"/>
      <c r="AS293" s="145"/>
      <c r="AT293" s="145"/>
      <c r="AU293" s="145"/>
      <c r="AV293" s="145"/>
      <c r="AW293" s="145"/>
      <c r="AX293" s="145"/>
      <c r="AY293" s="145"/>
      <c r="AZ293" s="145"/>
      <c r="BA293" s="228"/>
      <c r="BB293" s="852"/>
      <c r="BC293" s="852">
        <f>BC291/BB291-1</f>
        <v>0.1359999999999999</v>
      </c>
      <c r="BD293" s="852">
        <f>BD291/BC291-1</f>
        <v>-0.11971830985915488</v>
      </c>
      <c r="BE293" s="851">
        <f>BE291/BD291-1</f>
        <v>-0.19799999999999995</v>
      </c>
      <c r="BF293" s="852">
        <f t="shared" ref="BF293:BS293" si="647">BF291/BE291-1</f>
        <v>0.13466334164588534</v>
      </c>
      <c r="BG293" s="852">
        <f t="shared" si="647"/>
        <v>0.19340659340659339</v>
      </c>
      <c r="BH293" s="852">
        <f t="shared" si="647"/>
        <v>-0.11786372007366486</v>
      </c>
      <c r="BI293" s="851">
        <f t="shared" si="647"/>
        <v>-7.3068893528183687E-2</v>
      </c>
      <c r="BJ293" s="852">
        <f t="shared" si="647"/>
        <v>0.13513513513513509</v>
      </c>
      <c r="BK293" s="852">
        <f t="shared" si="647"/>
        <v>4.7619047619047672E-2</v>
      </c>
      <c r="BL293" s="852">
        <f t="shared" si="647"/>
        <v>-0.14393939393939392</v>
      </c>
      <c r="BM293" s="852">
        <f t="shared" si="647"/>
        <v>-0.19026548672566368</v>
      </c>
      <c r="BN293" s="850">
        <f t="shared" si="647"/>
        <v>9.0163934426229497E-2</v>
      </c>
      <c r="BO293" s="852">
        <f t="shared" si="647"/>
        <v>0.15037593984962405</v>
      </c>
      <c r="BP293" s="852">
        <f t="shared" si="647"/>
        <v>-0.24618736383442263</v>
      </c>
      <c r="BQ293" s="851">
        <f t="shared" si="647"/>
        <v>0.92485549132947975</v>
      </c>
      <c r="BR293" s="852">
        <f t="shared" ref="BR293:BY293" si="648">BR291/BQ291-1</f>
        <v>0.46546546546546552</v>
      </c>
      <c r="BS293" s="852">
        <f t="shared" si="647"/>
        <v>0.10245901639344268</v>
      </c>
      <c r="BT293" s="852">
        <f t="shared" si="648"/>
        <v>-6.7843866171003686E-2</v>
      </c>
      <c r="BU293" s="851">
        <f t="shared" si="648"/>
        <v>9.9700897308074854E-3</v>
      </c>
      <c r="BV293" s="852">
        <f t="shared" si="648"/>
        <v>0.12142152023691999</v>
      </c>
      <c r="BW293" s="852">
        <f t="shared" si="648"/>
        <v>0.10475352112676051</v>
      </c>
      <c r="BX293" s="852">
        <f t="shared" si="648"/>
        <v>-0.14459999999999995</v>
      </c>
      <c r="BY293" s="851">
        <f t="shared" si="648"/>
        <v>-2.0000000000000018E-2</v>
      </c>
      <c r="BZ293" s="852">
        <f>BZ291/BY291-1</f>
        <v>5.4499999999999993E-2</v>
      </c>
      <c r="CA293" s="852">
        <f>CA291/BZ291-1</f>
        <v>3.949999999999676E-3</v>
      </c>
      <c r="CB293" s="852">
        <f>CB291/CA291-1</f>
        <v>-7.8800000000000092E-2</v>
      </c>
      <c r="CC293" s="851">
        <f>CC291/CB291-1</f>
        <v>-2.5150000000000117E-2</v>
      </c>
      <c r="CD293" s="9"/>
      <c r="CE293" s="145"/>
      <c r="CF293" s="145"/>
      <c r="CG293" s="145"/>
      <c r="CH293" s="145"/>
      <c r="CI293" s="145"/>
      <c r="CJ293" s="145"/>
      <c r="CK293" s="145"/>
      <c r="CL293" s="145"/>
      <c r="CM293" s="145"/>
      <c r="CN293" s="145"/>
      <c r="CO293" s="145"/>
      <c r="CP293" s="145"/>
      <c r="CQ293" s="145"/>
      <c r="CR293" s="141"/>
      <c r="CS293" s="141"/>
      <c r="CT293" s="141"/>
      <c r="CU293" s="141"/>
      <c r="CV293" s="141"/>
      <c r="CW293" s="141"/>
      <c r="CX293" s="141"/>
      <c r="CY293" s="141"/>
      <c r="CZ293" s="141"/>
      <c r="DA293" s="141"/>
      <c r="DB293" s="141"/>
      <c r="DC293" s="141"/>
      <c r="DD293" s="1517"/>
      <c r="DE293" s="1483"/>
      <c r="DF293" s="141"/>
      <c r="DG293" s="141"/>
      <c r="DH293" s="141"/>
      <c r="DI293" s="141"/>
      <c r="DJ293" s="141"/>
      <c r="DK293" s="141"/>
      <c r="DL293" s="141"/>
      <c r="DM293" s="141"/>
      <c r="DN293" s="141"/>
      <c r="DO293" s="141"/>
      <c r="DP293" s="141"/>
      <c r="DQ293" s="141"/>
      <c r="DR293" s="141"/>
      <c r="DS293" s="141"/>
      <c r="DT293" s="141"/>
      <c r="DU293" s="141"/>
      <c r="DV293" s="141"/>
      <c r="DW293" s="141"/>
      <c r="DX293" s="141"/>
      <c r="DY293" s="141"/>
      <c r="DZ293" s="1676"/>
    </row>
    <row r="294" spans="1:136">
      <c r="A294" s="338"/>
      <c r="B294" s="187"/>
      <c r="C294" s="578"/>
      <c r="D294" s="333"/>
      <c r="E294" s="578"/>
      <c r="F294" s="145"/>
      <c r="G294" s="145"/>
      <c r="H294" s="145"/>
      <c r="I294" s="228"/>
      <c r="J294" s="145"/>
      <c r="K294" s="145"/>
      <c r="L294" s="145"/>
      <c r="M294" s="228"/>
      <c r="N294" s="145"/>
      <c r="O294" s="145"/>
      <c r="P294" s="145"/>
      <c r="Q294" s="228"/>
      <c r="R294" s="145"/>
      <c r="S294" s="145"/>
      <c r="T294" s="145"/>
      <c r="U294" s="228"/>
      <c r="V294" s="227"/>
      <c r="W294" s="145"/>
      <c r="X294" s="145"/>
      <c r="Y294" s="228"/>
      <c r="Z294" s="227"/>
      <c r="AA294" s="145"/>
      <c r="AB294" s="145"/>
      <c r="AC294" s="228"/>
      <c r="AD294" s="227"/>
      <c r="AE294" s="145"/>
      <c r="AF294" s="145"/>
      <c r="AG294" s="145"/>
      <c r="AH294" s="227"/>
      <c r="AI294" s="145"/>
      <c r="AJ294" s="145"/>
      <c r="AK294" s="145"/>
      <c r="AL294" s="227"/>
      <c r="AM294" s="145"/>
      <c r="AN294" s="145"/>
      <c r="AO294" s="228"/>
      <c r="AP294" s="145"/>
      <c r="AQ294" s="145"/>
      <c r="AR294" s="145"/>
      <c r="AS294" s="145"/>
      <c r="AT294" s="145"/>
      <c r="AU294" s="145"/>
      <c r="AV294" s="145"/>
      <c r="AW294" s="145"/>
      <c r="AX294" s="145"/>
      <c r="AY294" s="145"/>
      <c r="AZ294" s="145"/>
      <c r="BA294" s="228"/>
      <c r="BB294" s="852"/>
      <c r="BC294" s="852"/>
      <c r="BD294" s="852"/>
      <c r="BE294" s="851"/>
      <c r="BF294" s="852"/>
      <c r="BG294" s="852"/>
      <c r="BH294" s="852"/>
      <c r="BI294" s="851"/>
      <c r="BJ294" s="852"/>
      <c r="BK294" s="852"/>
      <c r="BL294" s="852"/>
      <c r="BM294" s="852"/>
      <c r="BN294" s="850"/>
      <c r="BO294" s="852"/>
      <c r="BP294" s="852"/>
      <c r="BQ294" s="851"/>
      <c r="BR294" s="852"/>
      <c r="BS294" s="852"/>
      <c r="BT294" s="145"/>
      <c r="BU294" s="216"/>
      <c r="BV294" s="852"/>
      <c r="BW294" s="852"/>
      <c r="BX294" s="2215"/>
      <c r="BY294" s="2216"/>
      <c r="BZ294" s="2215"/>
      <c r="CA294" s="2215"/>
      <c r="CB294" s="2215"/>
      <c r="CC294" s="2216"/>
      <c r="CD294" s="9"/>
      <c r="CE294" s="145"/>
      <c r="CF294" s="145"/>
      <c r="CG294" s="145"/>
      <c r="CH294" s="145"/>
      <c r="CI294" s="145"/>
      <c r="CJ294" s="145"/>
      <c r="CK294" s="145"/>
      <c r="CL294" s="145"/>
      <c r="CM294" s="145"/>
      <c r="CN294" s="145"/>
      <c r="CO294" s="145"/>
      <c r="CP294" s="145"/>
      <c r="CQ294" s="145"/>
      <c r="CR294" s="141"/>
      <c r="CS294" s="141"/>
      <c r="CT294" s="141"/>
      <c r="CU294" s="141"/>
      <c r="CV294" s="141"/>
      <c r="CW294" s="141"/>
      <c r="CX294" s="141"/>
      <c r="CY294" s="141"/>
      <c r="CZ294" s="141"/>
      <c r="DA294" s="141"/>
      <c r="DB294" s="141"/>
      <c r="DC294" s="141"/>
      <c r="DD294" s="1517"/>
      <c r="DE294" s="1483"/>
      <c r="DF294" s="141"/>
      <c r="DG294" s="141"/>
      <c r="DH294" s="141"/>
      <c r="DI294" s="141"/>
      <c r="DJ294" s="141"/>
      <c r="DK294" s="141"/>
      <c r="DL294" s="141"/>
      <c r="DM294" s="141"/>
      <c r="DN294" s="141"/>
      <c r="DO294" s="141"/>
      <c r="DP294" s="141"/>
      <c r="DQ294" s="141"/>
      <c r="DR294" s="141"/>
      <c r="DS294" s="141"/>
      <c r="DT294" s="141"/>
      <c r="DU294" s="141"/>
      <c r="DV294" s="141"/>
      <c r="DW294" s="141"/>
      <c r="DX294" s="141"/>
      <c r="DY294" s="141"/>
      <c r="DZ294" s="1676"/>
    </row>
    <row r="295" spans="1:136">
      <c r="A295" s="9"/>
      <c r="B295" s="187"/>
      <c r="C295" s="187" t="s">
        <v>973</v>
      </c>
      <c r="D295" s="31"/>
      <c r="E295" s="816"/>
      <c r="F295" s="145"/>
      <c r="G295" s="145"/>
      <c r="H295" s="145"/>
      <c r="I295" s="228"/>
      <c r="J295" s="145"/>
      <c r="K295" s="145"/>
      <c r="L295" s="145"/>
      <c r="M295" s="228"/>
      <c r="N295" s="145"/>
      <c r="O295" s="145"/>
      <c r="P295" s="145"/>
      <c r="Q295" s="228"/>
      <c r="R295" s="145"/>
      <c r="S295" s="145"/>
      <c r="T295" s="145"/>
      <c r="U295" s="228"/>
      <c r="V295" s="227"/>
      <c r="W295" s="145"/>
      <c r="X295" s="145"/>
      <c r="Y295" s="228"/>
      <c r="Z295" s="227"/>
      <c r="AA295" s="145"/>
      <c r="AB295" s="145"/>
      <c r="AC295" s="228"/>
      <c r="AD295" s="227"/>
      <c r="AE295" s="145"/>
      <c r="AF295" s="145"/>
      <c r="AG295" s="145"/>
      <c r="AH295" s="227"/>
      <c r="AI295" s="145"/>
      <c r="AJ295" s="145"/>
      <c r="AK295" s="145"/>
      <c r="AL295" s="227"/>
      <c r="AM295" s="145"/>
      <c r="AN295" s="145"/>
      <c r="AO295" s="228"/>
      <c r="AP295" s="145"/>
      <c r="AQ295" s="145"/>
      <c r="AR295" s="145"/>
      <c r="AS295" s="145"/>
      <c r="AT295" s="145"/>
      <c r="AU295" s="145"/>
      <c r="AV295" s="145"/>
      <c r="AW295" s="145"/>
      <c r="AX295" s="145"/>
      <c r="AY295" s="145"/>
      <c r="AZ295" s="145"/>
      <c r="BA295" s="228"/>
      <c r="BB295" s="2134">
        <v>7</v>
      </c>
      <c r="BC295" s="2135">
        <v>8.6999999999999993</v>
      </c>
      <c r="BD295" s="2135">
        <v>7.9</v>
      </c>
      <c r="BE295" s="2136">
        <v>6.8</v>
      </c>
      <c r="BF295" s="2134">
        <v>7.9</v>
      </c>
      <c r="BG295" s="2135">
        <v>9.6</v>
      </c>
      <c r="BH295" s="2135">
        <v>8.6</v>
      </c>
      <c r="BI295" s="2136">
        <v>8.1999999999999993</v>
      </c>
      <c r="BJ295" s="2134">
        <v>9.8000000000000007</v>
      </c>
      <c r="BK295" s="2135">
        <v>11</v>
      </c>
      <c r="BL295" s="2135">
        <v>9.6</v>
      </c>
      <c r="BM295" s="2135">
        <v>8.1999999999999993</v>
      </c>
      <c r="BN295" s="2134">
        <v>9.1999999999999993</v>
      </c>
      <c r="BO295" s="2135">
        <v>11.3</v>
      </c>
      <c r="BP295" s="2135">
        <v>8.5</v>
      </c>
      <c r="BQ295" s="2136">
        <v>9.5</v>
      </c>
      <c r="BR295" s="2134">
        <v>12.2</v>
      </c>
      <c r="BS295" s="2135">
        <v>12.3</v>
      </c>
      <c r="BT295" s="2135">
        <v>11.3</v>
      </c>
      <c r="BU295" s="2136">
        <v>11.2</v>
      </c>
      <c r="BV295" s="2134">
        <v>12.5</v>
      </c>
      <c r="BW295" s="2275">
        <v>15.5</v>
      </c>
      <c r="BX295" s="2138">
        <f t="shared" ref="BX295:CC295" si="649">BW295*(1+BX297)</f>
        <v>14.105</v>
      </c>
      <c r="BY295" s="2139">
        <f t="shared" si="649"/>
        <v>14.105</v>
      </c>
      <c r="BZ295" s="2138">
        <f t="shared" si="649"/>
        <v>15.656550000000001</v>
      </c>
      <c r="CA295" s="2138">
        <f t="shared" si="649"/>
        <v>16.20452925</v>
      </c>
      <c r="CB295" s="2138">
        <f t="shared" si="649"/>
        <v>15.232257494999999</v>
      </c>
      <c r="CC295" s="2139">
        <f t="shared" si="649"/>
        <v>15.308418782474996</v>
      </c>
      <c r="CD295" s="9"/>
      <c r="CE295" s="145"/>
      <c r="CF295" s="145"/>
      <c r="CG295" s="145"/>
      <c r="CH295" s="145"/>
      <c r="CI295" s="145"/>
      <c r="CJ295" s="145"/>
      <c r="CK295" s="145"/>
      <c r="CL295" s="145"/>
      <c r="CM295" s="145"/>
      <c r="CN295" s="145"/>
      <c r="CO295" s="145"/>
      <c r="CP295" s="145"/>
      <c r="CQ295" s="2182">
        <f>SUM(BB295:BE295)</f>
        <v>30.400000000000002</v>
      </c>
      <c r="CR295" s="2182">
        <f>SUM(BF295:BI295)</f>
        <v>34.299999999999997</v>
      </c>
      <c r="CS295" s="2182">
        <f>SUM(BJ295:BM295)</f>
        <v>38.599999999999994</v>
      </c>
      <c r="CT295" s="2182">
        <f>SUM(BN295:BQ295)</f>
        <v>38.5</v>
      </c>
      <c r="CU295" s="2182">
        <f>SUM(BR295:BU295)</f>
        <v>47</v>
      </c>
      <c r="CV295" s="2182">
        <f>SUM(BV295:BY295)</f>
        <v>56.210000000000008</v>
      </c>
      <c r="CW295" s="2182">
        <f>SUM(BZ295:CC295)</f>
        <v>62.401755527474997</v>
      </c>
      <c r="CX295" s="2182">
        <f t="shared" ref="CX295:DC295" si="650">CW295*(1+CX296)</f>
        <v>63.649790638024498</v>
      </c>
      <c r="CY295" s="2182">
        <f t="shared" si="650"/>
        <v>64.922786450784983</v>
      </c>
      <c r="CZ295" s="2182">
        <f t="shared" si="650"/>
        <v>65.572014315292833</v>
      </c>
      <c r="DA295" s="2182">
        <f t="shared" si="650"/>
        <v>66.227734458445767</v>
      </c>
      <c r="DB295" s="2182">
        <f t="shared" si="650"/>
        <v>66.89001180303022</v>
      </c>
      <c r="DC295" s="2182">
        <f t="shared" si="650"/>
        <v>67.558911921060528</v>
      </c>
      <c r="DD295" s="1517"/>
      <c r="DE295" s="1483"/>
      <c r="DF295" s="141"/>
      <c r="DG295" s="141"/>
      <c r="DH295" s="141"/>
      <c r="DI295" s="141"/>
      <c r="DJ295" s="141"/>
      <c r="DK295" s="141"/>
      <c r="DL295" s="141"/>
      <c r="DM295" s="141"/>
      <c r="DN295" s="141"/>
      <c r="DO295" s="141"/>
      <c r="DP295" s="141"/>
      <c r="DQ295" s="141"/>
      <c r="DR295" s="141"/>
      <c r="DS295" s="141"/>
      <c r="DT295" s="141"/>
      <c r="DU295" s="141"/>
      <c r="DV295" s="141"/>
      <c r="DW295" s="141"/>
      <c r="DX295" s="141"/>
      <c r="DY295" s="141"/>
      <c r="DZ295" s="1676"/>
    </row>
    <row r="296" spans="1:136">
      <c r="A296" s="9"/>
      <c r="B296" s="224"/>
      <c r="C296" s="1180"/>
      <c r="D296" s="1180" t="s">
        <v>76</v>
      </c>
      <c r="E296" s="1182"/>
      <c r="F296" s="145"/>
      <c r="G296" s="145"/>
      <c r="H296" s="145"/>
      <c r="I296" s="228"/>
      <c r="J296" s="145"/>
      <c r="K296" s="145"/>
      <c r="L296" s="145"/>
      <c r="M296" s="228"/>
      <c r="N296" s="145"/>
      <c r="O296" s="145"/>
      <c r="P296" s="145"/>
      <c r="Q296" s="228"/>
      <c r="R296" s="145"/>
      <c r="S296" s="145"/>
      <c r="T296" s="145"/>
      <c r="U296" s="228"/>
      <c r="V296" s="227"/>
      <c r="W296" s="145"/>
      <c r="X296" s="145"/>
      <c r="Y296" s="228"/>
      <c r="Z296" s="227"/>
      <c r="AA296" s="145"/>
      <c r="AB296" s="145"/>
      <c r="AC296" s="228"/>
      <c r="AD296" s="227"/>
      <c r="AE296" s="145"/>
      <c r="AF296" s="145"/>
      <c r="AG296" s="145"/>
      <c r="AH296" s="227"/>
      <c r="AI296" s="145"/>
      <c r="AJ296" s="145"/>
      <c r="AK296" s="145"/>
      <c r="AL296" s="227"/>
      <c r="AM296" s="145"/>
      <c r="AN296" s="145"/>
      <c r="AO296" s="228"/>
      <c r="AP296" s="145"/>
      <c r="AQ296" s="145"/>
      <c r="AR296" s="145"/>
      <c r="AS296" s="145"/>
      <c r="AT296" s="145"/>
      <c r="AU296" s="145"/>
      <c r="AV296" s="145"/>
      <c r="AW296" s="145"/>
      <c r="AX296" s="145"/>
      <c r="AY296" s="145"/>
      <c r="AZ296" s="145"/>
      <c r="BA296" s="228"/>
      <c r="BB296" s="640"/>
      <c r="BC296" s="640"/>
      <c r="BD296" s="640"/>
      <c r="BE296" s="949"/>
      <c r="BF296" s="640">
        <f t="shared" ref="BF296:BT296" si="651">BF295/BB295-1</f>
        <v>0.12857142857142856</v>
      </c>
      <c r="BG296" s="640">
        <f t="shared" si="651"/>
        <v>0.10344827586206895</v>
      </c>
      <c r="BH296" s="640">
        <f t="shared" si="651"/>
        <v>8.8607594936708667E-2</v>
      </c>
      <c r="BI296" s="949">
        <f t="shared" si="651"/>
        <v>0.20588235294117641</v>
      </c>
      <c r="BJ296" s="640">
        <f t="shared" si="651"/>
        <v>0.240506329113924</v>
      </c>
      <c r="BK296" s="640">
        <f t="shared" si="651"/>
        <v>0.14583333333333348</v>
      </c>
      <c r="BL296" s="640">
        <f t="shared" si="651"/>
        <v>0.11627906976744184</v>
      </c>
      <c r="BM296" s="640">
        <f t="shared" si="651"/>
        <v>0</v>
      </c>
      <c r="BN296" s="2209">
        <f t="shared" si="651"/>
        <v>-6.1224489795918546E-2</v>
      </c>
      <c r="BO296" s="640">
        <f t="shared" si="651"/>
        <v>2.7272727272727337E-2</v>
      </c>
      <c r="BP296" s="640">
        <f t="shared" si="651"/>
        <v>-0.11458333333333326</v>
      </c>
      <c r="BQ296" s="949">
        <f t="shared" si="651"/>
        <v>0.1585365853658538</v>
      </c>
      <c r="BR296" s="640">
        <f>BR295/BN295-1</f>
        <v>0.32608695652173925</v>
      </c>
      <c r="BS296" s="640">
        <f t="shared" si="651"/>
        <v>8.8495575221238854E-2</v>
      </c>
      <c r="BT296" s="640">
        <f t="shared" si="651"/>
        <v>0.32941176470588251</v>
      </c>
      <c r="BU296" s="949">
        <f t="shared" ref="BU296:CC296" si="652">BU295/BQ295-1</f>
        <v>0.17894736842105252</v>
      </c>
      <c r="BV296" s="640">
        <f>BV295/BR295-1</f>
        <v>2.4590163934426368E-2</v>
      </c>
      <c r="BW296" s="640">
        <f>BW295/BS295-1</f>
        <v>0.26016260162601612</v>
      </c>
      <c r="BX296" s="640">
        <f t="shared" si="652"/>
        <v>0.24823008849557526</v>
      </c>
      <c r="BY296" s="949">
        <f t="shared" si="652"/>
        <v>0.25937500000000013</v>
      </c>
      <c r="BZ296" s="640">
        <f t="shared" si="652"/>
        <v>0.25252400000000019</v>
      </c>
      <c r="CA296" s="640">
        <f t="shared" si="652"/>
        <v>4.5453500000000036E-2</v>
      </c>
      <c r="CB296" s="640">
        <f t="shared" si="652"/>
        <v>7.9918999999999851E-2</v>
      </c>
      <c r="CC296" s="949">
        <f t="shared" si="652"/>
        <v>8.531859499999972E-2</v>
      </c>
      <c r="CD296" s="9"/>
      <c r="CE296" s="145"/>
      <c r="CF296" s="145"/>
      <c r="CG296" s="145"/>
      <c r="CH296" s="145"/>
      <c r="CI296" s="145"/>
      <c r="CJ296" s="145"/>
      <c r="CK296" s="145"/>
      <c r="CL296" s="145"/>
      <c r="CM296" s="145"/>
      <c r="CN296" s="145"/>
      <c r="CO296" s="145"/>
      <c r="CP296" s="145"/>
      <c r="CQ296" s="145"/>
      <c r="CR296" s="1471">
        <f t="shared" ref="CR296:CW296" si="653">CR295/CQ295-1</f>
        <v>0.1282894736842104</v>
      </c>
      <c r="CS296" s="1471">
        <f t="shared" si="653"/>
        <v>0.12536443148688048</v>
      </c>
      <c r="CT296" s="1471">
        <f t="shared" si="653"/>
        <v>-2.5906735751294319E-3</v>
      </c>
      <c r="CU296" s="1471">
        <f t="shared" si="653"/>
        <v>0.22077922077922074</v>
      </c>
      <c r="CV296" s="1471">
        <f t="shared" si="653"/>
        <v>0.19595744680851079</v>
      </c>
      <c r="CW296" s="1471">
        <f t="shared" si="653"/>
        <v>0.11015398554483169</v>
      </c>
      <c r="CX296" s="360">
        <v>0.02</v>
      </c>
      <c r="CY296" s="360">
        <v>0.02</v>
      </c>
      <c r="CZ296" s="360">
        <v>0.01</v>
      </c>
      <c r="DA296" s="360">
        <v>0.01</v>
      </c>
      <c r="DB296" s="360">
        <v>0.01</v>
      </c>
      <c r="DC296" s="360">
        <v>0.01</v>
      </c>
      <c r="DD296" s="1517"/>
      <c r="DE296" s="1483"/>
      <c r="DF296" s="141"/>
      <c r="DG296" s="141"/>
      <c r="DH296" s="141"/>
      <c r="DI296" s="141"/>
      <c r="DJ296" s="141"/>
      <c r="DK296" s="141"/>
      <c r="DL296" s="141"/>
      <c r="DM296" s="141"/>
      <c r="DN296" s="141"/>
      <c r="DO296" s="141"/>
      <c r="DP296" s="141"/>
      <c r="DQ296" s="141"/>
      <c r="DR296" s="141"/>
      <c r="DS296" s="141"/>
      <c r="DT296" s="141"/>
      <c r="DU296" s="141"/>
      <c r="DV296" s="141"/>
      <c r="DW296" s="141"/>
      <c r="DX296" s="141"/>
      <c r="DY296" s="141"/>
      <c r="DZ296" s="1676"/>
    </row>
    <row r="297" spans="1:136">
      <c r="A297" s="9"/>
      <c r="B297" s="187"/>
      <c r="C297" s="578"/>
      <c r="D297" s="333" t="s">
        <v>77</v>
      </c>
      <c r="E297" s="578"/>
      <c r="F297" s="145"/>
      <c r="G297" s="145"/>
      <c r="H297" s="145"/>
      <c r="I297" s="228"/>
      <c r="J297" s="145"/>
      <c r="K297" s="145"/>
      <c r="L297" s="145"/>
      <c r="M297" s="228"/>
      <c r="N297" s="145"/>
      <c r="O297" s="145"/>
      <c r="P297" s="145"/>
      <c r="Q297" s="228"/>
      <c r="R297" s="145"/>
      <c r="S297" s="145"/>
      <c r="T297" s="145"/>
      <c r="U297" s="228"/>
      <c r="V297" s="227"/>
      <c r="W297" s="145"/>
      <c r="X297" s="145"/>
      <c r="Y297" s="228"/>
      <c r="Z297" s="227"/>
      <c r="AA297" s="145"/>
      <c r="AB297" s="145"/>
      <c r="AC297" s="228"/>
      <c r="AD297" s="227"/>
      <c r="AE297" s="145"/>
      <c r="AF297" s="145"/>
      <c r="AG297" s="145"/>
      <c r="AH297" s="227"/>
      <c r="AI297" s="145"/>
      <c r="AJ297" s="145"/>
      <c r="AK297" s="145"/>
      <c r="AL297" s="227"/>
      <c r="AM297" s="145"/>
      <c r="AN297" s="145"/>
      <c r="AO297" s="228"/>
      <c r="AP297" s="145"/>
      <c r="AQ297" s="145"/>
      <c r="AR297" s="145"/>
      <c r="AS297" s="145"/>
      <c r="AT297" s="145"/>
      <c r="AU297" s="145"/>
      <c r="AV297" s="145"/>
      <c r="AW297" s="145"/>
      <c r="AX297" s="145"/>
      <c r="AY297" s="145"/>
      <c r="AZ297" s="145"/>
      <c r="BA297" s="228"/>
      <c r="BB297" s="852"/>
      <c r="BC297" s="852">
        <f>BC295/BB295-1</f>
        <v>0.24285714285714266</v>
      </c>
      <c r="BD297" s="852">
        <f>BD295/BC295-1</f>
        <v>-9.1954022988505635E-2</v>
      </c>
      <c r="BE297" s="851">
        <f>BE295/BD295-1</f>
        <v>-0.139240506329114</v>
      </c>
      <c r="BF297" s="852">
        <f t="shared" ref="BF297:BW297" si="654">BF295/BE295-1</f>
        <v>0.16176470588235303</v>
      </c>
      <c r="BG297" s="852">
        <f t="shared" si="654"/>
        <v>0.21518987341772133</v>
      </c>
      <c r="BH297" s="852">
        <f t="shared" si="654"/>
        <v>-0.10416666666666663</v>
      </c>
      <c r="BI297" s="851">
        <f t="shared" si="654"/>
        <v>-4.6511627906976827E-2</v>
      </c>
      <c r="BJ297" s="852">
        <f t="shared" si="654"/>
        <v>0.19512195121951237</v>
      </c>
      <c r="BK297" s="852">
        <f t="shared" si="654"/>
        <v>0.12244897959183665</v>
      </c>
      <c r="BL297" s="852">
        <f t="shared" si="654"/>
        <v>-0.12727272727272732</v>
      </c>
      <c r="BM297" s="852">
        <f t="shared" si="654"/>
        <v>-0.14583333333333337</v>
      </c>
      <c r="BN297" s="850">
        <f t="shared" si="654"/>
        <v>0.12195121951219523</v>
      </c>
      <c r="BO297" s="852">
        <f t="shared" si="654"/>
        <v>0.22826086956521752</v>
      </c>
      <c r="BP297" s="852">
        <f t="shared" si="654"/>
        <v>-0.24778761061946908</v>
      </c>
      <c r="BQ297" s="851">
        <f t="shared" si="654"/>
        <v>0.11764705882352944</v>
      </c>
      <c r="BR297" s="852">
        <f t="shared" si="654"/>
        <v>0.28421052631578947</v>
      </c>
      <c r="BS297" s="852">
        <f t="shared" si="654"/>
        <v>8.19672131147553E-3</v>
      </c>
      <c r="BT297" s="852">
        <f t="shared" si="654"/>
        <v>-8.1300813008130079E-2</v>
      </c>
      <c r="BU297" s="851">
        <f>BU295/BT295-1</f>
        <v>-8.8495575221240186E-3</v>
      </c>
      <c r="BV297" s="852">
        <f t="shared" si="654"/>
        <v>0.1160714285714286</v>
      </c>
      <c r="BW297" s="852">
        <f t="shared" si="654"/>
        <v>0.24</v>
      </c>
      <c r="BX297" s="360">
        <v>-0.09</v>
      </c>
      <c r="BY297" s="361">
        <v>0</v>
      </c>
      <c r="BZ297" s="360">
        <v>0.11</v>
      </c>
      <c r="CA297" s="360">
        <v>3.5000000000000003E-2</v>
      </c>
      <c r="CB297" s="360">
        <v>-0.06</v>
      </c>
      <c r="CC297" s="361">
        <v>5.0000000000000001E-3</v>
      </c>
      <c r="CD297" s="9"/>
      <c r="CE297" s="145"/>
      <c r="CF297" s="145"/>
      <c r="CG297" s="145"/>
      <c r="CH297" s="145"/>
      <c r="CI297" s="145"/>
      <c r="CJ297" s="145"/>
      <c r="CK297" s="145"/>
      <c r="CL297" s="145"/>
      <c r="CM297" s="145"/>
      <c r="CN297" s="145"/>
      <c r="CO297" s="145"/>
      <c r="CP297" s="145"/>
      <c r="CQ297" s="145"/>
      <c r="CR297" s="141"/>
      <c r="CS297" s="141"/>
      <c r="CT297" s="141"/>
      <c r="CU297" s="141"/>
      <c r="CV297" s="141"/>
      <c r="CW297" s="141"/>
      <c r="CX297" s="141"/>
      <c r="CY297" s="141"/>
      <c r="CZ297" s="141"/>
      <c r="DA297" s="141"/>
      <c r="DB297" s="141"/>
      <c r="DC297" s="141"/>
      <c r="DD297" s="1517"/>
      <c r="DE297" s="1483"/>
      <c r="DF297" s="141"/>
      <c r="DG297" s="141"/>
      <c r="DH297" s="141"/>
      <c r="DI297" s="141"/>
      <c r="DJ297" s="141"/>
      <c r="DK297" s="141"/>
      <c r="DL297" s="141"/>
      <c r="DM297" s="141"/>
      <c r="DN297" s="141"/>
      <c r="DO297" s="141"/>
      <c r="DP297" s="141"/>
      <c r="DQ297" s="141"/>
      <c r="DR297" s="141"/>
      <c r="DS297" s="141"/>
      <c r="DT297" s="141"/>
      <c r="DU297" s="141"/>
      <c r="DV297" s="141"/>
      <c r="DW297" s="141"/>
      <c r="DX297" s="141"/>
      <c r="DY297" s="141"/>
      <c r="DZ297" s="1676"/>
    </row>
    <row r="298" spans="1:136">
      <c r="A298" s="9"/>
      <c r="B298" s="187"/>
      <c r="C298" s="578"/>
      <c r="D298" s="333"/>
      <c r="E298" s="578"/>
      <c r="F298" s="145"/>
      <c r="G298" s="145"/>
      <c r="H298" s="145"/>
      <c r="I298" s="228"/>
      <c r="J298" s="145"/>
      <c r="K298" s="145"/>
      <c r="L298" s="145"/>
      <c r="M298" s="228"/>
      <c r="N298" s="145"/>
      <c r="O298" s="145"/>
      <c r="P298" s="145"/>
      <c r="Q298" s="145"/>
      <c r="R298" s="145"/>
      <c r="S298" s="145"/>
      <c r="T298" s="145"/>
      <c r="U298" s="145"/>
      <c r="V298" s="227"/>
      <c r="W298" s="145"/>
      <c r="X298" s="145"/>
      <c r="Y298" s="145"/>
      <c r="Z298" s="227"/>
      <c r="AA298" s="145"/>
      <c r="AB298" s="145"/>
      <c r="AC298" s="145"/>
      <c r="AD298" s="227"/>
      <c r="AE298" s="145"/>
      <c r="AF298" s="145"/>
      <c r="AG298" s="145"/>
      <c r="AH298" s="227"/>
      <c r="AI298" s="145"/>
      <c r="AJ298" s="145"/>
      <c r="AK298" s="145"/>
      <c r="AL298" s="145"/>
      <c r="AM298" s="145"/>
      <c r="AN298" s="145"/>
      <c r="AO298" s="228"/>
      <c r="AP298" s="145"/>
      <c r="AQ298" s="145"/>
      <c r="AR298" s="145"/>
      <c r="AS298" s="145"/>
      <c r="AT298" s="145"/>
      <c r="AU298" s="145"/>
      <c r="AV298" s="145"/>
      <c r="AW298" s="145"/>
      <c r="AX298" s="145"/>
      <c r="AY298" s="145"/>
      <c r="AZ298" s="145"/>
      <c r="BA298" s="228"/>
      <c r="BB298" s="852"/>
      <c r="BC298" s="852"/>
      <c r="BD298" s="852"/>
      <c r="BE298" s="851"/>
      <c r="BF298" s="852"/>
      <c r="BG298" s="852"/>
      <c r="BH298" s="852"/>
      <c r="BI298" s="851"/>
      <c r="BJ298" s="852"/>
      <c r="BK298" s="852"/>
      <c r="BL298" s="852"/>
      <c r="BM298" s="852"/>
      <c r="BN298" s="850"/>
      <c r="BO298" s="852"/>
      <c r="BP298" s="852"/>
      <c r="BQ298" s="851"/>
      <c r="BR298" s="852"/>
      <c r="BS298" s="852"/>
      <c r="BT298" s="2184"/>
      <c r="BU298" s="2185"/>
      <c r="BV298" s="852"/>
      <c r="BW298" s="852"/>
      <c r="BX298" s="2215"/>
      <c r="BY298" s="2216"/>
      <c r="BZ298" s="2215"/>
      <c r="CA298" s="2215"/>
      <c r="CB298" s="2215"/>
      <c r="CC298" s="2216"/>
      <c r="CD298" s="9"/>
      <c r="CE298" s="145"/>
      <c r="CF298" s="145"/>
      <c r="CG298" s="145"/>
      <c r="CH298" s="145"/>
      <c r="CI298" s="145"/>
      <c r="CJ298" s="145"/>
      <c r="CK298" s="145"/>
      <c r="CL298" s="145"/>
      <c r="CM298" s="145"/>
      <c r="CN298" s="145"/>
      <c r="CO298" s="145"/>
      <c r="CP298" s="145"/>
      <c r="CQ298" s="145"/>
      <c r="CR298" s="141"/>
      <c r="CS298" s="141"/>
      <c r="CT298" s="141"/>
      <c r="CU298" s="141"/>
      <c r="CV298" s="141"/>
      <c r="CW298" s="141"/>
      <c r="CX298" s="141"/>
      <c r="CY298" s="141"/>
      <c r="CZ298" s="141"/>
      <c r="DA298" s="141"/>
      <c r="DB298" s="141"/>
      <c r="DC298" s="141"/>
      <c r="DD298" s="1517"/>
      <c r="DE298" s="1483"/>
      <c r="DF298" s="141"/>
      <c r="DG298" s="141"/>
      <c r="DH298" s="141"/>
      <c r="DI298" s="141"/>
      <c r="DJ298" s="141"/>
      <c r="DK298" s="141"/>
      <c r="DL298" s="141"/>
      <c r="DM298" s="141"/>
      <c r="DN298" s="141"/>
      <c r="DO298" s="141"/>
      <c r="DP298" s="141"/>
      <c r="DQ298" s="141"/>
      <c r="DR298" s="141"/>
      <c r="DS298" s="141"/>
      <c r="DT298" s="141"/>
      <c r="DU298" s="141"/>
      <c r="DV298" s="141"/>
      <c r="DW298" s="141"/>
      <c r="DX298" s="141"/>
      <c r="DY298" s="141"/>
      <c r="DZ298" s="1676"/>
    </row>
    <row r="299" spans="1:136">
      <c r="A299" s="9"/>
      <c r="B299" s="187"/>
      <c r="C299" s="187" t="s">
        <v>980</v>
      </c>
      <c r="D299" s="31"/>
      <c r="E299" s="816"/>
      <c r="F299" s="145"/>
      <c r="G299" s="145"/>
      <c r="H299" s="145"/>
      <c r="I299" s="228"/>
      <c r="J299" s="145"/>
      <c r="K299" s="145"/>
      <c r="L299" s="145"/>
      <c r="M299" s="228"/>
      <c r="N299" s="145"/>
      <c r="O299" s="145"/>
      <c r="P299" s="145"/>
      <c r="Q299" s="145"/>
      <c r="R299" s="145"/>
      <c r="S299" s="145"/>
      <c r="T299" s="145"/>
      <c r="U299" s="145"/>
      <c r="V299" s="227"/>
      <c r="W299" s="145"/>
      <c r="X299" s="145"/>
      <c r="Y299" s="145"/>
      <c r="Z299" s="227"/>
      <c r="AA299" s="145"/>
      <c r="AB299" s="145"/>
      <c r="AC299" s="145"/>
      <c r="AD299" s="227"/>
      <c r="AE299" s="145"/>
      <c r="AF299" s="145"/>
      <c r="AG299" s="145"/>
      <c r="AH299" s="227"/>
      <c r="AI299" s="145"/>
      <c r="AJ299" s="145"/>
      <c r="AK299" s="145"/>
      <c r="AL299" s="145"/>
      <c r="AM299" s="145"/>
      <c r="AN299" s="145"/>
      <c r="AO299" s="228"/>
      <c r="AP299" s="145"/>
      <c r="AQ299" s="145"/>
      <c r="AR299" s="145"/>
      <c r="AS299" s="145"/>
      <c r="AT299" s="145"/>
      <c r="AU299" s="145"/>
      <c r="AV299" s="145"/>
      <c r="AW299" s="145"/>
      <c r="AX299" s="145"/>
      <c r="AY299" s="145"/>
      <c r="AZ299" s="145"/>
      <c r="BA299" s="228"/>
      <c r="BB299" s="1663">
        <f t="shared" ref="BB299:BS299" si="655">BB291/BB295</f>
        <v>71.428571428571431</v>
      </c>
      <c r="BC299" s="1620">
        <f t="shared" si="655"/>
        <v>65.287356321839084</v>
      </c>
      <c r="BD299" s="1620">
        <f t="shared" si="655"/>
        <v>63.291139240506325</v>
      </c>
      <c r="BE299" s="1621">
        <f t="shared" si="655"/>
        <v>58.970588235294116</v>
      </c>
      <c r="BF299" s="1663">
        <f t="shared" si="655"/>
        <v>57.594936708860757</v>
      </c>
      <c r="BG299" s="1620">
        <f t="shared" si="655"/>
        <v>56.5625</v>
      </c>
      <c r="BH299" s="1620">
        <f t="shared" si="655"/>
        <v>55.697674418604656</v>
      </c>
      <c r="BI299" s="1621">
        <f t="shared" si="655"/>
        <v>54.146341463414636</v>
      </c>
      <c r="BJ299" s="1663">
        <f t="shared" si="655"/>
        <v>51.428571428571423</v>
      </c>
      <c r="BK299" s="1620">
        <f t="shared" si="655"/>
        <v>48</v>
      </c>
      <c r="BL299" s="1620">
        <f t="shared" si="655"/>
        <v>47.083333333333336</v>
      </c>
      <c r="BM299" s="1620">
        <f t="shared" si="655"/>
        <v>44.634146341463421</v>
      </c>
      <c r="BN299" s="1663">
        <f t="shared" si="655"/>
        <v>43.369565217391305</v>
      </c>
      <c r="BO299" s="1620">
        <f t="shared" si="655"/>
        <v>40.619469026548671</v>
      </c>
      <c r="BP299" s="1620">
        <f t="shared" si="655"/>
        <v>40.705882352941174</v>
      </c>
      <c r="BQ299" s="1621">
        <f t="shared" si="655"/>
        <v>70.10526315789474</v>
      </c>
      <c r="BR299" s="1663">
        <f t="shared" si="655"/>
        <v>80</v>
      </c>
      <c r="BS299" s="1620">
        <f t="shared" si="655"/>
        <v>87.479674796747958</v>
      </c>
      <c r="BT299" s="1620">
        <f>BT291/BT295</f>
        <v>88.761061946902643</v>
      </c>
      <c r="BU299" s="1621">
        <f>BU291/BU295</f>
        <v>90.446428571428584</v>
      </c>
      <c r="BV299" s="1663">
        <f>BV291/BV295</f>
        <v>90.88</v>
      </c>
      <c r="BW299" s="1620">
        <f>BW291/BW295</f>
        <v>80.967741935483872</v>
      </c>
      <c r="BX299" s="1620">
        <f t="shared" ref="BX299:CC299" si="656">BW299*(1+BX301)</f>
        <v>76.109677419354838</v>
      </c>
      <c r="BY299" s="1621">
        <f t="shared" si="656"/>
        <v>74.587483870967745</v>
      </c>
      <c r="BZ299" s="1620">
        <f t="shared" si="656"/>
        <v>70.85810967741935</v>
      </c>
      <c r="CA299" s="1620">
        <f t="shared" si="656"/>
        <v>68.732366387096761</v>
      </c>
      <c r="CB299" s="1620">
        <f t="shared" si="656"/>
        <v>67.357719059354821</v>
      </c>
      <c r="CC299" s="1621">
        <f t="shared" si="656"/>
        <v>65.336987487574177</v>
      </c>
      <c r="CD299" s="9"/>
      <c r="CE299" s="145"/>
      <c r="CF299" s="145"/>
      <c r="CG299" s="145"/>
      <c r="CH299" s="145"/>
      <c r="CI299" s="145"/>
      <c r="CJ299" s="145"/>
      <c r="CK299" s="145"/>
      <c r="CL299" s="145"/>
      <c r="CM299" s="145"/>
      <c r="CN299" s="145"/>
      <c r="CO299" s="145"/>
      <c r="CP299" s="145"/>
      <c r="CQ299" s="1620">
        <f t="shared" ref="CQ299:CV299" si="657">CQ291/CQ295</f>
        <v>64.76973684210526</v>
      </c>
      <c r="CR299" s="1620">
        <f t="shared" si="657"/>
        <v>56.005830903790091</v>
      </c>
      <c r="CS299" s="1620">
        <f t="shared" si="657"/>
        <v>47.92746113989638</v>
      </c>
      <c r="CT299" s="1620">
        <f t="shared" si="657"/>
        <v>48.571428571428569</v>
      </c>
      <c r="CU299" s="1620">
        <f t="shared" si="657"/>
        <v>86.553191489361708</v>
      </c>
      <c r="CV299" s="1620">
        <f t="shared" si="657"/>
        <v>80.351956235545259</v>
      </c>
      <c r="CW299" s="1620">
        <f>CW291/CW295</f>
        <v>68.097207043694965</v>
      </c>
      <c r="CX299" s="1620">
        <f t="shared" ref="CX299:DC299" si="658">CW299*(1+CX300)</f>
        <v>68.097207043694965</v>
      </c>
      <c r="CY299" s="1620">
        <f t="shared" si="658"/>
        <v>66.735262902821063</v>
      </c>
      <c r="CZ299" s="1620">
        <f t="shared" si="658"/>
        <v>65.400557644764646</v>
      </c>
      <c r="DA299" s="1620">
        <f t="shared" si="658"/>
        <v>64.092546491869356</v>
      </c>
      <c r="DB299" s="1620">
        <f t="shared" si="658"/>
        <v>62.810695562031967</v>
      </c>
      <c r="DC299" s="1620">
        <f t="shared" si="658"/>
        <v>61.554481650791324</v>
      </c>
      <c r="DD299" s="1517"/>
      <c r="DE299" s="1483"/>
      <c r="DF299" s="141"/>
      <c r="DG299" s="141"/>
      <c r="DH299" s="141"/>
      <c r="DI299" s="141"/>
      <c r="DJ299" s="141"/>
      <c r="DK299" s="141"/>
      <c r="DL299" s="141"/>
      <c r="DM299" s="141"/>
      <c r="DN299" s="141"/>
      <c r="DO299" s="141"/>
      <c r="DP299" s="141"/>
      <c r="DQ299" s="141"/>
      <c r="DR299" s="141"/>
      <c r="DS299" s="141"/>
      <c r="DT299" s="141"/>
      <c r="DU299" s="141"/>
      <c r="DV299" s="141"/>
      <c r="DW299" s="141"/>
      <c r="DX299" s="141"/>
      <c r="DY299" s="141"/>
      <c r="DZ299" s="1676"/>
    </row>
    <row r="300" spans="1:136">
      <c r="A300" s="9"/>
      <c r="B300" s="224"/>
      <c r="C300" s="1180"/>
      <c r="D300" s="1180" t="s">
        <v>76</v>
      </c>
      <c r="E300" s="1182"/>
      <c r="F300" s="145"/>
      <c r="G300" s="145"/>
      <c r="H300" s="145"/>
      <c r="I300" s="228"/>
      <c r="J300" s="145"/>
      <c r="K300" s="145"/>
      <c r="L300" s="145"/>
      <c r="M300" s="228"/>
      <c r="N300" s="145"/>
      <c r="O300" s="145"/>
      <c r="P300" s="145"/>
      <c r="Q300" s="145"/>
      <c r="R300" s="145"/>
      <c r="S300" s="145"/>
      <c r="T300" s="145"/>
      <c r="U300" s="145"/>
      <c r="V300" s="227"/>
      <c r="W300" s="145"/>
      <c r="X300" s="145"/>
      <c r="Y300" s="145"/>
      <c r="Z300" s="227"/>
      <c r="AA300" s="145"/>
      <c r="AB300" s="145"/>
      <c r="AC300" s="145"/>
      <c r="AD300" s="227"/>
      <c r="AE300" s="145"/>
      <c r="AF300" s="145"/>
      <c r="AG300" s="145"/>
      <c r="AH300" s="227"/>
      <c r="AI300" s="145"/>
      <c r="AJ300" s="145"/>
      <c r="AK300" s="145"/>
      <c r="AL300" s="145"/>
      <c r="AM300" s="145"/>
      <c r="AN300" s="145"/>
      <c r="AO300" s="228"/>
      <c r="AP300" s="145"/>
      <c r="AQ300" s="145"/>
      <c r="AR300" s="145"/>
      <c r="AS300" s="145"/>
      <c r="AT300" s="145"/>
      <c r="AU300" s="145"/>
      <c r="AV300" s="145"/>
      <c r="AW300" s="145"/>
      <c r="AX300" s="145"/>
      <c r="AY300" s="145"/>
      <c r="AZ300" s="145"/>
      <c r="BA300" s="228"/>
      <c r="BB300" s="852"/>
      <c r="BC300" s="640"/>
      <c r="BD300" s="640"/>
      <c r="BE300" s="949"/>
      <c r="BF300" s="640">
        <f t="shared" ref="BF300:BT300" si="659">BF299/BB299-1</f>
        <v>-0.1936708860759494</v>
      </c>
      <c r="BG300" s="640">
        <f t="shared" si="659"/>
        <v>-0.13363776408450712</v>
      </c>
      <c r="BH300" s="640">
        <f t="shared" si="659"/>
        <v>-0.11997674418604642</v>
      </c>
      <c r="BI300" s="949">
        <f t="shared" si="659"/>
        <v>-8.1807675932120905E-2</v>
      </c>
      <c r="BJ300" s="640">
        <f t="shared" si="659"/>
        <v>-0.10706436420722143</v>
      </c>
      <c r="BK300" s="640">
        <f t="shared" si="659"/>
        <v>-0.15138121546961325</v>
      </c>
      <c r="BL300" s="640">
        <f t="shared" si="659"/>
        <v>-0.15466249130132226</v>
      </c>
      <c r="BM300" s="640">
        <f t="shared" si="659"/>
        <v>-0.17567567567567555</v>
      </c>
      <c r="BN300" s="2209">
        <f t="shared" si="659"/>
        <v>-0.1567028985507245</v>
      </c>
      <c r="BO300" s="640">
        <f t="shared" si="659"/>
        <v>-0.15376106194690264</v>
      </c>
      <c r="BP300" s="640">
        <f t="shared" si="659"/>
        <v>-0.13545028630921407</v>
      </c>
      <c r="BQ300" s="949">
        <f t="shared" si="659"/>
        <v>0.57066436583261426</v>
      </c>
      <c r="BR300" s="640">
        <f>BR299/BN299-1</f>
        <v>0.84461152882205504</v>
      </c>
      <c r="BS300" s="640">
        <f t="shared" si="659"/>
        <v>1.1536390527303966</v>
      </c>
      <c r="BT300" s="640">
        <f t="shared" si="659"/>
        <v>1.1805463195048338</v>
      </c>
      <c r="BU300" s="949">
        <f t="shared" ref="BU300:CC300" si="660">BU299/BQ299-1</f>
        <v>0.29015175890175904</v>
      </c>
      <c r="BV300" s="640">
        <f>BV299/BR299-1</f>
        <v>0.1359999999999999</v>
      </c>
      <c r="BW300" s="640">
        <f>BW299/BS299-1</f>
        <v>-7.4439381220769762E-2</v>
      </c>
      <c r="BX300" s="640">
        <f t="shared" si="660"/>
        <v>-0.14253304602322059</v>
      </c>
      <c r="BY300" s="949">
        <f t="shared" si="660"/>
        <v>-0.17534075088367362</v>
      </c>
      <c r="BZ300" s="640">
        <f t="shared" si="660"/>
        <v>-0.220311293162199</v>
      </c>
      <c r="CA300" s="640">
        <f t="shared" si="660"/>
        <v>-0.1511142000000002</v>
      </c>
      <c r="CB300" s="640">
        <f t="shared" si="660"/>
        <v>-0.11499140000000019</v>
      </c>
      <c r="CC300" s="949">
        <f t="shared" si="660"/>
        <v>-0.12402210000000025</v>
      </c>
      <c r="CD300" s="9"/>
      <c r="CE300" s="145"/>
      <c r="CF300" s="145"/>
      <c r="CG300" s="145"/>
      <c r="CH300" s="145"/>
      <c r="CI300" s="145"/>
      <c r="CJ300" s="145"/>
      <c r="CK300" s="145"/>
      <c r="CL300" s="145"/>
      <c r="CM300" s="145"/>
      <c r="CN300" s="145"/>
      <c r="CO300" s="145"/>
      <c r="CP300" s="145"/>
      <c r="CQ300" s="640"/>
      <c r="CR300" s="1471">
        <f t="shared" ref="CR300:CW300" si="661">CR299/CQ299-1</f>
        <v>-0.13530865440567863</v>
      </c>
      <c r="CS300" s="1471">
        <f t="shared" si="661"/>
        <v>-0.14424158401954934</v>
      </c>
      <c r="CT300" s="1471">
        <f t="shared" si="661"/>
        <v>1.3436293436293267E-2</v>
      </c>
      <c r="CU300" s="1471">
        <f t="shared" si="661"/>
        <v>0.78197747183980004</v>
      </c>
      <c r="CV300" s="1471">
        <f t="shared" si="661"/>
        <v>-7.164652333563748E-2</v>
      </c>
      <c r="CW300" s="1471">
        <f t="shared" si="661"/>
        <v>-0.15251338941800607</v>
      </c>
      <c r="CX300" s="360">
        <v>0</v>
      </c>
      <c r="CY300" s="360">
        <v>-0.02</v>
      </c>
      <c r="CZ300" s="360">
        <v>-0.02</v>
      </c>
      <c r="DA300" s="360">
        <v>-0.02</v>
      </c>
      <c r="DB300" s="360">
        <v>-0.02</v>
      </c>
      <c r="DC300" s="360">
        <v>-0.02</v>
      </c>
      <c r="DD300" s="1517"/>
      <c r="DE300" s="1483"/>
      <c r="DF300" s="141"/>
      <c r="DG300" s="141"/>
      <c r="DH300" s="141"/>
      <c r="DI300" s="141"/>
      <c r="DJ300" s="141"/>
      <c r="DK300" s="141"/>
      <c r="DL300" s="141"/>
      <c r="DM300" s="141"/>
      <c r="DN300" s="141"/>
      <c r="DO300" s="141"/>
      <c r="DP300" s="141"/>
      <c r="DQ300" s="141"/>
      <c r="DR300" s="141"/>
      <c r="DS300" s="141"/>
      <c r="DT300" s="141"/>
      <c r="DU300" s="141"/>
      <c r="DV300" s="141"/>
      <c r="DW300" s="141"/>
      <c r="DX300" s="141"/>
      <c r="DY300" s="141"/>
      <c r="DZ300" s="1676"/>
    </row>
    <row r="301" spans="1:136">
      <c r="A301" s="9"/>
      <c r="B301" s="187"/>
      <c r="C301" s="578"/>
      <c r="D301" s="333" t="s">
        <v>77</v>
      </c>
      <c r="E301" s="578"/>
      <c r="F301" s="145"/>
      <c r="G301" s="145"/>
      <c r="H301" s="145"/>
      <c r="I301" s="228"/>
      <c r="J301" s="145"/>
      <c r="K301" s="145"/>
      <c r="L301" s="145"/>
      <c r="M301" s="228"/>
      <c r="N301" s="145"/>
      <c r="O301" s="145"/>
      <c r="P301" s="145"/>
      <c r="Q301" s="145"/>
      <c r="R301" s="145"/>
      <c r="S301" s="145"/>
      <c r="T301" s="145"/>
      <c r="U301" s="145"/>
      <c r="V301" s="227"/>
      <c r="W301" s="145"/>
      <c r="X301" s="145"/>
      <c r="Y301" s="145"/>
      <c r="Z301" s="227"/>
      <c r="AA301" s="145"/>
      <c r="AB301" s="145"/>
      <c r="AC301" s="145"/>
      <c r="AD301" s="227"/>
      <c r="AE301" s="145"/>
      <c r="AF301" s="145"/>
      <c r="AG301" s="145"/>
      <c r="AH301" s="227"/>
      <c r="AI301" s="145"/>
      <c r="AJ301" s="145"/>
      <c r="AK301" s="145"/>
      <c r="AL301" s="145"/>
      <c r="AM301" s="145"/>
      <c r="AN301" s="145"/>
      <c r="AO301" s="228"/>
      <c r="AP301" s="145"/>
      <c r="AQ301" s="145"/>
      <c r="AR301" s="145"/>
      <c r="AS301" s="145"/>
      <c r="AT301" s="145"/>
      <c r="AU301" s="145"/>
      <c r="AV301" s="145"/>
      <c r="AW301" s="145"/>
      <c r="AX301" s="145"/>
      <c r="AY301" s="145"/>
      <c r="AZ301" s="145"/>
      <c r="BA301" s="228"/>
      <c r="BB301" s="852"/>
      <c r="BC301" s="852">
        <f t="shared" ref="BC301:BW301" si="662">BC299/BB299-1</f>
        <v>-8.5977011494252853E-2</v>
      </c>
      <c r="BD301" s="852">
        <f t="shared" si="662"/>
        <v>-3.0575860224639095E-2</v>
      </c>
      <c r="BE301" s="851">
        <f t="shared" si="662"/>
        <v>-6.8264705882352894E-2</v>
      </c>
      <c r="BF301" s="852">
        <f t="shared" si="662"/>
        <v>-2.3327756557972146E-2</v>
      </c>
      <c r="BG301" s="852">
        <f t="shared" si="662"/>
        <v>-1.7925824175824112E-2</v>
      </c>
      <c r="BH301" s="852">
        <f t="shared" si="662"/>
        <v>-1.5289734035718761E-2</v>
      </c>
      <c r="BI301" s="851">
        <f t="shared" si="662"/>
        <v>-2.7852741992973162E-2</v>
      </c>
      <c r="BJ301" s="852">
        <f t="shared" si="662"/>
        <v>-5.0193050193050315E-2</v>
      </c>
      <c r="BK301" s="852">
        <f t="shared" si="662"/>
        <v>-6.6666666666666541E-2</v>
      </c>
      <c r="BL301" s="852">
        <f t="shared" si="662"/>
        <v>-1.909722222222221E-2</v>
      </c>
      <c r="BM301" s="852">
        <f t="shared" si="662"/>
        <v>-5.2018130800776996E-2</v>
      </c>
      <c r="BN301" s="850">
        <f t="shared" si="662"/>
        <v>-2.8332145402708564E-2</v>
      </c>
      <c r="BO301" s="852">
        <f t="shared" si="662"/>
        <v>-6.3410739237474201E-2</v>
      </c>
      <c r="BP301" s="852">
        <f t="shared" si="662"/>
        <v>2.1273869024733827E-3</v>
      </c>
      <c r="BQ301" s="851">
        <f t="shared" si="662"/>
        <v>0.72223912382111366</v>
      </c>
      <c r="BR301" s="852">
        <f t="shared" si="662"/>
        <v>0.14114114114114118</v>
      </c>
      <c r="BS301" s="852">
        <f t="shared" si="662"/>
        <v>9.349593495934938E-2</v>
      </c>
      <c r="BT301" s="852">
        <f t="shared" si="662"/>
        <v>1.4647827088199561E-2</v>
      </c>
      <c r="BU301" s="851">
        <f>BU299/BT299-1</f>
        <v>1.8987679817690006E-2</v>
      </c>
      <c r="BV301" s="852">
        <f t="shared" si="662"/>
        <v>4.7936821322802636E-3</v>
      </c>
      <c r="BW301" s="852">
        <f t="shared" si="662"/>
        <v>-0.10906974102680589</v>
      </c>
      <c r="BX301" s="360">
        <v>-0.06</v>
      </c>
      <c r="BY301" s="361">
        <v>-0.02</v>
      </c>
      <c r="BZ301" s="360">
        <v>-0.05</v>
      </c>
      <c r="CA301" s="360">
        <v>-0.03</v>
      </c>
      <c r="CB301" s="360">
        <v>-0.02</v>
      </c>
      <c r="CC301" s="361">
        <v>-0.03</v>
      </c>
      <c r="CD301" s="9"/>
      <c r="CE301" s="145"/>
      <c r="CF301" s="145"/>
      <c r="CG301" s="145"/>
      <c r="CH301" s="145"/>
      <c r="CI301" s="145"/>
      <c r="CJ301" s="145"/>
      <c r="CK301" s="145"/>
      <c r="CL301" s="145"/>
      <c r="CM301" s="145"/>
      <c r="CN301" s="145"/>
      <c r="CO301" s="145"/>
      <c r="CP301" s="145"/>
      <c r="CQ301" s="852"/>
      <c r="CS301" s="852"/>
      <c r="CT301" s="852"/>
      <c r="CU301" s="141"/>
      <c r="CV301" s="141"/>
      <c r="CW301" s="141"/>
      <c r="CX301" s="141"/>
      <c r="CY301" s="141"/>
      <c r="CZ301" s="141"/>
      <c r="DA301" s="141"/>
      <c r="DB301" s="141"/>
      <c r="DC301" s="141"/>
      <c r="DD301" s="1517"/>
      <c r="DE301" s="1483"/>
      <c r="DF301" s="141"/>
      <c r="DG301" s="141"/>
      <c r="DH301" s="141"/>
      <c r="DI301" s="141"/>
      <c r="DJ301" s="141"/>
      <c r="DK301" s="141"/>
      <c r="DL301" s="141"/>
      <c r="DM301" s="141"/>
      <c r="DN301" s="141"/>
      <c r="DO301" s="141"/>
      <c r="DP301" s="141"/>
      <c r="DQ301" s="141"/>
      <c r="DR301" s="141"/>
      <c r="DS301" s="141"/>
      <c r="DT301" s="141"/>
      <c r="DU301" s="141"/>
      <c r="DV301" s="141"/>
      <c r="DW301" s="141"/>
      <c r="DX301" s="141"/>
      <c r="DY301" s="141"/>
      <c r="DZ301" s="1676"/>
    </row>
    <row r="302" spans="1:136">
      <c r="A302" s="9"/>
      <c r="B302" s="187"/>
      <c r="C302" s="578"/>
      <c r="D302" s="333"/>
      <c r="E302" s="578"/>
      <c r="F302" s="145"/>
      <c r="G302" s="145"/>
      <c r="H302" s="145"/>
      <c r="I302" s="228"/>
      <c r="J302" s="145"/>
      <c r="K302" s="145"/>
      <c r="L302" s="145"/>
      <c r="M302" s="228"/>
      <c r="N302" s="145"/>
      <c r="O302" s="145"/>
      <c r="P302" s="145"/>
      <c r="Q302" s="228"/>
      <c r="R302" s="145"/>
      <c r="S302" s="145"/>
      <c r="T302" s="145"/>
      <c r="U302" s="228"/>
      <c r="V302" s="227"/>
      <c r="W302" s="145"/>
      <c r="X302" s="145"/>
      <c r="Y302" s="228"/>
      <c r="Z302" s="227"/>
      <c r="AA302" s="145"/>
      <c r="AB302" s="145"/>
      <c r="AC302" s="228"/>
      <c r="AD302" s="227"/>
      <c r="AE302" s="145"/>
      <c r="AF302" s="145"/>
      <c r="AG302" s="145"/>
      <c r="AH302" s="227"/>
      <c r="AI302" s="145"/>
      <c r="AJ302" s="145"/>
      <c r="AK302" s="145"/>
      <c r="AL302" s="227"/>
      <c r="AM302" s="145"/>
      <c r="AN302" s="145"/>
      <c r="AO302" s="228"/>
      <c r="AP302" s="145"/>
      <c r="AQ302" s="145"/>
      <c r="AR302" s="145"/>
      <c r="AS302" s="145"/>
      <c r="AT302" s="145"/>
      <c r="AU302" s="145"/>
      <c r="AV302" s="145"/>
      <c r="AW302" s="145"/>
      <c r="AX302" s="145"/>
      <c r="AY302" s="145"/>
      <c r="AZ302" s="145"/>
      <c r="BA302" s="228"/>
      <c r="BB302" s="852"/>
      <c r="BC302" s="852"/>
      <c r="BD302" s="852"/>
      <c r="BE302" s="851"/>
      <c r="BF302" s="852"/>
      <c r="BG302" s="852"/>
      <c r="BH302" s="852"/>
      <c r="BI302" s="851"/>
      <c r="BJ302" s="852"/>
      <c r="BK302" s="852"/>
      <c r="BL302" s="852"/>
      <c r="BM302" s="852"/>
      <c r="BN302" s="850"/>
      <c r="BO302" s="852"/>
      <c r="BP302" s="852"/>
      <c r="BQ302" s="851"/>
      <c r="BR302" s="852"/>
      <c r="BS302" s="852"/>
      <c r="BT302" s="1698"/>
      <c r="BU302" s="1699"/>
      <c r="BV302" s="2184"/>
      <c r="BW302" s="2215"/>
      <c r="BX302" s="2215"/>
      <c r="BY302" s="2216"/>
      <c r="BZ302" s="2215"/>
      <c r="CA302" s="2215"/>
      <c r="CB302" s="2215"/>
      <c r="CC302" s="2216"/>
      <c r="CD302" s="9"/>
      <c r="CE302" s="145"/>
      <c r="CF302" s="145"/>
      <c r="CG302" s="145"/>
      <c r="CH302" s="145"/>
      <c r="CI302" s="145"/>
      <c r="CJ302" s="145"/>
      <c r="CK302" s="145"/>
      <c r="CL302" s="145"/>
      <c r="CM302" s="145"/>
      <c r="CN302" s="145"/>
      <c r="CO302" s="145"/>
      <c r="CP302" s="145"/>
      <c r="CQ302" s="145"/>
      <c r="CR302" s="141"/>
      <c r="CS302" s="141"/>
      <c r="CT302" s="141"/>
      <c r="CU302" s="141"/>
      <c r="CV302" s="141"/>
      <c r="CW302" s="141"/>
      <c r="CX302" s="141"/>
      <c r="CY302" s="141"/>
      <c r="CZ302" s="141"/>
      <c r="DA302" s="141"/>
      <c r="DB302" s="141"/>
      <c r="DC302" s="141"/>
      <c r="DD302" s="1517"/>
      <c r="DE302" s="1483"/>
      <c r="DF302" s="141"/>
      <c r="DG302" s="141"/>
      <c r="DH302" s="141"/>
      <c r="DI302" s="141"/>
      <c r="DJ302" s="141"/>
      <c r="DK302" s="141"/>
      <c r="DL302" s="141"/>
      <c r="DM302" s="141"/>
      <c r="DN302" s="141"/>
      <c r="DO302" s="141"/>
      <c r="DP302" s="141"/>
      <c r="DQ302" s="141"/>
      <c r="DR302" s="141"/>
      <c r="DS302" s="141"/>
      <c r="DT302" s="141"/>
      <c r="DU302" s="141"/>
      <c r="DV302" s="141"/>
      <c r="DW302" s="141"/>
      <c r="DX302" s="141"/>
      <c r="DY302" s="141"/>
      <c r="DZ302" s="1676"/>
    </row>
    <row r="303" spans="1:136" s="52" customFormat="1" hidden="1" outlineLevel="1">
      <c r="A303" s="338"/>
      <c r="B303" s="196"/>
      <c r="C303" s="196" t="s">
        <v>967</v>
      </c>
      <c r="D303" s="333"/>
      <c r="E303" s="578"/>
      <c r="F303" s="145"/>
      <c r="G303" s="145"/>
      <c r="H303" s="145"/>
      <c r="I303" s="228"/>
      <c r="J303" s="145"/>
      <c r="K303" s="145"/>
      <c r="L303" s="145"/>
      <c r="M303" s="228"/>
      <c r="N303" s="145"/>
      <c r="O303" s="145"/>
      <c r="P303" s="145"/>
      <c r="Q303" s="228"/>
      <c r="R303" s="145"/>
      <c r="S303" s="145"/>
      <c r="T303" s="145"/>
      <c r="U303" s="228"/>
      <c r="V303" s="227"/>
      <c r="W303" s="145"/>
      <c r="X303" s="145"/>
      <c r="Y303" s="228"/>
      <c r="Z303" s="227"/>
      <c r="AA303" s="145"/>
      <c r="AB303" s="145"/>
      <c r="AC303" s="228"/>
      <c r="AD303" s="227"/>
      <c r="AE303" s="145"/>
      <c r="AF303" s="145"/>
      <c r="AG303" s="145"/>
      <c r="AH303" s="227"/>
      <c r="AI303" s="145"/>
      <c r="AJ303" s="145"/>
      <c r="AK303" s="145"/>
      <c r="AL303" s="227"/>
      <c r="AM303" s="145"/>
      <c r="AN303" s="145"/>
      <c r="AO303" s="228"/>
      <c r="AP303" s="145"/>
      <c r="AQ303" s="145"/>
      <c r="AR303" s="145"/>
      <c r="AS303" s="145"/>
      <c r="AT303" s="145"/>
      <c r="AU303" s="145"/>
      <c r="AV303" s="145"/>
      <c r="AW303" s="145"/>
      <c r="AX303" s="145"/>
      <c r="AY303" s="145"/>
      <c r="AZ303" s="145"/>
      <c r="BA303" s="228"/>
      <c r="BB303" s="2101">
        <f>BB291-SUM(BB307)</f>
        <v>0</v>
      </c>
      <c r="BC303" s="2102">
        <f t="shared" ref="BC303:BR303" si="663">BC291-SUM(BC307)</f>
        <v>-0.19854343679560316</v>
      </c>
      <c r="BD303" s="2102">
        <f t="shared" si="663"/>
        <v>-2.0130397086973062E-2</v>
      </c>
      <c r="BE303" s="2103">
        <f t="shared" si="663"/>
        <v>-0.1355294676608878</v>
      </c>
      <c r="BF303" s="2101">
        <f t="shared" si="663"/>
        <v>-0.16843211617828047</v>
      </c>
      <c r="BG303" s="2102">
        <f t="shared" si="663"/>
        <v>-0.1368042853806628</v>
      </c>
      <c r="BH303" s="2102">
        <f t="shared" si="663"/>
        <v>-9.2167854615922806E-2</v>
      </c>
      <c r="BI303" s="2103">
        <f t="shared" si="663"/>
        <v>-7.7191232185271019E-2</v>
      </c>
      <c r="BJ303" s="2101">
        <f t="shared" si="663"/>
        <v>-0.31125416668254502</v>
      </c>
      <c r="BK303" s="2102">
        <f t="shared" si="663"/>
        <v>-2.0726274077560447E-2</v>
      </c>
      <c r="BL303" s="2102">
        <f t="shared" si="663"/>
        <v>0.38953966962299091</v>
      </c>
      <c r="BM303" s="2102">
        <f t="shared" si="663"/>
        <v>0.44713867457875267</v>
      </c>
      <c r="BN303" s="2101">
        <f t="shared" si="663"/>
        <v>0.19183469145070831</v>
      </c>
      <c r="BO303" s="2102">
        <f t="shared" si="663"/>
        <v>0.40387371523445381</v>
      </c>
      <c r="BP303" s="2102">
        <f t="shared" si="663"/>
        <v>0.22763149123005633</v>
      </c>
      <c r="BQ303" s="2103">
        <f t="shared" si="663"/>
        <v>325.00689354810515</v>
      </c>
      <c r="BR303" s="2101">
        <f t="shared" si="663"/>
        <v>602.49342894906067</v>
      </c>
      <c r="BS303" s="2102">
        <f>BS291-SUM(BS307)</f>
        <v>684.98395068614536</v>
      </c>
      <c r="BT303" s="2102"/>
      <c r="BU303" s="2103"/>
      <c r="BV303" s="2101"/>
      <c r="BW303" s="2102"/>
      <c r="BX303" s="2102"/>
      <c r="BY303" s="2103"/>
      <c r="BZ303" s="2101"/>
      <c r="CA303" s="2102"/>
      <c r="CB303" s="2102"/>
      <c r="CC303" s="2103"/>
      <c r="CD303" s="9"/>
      <c r="CE303" s="145"/>
      <c r="CF303" s="145"/>
      <c r="CG303" s="145"/>
      <c r="CH303" s="145"/>
      <c r="CI303" s="145"/>
      <c r="CJ303" s="145"/>
      <c r="CK303" s="145"/>
      <c r="CL303" s="145"/>
      <c r="CM303" s="145"/>
      <c r="CN303" s="145"/>
      <c r="CO303" s="145"/>
      <c r="CP303" s="145"/>
      <c r="CQ303" s="2102">
        <f>SUM(BB303:BE303)</f>
        <v>-0.35420330154346402</v>
      </c>
      <c r="CR303" s="2102">
        <f>SUM(BF303:BI303)</f>
        <v>-0.4745954883601371</v>
      </c>
      <c r="CS303" s="2102">
        <f>SUM(BJ303:BM303)</f>
        <v>0.50469790344163812</v>
      </c>
      <c r="CT303" s="2102">
        <f>SUM(BN303:BQ303)</f>
        <v>325.83023344602037</v>
      </c>
      <c r="CU303" s="2102">
        <f>SUM(BR303:BU303)</f>
        <v>1287.477379635206</v>
      </c>
      <c r="CV303" s="2102"/>
      <c r="CW303" s="2102"/>
      <c r="CX303" s="2102"/>
      <c r="CY303" s="2102"/>
      <c r="CZ303" s="2102"/>
      <c r="DA303" s="2102"/>
      <c r="DB303" s="2102"/>
      <c r="DC303" s="2102"/>
      <c r="DD303" s="1517"/>
      <c r="DE303" s="1483"/>
      <c r="DF303" s="141"/>
      <c r="DG303" s="141"/>
      <c r="DH303" s="141"/>
      <c r="DI303" s="141"/>
      <c r="DJ303" s="141"/>
      <c r="DK303" s="141"/>
      <c r="DL303" s="141"/>
      <c r="DM303" s="141"/>
      <c r="DN303" s="141"/>
      <c r="DO303" s="141"/>
      <c r="DP303" s="141"/>
      <c r="DQ303" s="141"/>
      <c r="DR303" s="141"/>
      <c r="DS303" s="141"/>
      <c r="DT303" s="141"/>
      <c r="DU303" s="141"/>
      <c r="DV303" s="141"/>
      <c r="DW303" s="141"/>
      <c r="DX303" s="141"/>
      <c r="DY303" s="141"/>
      <c r="DZ303" s="1676"/>
      <c r="EA303"/>
      <c r="EB303"/>
      <c r="EC303"/>
      <c r="ED303"/>
      <c r="EE303"/>
      <c r="EF303"/>
    </row>
    <row r="304" spans="1:136" s="52" customFormat="1" hidden="1" outlineLevel="1">
      <c r="A304" s="436"/>
      <c r="B304" s="208"/>
      <c r="C304" s="1180"/>
      <c r="D304" s="1180" t="s">
        <v>76</v>
      </c>
      <c r="E304" s="2175"/>
      <c r="F304" s="145"/>
      <c r="G304" s="145"/>
      <c r="H304" s="145"/>
      <c r="I304" s="228"/>
      <c r="J304" s="145"/>
      <c r="K304" s="145"/>
      <c r="L304" s="145"/>
      <c r="M304" s="228"/>
      <c r="N304" s="145"/>
      <c r="O304" s="145"/>
      <c r="P304" s="145"/>
      <c r="Q304" s="228"/>
      <c r="R304" s="145"/>
      <c r="S304" s="145"/>
      <c r="T304" s="145"/>
      <c r="U304" s="228"/>
      <c r="V304" s="227"/>
      <c r="W304" s="145"/>
      <c r="X304" s="145"/>
      <c r="Y304" s="228"/>
      <c r="Z304" s="227"/>
      <c r="AA304" s="145"/>
      <c r="AB304" s="145"/>
      <c r="AC304" s="228"/>
      <c r="AD304" s="227"/>
      <c r="AE304" s="145"/>
      <c r="AF304" s="145"/>
      <c r="AG304" s="145"/>
      <c r="AH304" s="227"/>
      <c r="AI304" s="145"/>
      <c r="AJ304" s="145"/>
      <c r="AK304" s="145"/>
      <c r="AL304" s="227"/>
      <c r="AM304" s="145"/>
      <c r="AN304" s="145"/>
      <c r="AO304" s="228"/>
      <c r="AP304" s="145"/>
      <c r="AQ304" s="145"/>
      <c r="AR304" s="145"/>
      <c r="AS304" s="145"/>
      <c r="AT304" s="145"/>
      <c r="AU304" s="145"/>
      <c r="AV304" s="145"/>
      <c r="AW304" s="145"/>
      <c r="AX304" s="145"/>
      <c r="AY304" s="145"/>
      <c r="AZ304" s="145"/>
      <c r="BA304" s="228"/>
      <c r="BB304" s="640"/>
      <c r="BC304" s="640"/>
      <c r="BD304" s="640"/>
      <c r="BE304" s="949"/>
      <c r="BF304" s="640"/>
      <c r="BG304" s="640"/>
      <c r="BH304" s="640"/>
      <c r="BI304" s="949"/>
      <c r="BJ304" s="640"/>
      <c r="BK304" s="640"/>
      <c r="BL304" s="640"/>
      <c r="BM304" s="640"/>
      <c r="BN304" s="2209"/>
      <c r="BO304" s="640"/>
      <c r="BP304" s="640"/>
      <c r="BQ304" s="949"/>
      <c r="BR304" s="640"/>
      <c r="BS304" s="640"/>
      <c r="BT304" s="852"/>
      <c r="BU304" s="851"/>
      <c r="BV304" s="853"/>
      <c r="BW304" s="853"/>
      <c r="BX304" s="853"/>
      <c r="BY304" s="1601"/>
      <c r="BZ304" s="853"/>
      <c r="CA304" s="853"/>
      <c r="CB304" s="853"/>
      <c r="CC304" s="1601"/>
      <c r="CD304" s="9"/>
      <c r="CE304" s="145"/>
      <c r="CF304" s="145"/>
      <c r="CG304" s="145"/>
      <c r="CH304" s="145"/>
      <c r="CI304" s="145"/>
      <c r="CJ304" s="145"/>
      <c r="CK304" s="145"/>
      <c r="CL304" s="145"/>
      <c r="CM304" s="145"/>
      <c r="CN304" s="145"/>
      <c r="CO304" s="145"/>
      <c r="CP304" s="145"/>
      <c r="CQ304" s="145"/>
      <c r="CR304" s="640">
        <f>CR303/CQ303-1</f>
        <v>0.33989572172833027</v>
      </c>
      <c r="CS304" s="1471">
        <f>CS303/CR303-1</f>
        <v>-2.0634275205301957</v>
      </c>
      <c r="CT304" s="1471">
        <f>CT303/CS303-1</f>
        <v>644.59458484792083</v>
      </c>
      <c r="CU304" s="1471">
        <f>CU303/CT303-1</f>
        <v>2.9513748187781346</v>
      </c>
      <c r="CV304" s="1471"/>
      <c r="CW304" s="495"/>
      <c r="CX304" s="495"/>
      <c r="CY304" s="495"/>
      <c r="CZ304" s="495"/>
      <c r="DA304" s="495"/>
      <c r="DB304" s="495"/>
      <c r="DC304" s="495"/>
      <c r="DD304" s="1517"/>
      <c r="DE304" s="1483"/>
      <c r="DF304" s="141"/>
      <c r="DG304" s="141"/>
      <c r="DH304" s="141"/>
      <c r="DI304" s="141"/>
      <c r="DJ304" s="141"/>
      <c r="DK304" s="141"/>
      <c r="DL304" s="141"/>
      <c r="DM304" s="141"/>
      <c r="DN304" s="141"/>
      <c r="DO304" s="141"/>
      <c r="DP304" s="141"/>
      <c r="DQ304" s="141"/>
      <c r="DR304" s="141"/>
      <c r="DS304" s="141"/>
      <c r="DT304" s="141"/>
      <c r="DU304" s="141"/>
      <c r="DV304" s="141"/>
      <c r="DW304" s="141"/>
      <c r="DX304" s="141"/>
      <c r="DY304" s="141"/>
      <c r="DZ304" s="1676"/>
      <c r="EA304"/>
      <c r="EB304"/>
      <c r="EC304"/>
      <c r="ED304"/>
      <c r="EE304"/>
      <c r="EF304"/>
    </row>
    <row r="305" spans="1:136" s="52" customFormat="1" hidden="1" outlineLevel="1">
      <c r="A305" s="338"/>
      <c r="B305" s="196"/>
      <c r="C305" s="578"/>
      <c r="D305" s="333" t="s">
        <v>77</v>
      </c>
      <c r="E305" s="578"/>
      <c r="F305" s="145"/>
      <c r="G305" s="145"/>
      <c r="H305" s="145"/>
      <c r="I305" s="228"/>
      <c r="J305" s="145"/>
      <c r="K305" s="145"/>
      <c r="L305" s="145"/>
      <c r="M305" s="228"/>
      <c r="N305" s="145"/>
      <c r="O305" s="145"/>
      <c r="P305" s="145"/>
      <c r="Q305" s="228"/>
      <c r="R305" s="145"/>
      <c r="S305" s="145"/>
      <c r="T305" s="145"/>
      <c r="U305" s="228"/>
      <c r="V305" s="227"/>
      <c r="W305" s="145"/>
      <c r="X305" s="145"/>
      <c r="Y305" s="228"/>
      <c r="Z305" s="227"/>
      <c r="AA305" s="145"/>
      <c r="AB305" s="145"/>
      <c r="AC305" s="228"/>
      <c r="AD305" s="227"/>
      <c r="AE305" s="145"/>
      <c r="AF305" s="145"/>
      <c r="AG305" s="145"/>
      <c r="AH305" s="227"/>
      <c r="AI305" s="145"/>
      <c r="AJ305" s="145"/>
      <c r="AK305" s="145"/>
      <c r="AL305" s="227"/>
      <c r="AM305" s="145"/>
      <c r="AN305" s="145"/>
      <c r="AO305" s="228"/>
      <c r="AP305" s="145"/>
      <c r="AQ305" s="145"/>
      <c r="AR305" s="145"/>
      <c r="AS305" s="145"/>
      <c r="AT305" s="145"/>
      <c r="AU305" s="145"/>
      <c r="AV305" s="145"/>
      <c r="AW305" s="145"/>
      <c r="AX305" s="145"/>
      <c r="AY305" s="145"/>
      <c r="AZ305" s="145"/>
      <c r="BA305" s="228"/>
      <c r="BB305" s="852"/>
      <c r="BC305" s="852"/>
      <c r="BD305" s="852"/>
      <c r="BE305" s="851"/>
      <c r="BF305" s="852"/>
      <c r="BG305" s="852"/>
      <c r="BH305" s="852"/>
      <c r="BI305" s="851"/>
      <c r="BJ305" s="852"/>
      <c r="BK305" s="852"/>
      <c r="BL305" s="852"/>
      <c r="BM305" s="852"/>
      <c r="BN305" s="850"/>
      <c r="BO305" s="852"/>
      <c r="BP305" s="852"/>
      <c r="BQ305" s="851"/>
      <c r="BR305" s="852"/>
      <c r="BS305" s="852"/>
      <c r="BT305" s="495"/>
      <c r="BU305" s="499"/>
      <c r="BV305" s="495"/>
      <c r="BW305" s="495"/>
      <c r="BX305" s="495"/>
      <c r="BY305" s="499"/>
      <c r="BZ305" s="495"/>
      <c r="CA305" s="495"/>
      <c r="CB305" s="495"/>
      <c r="CC305" s="499"/>
      <c r="CD305" s="9"/>
      <c r="CE305" s="145"/>
      <c r="CF305" s="145"/>
      <c r="CG305" s="145"/>
      <c r="CH305" s="145"/>
      <c r="CI305" s="145"/>
      <c r="CJ305" s="145"/>
      <c r="CK305" s="145"/>
      <c r="CL305" s="145"/>
      <c r="CM305" s="145"/>
      <c r="CN305" s="145"/>
      <c r="CO305" s="145"/>
      <c r="CP305" s="145"/>
      <c r="CQ305" s="145"/>
      <c r="CR305" s="141"/>
      <c r="CS305" s="141"/>
      <c r="CT305" s="141"/>
      <c r="CU305" s="141"/>
      <c r="CV305" s="141"/>
      <c r="CW305" s="51"/>
      <c r="CX305" s="51"/>
      <c r="CY305" s="51"/>
      <c r="CZ305" s="51"/>
      <c r="DA305" s="51"/>
      <c r="DB305" s="51"/>
      <c r="DC305" s="51"/>
      <c r="DD305" s="1517"/>
      <c r="DE305" s="1483"/>
      <c r="DF305" s="141"/>
      <c r="DG305" s="141"/>
      <c r="DH305" s="141"/>
      <c r="DI305" s="141"/>
      <c r="DJ305" s="141"/>
      <c r="DK305" s="141"/>
      <c r="DL305" s="141"/>
      <c r="DM305" s="141"/>
      <c r="DN305" s="141"/>
      <c r="DO305" s="141"/>
      <c r="DP305" s="141"/>
      <c r="DQ305" s="141"/>
      <c r="DR305" s="141"/>
      <c r="DS305" s="141"/>
      <c r="DT305" s="141"/>
      <c r="DU305" s="141"/>
      <c r="DV305" s="141"/>
      <c r="DW305" s="141"/>
      <c r="DX305" s="141"/>
      <c r="DY305" s="141"/>
      <c r="DZ305" s="1676"/>
      <c r="EA305"/>
      <c r="EB305"/>
      <c r="EC305"/>
      <c r="ED305"/>
      <c r="EE305"/>
      <c r="EF305"/>
    </row>
    <row r="306" spans="1:136" s="52" customFormat="1" hidden="1" outlineLevel="1">
      <c r="A306" s="338"/>
      <c r="B306" s="196"/>
      <c r="C306" s="578"/>
      <c r="D306" s="333"/>
      <c r="E306" s="578"/>
      <c r="F306" s="145"/>
      <c r="G306" s="145"/>
      <c r="H306" s="145"/>
      <c r="I306" s="228"/>
      <c r="J306" s="145"/>
      <c r="K306" s="145"/>
      <c r="L306" s="145"/>
      <c r="M306" s="228"/>
      <c r="N306" s="145"/>
      <c r="O306" s="145"/>
      <c r="P306" s="145"/>
      <c r="Q306" s="228"/>
      <c r="R306" s="145"/>
      <c r="S306" s="145"/>
      <c r="T306" s="145"/>
      <c r="U306" s="228"/>
      <c r="V306" s="227"/>
      <c r="W306" s="145"/>
      <c r="X306" s="145"/>
      <c r="Y306" s="228"/>
      <c r="Z306" s="227"/>
      <c r="AA306" s="145"/>
      <c r="AB306" s="145"/>
      <c r="AC306" s="228"/>
      <c r="AD306" s="227"/>
      <c r="AE306" s="145"/>
      <c r="AF306" s="145"/>
      <c r="AG306" s="145"/>
      <c r="AH306" s="227"/>
      <c r="AI306" s="145"/>
      <c r="AJ306" s="145"/>
      <c r="AK306" s="145"/>
      <c r="AL306" s="227"/>
      <c r="AM306" s="145"/>
      <c r="AN306" s="145"/>
      <c r="AO306" s="228"/>
      <c r="AP306" s="145"/>
      <c r="AQ306" s="145"/>
      <c r="AR306" s="145"/>
      <c r="AS306" s="145"/>
      <c r="AT306" s="145"/>
      <c r="AU306" s="145"/>
      <c r="AV306" s="145"/>
      <c r="AW306" s="145"/>
      <c r="AX306" s="145"/>
      <c r="AY306" s="145"/>
      <c r="AZ306" s="145"/>
      <c r="BA306" s="228"/>
      <c r="BB306" s="2176"/>
      <c r="BC306" s="2118"/>
      <c r="BD306" s="852"/>
      <c r="BE306" s="851"/>
      <c r="BF306" s="852"/>
      <c r="BG306" s="852"/>
      <c r="BH306" s="852"/>
      <c r="BI306" s="851"/>
      <c r="BJ306" s="852"/>
      <c r="BK306" s="852"/>
      <c r="BL306" s="852"/>
      <c r="BM306" s="852"/>
      <c r="BN306" s="850"/>
      <c r="BO306" s="852"/>
      <c r="BP306" s="852"/>
      <c r="BQ306" s="851"/>
      <c r="BR306" s="852"/>
      <c r="BS306" s="852"/>
      <c r="BT306" s="2177"/>
      <c r="BU306" s="2178"/>
      <c r="BV306" s="2179"/>
      <c r="BW306" s="2180"/>
      <c r="BX306" s="2180"/>
      <c r="BY306" s="2181"/>
      <c r="BZ306" s="2179"/>
      <c r="CA306" s="2180"/>
      <c r="CB306" s="2180"/>
      <c r="CC306" s="2181"/>
      <c r="CD306" s="9"/>
      <c r="CE306" s="145"/>
      <c r="CF306" s="145"/>
      <c r="CG306" s="145"/>
      <c r="CH306" s="145"/>
      <c r="CI306" s="145"/>
      <c r="CJ306" s="145"/>
      <c r="CK306" s="145"/>
      <c r="CL306" s="145"/>
      <c r="CM306" s="145"/>
      <c r="CN306" s="145"/>
      <c r="CO306" s="145"/>
      <c r="CP306" s="145"/>
      <c r="CQ306" s="145"/>
      <c r="CR306" s="141"/>
      <c r="CS306" s="141"/>
      <c r="CT306" s="141"/>
      <c r="CU306" s="141"/>
      <c r="CV306" s="141"/>
      <c r="CW306" s="141"/>
      <c r="CX306" s="141"/>
      <c r="CY306" s="141"/>
      <c r="CZ306" s="141"/>
      <c r="DA306" s="141"/>
      <c r="DB306" s="141"/>
      <c r="DC306" s="141"/>
      <c r="DD306" s="1517"/>
      <c r="DE306" s="1483"/>
      <c r="DF306" s="141"/>
      <c r="DG306" s="141"/>
      <c r="DH306" s="141"/>
      <c r="DI306" s="141"/>
      <c r="DJ306" s="141"/>
      <c r="DK306" s="141"/>
      <c r="DL306" s="141"/>
      <c r="DM306" s="141"/>
      <c r="DN306" s="141"/>
      <c r="DO306" s="141"/>
      <c r="DP306" s="141"/>
      <c r="DQ306" s="141"/>
      <c r="DR306" s="141"/>
      <c r="DS306" s="141"/>
      <c r="DT306" s="141"/>
      <c r="DU306" s="141"/>
      <c r="DV306" s="141"/>
      <c r="DW306" s="141"/>
      <c r="DX306" s="141"/>
      <c r="DY306" s="141"/>
      <c r="DZ306" s="1676"/>
      <c r="EA306"/>
      <c r="EB306"/>
      <c r="EC306"/>
      <c r="ED306"/>
      <c r="EE306"/>
      <c r="EF306"/>
    </row>
    <row r="307" spans="1:136" s="52" customFormat="1" hidden="1" outlineLevel="1">
      <c r="A307" s="338"/>
      <c r="B307" s="196"/>
      <c r="C307" s="578" t="s">
        <v>951</v>
      </c>
      <c r="D307" s="333"/>
      <c r="E307" s="578"/>
      <c r="F307" s="145"/>
      <c r="G307" s="145"/>
      <c r="H307" s="145"/>
      <c r="I307" s="228"/>
      <c r="J307" s="145"/>
      <c r="K307" s="145"/>
      <c r="L307" s="145"/>
      <c r="M307" s="228"/>
      <c r="N307" s="145"/>
      <c r="O307" s="145"/>
      <c r="P307" s="145"/>
      <c r="Q307" s="228"/>
      <c r="R307" s="145"/>
      <c r="S307" s="145"/>
      <c r="T307" s="145"/>
      <c r="U307" s="228"/>
      <c r="V307" s="227"/>
      <c r="W307" s="145"/>
      <c r="X307" s="145"/>
      <c r="Y307" s="228"/>
      <c r="Z307" s="227"/>
      <c r="AA307" s="145"/>
      <c r="AB307" s="145"/>
      <c r="AC307" s="228"/>
      <c r="AD307" s="227"/>
      <c r="AE307" s="145"/>
      <c r="AF307" s="145"/>
      <c r="AG307" s="145"/>
      <c r="AH307" s="227"/>
      <c r="AI307" s="145"/>
      <c r="AJ307" s="145"/>
      <c r="AK307" s="145"/>
      <c r="AL307" s="227"/>
      <c r="AM307" s="145"/>
      <c r="AN307" s="145"/>
      <c r="AO307" s="228"/>
      <c r="AP307" s="145"/>
      <c r="AQ307" s="145"/>
      <c r="AR307" s="145"/>
      <c r="AS307" s="145"/>
      <c r="AT307" s="145"/>
      <c r="AU307" s="145"/>
      <c r="AV307" s="145"/>
      <c r="AW307" s="145"/>
      <c r="AX307" s="145"/>
      <c r="AY307" s="145"/>
      <c r="AZ307" s="145"/>
      <c r="BA307" s="228"/>
      <c r="BB307" s="2101">
        <f>BB310*BB313/1000</f>
        <v>500</v>
      </c>
      <c r="BC307" s="2102">
        <f>BC310*BC313/1000</f>
        <v>568.1985434367956</v>
      </c>
      <c r="BD307" s="2102">
        <f t="shared" ref="BD307:BR307" si="664">BD310*BD313/1000</f>
        <v>500.02013039708697</v>
      </c>
      <c r="BE307" s="2103">
        <f t="shared" si="664"/>
        <v>401.13552946766089</v>
      </c>
      <c r="BF307" s="2101">
        <f t="shared" si="664"/>
        <v>455.16843211617828</v>
      </c>
      <c r="BG307" s="2102">
        <f t="shared" si="664"/>
        <v>543.13680428538066</v>
      </c>
      <c r="BH307" s="2102">
        <f t="shared" si="664"/>
        <v>479.09216785461592</v>
      </c>
      <c r="BI307" s="2103">
        <f t="shared" si="664"/>
        <v>444.07719123218527</v>
      </c>
      <c r="BJ307" s="2101">
        <f t="shared" si="664"/>
        <v>504.31125416668255</v>
      </c>
      <c r="BK307" s="2102">
        <f t="shared" si="664"/>
        <v>528.02072627407756</v>
      </c>
      <c r="BL307" s="2102">
        <f t="shared" si="664"/>
        <v>451.61046033037701</v>
      </c>
      <c r="BM307" s="2102">
        <f t="shared" si="664"/>
        <v>365.55286132542125</v>
      </c>
      <c r="BN307" s="2101">
        <f t="shared" si="664"/>
        <v>398.80816530854929</v>
      </c>
      <c r="BO307" s="2102">
        <f t="shared" si="664"/>
        <v>458.59612628476555</v>
      </c>
      <c r="BP307" s="2102">
        <f t="shared" si="664"/>
        <v>345.77236850876994</v>
      </c>
      <c r="BQ307" s="2103">
        <f t="shared" si="664"/>
        <v>340.99310645189485</v>
      </c>
      <c r="BR307" s="2101">
        <f t="shared" si="664"/>
        <v>373.50657105093939</v>
      </c>
      <c r="BS307" s="2102">
        <f>BS310*BS313/1000</f>
        <v>391.01604931385469</v>
      </c>
      <c r="BT307" s="2102"/>
      <c r="BU307" s="2103"/>
      <c r="BV307" s="2101"/>
      <c r="BW307" s="2102"/>
      <c r="BX307" s="2102"/>
      <c r="BY307" s="2103"/>
      <c r="BZ307" s="2101"/>
      <c r="CA307" s="2102"/>
      <c r="CB307" s="2102"/>
      <c r="CC307" s="2103"/>
      <c r="CD307" s="9"/>
      <c r="CE307" s="145"/>
      <c r="CF307" s="145"/>
      <c r="CG307" s="145"/>
      <c r="CH307" s="145"/>
      <c r="CI307" s="145"/>
      <c r="CJ307" s="145"/>
      <c r="CK307" s="145"/>
      <c r="CL307" s="145"/>
      <c r="CM307" s="145"/>
      <c r="CN307" s="145"/>
      <c r="CO307" s="145"/>
      <c r="CP307" s="145"/>
      <c r="CQ307" s="2102">
        <f>SUM(BB307:BE307)</f>
        <v>1969.3542033015437</v>
      </c>
      <c r="CR307" s="2102">
        <f>SUM(BF307:BI307)</f>
        <v>1921.4745954883601</v>
      </c>
      <c r="CS307" s="2102">
        <f>SUM(BJ307:BM307)</f>
        <v>1849.4953020965584</v>
      </c>
      <c r="CT307" s="2102">
        <f>SUM(BN307:BQ307)</f>
        <v>1544.1697665539796</v>
      </c>
      <c r="CU307" s="2102">
        <f>SUM(BR307:BU307)</f>
        <v>764.52262036479408</v>
      </c>
      <c r="CV307" s="2102"/>
      <c r="CW307" s="2102"/>
      <c r="CX307" s="2102"/>
      <c r="CY307" s="2102"/>
      <c r="CZ307" s="2102"/>
      <c r="DA307" s="2102"/>
      <c r="DB307" s="2102"/>
      <c r="DC307" s="2102"/>
      <c r="DD307" s="1517"/>
      <c r="DE307" s="1483"/>
      <c r="DF307" s="141"/>
      <c r="DG307" s="141"/>
      <c r="DH307" s="141"/>
      <c r="DI307" s="141"/>
      <c r="DJ307" s="141"/>
      <c r="DK307" s="141"/>
      <c r="DL307" s="141"/>
      <c r="DM307" s="141"/>
      <c r="DN307" s="141"/>
      <c r="DO307" s="141"/>
      <c r="DP307" s="141"/>
      <c r="DQ307" s="141"/>
      <c r="DR307" s="141"/>
      <c r="DS307" s="141"/>
      <c r="DT307" s="141"/>
      <c r="DU307" s="141"/>
      <c r="DV307" s="141"/>
      <c r="DW307" s="141"/>
      <c r="DX307" s="141"/>
      <c r="DY307" s="141"/>
      <c r="DZ307" s="1676"/>
      <c r="EA307"/>
      <c r="EB307"/>
      <c r="EC307"/>
      <c r="ED307"/>
      <c r="EE307"/>
      <c r="EF307"/>
    </row>
    <row r="308" spans="1:136" s="52" customFormat="1" hidden="1" outlineLevel="1">
      <c r="A308" s="338"/>
      <c r="B308" s="196"/>
      <c r="C308" s="578"/>
      <c r="D308" s="1180" t="s">
        <v>76</v>
      </c>
      <c r="E308" s="578"/>
      <c r="F308" s="145"/>
      <c r="G308" s="145"/>
      <c r="H308" s="145"/>
      <c r="I308" s="228"/>
      <c r="J308" s="145"/>
      <c r="K308" s="145"/>
      <c r="L308" s="145"/>
      <c r="M308" s="228"/>
      <c r="N308" s="145"/>
      <c r="O308" s="145"/>
      <c r="P308" s="145"/>
      <c r="Q308" s="228"/>
      <c r="R308" s="145"/>
      <c r="S308" s="145"/>
      <c r="T308" s="145"/>
      <c r="U308" s="228"/>
      <c r="V308" s="227"/>
      <c r="W308" s="145"/>
      <c r="X308" s="145"/>
      <c r="Y308" s="228"/>
      <c r="Z308" s="227"/>
      <c r="AA308" s="145"/>
      <c r="AB308" s="145"/>
      <c r="AC308" s="228"/>
      <c r="AD308" s="227"/>
      <c r="AE308" s="145"/>
      <c r="AF308" s="145"/>
      <c r="AG308" s="145"/>
      <c r="AH308" s="227"/>
      <c r="AI308" s="145"/>
      <c r="AJ308" s="145"/>
      <c r="AK308" s="145"/>
      <c r="AL308" s="227"/>
      <c r="AM308" s="145"/>
      <c r="AN308" s="145"/>
      <c r="AO308" s="228"/>
      <c r="AP308" s="145"/>
      <c r="AQ308" s="145"/>
      <c r="AR308" s="145"/>
      <c r="AS308" s="145"/>
      <c r="AT308" s="145"/>
      <c r="AU308" s="145"/>
      <c r="AV308" s="145"/>
      <c r="AW308" s="145"/>
      <c r="AX308" s="145"/>
      <c r="AY308" s="145"/>
      <c r="AZ308" s="145"/>
      <c r="BA308" s="228"/>
      <c r="BB308" s="852"/>
      <c r="BC308" s="640"/>
      <c r="BD308" s="640"/>
      <c r="BE308" s="949"/>
      <c r="BF308" s="640">
        <f t="shared" ref="BF308:BS308" si="665">BF307/BB307-1</f>
        <v>-8.9663135767643398E-2</v>
      </c>
      <c r="BG308" s="640">
        <f t="shared" si="665"/>
        <v>-4.4107362542372908E-2</v>
      </c>
      <c r="BH308" s="640">
        <f t="shared" si="665"/>
        <v>-4.1854240000000154E-2</v>
      </c>
      <c r="BI308" s="949">
        <f t="shared" si="665"/>
        <v>0.10705025760622955</v>
      </c>
      <c r="BJ308" s="640">
        <f t="shared" si="665"/>
        <v>0.1079662353165145</v>
      </c>
      <c r="BK308" s="640">
        <f t="shared" si="665"/>
        <v>-2.7831069248182683E-2</v>
      </c>
      <c r="BL308" s="640">
        <f t="shared" si="665"/>
        <v>-5.7362047155357421E-2</v>
      </c>
      <c r="BM308" s="640">
        <f t="shared" si="665"/>
        <v>-0.17682585698419184</v>
      </c>
      <c r="BN308" s="2209">
        <f t="shared" si="665"/>
        <v>-0.20920232889203549</v>
      </c>
      <c r="BO308" s="640">
        <f t="shared" si="665"/>
        <v>-0.13148082363963132</v>
      </c>
      <c r="BP308" s="640">
        <f t="shared" si="665"/>
        <v>-0.23435704244800015</v>
      </c>
      <c r="BQ308" s="949">
        <f t="shared" si="665"/>
        <v>-6.7185234946534611E-2</v>
      </c>
      <c r="BR308" s="640">
        <f t="shared" si="665"/>
        <v>-6.3443019623318442E-2</v>
      </c>
      <c r="BS308" s="640">
        <f t="shared" si="665"/>
        <v>-0.147362947695173</v>
      </c>
      <c r="BT308" s="640"/>
      <c r="BU308" s="949"/>
      <c r="BV308" s="640"/>
      <c r="BW308" s="640"/>
      <c r="BX308" s="640"/>
      <c r="BY308" s="949"/>
      <c r="BZ308" s="640"/>
      <c r="CA308" s="640"/>
      <c r="CB308" s="640"/>
      <c r="CC308" s="949"/>
      <c r="CD308" s="9"/>
      <c r="CE308" s="145"/>
      <c r="CF308" s="145"/>
      <c r="CG308" s="145"/>
      <c r="CH308" s="145"/>
      <c r="CI308" s="145"/>
      <c r="CJ308" s="145"/>
      <c r="CK308" s="145"/>
      <c r="CL308" s="145"/>
      <c r="CM308" s="145"/>
      <c r="CN308" s="145"/>
      <c r="CO308" s="145"/>
      <c r="CP308" s="145"/>
      <c r="CQ308" s="145"/>
      <c r="CR308" s="640">
        <f>CR307/CQ307-1</f>
        <v>-2.4312339412034367E-2</v>
      </c>
      <c r="CS308" s="1471">
        <f>CS307/CR307-1</f>
        <v>-3.7460444994073749E-2</v>
      </c>
      <c r="CT308" s="1471">
        <f>CT307/CS307-1</f>
        <v>-0.16508586704516992</v>
      </c>
      <c r="CU308" s="1471">
        <f>CU307/CT307-1</f>
        <v>-0.50489730020363754</v>
      </c>
      <c r="CV308" s="1471"/>
      <c r="CW308" s="1471"/>
      <c r="CX308" s="1471"/>
      <c r="CY308" s="1471"/>
      <c r="CZ308" s="1471"/>
      <c r="DA308" s="1471"/>
      <c r="DB308" s="1471"/>
      <c r="DC308" s="1471"/>
      <c r="DD308" s="1517"/>
      <c r="DE308" s="1483"/>
      <c r="DF308" s="141"/>
      <c r="DG308" s="141"/>
      <c r="DH308" s="141"/>
      <c r="DI308" s="141"/>
      <c r="DJ308" s="141"/>
      <c r="DK308" s="141"/>
      <c r="DL308" s="141"/>
      <c r="DM308" s="141"/>
      <c r="DN308" s="141"/>
      <c r="DO308" s="141"/>
      <c r="DP308" s="141"/>
      <c r="DQ308" s="141"/>
      <c r="DR308" s="141"/>
      <c r="DS308" s="141"/>
      <c r="DT308" s="141"/>
      <c r="DU308" s="141"/>
      <c r="DV308" s="141"/>
      <c r="DW308" s="141"/>
      <c r="DX308" s="141"/>
      <c r="DY308" s="141"/>
      <c r="DZ308" s="1676"/>
      <c r="EA308"/>
      <c r="EB308"/>
      <c r="EC308"/>
      <c r="ED308"/>
      <c r="EE308"/>
      <c r="EF308"/>
    </row>
    <row r="309" spans="1:136" s="52" customFormat="1" hidden="1" outlineLevel="1">
      <c r="A309" s="338"/>
      <c r="B309" s="196"/>
      <c r="C309" s="578"/>
      <c r="D309" s="333" t="s">
        <v>77</v>
      </c>
      <c r="E309" s="578"/>
      <c r="F309" s="145"/>
      <c r="G309" s="145"/>
      <c r="H309" s="145"/>
      <c r="I309" s="228"/>
      <c r="J309" s="145"/>
      <c r="K309" s="145"/>
      <c r="L309" s="145"/>
      <c r="M309" s="228"/>
      <c r="N309" s="145"/>
      <c r="O309" s="145"/>
      <c r="P309" s="145"/>
      <c r="Q309" s="228"/>
      <c r="R309" s="145"/>
      <c r="S309" s="145"/>
      <c r="T309" s="145"/>
      <c r="U309" s="228"/>
      <c r="V309" s="227"/>
      <c r="W309" s="145"/>
      <c r="X309" s="145"/>
      <c r="Y309" s="228"/>
      <c r="Z309" s="227"/>
      <c r="AA309" s="145"/>
      <c r="AB309" s="145"/>
      <c r="AC309" s="228"/>
      <c r="AD309" s="227"/>
      <c r="AE309" s="145"/>
      <c r="AF309" s="145"/>
      <c r="AG309" s="145"/>
      <c r="AH309" s="227"/>
      <c r="AI309" s="145"/>
      <c r="AJ309" s="145"/>
      <c r="AK309" s="145"/>
      <c r="AL309" s="227"/>
      <c r="AM309" s="145"/>
      <c r="AN309" s="145"/>
      <c r="AO309" s="228"/>
      <c r="AP309" s="145"/>
      <c r="AQ309" s="145"/>
      <c r="AR309" s="145"/>
      <c r="AS309" s="145"/>
      <c r="AT309" s="145"/>
      <c r="AU309" s="145"/>
      <c r="AV309" s="145"/>
      <c r="AW309" s="145"/>
      <c r="AX309" s="145"/>
      <c r="AY309" s="145"/>
      <c r="AZ309" s="145"/>
      <c r="BA309" s="228"/>
      <c r="BB309" s="852"/>
      <c r="BC309" s="852">
        <f t="shared" ref="BC309:BS309" si="666">BC307/BB307-1</f>
        <v>0.13639708687359131</v>
      </c>
      <c r="BD309" s="852">
        <f t="shared" si="666"/>
        <v>-0.11999047485642234</v>
      </c>
      <c r="BE309" s="851">
        <f t="shared" si="666"/>
        <v>-0.19776123983427962</v>
      </c>
      <c r="BF309" s="852">
        <f t="shared" si="666"/>
        <v>0.1346998674493467</v>
      </c>
      <c r="BG309" s="852">
        <f t="shared" si="666"/>
        <v>0.19326553856166617</v>
      </c>
      <c r="BH309" s="852">
        <f t="shared" si="666"/>
        <v>-0.11791621544599606</v>
      </c>
      <c r="BI309" s="851">
        <f t="shared" si="666"/>
        <v>-7.3086096938775658E-2</v>
      </c>
      <c r="BJ309" s="852">
        <f t="shared" si="666"/>
        <v>0.13563872255489007</v>
      </c>
      <c r="BK309" s="852">
        <f t="shared" si="666"/>
        <v>4.7013569321533888E-2</v>
      </c>
      <c r="BL309" s="852">
        <f t="shared" si="666"/>
        <v>-0.14471073225265518</v>
      </c>
      <c r="BM309" s="852">
        <f t="shared" si="666"/>
        <v>-0.19055714285714298</v>
      </c>
      <c r="BN309" s="850">
        <f t="shared" si="666"/>
        <v>9.0972626674432178E-2</v>
      </c>
      <c r="BO309" s="852">
        <f t="shared" si="666"/>
        <v>0.14991659192825102</v>
      </c>
      <c r="BP309" s="852">
        <f t="shared" si="666"/>
        <v>-0.24601986652180663</v>
      </c>
      <c r="BQ309" s="851">
        <f t="shared" si="666"/>
        <v>-1.3821989528795653E-2</v>
      </c>
      <c r="BR309" s="852">
        <f t="shared" si="666"/>
        <v>9.5349331068167231E-2</v>
      </c>
      <c r="BS309" s="852">
        <f t="shared" si="666"/>
        <v>4.6878635129895319E-2</v>
      </c>
      <c r="BT309" s="852"/>
      <c r="BU309" s="851"/>
      <c r="BV309" s="852"/>
      <c r="BW309" s="852"/>
      <c r="BX309" s="852"/>
      <c r="BY309" s="851"/>
      <c r="BZ309" s="852"/>
      <c r="CA309" s="852"/>
      <c r="CB309" s="852"/>
      <c r="CC309" s="851"/>
      <c r="CD309" s="9"/>
      <c r="CE309" s="145"/>
      <c r="CF309" s="145"/>
      <c r="CG309" s="145"/>
      <c r="CH309" s="145"/>
      <c r="CI309" s="145"/>
      <c r="CJ309" s="145"/>
      <c r="CK309" s="145"/>
      <c r="CL309" s="145"/>
      <c r="CM309" s="145"/>
      <c r="CN309" s="145"/>
      <c r="CO309" s="145"/>
      <c r="CP309" s="145"/>
      <c r="CQ309" s="145"/>
      <c r="CR309" s="141"/>
      <c r="CS309" s="141"/>
      <c r="CT309" s="141"/>
      <c r="CU309" s="141"/>
      <c r="CV309" s="141"/>
      <c r="CW309" s="141"/>
      <c r="CX309" s="141"/>
      <c r="CY309" s="141"/>
      <c r="CZ309" s="141"/>
      <c r="DA309" s="141"/>
      <c r="DB309" s="141"/>
      <c r="DC309" s="141"/>
      <c r="DD309" s="1517"/>
      <c r="DE309" s="1483"/>
      <c r="DF309" s="141"/>
      <c r="DG309" s="141"/>
      <c r="DH309" s="141"/>
      <c r="DI309" s="141"/>
      <c r="DJ309" s="141"/>
      <c r="DK309" s="141"/>
      <c r="DL309" s="141"/>
      <c r="DM309" s="141"/>
      <c r="DN309" s="141"/>
      <c r="DO309" s="141"/>
      <c r="DP309" s="141"/>
      <c r="DQ309" s="141"/>
      <c r="DR309" s="141"/>
      <c r="DS309" s="141"/>
      <c r="DT309" s="141"/>
      <c r="DU309" s="141"/>
      <c r="DV309" s="141"/>
      <c r="DW309" s="141"/>
      <c r="DX309" s="141"/>
      <c r="DY309" s="141"/>
      <c r="DZ309" s="1676"/>
      <c r="EA309"/>
      <c r="EB309"/>
      <c r="EC309"/>
      <c r="ED309"/>
      <c r="EE309"/>
      <c r="EF309"/>
    </row>
    <row r="310" spans="1:136" s="52" customFormat="1" hidden="1" outlineLevel="1">
      <c r="A310" s="338"/>
      <c r="B310" s="196"/>
      <c r="C310" s="578" t="s">
        <v>805</v>
      </c>
      <c r="D310" s="333"/>
      <c r="E310" s="578"/>
      <c r="F310" s="145"/>
      <c r="G310" s="145"/>
      <c r="H310" s="145"/>
      <c r="I310" s="228"/>
      <c r="J310" s="145"/>
      <c r="K310" s="145"/>
      <c r="L310" s="145"/>
      <c r="M310" s="228"/>
      <c r="N310" s="145"/>
      <c r="O310" s="145"/>
      <c r="P310" s="145"/>
      <c r="Q310" s="228"/>
      <c r="R310" s="145"/>
      <c r="S310" s="145"/>
      <c r="T310" s="145"/>
      <c r="U310" s="228"/>
      <c r="V310" s="227"/>
      <c r="W310" s="145"/>
      <c r="X310" s="145"/>
      <c r="Y310" s="228"/>
      <c r="Z310" s="227"/>
      <c r="AA310" s="145"/>
      <c r="AB310" s="145"/>
      <c r="AC310" s="228"/>
      <c r="AD310" s="227"/>
      <c r="AE310" s="145"/>
      <c r="AF310" s="145"/>
      <c r="AG310" s="145"/>
      <c r="AH310" s="227"/>
      <c r="AI310" s="145"/>
      <c r="AJ310" s="145"/>
      <c r="AK310" s="145"/>
      <c r="AL310" s="227"/>
      <c r="AM310" s="145"/>
      <c r="AN310" s="145"/>
      <c r="AO310" s="228"/>
      <c r="AP310" s="145"/>
      <c r="AQ310" s="145"/>
      <c r="AR310" s="145"/>
      <c r="AS310" s="145"/>
      <c r="AT310" s="145"/>
      <c r="AU310" s="145"/>
      <c r="AV310" s="145"/>
      <c r="AW310" s="145"/>
      <c r="AX310" s="145"/>
      <c r="AY310" s="145"/>
      <c r="AZ310" s="145"/>
      <c r="BA310" s="228"/>
      <c r="BB310" s="2104">
        <v>5767</v>
      </c>
      <c r="BC310" s="2105">
        <v>7139</v>
      </c>
      <c r="BD310" s="2105">
        <v>6517</v>
      </c>
      <c r="BE310" s="2106">
        <v>5281</v>
      </c>
      <c r="BF310" s="2104">
        <v>6146</v>
      </c>
      <c r="BG310" s="1336">
        <v>7018</v>
      </c>
      <c r="BH310" s="2105">
        <v>6272</v>
      </c>
      <c r="BI310" s="2106">
        <v>6012</v>
      </c>
      <c r="BJ310" s="2104">
        <v>6780</v>
      </c>
      <c r="BK310" s="2105">
        <v>7156</v>
      </c>
      <c r="BL310" s="2105">
        <v>6090</v>
      </c>
      <c r="BM310" s="2108">
        <v>5151</v>
      </c>
      <c r="BN310" s="2121">
        <v>5575</v>
      </c>
      <c r="BO310" s="2105">
        <v>6443</v>
      </c>
      <c r="BP310" s="1647">
        <v>5157</v>
      </c>
      <c r="BQ310" s="2107">
        <v>4709</v>
      </c>
      <c r="BR310" s="2108">
        <v>5158</v>
      </c>
      <c r="BS310" s="2105">
        <v>5510</v>
      </c>
      <c r="BT310" s="2105">
        <v>4900</v>
      </c>
      <c r="BU310" s="2107">
        <v>4300</v>
      </c>
      <c r="BV310" s="2121">
        <v>4900</v>
      </c>
      <c r="BW310" s="2108">
        <v>5800</v>
      </c>
      <c r="BX310" s="374"/>
      <c r="BY310" s="1696"/>
      <c r="BZ310" s="1695"/>
      <c r="CA310" s="1695"/>
      <c r="CB310" s="374"/>
      <c r="CC310" s="1696"/>
      <c r="CD310" s="9"/>
      <c r="CE310" s="145"/>
      <c r="CF310" s="145"/>
      <c r="CG310" s="145"/>
      <c r="CH310" s="145"/>
      <c r="CI310" s="145"/>
      <c r="CJ310" s="145"/>
      <c r="CK310" s="145"/>
      <c r="CL310" s="145"/>
      <c r="CM310" s="145"/>
      <c r="CN310" s="145"/>
      <c r="CO310" s="145"/>
      <c r="CP310" s="145"/>
      <c r="CQ310" s="1695">
        <f>SUM(BB310:BE310)</f>
        <v>24704</v>
      </c>
      <c r="CR310" s="1695">
        <f>SUM(BF310:BI310)</f>
        <v>25448</v>
      </c>
      <c r="CS310" s="1695">
        <f>SUM(BJ310:BM310)</f>
        <v>25177</v>
      </c>
      <c r="CT310" s="1695">
        <f>SUM(BN310:BQ310)</f>
        <v>21884</v>
      </c>
      <c r="CU310" s="1695">
        <f>SUM(BR310:BU310)</f>
        <v>19868</v>
      </c>
      <c r="CV310" s="1695"/>
      <c r="CW310" s="1695"/>
      <c r="CX310" s="1695"/>
      <c r="CY310" s="1695"/>
      <c r="CZ310" s="1695"/>
      <c r="DA310" s="1695"/>
      <c r="DB310" s="1695"/>
      <c r="DC310" s="1695"/>
      <c r="DD310" s="1517"/>
      <c r="DE310" s="1483"/>
      <c r="DF310" s="141"/>
      <c r="DG310" s="141"/>
      <c r="DH310" s="141"/>
      <c r="DI310" s="141"/>
      <c r="DJ310" s="141"/>
      <c r="DK310" s="141"/>
      <c r="DL310" s="141"/>
      <c r="DM310" s="141"/>
      <c r="DN310" s="141"/>
      <c r="DO310" s="141"/>
      <c r="DP310" s="141"/>
      <c r="DQ310" s="141"/>
      <c r="DR310" s="141"/>
      <c r="DS310" s="141"/>
      <c r="DT310" s="141"/>
      <c r="DU310" s="141"/>
      <c r="DV310" s="141"/>
      <c r="DW310" s="141"/>
      <c r="DX310" s="141"/>
      <c r="DY310" s="141"/>
      <c r="DZ310" s="1676"/>
      <c r="EA310"/>
      <c r="EB310"/>
      <c r="EC310"/>
      <c r="ED310"/>
      <c r="EE310"/>
      <c r="EF310"/>
    </row>
    <row r="311" spans="1:136" s="52" customFormat="1" hidden="1" outlineLevel="1">
      <c r="A311" s="338"/>
      <c r="B311" s="196"/>
      <c r="C311" s="578"/>
      <c r="D311" s="1180" t="s">
        <v>76</v>
      </c>
      <c r="E311" s="578"/>
      <c r="F311" s="145"/>
      <c r="G311" s="145"/>
      <c r="H311" s="145"/>
      <c r="I311" s="228"/>
      <c r="J311" s="145"/>
      <c r="K311" s="145"/>
      <c r="L311" s="145"/>
      <c r="M311" s="228"/>
      <c r="N311" s="145"/>
      <c r="O311" s="145"/>
      <c r="P311" s="145"/>
      <c r="Q311" s="228"/>
      <c r="R311" s="145"/>
      <c r="S311" s="145"/>
      <c r="T311" s="145"/>
      <c r="U311" s="228"/>
      <c r="V311" s="227"/>
      <c r="W311" s="145"/>
      <c r="X311" s="145"/>
      <c r="Y311" s="228"/>
      <c r="Z311" s="227"/>
      <c r="AA311" s="145"/>
      <c r="AB311" s="145"/>
      <c r="AC311" s="228"/>
      <c r="AD311" s="227"/>
      <c r="AE311" s="145"/>
      <c r="AF311" s="145"/>
      <c r="AG311" s="145"/>
      <c r="AH311" s="227"/>
      <c r="AI311" s="145"/>
      <c r="AJ311" s="145"/>
      <c r="AK311" s="145"/>
      <c r="AL311" s="227"/>
      <c r="AM311" s="145"/>
      <c r="AN311" s="145"/>
      <c r="AO311" s="228"/>
      <c r="AP311" s="145"/>
      <c r="AQ311" s="145"/>
      <c r="AR311" s="145"/>
      <c r="AS311" s="145"/>
      <c r="AT311" s="145"/>
      <c r="AU311" s="145"/>
      <c r="AV311" s="145"/>
      <c r="AW311" s="145"/>
      <c r="AX311" s="145"/>
      <c r="AY311" s="145"/>
      <c r="AZ311" s="145"/>
      <c r="BA311" s="228"/>
      <c r="BB311" s="852"/>
      <c r="BC311" s="640"/>
      <c r="BD311" s="640"/>
      <c r="BE311" s="949"/>
      <c r="BF311" s="640">
        <f t="shared" ref="BF311:BS311" si="667">BF310/BB310-1</f>
        <v>6.5718744581238164E-2</v>
      </c>
      <c r="BG311" s="640">
        <f t="shared" si="667"/>
        <v>-1.6949152542372836E-2</v>
      </c>
      <c r="BH311" s="640">
        <f t="shared" si="667"/>
        <v>-3.7593984962406068E-2</v>
      </c>
      <c r="BI311" s="949">
        <f t="shared" si="667"/>
        <v>0.13842075364514295</v>
      </c>
      <c r="BJ311" s="640">
        <f t="shared" si="667"/>
        <v>0.10315652456882529</v>
      </c>
      <c r="BK311" s="640">
        <f t="shared" si="667"/>
        <v>1.9663721858079297E-2</v>
      </c>
      <c r="BL311" s="640">
        <f t="shared" si="667"/>
        <v>-2.9017857142857095E-2</v>
      </c>
      <c r="BM311" s="640">
        <f t="shared" si="667"/>
        <v>-0.14321357285429137</v>
      </c>
      <c r="BN311" s="2209">
        <f t="shared" si="667"/>
        <v>-0.17772861356932157</v>
      </c>
      <c r="BO311" s="640">
        <f t="shared" si="667"/>
        <v>-9.9636668529904937E-2</v>
      </c>
      <c r="BP311" s="640">
        <f t="shared" si="667"/>
        <v>-0.15320197044334971</v>
      </c>
      <c r="BQ311" s="949">
        <f t="shared" si="667"/>
        <v>-8.5808580858085848E-2</v>
      </c>
      <c r="BR311" s="640">
        <f t="shared" si="667"/>
        <v>-7.4798206278026913E-2</v>
      </c>
      <c r="BS311" s="640">
        <f t="shared" si="667"/>
        <v>-0.14480831910600656</v>
      </c>
      <c r="BT311" s="640">
        <f>BT310/BP310-1</f>
        <v>-4.9835175489625794E-2</v>
      </c>
      <c r="BU311" s="949">
        <f>BU310/BQ310-1</f>
        <v>-8.6854958589934195E-2</v>
      </c>
      <c r="BV311" s="640">
        <f>BV310/BR310-1</f>
        <v>-5.0019387359441669E-2</v>
      </c>
      <c r="BW311" s="640">
        <f>BW310/BS310-1</f>
        <v>5.2631578947368363E-2</v>
      </c>
      <c r="BX311" s="640"/>
      <c r="BY311" s="949"/>
      <c r="BZ311" s="640"/>
      <c r="CA311" s="640"/>
      <c r="CB311" s="640"/>
      <c r="CC311" s="949"/>
      <c r="CD311" s="9"/>
      <c r="CE311" s="145"/>
      <c r="CF311" s="145"/>
      <c r="CG311" s="145"/>
      <c r="CH311" s="145"/>
      <c r="CI311" s="145"/>
      <c r="CJ311" s="145"/>
      <c r="CK311" s="145"/>
      <c r="CL311" s="145"/>
      <c r="CM311" s="145"/>
      <c r="CN311" s="145"/>
      <c r="CO311" s="145"/>
      <c r="CP311" s="145"/>
      <c r="CQ311" s="145"/>
      <c r="CR311" s="640">
        <f>CR310/CQ310-1</f>
        <v>3.0116580310880936E-2</v>
      </c>
      <c r="CS311" s="1471">
        <f>CS310/CR310-1</f>
        <v>-1.064916692863882E-2</v>
      </c>
      <c r="CT311" s="1471">
        <f>CT310/CS310-1</f>
        <v>-0.1307939786312905</v>
      </c>
      <c r="CU311" s="1471">
        <f>CU310/CT310-1</f>
        <v>-9.2122098336684388E-2</v>
      </c>
      <c r="CV311" s="1471"/>
      <c r="CW311" s="495"/>
      <c r="CX311" s="495"/>
      <c r="CY311" s="495"/>
      <c r="CZ311" s="495"/>
      <c r="DA311" s="495"/>
      <c r="DB311" s="495"/>
      <c r="DC311" s="495"/>
      <c r="DD311" s="1517"/>
      <c r="DE311" s="1483"/>
      <c r="DF311" s="141"/>
      <c r="DG311" s="141"/>
      <c r="DH311" s="141"/>
      <c r="DI311" s="141"/>
      <c r="DJ311" s="141"/>
      <c r="DK311" s="141"/>
      <c r="DL311" s="141"/>
      <c r="DM311" s="141"/>
      <c r="DN311" s="141"/>
      <c r="DO311" s="141"/>
      <c r="DP311" s="141"/>
      <c r="DQ311" s="141"/>
      <c r="DR311" s="141"/>
      <c r="DS311" s="141"/>
      <c r="DT311" s="141"/>
      <c r="DU311" s="141"/>
      <c r="DV311" s="141"/>
      <c r="DW311" s="141"/>
      <c r="DX311" s="141"/>
      <c r="DY311" s="141"/>
      <c r="DZ311" s="1676"/>
      <c r="EA311"/>
      <c r="EB311"/>
      <c r="EC311"/>
      <c r="ED311"/>
      <c r="EE311"/>
      <c r="EF311"/>
    </row>
    <row r="312" spans="1:136" s="52" customFormat="1" hidden="1" outlineLevel="1">
      <c r="A312" s="338"/>
      <c r="B312" s="196"/>
      <c r="C312" s="578"/>
      <c r="D312" s="333" t="s">
        <v>77</v>
      </c>
      <c r="E312" s="578"/>
      <c r="F312" s="145"/>
      <c r="G312" s="145"/>
      <c r="H312" s="145"/>
      <c r="I312" s="228"/>
      <c r="J312" s="145"/>
      <c r="K312" s="145"/>
      <c r="L312" s="145"/>
      <c r="M312" s="228"/>
      <c r="N312" s="145"/>
      <c r="O312" s="145"/>
      <c r="P312" s="145"/>
      <c r="Q312" s="228"/>
      <c r="R312" s="145"/>
      <c r="S312" s="145"/>
      <c r="T312" s="145"/>
      <c r="U312" s="228"/>
      <c r="V312" s="227"/>
      <c r="W312" s="145"/>
      <c r="X312" s="145"/>
      <c r="Y312" s="228"/>
      <c r="Z312" s="227"/>
      <c r="AA312" s="145"/>
      <c r="AB312" s="145"/>
      <c r="AC312" s="228"/>
      <c r="AD312" s="227"/>
      <c r="AE312" s="145"/>
      <c r="AF312" s="145"/>
      <c r="AG312" s="145"/>
      <c r="AH312" s="227"/>
      <c r="AI312" s="145"/>
      <c r="AJ312" s="145"/>
      <c r="AK312" s="145"/>
      <c r="AL312" s="227"/>
      <c r="AM312" s="145"/>
      <c r="AN312" s="145"/>
      <c r="AO312" s="228"/>
      <c r="AP312" s="145"/>
      <c r="AQ312" s="145"/>
      <c r="AR312" s="145"/>
      <c r="AS312" s="145"/>
      <c r="AT312" s="145"/>
      <c r="AU312" s="145"/>
      <c r="AV312" s="145"/>
      <c r="AW312" s="145"/>
      <c r="AX312" s="145"/>
      <c r="AY312" s="145"/>
      <c r="AZ312" s="145"/>
      <c r="BA312" s="228"/>
      <c r="BB312" s="852"/>
      <c r="BC312" s="852">
        <f t="shared" ref="BC312:BS312" si="668">BC310/BB310-1</f>
        <v>0.23790532339171144</v>
      </c>
      <c r="BD312" s="852">
        <f t="shared" si="668"/>
        <v>-8.7127048606247426E-2</v>
      </c>
      <c r="BE312" s="851">
        <f t="shared" si="668"/>
        <v>-0.18965781801442383</v>
      </c>
      <c r="BF312" s="852">
        <f t="shared" si="668"/>
        <v>0.16379473584548387</v>
      </c>
      <c r="BG312" s="852">
        <f t="shared" si="668"/>
        <v>0.14188089814513494</v>
      </c>
      <c r="BH312" s="852">
        <f t="shared" si="668"/>
        <v>-0.10629809062410944</v>
      </c>
      <c r="BI312" s="851">
        <f t="shared" si="668"/>
        <v>-4.1454081632653073E-2</v>
      </c>
      <c r="BJ312" s="852">
        <f t="shared" si="668"/>
        <v>0.12774451097804396</v>
      </c>
      <c r="BK312" s="852">
        <f t="shared" si="668"/>
        <v>5.5457227138643095E-2</v>
      </c>
      <c r="BL312" s="852">
        <f t="shared" si="668"/>
        <v>-0.14896590273896027</v>
      </c>
      <c r="BM312" s="852">
        <f t="shared" si="668"/>
        <v>-0.15418719211822662</v>
      </c>
      <c r="BN312" s="850">
        <f t="shared" si="668"/>
        <v>8.231411376431752E-2</v>
      </c>
      <c r="BO312" s="852">
        <f t="shared" si="668"/>
        <v>0.15569506726457405</v>
      </c>
      <c r="BP312" s="852">
        <f t="shared" si="668"/>
        <v>-0.19959646127580322</v>
      </c>
      <c r="BQ312" s="851">
        <f t="shared" si="668"/>
        <v>-8.6872212526662773E-2</v>
      </c>
      <c r="BR312" s="852">
        <f t="shared" si="668"/>
        <v>9.5349331068167231E-2</v>
      </c>
      <c r="BS312" s="852">
        <f t="shared" si="668"/>
        <v>6.824350523458711E-2</v>
      </c>
      <c r="BT312" s="852">
        <f>BT310/BS310-1</f>
        <v>-0.11070780399274049</v>
      </c>
      <c r="BU312" s="851">
        <f>BU310/BT310-1</f>
        <v>-0.12244897959183676</v>
      </c>
      <c r="BV312" s="852">
        <f>BV310/BU310-1</f>
        <v>0.13953488372093026</v>
      </c>
      <c r="BW312" s="852">
        <f>BW310/BV310-1</f>
        <v>0.18367346938775508</v>
      </c>
      <c r="BX312" s="495"/>
      <c r="BY312" s="499"/>
      <c r="BZ312" s="495"/>
      <c r="CA312" s="495"/>
      <c r="CB312" s="495"/>
      <c r="CC312" s="499"/>
      <c r="CD312" s="9"/>
      <c r="CE312" s="145"/>
      <c r="CF312" s="145"/>
      <c r="CG312" s="145"/>
      <c r="CH312" s="145"/>
      <c r="CI312" s="145"/>
      <c r="CJ312" s="145"/>
      <c r="CK312" s="145"/>
      <c r="CL312" s="145"/>
      <c r="CM312" s="145"/>
      <c r="CN312" s="145"/>
      <c r="CO312" s="145"/>
      <c r="CP312" s="145"/>
      <c r="CQ312" s="145"/>
      <c r="CR312" s="141"/>
      <c r="CS312" s="141"/>
      <c r="CT312" s="141"/>
      <c r="CU312" s="141"/>
      <c r="CV312" s="141"/>
      <c r="CW312" s="141"/>
      <c r="CX312" s="141"/>
      <c r="CY312" s="141"/>
      <c r="CZ312" s="141"/>
      <c r="DA312" s="141"/>
      <c r="DB312" s="141"/>
      <c r="DC312" s="141"/>
      <c r="DD312" s="1517"/>
      <c r="DE312" s="1483"/>
      <c r="DF312" s="141"/>
      <c r="DG312" s="141"/>
      <c r="DH312" s="141"/>
      <c r="DI312" s="141"/>
      <c r="DJ312" s="141"/>
      <c r="DK312" s="141"/>
      <c r="DL312" s="141"/>
      <c r="DM312" s="141"/>
      <c r="DN312" s="141"/>
      <c r="DO312" s="141"/>
      <c r="DP312" s="141"/>
      <c r="DQ312" s="141"/>
      <c r="DR312" s="141"/>
      <c r="DS312" s="141"/>
      <c r="DT312" s="141"/>
      <c r="DU312" s="141"/>
      <c r="DV312" s="141"/>
      <c r="DW312" s="141"/>
      <c r="DX312" s="141"/>
      <c r="DY312" s="141"/>
      <c r="DZ312" s="1676"/>
      <c r="EA312"/>
      <c r="EB312"/>
      <c r="EC312"/>
      <c r="ED312"/>
      <c r="EE312"/>
      <c r="EF312"/>
    </row>
    <row r="313" spans="1:136" s="52" customFormat="1" hidden="1" outlineLevel="1">
      <c r="A313" s="338"/>
      <c r="B313" s="196"/>
      <c r="C313" s="578" t="s">
        <v>806</v>
      </c>
      <c r="D313" s="333"/>
      <c r="E313" s="578"/>
      <c r="F313" s="145"/>
      <c r="G313" s="145"/>
      <c r="H313" s="145"/>
      <c r="I313" s="228"/>
      <c r="J313" s="145"/>
      <c r="K313" s="145"/>
      <c r="L313" s="145"/>
      <c r="M313" s="228"/>
      <c r="N313" s="145"/>
      <c r="O313" s="145"/>
      <c r="P313" s="145"/>
      <c r="Q313" s="228"/>
      <c r="R313" s="145"/>
      <c r="S313" s="145"/>
      <c r="T313" s="145"/>
      <c r="U313" s="228"/>
      <c r="V313" s="227"/>
      <c r="W313" s="145"/>
      <c r="X313" s="145"/>
      <c r="Y313" s="228"/>
      <c r="Z313" s="227"/>
      <c r="AA313" s="145"/>
      <c r="AB313" s="145"/>
      <c r="AC313" s="228"/>
      <c r="AD313" s="227"/>
      <c r="AE313" s="145"/>
      <c r="AF313" s="145"/>
      <c r="AG313" s="145"/>
      <c r="AH313" s="227"/>
      <c r="AI313" s="145"/>
      <c r="AJ313" s="145"/>
      <c r="AK313" s="145"/>
      <c r="AL313" s="227"/>
      <c r="AM313" s="145"/>
      <c r="AN313" s="145"/>
      <c r="AO313" s="228"/>
      <c r="AP313" s="145"/>
      <c r="AQ313" s="145"/>
      <c r="AR313" s="145"/>
      <c r="AS313" s="145"/>
      <c r="AT313" s="145"/>
      <c r="AU313" s="145"/>
      <c r="AV313" s="145"/>
      <c r="AW313" s="145"/>
      <c r="AX313" s="145"/>
      <c r="AY313" s="145"/>
      <c r="AZ313" s="145"/>
      <c r="BA313" s="228"/>
      <c r="BB313" s="2109">
        <v>86.700190740419629</v>
      </c>
      <c r="BC313" s="2110">
        <f t="shared" ref="BC313:BS313" si="669">BB313*(1+BC315)</f>
        <v>79.590775099705226</v>
      </c>
      <c r="BD313" s="2110">
        <f t="shared" si="669"/>
        <v>76.725507196115842</v>
      </c>
      <c r="BE313" s="2111">
        <f t="shared" si="669"/>
        <v>75.958252124154683</v>
      </c>
      <c r="BF313" s="2112">
        <f t="shared" si="669"/>
        <v>74.05929582105081</v>
      </c>
      <c r="BG313" s="2113">
        <f t="shared" si="669"/>
        <v>77.391964132998098</v>
      </c>
      <c r="BH313" s="2110">
        <f t="shared" si="669"/>
        <v>76.385868599269116</v>
      </c>
      <c r="BI313" s="2111">
        <f t="shared" si="669"/>
        <v>73.865134935493231</v>
      </c>
      <c r="BJ313" s="2112">
        <f t="shared" si="669"/>
        <v>74.382190880041676</v>
      </c>
      <c r="BK313" s="2110">
        <f t="shared" si="669"/>
        <v>73.787133353001337</v>
      </c>
      <c r="BL313" s="2110">
        <f t="shared" si="669"/>
        <v>74.156069019766335</v>
      </c>
      <c r="BM313" s="2110">
        <f t="shared" si="669"/>
        <v>70.967358051916378</v>
      </c>
      <c r="BN313" s="2112">
        <f t="shared" si="669"/>
        <v>71.53509691633171</v>
      </c>
      <c r="BO313" s="2110">
        <f t="shared" si="669"/>
        <v>71.177421431750048</v>
      </c>
      <c r="BP313" s="2110">
        <f t="shared" si="669"/>
        <v>67.049130988708541</v>
      </c>
      <c r="BQ313" s="2111">
        <f t="shared" si="669"/>
        <v>72.413061467805235</v>
      </c>
      <c r="BR313" s="2110">
        <f t="shared" si="669"/>
        <v>72.413061467805235</v>
      </c>
      <c r="BS313" s="2110">
        <f t="shared" si="669"/>
        <v>70.964800238449129</v>
      </c>
      <c r="BT313" s="2110"/>
      <c r="BU313" s="2111"/>
      <c r="BV313" s="2112"/>
      <c r="BW313" s="2110"/>
      <c r="BX313" s="2110"/>
      <c r="BY313" s="2111"/>
      <c r="BZ313" s="2112"/>
      <c r="CA313" s="2110"/>
      <c r="CB313" s="2110"/>
      <c r="CC313" s="2111"/>
      <c r="CD313" s="9"/>
      <c r="CE313" s="145"/>
      <c r="CF313" s="145"/>
      <c r="CG313" s="145"/>
      <c r="CH313" s="145"/>
      <c r="CI313" s="145"/>
      <c r="CJ313" s="145"/>
      <c r="CK313" s="145"/>
      <c r="CL313" s="145"/>
      <c r="CM313" s="145"/>
      <c r="CN313" s="145"/>
      <c r="CO313" s="145"/>
      <c r="CP313" s="145"/>
      <c r="CQ313" s="2110">
        <f>CQ307/CQ310*1000</f>
        <v>79.718029602556015</v>
      </c>
      <c r="CR313" s="2110">
        <f>CR307/CR310*1000</f>
        <v>75.505917773041503</v>
      </c>
      <c r="CS313" s="2110">
        <f>CS307/CS310*1000</f>
        <v>73.459717285481133</v>
      </c>
      <c r="CT313" s="2110">
        <f>CT307/CT310*1000</f>
        <v>70.561586846736418</v>
      </c>
      <c r="CU313" s="2110">
        <f>CU307/CU310*1000</f>
        <v>38.480099676101979</v>
      </c>
      <c r="CV313" s="2110"/>
      <c r="CW313" s="2110"/>
      <c r="CX313" s="2110"/>
      <c r="CY313" s="2110"/>
      <c r="CZ313" s="2110"/>
      <c r="DA313" s="2110"/>
      <c r="DB313" s="2110"/>
      <c r="DC313" s="2110"/>
      <c r="DD313" s="1517"/>
      <c r="DE313" s="1483"/>
      <c r="DF313" s="141"/>
      <c r="DG313" s="141"/>
      <c r="DH313" s="141"/>
      <c r="DI313" s="141"/>
      <c r="DJ313" s="141"/>
      <c r="DK313" s="141"/>
      <c r="DL313" s="141"/>
      <c r="DM313" s="141"/>
      <c r="DN313" s="141"/>
      <c r="DO313" s="141"/>
      <c r="DP313" s="141"/>
      <c r="DQ313" s="141"/>
      <c r="DR313" s="141"/>
      <c r="DS313" s="141"/>
      <c r="DT313" s="141"/>
      <c r="DU313" s="141"/>
      <c r="DV313" s="141"/>
      <c r="DW313" s="141"/>
      <c r="DX313" s="141"/>
      <c r="DY313" s="141"/>
      <c r="DZ313" s="1676"/>
      <c r="EA313"/>
      <c r="EB313"/>
      <c r="EC313"/>
      <c r="ED313"/>
      <c r="EE313"/>
      <c r="EF313"/>
    </row>
    <row r="314" spans="1:136" s="52" customFormat="1" hidden="1" outlineLevel="1">
      <c r="A314" s="338"/>
      <c r="B314" s="196"/>
      <c r="C314" s="578"/>
      <c r="D314" s="1180" t="s">
        <v>76</v>
      </c>
      <c r="E314" s="578"/>
      <c r="F314" s="145"/>
      <c r="G314" s="145"/>
      <c r="H314" s="145"/>
      <c r="I314" s="228"/>
      <c r="J314" s="145"/>
      <c r="K314" s="145"/>
      <c r="L314" s="145"/>
      <c r="M314" s="228"/>
      <c r="N314" s="145"/>
      <c r="O314" s="145"/>
      <c r="P314" s="145"/>
      <c r="Q314" s="228"/>
      <c r="R314" s="145"/>
      <c r="S314" s="145"/>
      <c r="T314" s="145"/>
      <c r="U314" s="228"/>
      <c r="V314" s="227"/>
      <c r="W314" s="145"/>
      <c r="X314" s="145"/>
      <c r="Y314" s="228"/>
      <c r="Z314" s="227"/>
      <c r="AA314" s="145"/>
      <c r="AB314" s="145"/>
      <c r="AC314" s="228"/>
      <c r="AD314" s="227"/>
      <c r="AE314" s="145"/>
      <c r="AF314" s="145"/>
      <c r="AG314" s="145"/>
      <c r="AH314" s="227"/>
      <c r="AI314" s="145"/>
      <c r="AJ314" s="145"/>
      <c r="AK314" s="145"/>
      <c r="AL314" s="227"/>
      <c r="AM314" s="145"/>
      <c r="AN314" s="145"/>
      <c r="AO314" s="228"/>
      <c r="AP314" s="145"/>
      <c r="AQ314" s="145"/>
      <c r="AR314" s="145"/>
      <c r="AS314" s="145"/>
      <c r="AT314" s="145"/>
      <c r="AU314" s="145"/>
      <c r="AV314" s="145"/>
      <c r="AW314" s="145"/>
      <c r="AX314" s="145"/>
      <c r="AY314" s="145"/>
      <c r="AZ314" s="145"/>
      <c r="BA314" s="228"/>
      <c r="BB314" s="852"/>
      <c r="BC314" s="492"/>
      <c r="BD314" s="492"/>
      <c r="BE314" s="493"/>
      <c r="BF314" s="497">
        <f t="shared" ref="BF314:BS314" si="670">BF313/BB313-1</f>
        <v>-0.14580008199999994</v>
      </c>
      <c r="BG314" s="436">
        <f t="shared" si="670"/>
        <v>-2.762645500000005E-2</v>
      </c>
      <c r="BH314" s="492">
        <f t="shared" si="670"/>
        <v>-4.4266712500001804E-3</v>
      </c>
      <c r="BI314" s="493">
        <f t="shared" si="670"/>
        <v>-2.7556152625000219E-2</v>
      </c>
      <c r="BJ314" s="497">
        <f t="shared" si="670"/>
        <v>4.3599531349998166E-3</v>
      </c>
      <c r="BK314" s="492">
        <f t="shared" si="670"/>
        <v>-4.657887702400032E-2</v>
      </c>
      <c r="BL314" s="492">
        <f t="shared" si="670"/>
        <v>-2.9191257760000311E-2</v>
      </c>
      <c r="BM314" s="492">
        <f t="shared" si="670"/>
        <v>-3.9230644960000394E-2</v>
      </c>
      <c r="BN314" s="497">
        <f t="shared" si="670"/>
        <v>-3.8276554240000205E-2</v>
      </c>
      <c r="BO314" s="492">
        <f t="shared" si="670"/>
        <v>-3.536811640000026E-2</v>
      </c>
      <c r="BP314" s="492">
        <f t="shared" si="670"/>
        <v>-9.5837577760000126E-2</v>
      </c>
      <c r="BQ314" s="493">
        <f t="shared" si="670"/>
        <v>2.0371385600000069E-2</v>
      </c>
      <c r="BR314" s="492">
        <f t="shared" si="670"/>
        <v>1.2273200000000095E-2</v>
      </c>
      <c r="BS314" s="492">
        <f t="shared" si="670"/>
        <v>-2.9871999999999677E-3</v>
      </c>
      <c r="BT314" s="492"/>
      <c r="BU314" s="493"/>
      <c r="BV314" s="497"/>
      <c r="BW314" s="492"/>
      <c r="BX314" s="492"/>
      <c r="BY314" s="493"/>
      <c r="BZ314" s="497"/>
      <c r="CA314" s="492"/>
      <c r="CB314" s="492"/>
      <c r="CC314" s="493"/>
      <c r="CD314" s="9"/>
      <c r="CE314" s="145"/>
      <c r="CF314" s="145"/>
      <c r="CG314" s="145"/>
      <c r="CH314" s="145"/>
      <c r="CI314" s="145"/>
      <c r="CJ314" s="145"/>
      <c r="CK314" s="145"/>
      <c r="CL314" s="145"/>
      <c r="CM314" s="145"/>
      <c r="CN314" s="145"/>
      <c r="CO314" s="145"/>
      <c r="CP314" s="145"/>
      <c r="CQ314" s="145"/>
      <c r="CR314" s="640">
        <f>CR313/CQ313-1</f>
        <v>-5.2837630966476645E-2</v>
      </c>
      <c r="CS314" s="1471">
        <f>CS313/CR313-1</f>
        <v>-2.709986909517359E-2</v>
      </c>
      <c r="CT314" s="1471">
        <f>CT313/CS313-1</f>
        <v>-3.9451968314578756E-2</v>
      </c>
      <c r="CU314" s="1471">
        <f>CU313/CT313-1</f>
        <v>-0.45465937777614274</v>
      </c>
      <c r="CV314" s="1471"/>
      <c r="CW314" s="495"/>
      <c r="CX314" s="495"/>
      <c r="CY314" s="495"/>
      <c r="CZ314" s="495"/>
      <c r="DA314" s="495"/>
      <c r="DB314" s="495"/>
      <c r="DC314" s="495"/>
      <c r="DD314" s="1517"/>
      <c r="DE314" s="1483"/>
      <c r="DF314" s="141"/>
      <c r="DG314" s="141"/>
      <c r="DH314" s="141"/>
      <c r="DI314" s="141"/>
      <c r="DJ314" s="141"/>
      <c r="DK314" s="141"/>
      <c r="DL314" s="141"/>
      <c r="DM314" s="141"/>
      <c r="DN314" s="141"/>
      <c r="DO314" s="141"/>
      <c r="DP314" s="141"/>
      <c r="DQ314" s="141"/>
      <c r="DR314" s="141"/>
      <c r="DS314" s="141"/>
      <c r="DT314" s="141"/>
      <c r="DU314" s="141"/>
      <c r="DV314" s="141"/>
      <c r="DW314" s="141"/>
      <c r="DX314" s="141"/>
      <c r="DY314" s="141"/>
      <c r="DZ314" s="1676"/>
      <c r="EA314"/>
      <c r="EB314"/>
      <c r="EC314"/>
      <c r="ED314"/>
      <c r="EE314"/>
      <c r="EF314"/>
    </row>
    <row r="315" spans="1:136" s="52" customFormat="1" hidden="1" outlineLevel="1">
      <c r="A315" s="338"/>
      <c r="B315" s="196"/>
      <c r="C315" s="578"/>
      <c r="D315" s="333" t="s">
        <v>77</v>
      </c>
      <c r="E315" s="578"/>
      <c r="F315" s="145"/>
      <c r="G315" s="145"/>
      <c r="H315" s="145"/>
      <c r="I315" s="228"/>
      <c r="J315" s="145"/>
      <c r="K315" s="145"/>
      <c r="L315" s="145"/>
      <c r="M315" s="228"/>
      <c r="N315" s="145"/>
      <c r="O315" s="145"/>
      <c r="P315" s="145"/>
      <c r="Q315" s="228"/>
      <c r="R315" s="145"/>
      <c r="S315" s="145"/>
      <c r="T315" s="145"/>
      <c r="U315" s="228"/>
      <c r="V315" s="227"/>
      <c r="W315" s="145"/>
      <c r="X315" s="145"/>
      <c r="Y315" s="228"/>
      <c r="Z315" s="227"/>
      <c r="AA315" s="145"/>
      <c r="AB315" s="145"/>
      <c r="AC315" s="228"/>
      <c r="AD315" s="227"/>
      <c r="AE315" s="145"/>
      <c r="AF315" s="145"/>
      <c r="AG315" s="145"/>
      <c r="AH315" s="227"/>
      <c r="AI315" s="145"/>
      <c r="AJ315" s="145"/>
      <c r="AK315" s="145"/>
      <c r="AL315" s="227"/>
      <c r="AM315" s="145"/>
      <c r="AN315" s="145"/>
      <c r="AO315" s="228"/>
      <c r="AP315" s="145"/>
      <c r="AQ315" s="145"/>
      <c r="AR315" s="145"/>
      <c r="AS315" s="145"/>
      <c r="AT315" s="145"/>
      <c r="AU315" s="145"/>
      <c r="AV315" s="145"/>
      <c r="AW315" s="145"/>
      <c r="AX315" s="145"/>
      <c r="AY315" s="145"/>
      <c r="AZ315" s="145"/>
      <c r="BA315" s="228"/>
      <c r="BB315" s="852"/>
      <c r="BC315" s="495">
        <v>-8.2000000000000003E-2</v>
      </c>
      <c r="BD315" s="495">
        <v>-3.5999999999999997E-2</v>
      </c>
      <c r="BE315" s="499">
        <v>-0.01</v>
      </c>
      <c r="BF315" s="1026">
        <v>-2.5000000000000001E-2</v>
      </c>
      <c r="BG315" s="935">
        <v>4.4999999999999998E-2</v>
      </c>
      <c r="BH315" s="495">
        <v>-1.2999999999999999E-2</v>
      </c>
      <c r="BI315" s="499">
        <v>-3.3000000000000002E-2</v>
      </c>
      <c r="BJ315" s="1026">
        <v>7.0000000000000001E-3</v>
      </c>
      <c r="BK315" s="495">
        <v>-8.0000000000000002E-3</v>
      </c>
      <c r="BL315" s="495">
        <v>5.0000000000000001E-3</v>
      </c>
      <c r="BM315" s="495">
        <v>-4.2999999999999997E-2</v>
      </c>
      <c r="BN315" s="1026">
        <v>8.0000000000000002E-3</v>
      </c>
      <c r="BO315" s="495">
        <v>-5.0000000000000001E-3</v>
      </c>
      <c r="BP315" s="495">
        <v>-5.8000000000000003E-2</v>
      </c>
      <c r="BQ315" s="499">
        <v>0.08</v>
      </c>
      <c r="BR315" s="1026">
        <v>0</v>
      </c>
      <c r="BS315" s="495">
        <v>-0.02</v>
      </c>
      <c r="BT315" s="495"/>
      <c r="BU315" s="499"/>
      <c r="BV315" s="495"/>
      <c r="BW315" s="495"/>
      <c r="BX315" s="495"/>
      <c r="BY315" s="499"/>
      <c r="BZ315" s="495"/>
      <c r="CA315" s="495"/>
      <c r="CB315" s="495"/>
      <c r="CC315" s="499"/>
      <c r="CD315" s="9"/>
      <c r="CE315" s="145"/>
      <c r="CF315" s="145"/>
      <c r="CG315" s="145"/>
      <c r="CH315" s="145"/>
      <c r="CI315" s="145"/>
      <c r="CJ315" s="145"/>
      <c r="CK315" s="145"/>
      <c r="CL315" s="145"/>
      <c r="CM315" s="145"/>
      <c r="CN315" s="145"/>
      <c r="CO315" s="145"/>
      <c r="CP315" s="145"/>
      <c r="CQ315" s="145"/>
      <c r="CR315" s="141"/>
      <c r="CS315" s="141"/>
      <c r="CT315" s="141"/>
      <c r="CU315" s="141"/>
      <c r="CV315" s="141"/>
      <c r="CW315" s="141"/>
      <c r="CX315" s="141"/>
      <c r="CY315" s="141"/>
      <c r="CZ315" s="141"/>
      <c r="DA315" s="141"/>
      <c r="DB315" s="141"/>
      <c r="DC315" s="141"/>
      <c r="DD315" s="1517"/>
      <c r="DE315" s="1483"/>
      <c r="DF315" s="141"/>
      <c r="DG315" s="141"/>
      <c r="DH315" s="141"/>
      <c r="DI315" s="141"/>
      <c r="DJ315" s="141"/>
      <c r="DK315" s="141"/>
      <c r="DL315" s="141"/>
      <c r="DM315" s="141"/>
      <c r="DN315" s="141"/>
      <c r="DO315" s="141"/>
      <c r="DP315" s="141"/>
      <c r="DQ315" s="141"/>
      <c r="DR315" s="141"/>
      <c r="DS315" s="141"/>
      <c r="DT315" s="141"/>
      <c r="DU315" s="141"/>
      <c r="DV315" s="141"/>
      <c r="DW315" s="141"/>
      <c r="DX315" s="141"/>
      <c r="DY315" s="141"/>
      <c r="DZ315" s="1676"/>
      <c r="EA315"/>
      <c r="EB315"/>
      <c r="EC315"/>
      <c r="ED315"/>
      <c r="EE315"/>
      <c r="EF315"/>
    </row>
    <row r="316" spans="1:136" hidden="1" outlineLevel="1">
      <c r="A316" s="338"/>
      <c r="B316" s="187"/>
      <c r="C316" s="578"/>
      <c r="D316" s="333"/>
      <c r="E316" s="578"/>
      <c r="F316" s="145"/>
      <c r="G316" s="145"/>
      <c r="H316" s="145"/>
      <c r="I316" s="228"/>
      <c r="J316" s="145"/>
      <c r="K316" s="145"/>
      <c r="L316" s="145"/>
      <c r="M316" s="228"/>
      <c r="N316" s="145"/>
      <c r="O316" s="145"/>
      <c r="P316" s="145"/>
      <c r="Q316" s="228"/>
      <c r="R316" s="145"/>
      <c r="S316" s="145"/>
      <c r="T316" s="145"/>
      <c r="U316" s="228"/>
      <c r="V316" s="227"/>
      <c r="W316" s="145"/>
      <c r="X316" s="145"/>
      <c r="Y316" s="228"/>
      <c r="Z316" s="227"/>
      <c r="AA316" s="145"/>
      <c r="AB316" s="145"/>
      <c r="AC316" s="228"/>
      <c r="AD316" s="227"/>
      <c r="AE316" s="145"/>
      <c r="AF316" s="145"/>
      <c r="AG316" s="145"/>
      <c r="AH316" s="227"/>
      <c r="AI316" s="145"/>
      <c r="AJ316" s="145"/>
      <c r="AK316" s="145"/>
      <c r="AL316" s="227"/>
      <c r="AM316" s="145"/>
      <c r="AN316" s="145"/>
      <c r="AO316" s="228"/>
      <c r="AP316" s="145"/>
      <c r="AQ316" s="145"/>
      <c r="AR316" s="145"/>
      <c r="AS316" s="145"/>
      <c r="AT316" s="145"/>
      <c r="AU316" s="145"/>
      <c r="AV316" s="145"/>
      <c r="AW316" s="145"/>
      <c r="AX316" s="145"/>
      <c r="AY316" s="145"/>
      <c r="AZ316" s="145"/>
      <c r="BA316" s="228"/>
      <c r="BB316" s="852"/>
      <c r="BC316" s="852"/>
      <c r="BD316" s="852"/>
      <c r="BE316" s="851"/>
      <c r="BF316" s="852"/>
      <c r="BG316" s="852"/>
      <c r="BH316" s="852"/>
      <c r="BI316" s="851"/>
      <c r="BJ316" s="852"/>
      <c r="BK316" s="852"/>
      <c r="BL316" s="852"/>
      <c r="BM316" s="852"/>
      <c r="BN316" s="850"/>
      <c r="BO316" s="852"/>
      <c r="BP316" s="852"/>
      <c r="BQ316" s="851"/>
      <c r="BR316" s="852"/>
      <c r="BS316" s="145"/>
      <c r="BT316" s="145"/>
      <c r="BU316" s="228"/>
      <c r="BV316" s="145"/>
      <c r="BW316" s="145"/>
      <c r="BX316" s="145"/>
      <c r="BY316" s="228"/>
      <c r="BZ316" s="145"/>
      <c r="CA316" s="145"/>
      <c r="CB316" s="145"/>
      <c r="CC316" s="228"/>
      <c r="CD316" s="9"/>
      <c r="CE316" s="145"/>
      <c r="CF316" s="145"/>
      <c r="CG316" s="145"/>
      <c r="CH316" s="145"/>
      <c r="CI316" s="145"/>
      <c r="CJ316" s="145"/>
      <c r="CK316" s="145"/>
      <c r="CL316" s="145"/>
      <c r="CM316" s="145"/>
      <c r="CN316" s="145"/>
      <c r="CO316" s="145"/>
      <c r="CP316" s="145"/>
      <c r="CQ316" s="145"/>
      <c r="CR316" s="141"/>
      <c r="CS316" s="141"/>
      <c r="CT316" s="141"/>
      <c r="CU316" s="141"/>
      <c r="CV316" s="141"/>
      <c r="CW316" s="141"/>
      <c r="CX316" s="141"/>
      <c r="CY316" s="141"/>
      <c r="CZ316" s="141"/>
      <c r="DA316" s="141"/>
      <c r="DB316" s="141"/>
      <c r="DC316" s="141"/>
      <c r="DD316" s="1517"/>
      <c r="DE316" s="1483"/>
      <c r="DF316" s="141"/>
      <c r="DG316" s="141"/>
      <c r="DH316" s="141"/>
      <c r="DI316" s="141"/>
      <c r="DJ316" s="141"/>
      <c r="DK316" s="141"/>
      <c r="DL316" s="141"/>
      <c r="DM316" s="141"/>
      <c r="DN316" s="141"/>
      <c r="DO316" s="141"/>
      <c r="DP316" s="141"/>
      <c r="DQ316" s="141"/>
      <c r="DR316" s="141"/>
      <c r="DS316" s="141"/>
      <c r="DT316" s="141"/>
      <c r="DU316" s="141"/>
      <c r="DV316" s="141"/>
      <c r="DW316" s="141"/>
      <c r="DX316" s="141"/>
      <c r="DY316" s="141"/>
      <c r="DZ316" s="1676"/>
    </row>
    <row r="317" spans="1:136" collapsed="1">
      <c r="A317" s="9"/>
      <c r="B317" s="1705" t="s">
        <v>945</v>
      </c>
      <c r="C317" s="1705"/>
      <c r="D317" s="1706"/>
      <c r="E317" s="1707"/>
      <c r="F317" s="145"/>
      <c r="G317" s="145"/>
      <c r="H317" s="145"/>
      <c r="I317" s="228"/>
      <c r="J317" s="145"/>
      <c r="K317" s="145"/>
      <c r="L317" s="145"/>
      <c r="M317" s="228"/>
      <c r="N317" s="145"/>
      <c r="O317" s="145"/>
      <c r="P317" s="145"/>
      <c r="Q317" s="228"/>
      <c r="R317" s="145"/>
      <c r="S317" s="145"/>
      <c r="T317" s="145"/>
      <c r="U317" s="228"/>
      <c r="V317" s="227"/>
      <c r="W317" s="145"/>
      <c r="X317" s="145"/>
      <c r="Y317" s="228"/>
      <c r="Z317" s="227"/>
      <c r="AA317" s="145"/>
      <c r="AB317" s="145"/>
      <c r="AC317" s="228"/>
      <c r="AD317" s="227"/>
      <c r="AE317" s="145"/>
      <c r="AF317" s="145"/>
      <c r="AG317" s="145"/>
      <c r="AH317" s="227"/>
      <c r="AI317" s="145"/>
      <c r="AJ317" s="145"/>
      <c r="AK317" s="145"/>
      <c r="AL317" s="227"/>
      <c r="AM317" s="145"/>
      <c r="AN317" s="145"/>
      <c r="AO317" s="228"/>
      <c r="AP317" s="145"/>
      <c r="AQ317" s="145"/>
      <c r="AR317" s="145"/>
      <c r="AS317" s="145"/>
      <c r="AT317" s="145"/>
      <c r="AU317" s="145"/>
      <c r="AV317" s="145"/>
      <c r="AW317" s="145"/>
      <c r="AX317" s="145"/>
      <c r="AY317" s="145"/>
      <c r="AZ317" s="145"/>
      <c r="BA317" s="228"/>
      <c r="BB317" s="1458">
        <v>885</v>
      </c>
      <c r="BC317" s="1373">
        <v>997</v>
      </c>
      <c r="BD317" s="1373">
        <v>1096</v>
      </c>
      <c r="BE317" s="1664">
        <v>1218</v>
      </c>
      <c r="BF317" s="1458">
        <v>1151</v>
      </c>
      <c r="BG317" s="1373">
        <v>1203</v>
      </c>
      <c r="BH317" s="1373">
        <v>1098</v>
      </c>
      <c r="BI317" s="1664">
        <v>1037</v>
      </c>
      <c r="BJ317" s="1458">
        <v>1184</v>
      </c>
      <c r="BK317" s="1373">
        <v>1271</v>
      </c>
      <c r="BL317" s="1373">
        <v>1278</v>
      </c>
      <c r="BM317" s="1373">
        <v>1279</v>
      </c>
      <c r="BN317" s="1458">
        <v>1291</v>
      </c>
      <c r="BO317" s="1373">
        <v>1277</v>
      </c>
      <c r="BP317" s="1373">
        <v>1106</v>
      </c>
      <c r="BQ317" s="1664">
        <v>1245</v>
      </c>
      <c r="BR317" s="1458">
        <v>1364</v>
      </c>
      <c r="BS317" s="1373">
        <v>1394</v>
      </c>
      <c r="BT317" s="1373">
        <v>1328</v>
      </c>
      <c r="BU317" s="1664">
        <v>1419</v>
      </c>
      <c r="BV317" s="1458">
        <v>1369</v>
      </c>
      <c r="BW317" s="2274">
        <v>1434</v>
      </c>
      <c r="BX317" s="729">
        <f t="shared" ref="BX317:CC317" si="671">BX321*BX325</f>
        <v>1383.5231999999999</v>
      </c>
      <c r="BY317" s="1216">
        <f t="shared" si="671"/>
        <v>1434.4368537599998</v>
      </c>
      <c r="BZ317" s="1195">
        <f t="shared" si="671"/>
        <v>1496.691413213184</v>
      </c>
      <c r="CA317" s="729">
        <f t="shared" si="671"/>
        <v>1463.1655255572086</v>
      </c>
      <c r="CB317" s="729">
        <f t="shared" si="671"/>
        <v>1360.7439387682039</v>
      </c>
      <c r="CC317" s="1216">
        <f t="shared" si="671"/>
        <v>1271.8193223697017</v>
      </c>
      <c r="CD317" s="9"/>
      <c r="CE317" s="145"/>
      <c r="CF317" s="145"/>
      <c r="CG317" s="145"/>
      <c r="CH317" s="145"/>
      <c r="CI317" s="145"/>
      <c r="CJ317" s="145"/>
      <c r="CK317" s="145"/>
      <c r="CL317" s="145"/>
      <c r="CM317" s="145"/>
      <c r="CN317" s="145"/>
      <c r="CO317" s="145"/>
      <c r="CP317" s="145"/>
      <c r="CQ317" s="729">
        <f>SUM(BB317:BE317)</f>
        <v>4196</v>
      </c>
      <c r="CR317" s="729">
        <f>SUM(BF317:BI317)</f>
        <v>4489</v>
      </c>
      <c r="CS317" s="729">
        <f>SUM(BJ317:BM317)</f>
        <v>5012</v>
      </c>
      <c r="CT317" s="729">
        <f>SUM(BN317:BQ317)</f>
        <v>4919</v>
      </c>
      <c r="CU317" s="729">
        <f>SUM(BR317:BU317)</f>
        <v>5505</v>
      </c>
      <c r="CV317" s="729">
        <f>SUM(BV317:BY317)</f>
        <v>5620.9600537599999</v>
      </c>
      <c r="CW317" s="729">
        <f>SUM(BZ317:CC317)</f>
        <v>5592.4201999082979</v>
      </c>
      <c r="CX317" s="729">
        <f t="shared" ref="CX317:DC317" si="672">CX321*CX325</f>
        <v>6621.7051377014204</v>
      </c>
      <c r="CY317" s="729">
        <f t="shared" si="672"/>
        <v>7462.6616901895004</v>
      </c>
      <c r="CZ317" s="729">
        <f t="shared" si="672"/>
        <v>8410.4197248435667</v>
      </c>
      <c r="DA317" s="729">
        <f t="shared" si="672"/>
        <v>9478.5430298986994</v>
      </c>
      <c r="DB317" s="729">
        <f t="shared" si="672"/>
        <v>10682.317994695832</v>
      </c>
      <c r="DC317" s="729">
        <f t="shared" si="672"/>
        <v>12038.972380022202</v>
      </c>
      <c r="DD317" s="1517"/>
      <c r="DE317" s="1483"/>
      <c r="DF317" s="141"/>
      <c r="DG317" s="141"/>
      <c r="DH317" s="141"/>
      <c r="DI317" s="141"/>
      <c r="DJ317" s="141"/>
      <c r="DK317" s="141"/>
      <c r="DL317" s="141"/>
      <c r="DM317" s="141"/>
      <c r="DN317" s="141"/>
      <c r="DO317" s="141"/>
      <c r="DP317" s="141"/>
      <c r="DQ317" s="141"/>
      <c r="DR317" s="141"/>
      <c r="DS317" s="141"/>
      <c r="DT317" s="141"/>
      <c r="DU317" s="141"/>
      <c r="DV317" s="141"/>
      <c r="DW317" s="141"/>
      <c r="DX317" s="141"/>
      <c r="DY317" s="141"/>
      <c r="DZ317" s="1676"/>
    </row>
    <row r="318" spans="1:136">
      <c r="A318" s="1031"/>
      <c r="B318" s="224"/>
      <c r="C318" s="1180"/>
      <c r="D318" s="1180" t="s">
        <v>76</v>
      </c>
      <c r="E318" s="1182"/>
      <c r="F318" s="145"/>
      <c r="G318" s="145"/>
      <c r="H318" s="145"/>
      <c r="I318" s="228"/>
      <c r="J318" s="145"/>
      <c r="K318" s="145"/>
      <c r="L318" s="145"/>
      <c r="M318" s="228"/>
      <c r="N318" s="145"/>
      <c r="O318" s="145"/>
      <c r="P318" s="145"/>
      <c r="Q318" s="228"/>
      <c r="R318" s="145"/>
      <c r="S318" s="145"/>
      <c r="T318" s="145"/>
      <c r="U318" s="228"/>
      <c r="V318" s="227"/>
      <c r="W318" s="145"/>
      <c r="X318" s="145"/>
      <c r="Y318" s="228"/>
      <c r="Z318" s="227"/>
      <c r="AA318" s="145"/>
      <c r="AB318" s="145"/>
      <c r="AC318" s="228"/>
      <c r="AD318" s="227"/>
      <c r="AE318" s="145"/>
      <c r="AF318" s="145"/>
      <c r="AG318" s="145"/>
      <c r="AH318" s="227"/>
      <c r="AI318" s="145"/>
      <c r="AJ318" s="145"/>
      <c r="AK318" s="145"/>
      <c r="AL318" s="227"/>
      <c r="AM318" s="145"/>
      <c r="AN318" s="145"/>
      <c r="AO318" s="228"/>
      <c r="AP318" s="145"/>
      <c r="AQ318" s="145"/>
      <c r="AR318" s="145"/>
      <c r="AS318" s="145"/>
      <c r="AT318" s="145"/>
      <c r="AU318" s="145"/>
      <c r="AV318" s="145"/>
      <c r="AW318" s="145"/>
      <c r="AX318" s="145"/>
      <c r="AY318" s="145"/>
      <c r="AZ318" s="145"/>
      <c r="BA318" s="228"/>
      <c r="BB318" s="640"/>
      <c r="BC318" s="640"/>
      <c r="BD318" s="640"/>
      <c r="BE318" s="949"/>
      <c r="BF318" s="640">
        <f t="shared" ref="BF318:BW318" si="673">BF317/BB317-1</f>
        <v>0.3005649717514125</v>
      </c>
      <c r="BG318" s="640">
        <f t="shared" si="673"/>
        <v>0.2066198595787363</v>
      </c>
      <c r="BH318" s="640">
        <f t="shared" si="673"/>
        <v>1.8248175182482562E-3</v>
      </c>
      <c r="BI318" s="949">
        <f t="shared" si="673"/>
        <v>-0.14860426929392445</v>
      </c>
      <c r="BJ318" s="640">
        <f t="shared" si="673"/>
        <v>2.8670721112076469E-2</v>
      </c>
      <c r="BK318" s="640">
        <f t="shared" si="673"/>
        <v>5.652535328345798E-2</v>
      </c>
      <c r="BL318" s="640">
        <f t="shared" si="673"/>
        <v>0.16393442622950816</v>
      </c>
      <c r="BM318" s="640">
        <f t="shared" si="673"/>
        <v>0.23336547733847635</v>
      </c>
      <c r="BN318" s="2209">
        <f t="shared" si="673"/>
        <v>9.0371621621621712E-2</v>
      </c>
      <c r="BO318" s="640">
        <f t="shared" si="673"/>
        <v>4.7206923682139301E-3</v>
      </c>
      <c r="BP318" s="640">
        <f t="shared" si="673"/>
        <v>-0.13458528951486703</v>
      </c>
      <c r="BQ318" s="949">
        <f t="shared" si="673"/>
        <v>-2.6583268178264285E-2</v>
      </c>
      <c r="BR318" s="640">
        <f t="shared" si="673"/>
        <v>5.6545313710302025E-2</v>
      </c>
      <c r="BS318" s="640">
        <f t="shared" si="673"/>
        <v>9.1620986687549033E-2</v>
      </c>
      <c r="BT318" s="640">
        <f t="shared" ref="BT318:BY318" si="674">BT317/BP317-1</f>
        <v>0.20072332730560571</v>
      </c>
      <c r="BU318" s="949">
        <f t="shared" si="673"/>
        <v>0.13975903614457841</v>
      </c>
      <c r="BV318" s="640">
        <f t="shared" si="673"/>
        <v>3.665689149560114E-3</v>
      </c>
      <c r="BW318" s="640">
        <f t="shared" si="673"/>
        <v>2.8694404591104838E-2</v>
      </c>
      <c r="BX318" s="640">
        <f t="shared" si="674"/>
        <v>4.1809638554216821E-2</v>
      </c>
      <c r="BY318" s="949">
        <f t="shared" si="674"/>
        <v>1.087868482029597E-2</v>
      </c>
      <c r="BZ318" s="640">
        <f>BZ317/BV317-1</f>
        <v>9.3273493946810726E-2</v>
      </c>
      <c r="CA318" s="640">
        <f>CA317/BW317-1</f>
        <v>2.0338581281177603E-2</v>
      </c>
      <c r="CB318" s="640">
        <f>CB317/BX317-1</f>
        <v>-1.6464676003840051E-2</v>
      </c>
      <c r="CC318" s="949">
        <f>CC317/BY317-1</f>
        <v>-0.11336681078992006</v>
      </c>
      <c r="CD318" s="9"/>
      <c r="CE318" s="145"/>
      <c r="CF318" s="145"/>
      <c r="CG318" s="145"/>
      <c r="CH318" s="145"/>
      <c r="CI318" s="145"/>
      <c r="CJ318" s="145"/>
      <c r="CK318" s="145"/>
      <c r="CL318" s="145"/>
      <c r="CM318" s="145"/>
      <c r="CN318" s="145"/>
      <c r="CO318" s="145"/>
      <c r="CP318" s="145"/>
      <c r="CQ318" s="145"/>
      <c r="CR318" s="640">
        <f t="shared" ref="CR318:DC318" si="675">CR317/CQ317-1</f>
        <v>6.9828408007626352E-2</v>
      </c>
      <c r="CS318" s="1471">
        <f t="shared" si="675"/>
        <v>0.11650701715304068</v>
      </c>
      <c r="CT318" s="1471">
        <f t="shared" si="675"/>
        <v>-1.855546687948928E-2</v>
      </c>
      <c r="CU318" s="1471">
        <f t="shared" si="675"/>
        <v>0.11912990445212435</v>
      </c>
      <c r="CV318" s="1471">
        <f t="shared" si="675"/>
        <v>2.1064496595821991E-2</v>
      </c>
      <c r="CW318" s="1471">
        <f t="shared" si="675"/>
        <v>-5.0773984477280321E-3</v>
      </c>
      <c r="CX318" s="1471">
        <f t="shared" si="675"/>
        <v>0.18405000000000005</v>
      </c>
      <c r="CY318" s="1471">
        <f t="shared" si="675"/>
        <v>0.127</v>
      </c>
      <c r="CZ318" s="1471">
        <f t="shared" si="675"/>
        <v>0.127</v>
      </c>
      <c r="DA318" s="1471">
        <f t="shared" si="675"/>
        <v>0.127</v>
      </c>
      <c r="DB318" s="1471">
        <f t="shared" si="675"/>
        <v>0.12699999999999978</v>
      </c>
      <c r="DC318" s="1471">
        <f t="shared" si="675"/>
        <v>0.127</v>
      </c>
      <c r="DD318" s="1517"/>
      <c r="DE318" s="2126"/>
      <c r="DF318" s="141"/>
      <c r="DG318" s="141"/>
      <c r="DH318" s="141"/>
      <c r="DI318" s="141"/>
      <c r="DJ318" s="141"/>
      <c r="DK318" s="141"/>
      <c r="DL318" s="141"/>
      <c r="DM318" s="141"/>
      <c r="DN318" s="141"/>
      <c r="DO318" s="141"/>
      <c r="DP318" s="141"/>
      <c r="DQ318" s="141"/>
      <c r="DR318" s="141"/>
      <c r="DS318" s="141"/>
      <c r="DT318" s="141"/>
      <c r="DU318" s="141"/>
      <c r="DV318" s="141"/>
      <c r="DW318" s="141"/>
      <c r="DX318" s="141"/>
      <c r="DY318" s="141"/>
      <c r="DZ318" s="1676"/>
    </row>
    <row r="319" spans="1:136">
      <c r="A319" s="338"/>
      <c r="B319" s="187"/>
      <c r="C319" s="578"/>
      <c r="D319" s="333" t="s">
        <v>77</v>
      </c>
      <c r="E319" s="578"/>
      <c r="F319" s="145"/>
      <c r="G319" s="145"/>
      <c r="H319" s="145"/>
      <c r="I319" s="228"/>
      <c r="J319" s="145"/>
      <c r="K319" s="145"/>
      <c r="L319" s="145"/>
      <c r="M319" s="228"/>
      <c r="N319" s="145"/>
      <c r="O319" s="145"/>
      <c r="P319" s="145"/>
      <c r="Q319" s="228"/>
      <c r="R319" s="145"/>
      <c r="S319" s="145"/>
      <c r="T319" s="145"/>
      <c r="U319" s="228"/>
      <c r="V319" s="227"/>
      <c r="W319" s="145"/>
      <c r="X319" s="145"/>
      <c r="Y319" s="228"/>
      <c r="Z319" s="227"/>
      <c r="AA319" s="145"/>
      <c r="AB319" s="145"/>
      <c r="AC319" s="228"/>
      <c r="AD319" s="227"/>
      <c r="AE319" s="145"/>
      <c r="AF319" s="145"/>
      <c r="AG319" s="145"/>
      <c r="AH319" s="227"/>
      <c r="AI319" s="145"/>
      <c r="AJ319" s="145"/>
      <c r="AK319" s="145"/>
      <c r="AL319" s="227"/>
      <c r="AM319" s="145"/>
      <c r="AN319" s="145"/>
      <c r="AO319" s="228"/>
      <c r="AP319" s="145"/>
      <c r="AQ319" s="145"/>
      <c r="AR319" s="145"/>
      <c r="AS319" s="145"/>
      <c r="AT319" s="145"/>
      <c r="AU319" s="145"/>
      <c r="AV319" s="145"/>
      <c r="AW319" s="145"/>
      <c r="AX319" s="145"/>
      <c r="AY319" s="145"/>
      <c r="AZ319" s="145"/>
      <c r="BA319" s="228"/>
      <c r="BB319" s="852"/>
      <c r="BC319" s="852">
        <f>BC317/BB317-1</f>
        <v>0.12655367231638426</v>
      </c>
      <c r="BD319" s="852">
        <f>BD317/BC317-1</f>
        <v>9.9297893681043137E-2</v>
      </c>
      <c r="BE319" s="851">
        <f>BE317/BD317-1</f>
        <v>0.11131386861313874</v>
      </c>
      <c r="BF319" s="852">
        <f t="shared" ref="BF319:BW319" si="676">BF317/BE317-1</f>
        <v>-5.5008210180623962E-2</v>
      </c>
      <c r="BG319" s="852">
        <f t="shared" si="676"/>
        <v>4.517810599478711E-2</v>
      </c>
      <c r="BH319" s="852">
        <f t="shared" si="676"/>
        <v>-8.7281795511221949E-2</v>
      </c>
      <c r="BI319" s="851">
        <f t="shared" si="676"/>
        <v>-5.555555555555558E-2</v>
      </c>
      <c r="BJ319" s="852">
        <f t="shared" si="676"/>
        <v>0.14175506268080995</v>
      </c>
      <c r="BK319" s="852">
        <f t="shared" si="676"/>
        <v>7.3479729729729826E-2</v>
      </c>
      <c r="BL319" s="852">
        <f t="shared" si="676"/>
        <v>5.5074744295831035E-3</v>
      </c>
      <c r="BM319" s="852">
        <f t="shared" si="676"/>
        <v>7.8247261345842922E-4</v>
      </c>
      <c r="BN319" s="850">
        <f t="shared" si="676"/>
        <v>9.3823299452697739E-3</v>
      </c>
      <c r="BO319" s="852">
        <f t="shared" si="676"/>
        <v>-1.0844306738962084E-2</v>
      </c>
      <c r="BP319" s="852">
        <f t="shared" si="676"/>
        <v>-0.1339075959279562</v>
      </c>
      <c r="BQ319" s="851">
        <f t="shared" si="676"/>
        <v>0.12567811934900552</v>
      </c>
      <c r="BR319" s="852">
        <f t="shared" si="676"/>
        <v>9.5582329317269066E-2</v>
      </c>
      <c r="BS319" s="852">
        <f t="shared" si="676"/>
        <v>2.1994134897360684E-2</v>
      </c>
      <c r="BT319" s="852">
        <f t="shared" ref="BT319:BY319" si="677">BT317/BS317-1</f>
        <v>-4.7345767575322828E-2</v>
      </c>
      <c r="BU319" s="851">
        <f t="shared" si="676"/>
        <v>6.8524096385542244E-2</v>
      </c>
      <c r="BV319" s="852">
        <f t="shared" si="676"/>
        <v>-3.5236081747709647E-2</v>
      </c>
      <c r="BW319" s="852">
        <f t="shared" si="676"/>
        <v>4.7479912344777109E-2</v>
      </c>
      <c r="BX319" s="852">
        <f t="shared" si="677"/>
        <v>-3.520000000000012E-2</v>
      </c>
      <c r="BY319" s="851">
        <f t="shared" si="677"/>
        <v>3.6799999999999944E-2</v>
      </c>
      <c r="BZ319" s="852">
        <f>BZ317/BY317-1</f>
        <v>4.3400000000000105E-2</v>
      </c>
      <c r="CA319" s="852">
        <f>CA317/BZ317-1</f>
        <v>-2.2399999999999975E-2</v>
      </c>
      <c r="CB319" s="852">
        <f>CB317/CA317-1</f>
        <v>-7.0000000000000173E-2</v>
      </c>
      <c r="CC319" s="851">
        <f>CC317/CB317-1</f>
        <v>-6.5350000000000019E-2</v>
      </c>
      <c r="CD319" s="9"/>
      <c r="CE319" s="145"/>
      <c r="CF319" s="145"/>
      <c r="CG319" s="145"/>
      <c r="CH319" s="145"/>
      <c r="CI319" s="145"/>
      <c r="CJ319" s="145"/>
      <c r="CK319" s="145"/>
      <c r="CL319" s="145"/>
      <c r="CM319" s="145"/>
      <c r="CN319" s="145"/>
      <c r="CO319" s="145"/>
      <c r="CP319" s="145"/>
      <c r="CQ319" s="145"/>
      <c r="CR319" s="141"/>
      <c r="CS319" s="141"/>
      <c r="CT319" s="141"/>
      <c r="CU319" s="141"/>
      <c r="CV319" s="141"/>
      <c r="CW319" s="141"/>
      <c r="CX319" s="141"/>
      <c r="CY319" s="141"/>
      <c r="CZ319" s="141"/>
      <c r="DD319" s="1517"/>
      <c r="DE319" s="1483"/>
      <c r="DF319" s="141"/>
      <c r="DG319" s="141"/>
      <c r="DH319" s="141"/>
      <c r="DI319" s="141"/>
      <c r="DJ319" s="141"/>
      <c r="DK319" s="141"/>
      <c r="DL319" s="141"/>
      <c r="DM319" s="141"/>
      <c r="DN319" s="141"/>
      <c r="DO319" s="141"/>
      <c r="DP319" s="141"/>
      <c r="DQ319" s="141"/>
      <c r="DR319" s="141"/>
      <c r="DS319" s="141"/>
      <c r="DT319" s="141"/>
      <c r="DU319" s="141"/>
      <c r="DV319" s="141"/>
      <c r="DW319" s="141"/>
      <c r="DX319" s="141"/>
      <c r="DY319" s="141"/>
      <c r="DZ319" s="1676"/>
    </row>
    <row r="320" spans="1:136">
      <c r="A320" s="338"/>
      <c r="B320" s="187"/>
      <c r="C320" s="578"/>
      <c r="D320" s="333"/>
      <c r="E320" s="578"/>
      <c r="F320" s="145"/>
      <c r="G320" s="145"/>
      <c r="H320" s="145"/>
      <c r="I320" s="228"/>
      <c r="J320" s="145"/>
      <c r="K320" s="145"/>
      <c r="L320" s="145"/>
      <c r="M320" s="228"/>
      <c r="N320" s="145"/>
      <c r="O320" s="145"/>
      <c r="P320" s="145"/>
      <c r="Q320" s="228"/>
      <c r="R320" s="145"/>
      <c r="S320" s="145"/>
      <c r="T320" s="145"/>
      <c r="U320" s="228"/>
      <c r="V320" s="227"/>
      <c r="W320" s="145"/>
      <c r="X320" s="145"/>
      <c r="Y320" s="228"/>
      <c r="Z320" s="227"/>
      <c r="AA320" s="145"/>
      <c r="AB320" s="145"/>
      <c r="AC320" s="228"/>
      <c r="AD320" s="227"/>
      <c r="AE320" s="145"/>
      <c r="AF320" s="145"/>
      <c r="AG320" s="145"/>
      <c r="AH320" s="227"/>
      <c r="AI320" s="145"/>
      <c r="AJ320" s="145"/>
      <c r="AK320" s="145"/>
      <c r="AL320" s="227"/>
      <c r="AM320" s="145"/>
      <c r="AN320" s="145"/>
      <c r="AO320" s="228"/>
      <c r="AP320" s="145"/>
      <c r="AQ320" s="145"/>
      <c r="AR320" s="145"/>
      <c r="AS320" s="145"/>
      <c r="AT320" s="145"/>
      <c r="AU320" s="145"/>
      <c r="AV320" s="145"/>
      <c r="AW320" s="145"/>
      <c r="AX320" s="145"/>
      <c r="AY320" s="145"/>
      <c r="AZ320" s="145"/>
      <c r="BA320" s="228"/>
      <c r="BB320" s="1697"/>
      <c r="BC320" s="1698"/>
      <c r="BD320" s="1698"/>
      <c r="BE320" s="1699"/>
      <c r="BF320" s="1697"/>
      <c r="BG320" s="1698"/>
      <c r="BH320" s="1698"/>
      <c r="BI320" s="1699"/>
      <c r="BJ320" s="1697"/>
      <c r="BK320" s="1698"/>
      <c r="BL320" s="1698"/>
      <c r="BM320" s="1698"/>
      <c r="BN320" s="1697"/>
      <c r="BO320" s="1698"/>
      <c r="BP320" s="1698"/>
      <c r="BQ320" s="1699"/>
      <c r="BR320" s="1697"/>
      <c r="BS320" s="1698"/>
      <c r="BT320" s="1698"/>
      <c r="BU320" s="1699"/>
      <c r="BV320" s="852"/>
      <c r="BW320" s="852"/>
      <c r="BX320" s="2215"/>
      <c r="BY320" s="2216"/>
      <c r="BZ320" s="2215"/>
      <c r="CA320" s="2215"/>
      <c r="CB320" s="2215"/>
      <c r="CC320" s="2216"/>
      <c r="CD320" s="9"/>
      <c r="CE320" s="145"/>
      <c r="CF320" s="145"/>
      <c r="CG320" s="145"/>
      <c r="CH320" s="145"/>
      <c r="CI320" s="145"/>
      <c r="CJ320" s="145"/>
      <c r="CK320" s="145"/>
      <c r="CL320" s="145"/>
      <c r="CM320" s="145"/>
      <c r="CN320" s="145"/>
      <c r="CO320" s="145"/>
      <c r="CP320" s="145"/>
      <c r="CQ320" s="145"/>
      <c r="CR320" s="141"/>
      <c r="CS320" s="141"/>
      <c r="CT320" s="141"/>
      <c r="CU320" s="141"/>
      <c r="CV320" s="141"/>
      <c r="CW320" s="141"/>
      <c r="CX320" s="141"/>
      <c r="CY320" s="141"/>
      <c r="CZ320" s="141"/>
      <c r="DA320" s="141"/>
      <c r="DB320" s="141"/>
      <c r="DC320" s="141"/>
      <c r="DD320" s="1517"/>
      <c r="DE320" s="1483"/>
      <c r="DF320" s="141"/>
      <c r="DG320" s="141"/>
      <c r="DH320" s="141"/>
      <c r="DI320" s="141"/>
      <c r="DJ320" s="141"/>
      <c r="DK320" s="141"/>
      <c r="DL320" s="141"/>
      <c r="DM320" s="141"/>
      <c r="DN320" s="141"/>
      <c r="DO320" s="141"/>
      <c r="DP320" s="141"/>
      <c r="DQ320" s="141"/>
      <c r="DR320" s="141"/>
      <c r="DS320" s="141"/>
      <c r="DT320" s="141"/>
      <c r="DU320" s="141"/>
      <c r="DV320" s="141"/>
      <c r="DW320" s="141"/>
      <c r="DX320" s="141"/>
      <c r="DY320" s="141"/>
      <c r="DZ320" s="1676"/>
    </row>
    <row r="321" spans="1:136">
      <c r="A321" s="9"/>
      <c r="B321" s="187"/>
      <c r="C321" s="187" t="s">
        <v>981</v>
      </c>
      <c r="D321" s="31"/>
      <c r="E321" s="816"/>
      <c r="F321" s="145"/>
      <c r="G321" s="145"/>
      <c r="H321" s="145"/>
      <c r="I321" s="228"/>
      <c r="J321" s="145"/>
      <c r="K321" s="145"/>
      <c r="L321" s="145"/>
      <c r="M321" s="228"/>
      <c r="N321" s="145"/>
      <c r="O321" s="145"/>
      <c r="P321" s="145"/>
      <c r="Q321" s="228"/>
      <c r="R321" s="145"/>
      <c r="S321" s="145"/>
      <c r="T321" s="145"/>
      <c r="U321" s="228"/>
      <c r="V321" s="227"/>
      <c r="W321" s="145"/>
      <c r="X321" s="145"/>
      <c r="Y321" s="228"/>
      <c r="Z321" s="227"/>
      <c r="AA321" s="145"/>
      <c r="AB321" s="145"/>
      <c r="AC321" s="228"/>
      <c r="AD321" s="227"/>
      <c r="AE321" s="145"/>
      <c r="AF321" s="145"/>
      <c r="AG321" s="145"/>
      <c r="AH321" s="227"/>
      <c r="AI321" s="145"/>
      <c r="AJ321" s="145"/>
      <c r="AK321" s="145"/>
      <c r="AL321" s="227"/>
      <c r="AM321" s="145"/>
      <c r="AN321" s="145"/>
      <c r="AO321" s="228"/>
      <c r="AP321" s="145"/>
      <c r="AQ321" s="145"/>
      <c r="AR321" s="145"/>
      <c r="AS321" s="145"/>
      <c r="AT321" s="145"/>
      <c r="AU321" s="145"/>
      <c r="AV321" s="145"/>
      <c r="AW321" s="145"/>
      <c r="AX321" s="145"/>
      <c r="AY321" s="145"/>
      <c r="AZ321" s="145"/>
      <c r="BA321" s="228"/>
      <c r="BB321" s="2134">
        <v>9.3000000000000007</v>
      </c>
      <c r="BC321" s="2135">
        <v>10.9</v>
      </c>
      <c r="BD321" s="2135">
        <v>12.4</v>
      </c>
      <c r="BE321" s="2136">
        <v>13</v>
      </c>
      <c r="BF321" s="2134">
        <v>12.5</v>
      </c>
      <c r="BG321" s="2135">
        <v>12.5</v>
      </c>
      <c r="BH321" s="2135">
        <v>12.1</v>
      </c>
      <c r="BI321" s="2136">
        <v>12.2</v>
      </c>
      <c r="BJ321" s="2134">
        <v>15.9</v>
      </c>
      <c r="BK321" s="2135">
        <v>17.8</v>
      </c>
      <c r="BL321" s="2135">
        <v>17.399999999999999</v>
      </c>
      <c r="BM321" s="2135">
        <v>17.5</v>
      </c>
      <c r="BN321" s="2134">
        <v>20</v>
      </c>
      <c r="BO321" s="2135">
        <v>22.5</v>
      </c>
      <c r="BP321" s="2135">
        <v>22.8</v>
      </c>
      <c r="BQ321" s="2136">
        <v>24.6</v>
      </c>
      <c r="BR321" s="2134">
        <v>28.6</v>
      </c>
      <c r="BS321" s="2135">
        <v>26.3</v>
      </c>
      <c r="BT321" s="2135">
        <v>26.5</v>
      </c>
      <c r="BU321" s="2136">
        <v>33.5</v>
      </c>
      <c r="BV321" s="2134">
        <v>35.4</v>
      </c>
      <c r="BW321" s="2275">
        <v>39.799999999999997</v>
      </c>
      <c r="BX321" s="2138">
        <f t="shared" ref="BX321:CC321" si="678">BW321*(1+BX323)</f>
        <v>39.998999999999995</v>
      </c>
      <c r="BY321" s="2139">
        <f t="shared" si="678"/>
        <v>43.198920000000001</v>
      </c>
      <c r="BZ321" s="2137">
        <f t="shared" si="678"/>
        <v>47.950801200000008</v>
      </c>
      <c r="CA321" s="2138">
        <f t="shared" si="678"/>
        <v>49.868833248000008</v>
      </c>
      <c r="CB321" s="2138">
        <f t="shared" si="678"/>
        <v>49.868833248000008</v>
      </c>
      <c r="CC321" s="2139">
        <f t="shared" si="678"/>
        <v>50.118177414240002</v>
      </c>
      <c r="CD321" s="9"/>
      <c r="CE321" s="145"/>
      <c r="CF321" s="145"/>
      <c r="CG321" s="145"/>
      <c r="CH321" s="145"/>
      <c r="CI321" s="145"/>
      <c r="CJ321" s="145"/>
      <c r="CK321" s="145"/>
      <c r="CL321" s="145"/>
      <c r="CM321" s="145"/>
      <c r="CN321" s="145"/>
      <c r="CO321" s="145"/>
      <c r="CP321" s="145"/>
      <c r="CQ321" s="2182">
        <f>SUM(BB321:BE321)</f>
        <v>45.6</v>
      </c>
      <c r="CR321" s="2182">
        <f>SUM(BF321:BI321)</f>
        <v>49.3</v>
      </c>
      <c r="CS321" s="2182">
        <f>SUM(BJ321:BM321)</f>
        <v>68.599999999999994</v>
      </c>
      <c r="CT321" s="2182">
        <f>SUM(BN321:BQ321)</f>
        <v>89.9</v>
      </c>
      <c r="CU321" s="2182">
        <f>SUM(BR321:BU321)</f>
        <v>114.9</v>
      </c>
      <c r="CV321" s="2182">
        <f>SUM(BV321:BY321)</f>
        <v>158.39792</v>
      </c>
      <c r="CW321" s="2182">
        <f>SUM(BZ321:CC321)</f>
        <v>197.80664511024003</v>
      </c>
      <c r="CX321" s="2182">
        <f t="shared" ref="CX321:DC321" si="679">CW321*(1+CX322)</f>
        <v>235.38990768118563</v>
      </c>
      <c r="CY321" s="2182">
        <f t="shared" si="679"/>
        <v>270.69839383336347</v>
      </c>
      <c r="CZ321" s="2182">
        <f t="shared" si="679"/>
        <v>311.30315290836796</v>
      </c>
      <c r="DA321" s="2182">
        <f t="shared" si="679"/>
        <v>357.99862584462312</v>
      </c>
      <c r="DB321" s="2182">
        <f t="shared" si="679"/>
        <v>411.69841972131655</v>
      </c>
      <c r="DC321" s="2182">
        <f t="shared" si="679"/>
        <v>473.45318267951399</v>
      </c>
      <c r="DD321" s="1517"/>
      <c r="DE321" s="1483"/>
      <c r="DF321" s="141"/>
      <c r="DG321" s="141"/>
      <c r="DH321" s="141"/>
      <c r="DI321" s="141"/>
      <c r="DJ321" s="141"/>
      <c r="DK321" s="141"/>
      <c r="DL321" s="141"/>
      <c r="DM321" s="141"/>
      <c r="DN321" s="141"/>
      <c r="DO321" s="141"/>
      <c r="DP321" s="141"/>
      <c r="DQ321" s="141"/>
      <c r="DR321" s="141"/>
      <c r="DT321" s="2229"/>
      <c r="DU321" s="141"/>
      <c r="DV321" s="2229">
        <f>SUM(BP321:BS321)</f>
        <v>102.3</v>
      </c>
      <c r="DW321" s="2229">
        <f>SUM(BT321:BW321)</f>
        <v>135.19999999999999</v>
      </c>
      <c r="DX321" s="2229"/>
      <c r="DY321" s="2229">
        <f>SUM(BX321:CA321)</f>
        <v>181.01755444800003</v>
      </c>
      <c r="DZ321" s="1676"/>
    </row>
    <row r="322" spans="1:136">
      <c r="A322" s="9"/>
      <c r="B322" s="224"/>
      <c r="C322" s="1180"/>
      <c r="D322" s="1180" t="s">
        <v>76</v>
      </c>
      <c r="E322" s="1182"/>
      <c r="F322" s="145"/>
      <c r="G322" s="145"/>
      <c r="H322" s="145"/>
      <c r="I322" s="228"/>
      <c r="J322" s="145"/>
      <c r="K322" s="145"/>
      <c r="L322" s="145"/>
      <c r="M322" s="228"/>
      <c r="N322" s="145"/>
      <c r="O322" s="145"/>
      <c r="P322" s="145"/>
      <c r="Q322" s="228"/>
      <c r="R322" s="145"/>
      <c r="S322" s="145"/>
      <c r="T322" s="145"/>
      <c r="U322" s="228"/>
      <c r="V322" s="227"/>
      <c r="W322" s="145"/>
      <c r="X322" s="145"/>
      <c r="Y322" s="228"/>
      <c r="Z322" s="227"/>
      <c r="AA322" s="145"/>
      <c r="AB322" s="145"/>
      <c r="AC322" s="228"/>
      <c r="AD322" s="227"/>
      <c r="AE322" s="145"/>
      <c r="AF322" s="145"/>
      <c r="AG322" s="145"/>
      <c r="AH322" s="227"/>
      <c r="AI322" s="145"/>
      <c r="AJ322" s="145"/>
      <c r="AK322" s="145"/>
      <c r="AL322" s="227"/>
      <c r="AM322" s="145"/>
      <c r="AN322" s="145"/>
      <c r="AO322" s="228"/>
      <c r="AP322" s="145"/>
      <c r="AQ322" s="145"/>
      <c r="AR322" s="145"/>
      <c r="AS322" s="145"/>
      <c r="AT322" s="145"/>
      <c r="AU322" s="145"/>
      <c r="AV322" s="145"/>
      <c r="AW322" s="145"/>
      <c r="AX322" s="145"/>
      <c r="AY322" s="145"/>
      <c r="AZ322" s="145"/>
      <c r="BA322" s="228"/>
      <c r="BB322" s="640"/>
      <c r="BC322" s="640"/>
      <c r="BD322" s="640"/>
      <c r="BE322" s="949"/>
      <c r="BF322" s="640">
        <f t="shared" ref="BF322:BT322" si="680">BF321/BB321-1</f>
        <v>0.34408602150537626</v>
      </c>
      <c r="BG322" s="640">
        <f t="shared" si="680"/>
        <v>0.14678899082568808</v>
      </c>
      <c r="BH322" s="640">
        <f t="shared" si="680"/>
        <v>-2.4193548387096864E-2</v>
      </c>
      <c r="BI322" s="949">
        <f t="shared" si="680"/>
        <v>-6.1538461538461542E-2</v>
      </c>
      <c r="BJ322" s="640">
        <f t="shared" si="680"/>
        <v>0.27200000000000002</v>
      </c>
      <c r="BK322" s="640">
        <f t="shared" si="680"/>
        <v>0.42400000000000015</v>
      </c>
      <c r="BL322" s="640">
        <f t="shared" si="680"/>
        <v>0.43801652892561971</v>
      </c>
      <c r="BM322" s="640">
        <f t="shared" si="680"/>
        <v>0.43442622950819687</v>
      </c>
      <c r="BN322" s="2209">
        <f t="shared" si="680"/>
        <v>0.25786163522012573</v>
      </c>
      <c r="BO322" s="640">
        <f t="shared" si="680"/>
        <v>0.26404494382022459</v>
      </c>
      <c r="BP322" s="640">
        <f t="shared" si="680"/>
        <v>0.31034482758620707</v>
      </c>
      <c r="BQ322" s="949">
        <f t="shared" si="680"/>
        <v>0.40571428571428569</v>
      </c>
      <c r="BR322" s="640">
        <f>BR321/BN321-1</f>
        <v>0.43000000000000016</v>
      </c>
      <c r="BS322" s="640">
        <f t="shared" si="680"/>
        <v>0.16888888888888887</v>
      </c>
      <c r="BT322" s="640">
        <f t="shared" si="680"/>
        <v>0.16228070175438591</v>
      </c>
      <c r="BU322" s="949">
        <f t="shared" ref="BU322:CC322" si="681">BU321/BQ321-1</f>
        <v>0.36178861788617889</v>
      </c>
      <c r="BV322" s="640">
        <f>BV321/BR321-1</f>
        <v>0.2377622377622377</v>
      </c>
      <c r="BW322" s="640">
        <f>BW321/BS321-1</f>
        <v>0.51330798479087436</v>
      </c>
      <c r="BX322" s="640">
        <f t="shared" si="681"/>
        <v>0.50939622641509419</v>
      </c>
      <c r="BY322" s="949">
        <f t="shared" si="681"/>
        <v>0.28952</v>
      </c>
      <c r="BZ322" s="640">
        <f t="shared" si="681"/>
        <v>0.3545424067796612</v>
      </c>
      <c r="CA322" s="640">
        <f t="shared" si="681"/>
        <v>0.25298576000000028</v>
      </c>
      <c r="CB322" s="640">
        <f t="shared" si="681"/>
        <v>0.2467520000000003</v>
      </c>
      <c r="CC322" s="949">
        <f t="shared" si="681"/>
        <v>0.16017199999999998</v>
      </c>
      <c r="CD322" s="9"/>
      <c r="CE322" s="145"/>
      <c r="CF322" s="145"/>
      <c r="CG322" s="145"/>
      <c r="CH322" s="145"/>
      <c r="CI322" s="145"/>
      <c r="CJ322" s="145"/>
      <c r="CK322" s="145"/>
      <c r="CL322" s="145"/>
      <c r="CM322" s="145"/>
      <c r="CN322" s="145"/>
      <c r="CO322" s="145"/>
      <c r="CP322" s="145"/>
      <c r="CQ322" s="145"/>
      <c r="CR322" s="1471">
        <f t="shared" ref="CR322:CW322" si="682">CR321/CQ321-1</f>
        <v>8.1140350877192846E-2</v>
      </c>
      <c r="CS322" s="1471">
        <f t="shared" si="682"/>
        <v>0.3914807302231238</v>
      </c>
      <c r="CT322" s="1471">
        <f t="shared" si="682"/>
        <v>0.3104956268221577</v>
      </c>
      <c r="CU322" s="1471">
        <f t="shared" si="682"/>
        <v>0.27808676307007785</v>
      </c>
      <c r="CV322" s="1471">
        <f t="shared" si="682"/>
        <v>0.37857197563098333</v>
      </c>
      <c r="CW322" s="1471">
        <f t="shared" si="682"/>
        <v>0.2487957235185918</v>
      </c>
      <c r="CX322" s="360">
        <v>0.19</v>
      </c>
      <c r="CY322" s="360">
        <v>0.15</v>
      </c>
      <c r="CZ322" s="360">
        <v>0.15</v>
      </c>
      <c r="DA322" s="360">
        <v>0.15</v>
      </c>
      <c r="DB322" s="360">
        <v>0.15</v>
      </c>
      <c r="DC322" s="360">
        <v>0.15</v>
      </c>
      <c r="DD322" s="1517"/>
      <c r="DE322" s="1483"/>
      <c r="DF322" s="141"/>
      <c r="DG322" s="141"/>
      <c r="DH322" s="141"/>
      <c r="DI322" s="141"/>
      <c r="DJ322" s="141"/>
      <c r="DK322" s="141"/>
      <c r="DL322" s="141"/>
      <c r="DM322" s="141"/>
      <c r="DN322" s="141"/>
      <c r="DO322" s="141"/>
      <c r="DP322" s="141"/>
      <c r="DQ322" s="141"/>
      <c r="DR322" s="141"/>
      <c r="DS322" s="141"/>
      <c r="DT322" s="141"/>
      <c r="DU322" s="141"/>
      <c r="DV322" s="141"/>
      <c r="DW322" s="2126">
        <f>DW321/DV321-1</f>
        <v>0.32160312805474089</v>
      </c>
      <c r="DX322" s="2126"/>
      <c r="DY322" s="2126">
        <f>DY321/DW321-1</f>
        <v>0.33888723704142043</v>
      </c>
      <c r="DZ322" s="1676"/>
    </row>
    <row r="323" spans="1:136">
      <c r="A323" s="9"/>
      <c r="B323" s="187"/>
      <c r="C323" s="578"/>
      <c r="D323" s="333" t="s">
        <v>77</v>
      </c>
      <c r="E323" s="578"/>
      <c r="F323" s="145"/>
      <c r="G323" s="145"/>
      <c r="H323" s="145"/>
      <c r="I323" s="228"/>
      <c r="J323" s="145"/>
      <c r="K323" s="145"/>
      <c r="L323" s="145"/>
      <c r="M323" s="228"/>
      <c r="N323" s="145"/>
      <c r="O323" s="145"/>
      <c r="P323" s="145"/>
      <c r="Q323" s="228"/>
      <c r="R323" s="145"/>
      <c r="S323" s="145"/>
      <c r="T323" s="145"/>
      <c r="U323" s="228"/>
      <c r="V323" s="227"/>
      <c r="W323" s="145"/>
      <c r="X323" s="145"/>
      <c r="Y323" s="228"/>
      <c r="Z323" s="227"/>
      <c r="AA323" s="145"/>
      <c r="AB323" s="145"/>
      <c r="AC323" s="228"/>
      <c r="AD323" s="227"/>
      <c r="AE323" s="145"/>
      <c r="AF323" s="145"/>
      <c r="AG323" s="145"/>
      <c r="AH323" s="227"/>
      <c r="AI323" s="145"/>
      <c r="AJ323" s="145"/>
      <c r="AK323" s="145"/>
      <c r="AL323" s="227"/>
      <c r="AM323" s="145"/>
      <c r="AN323" s="145"/>
      <c r="AO323" s="228"/>
      <c r="AP323" s="145"/>
      <c r="AQ323" s="145"/>
      <c r="AR323" s="145"/>
      <c r="AS323" s="145"/>
      <c r="AT323" s="145"/>
      <c r="AU323" s="145"/>
      <c r="AV323" s="145"/>
      <c r="AW323" s="145"/>
      <c r="AX323" s="145"/>
      <c r="AY323" s="145"/>
      <c r="AZ323" s="145"/>
      <c r="BA323" s="228"/>
      <c r="BB323" s="852"/>
      <c r="BC323" s="852">
        <f>BC321/BB321-1</f>
        <v>0.17204301075268802</v>
      </c>
      <c r="BD323" s="852">
        <f>BD321/BC321-1</f>
        <v>0.13761467889908263</v>
      </c>
      <c r="BE323" s="851">
        <f>BE321/BD321-1</f>
        <v>4.8387096774193505E-2</v>
      </c>
      <c r="BF323" s="852">
        <f t="shared" ref="BF323:BW323" si="683">BF321/BE321-1</f>
        <v>-3.8461538461538436E-2</v>
      </c>
      <c r="BG323" s="852">
        <f t="shared" si="683"/>
        <v>0</v>
      </c>
      <c r="BH323" s="852">
        <f t="shared" si="683"/>
        <v>-3.2000000000000028E-2</v>
      </c>
      <c r="BI323" s="851">
        <f t="shared" si="683"/>
        <v>8.2644628099173278E-3</v>
      </c>
      <c r="BJ323" s="852">
        <f t="shared" si="683"/>
        <v>0.30327868852459017</v>
      </c>
      <c r="BK323" s="852">
        <f t="shared" si="683"/>
        <v>0.11949685534591192</v>
      </c>
      <c r="BL323" s="852">
        <f t="shared" si="683"/>
        <v>-2.2471910112359716E-2</v>
      </c>
      <c r="BM323" s="852">
        <f t="shared" si="683"/>
        <v>5.7471264367816577E-3</v>
      </c>
      <c r="BN323" s="850">
        <f t="shared" si="683"/>
        <v>0.14285714285714279</v>
      </c>
      <c r="BO323" s="852">
        <f t="shared" si="683"/>
        <v>0.125</v>
      </c>
      <c r="BP323" s="852">
        <f t="shared" si="683"/>
        <v>1.3333333333333419E-2</v>
      </c>
      <c r="BQ323" s="851">
        <f t="shared" si="683"/>
        <v>7.8947368421052655E-2</v>
      </c>
      <c r="BR323" s="852">
        <f t="shared" si="683"/>
        <v>0.16260162601626016</v>
      </c>
      <c r="BS323" s="852">
        <f t="shared" si="683"/>
        <v>-8.0419580419580416E-2</v>
      </c>
      <c r="BT323" s="852">
        <f t="shared" si="683"/>
        <v>7.6045627376426506E-3</v>
      </c>
      <c r="BU323" s="851">
        <f>BU321/BT321-1</f>
        <v>0.26415094339622636</v>
      </c>
      <c r="BV323" s="852">
        <f t="shared" si="683"/>
        <v>5.6716417910447792E-2</v>
      </c>
      <c r="BW323" s="852">
        <f t="shared" si="683"/>
        <v>0.12429378531073443</v>
      </c>
      <c r="BX323" s="360">
        <v>5.0000000000000001E-3</v>
      </c>
      <c r="BY323" s="361">
        <v>0.08</v>
      </c>
      <c r="BZ323" s="360">
        <v>0.11</v>
      </c>
      <c r="CA323" s="360">
        <v>0.04</v>
      </c>
      <c r="CB323" s="360">
        <v>0</v>
      </c>
      <c r="CC323" s="361">
        <v>5.0000000000000001E-3</v>
      </c>
      <c r="CD323" s="9"/>
      <c r="CE323" s="145"/>
      <c r="CF323" s="145"/>
      <c r="CG323" s="145"/>
      <c r="CH323" s="145"/>
      <c r="CI323" s="145"/>
      <c r="CJ323" s="145"/>
      <c r="CK323" s="145"/>
      <c r="CL323" s="145"/>
      <c r="CM323" s="145"/>
      <c r="CN323" s="145"/>
      <c r="CO323" s="145"/>
      <c r="CP323" s="145"/>
      <c r="CQ323" s="145"/>
      <c r="CR323" s="141"/>
      <c r="CS323" s="141"/>
      <c r="CT323" s="141"/>
      <c r="CU323" s="141"/>
      <c r="CV323" s="141"/>
      <c r="CW323" s="141"/>
      <c r="CX323" s="141"/>
      <c r="CY323" s="141"/>
      <c r="CZ323" s="141"/>
      <c r="DA323" s="141"/>
      <c r="DB323" s="141"/>
      <c r="DC323" s="141"/>
      <c r="DD323" s="1517"/>
      <c r="DE323" s="1483"/>
      <c r="DF323" s="141"/>
      <c r="DG323" s="141"/>
      <c r="DH323" s="141"/>
      <c r="DI323" s="141"/>
      <c r="DJ323" s="141"/>
      <c r="DK323" s="141"/>
      <c r="DL323" s="141"/>
      <c r="DM323" s="141"/>
      <c r="DN323" s="141"/>
      <c r="DO323" s="141"/>
      <c r="DP323" s="141"/>
      <c r="DQ323" s="141"/>
      <c r="DR323" s="141"/>
      <c r="DS323" s="141"/>
      <c r="DT323" s="141"/>
      <c r="DU323" s="141"/>
      <c r="DV323" s="141"/>
      <c r="DW323" s="141"/>
      <c r="DX323" s="141"/>
      <c r="DY323" s="141"/>
      <c r="DZ323" s="1676"/>
    </row>
    <row r="324" spans="1:136">
      <c r="A324" s="9"/>
      <c r="B324" s="187"/>
      <c r="C324" s="578"/>
      <c r="D324" s="333"/>
      <c r="E324" s="578"/>
      <c r="F324" s="145"/>
      <c r="G324" s="145"/>
      <c r="H324" s="145"/>
      <c r="I324" s="228"/>
      <c r="J324" s="145"/>
      <c r="K324" s="145"/>
      <c r="L324" s="145"/>
      <c r="M324" s="228"/>
      <c r="N324" s="145"/>
      <c r="O324" s="145"/>
      <c r="P324" s="145"/>
      <c r="Q324" s="228"/>
      <c r="R324" s="145"/>
      <c r="S324" s="145"/>
      <c r="T324" s="145"/>
      <c r="U324" s="228"/>
      <c r="V324" s="227"/>
      <c r="W324" s="145"/>
      <c r="X324" s="145"/>
      <c r="Y324" s="228"/>
      <c r="Z324" s="227"/>
      <c r="AA324" s="145"/>
      <c r="AB324" s="145"/>
      <c r="AC324" s="228"/>
      <c r="AD324" s="227"/>
      <c r="AE324" s="145"/>
      <c r="AF324" s="145"/>
      <c r="AG324" s="145"/>
      <c r="AH324" s="227"/>
      <c r="AI324" s="145"/>
      <c r="AJ324" s="145"/>
      <c r="AK324" s="145"/>
      <c r="AL324" s="227"/>
      <c r="AM324" s="145"/>
      <c r="AN324" s="145"/>
      <c r="AO324" s="228"/>
      <c r="AP324" s="145"/>
      <c r="AQ324" s="145"/>
      <c r="AR324" s="145"/>
      <c r="AS324" s="145"/>
      <c r="AT324" s="145"/>
      <c r="AU324" s="145"/>
      <c r="AV324" s="145"/>
      <c r="AW324" s="145"/>
      <c r="AX324" s="145"/>
      <c r="AY324" s="145"/>
      <c r="AZ324" s="145"/>
      <c r="BA324" s="228"/>
      <c r="BB324" s="852"/>
      <c r="BC324" s="852"/>
      <c r="BD324" s="852"/>
      <c r="BE324" s="851"/>
      <c r="BF324" s="852"/>
      <c r="BG324" s="852"/>
      <c r="BH324" s="852"/>
      <c r="BI324" s="851"/>
      <c r="BJ324" s="852"/>
      <c r="BK324" s="852"/>
      <c r="BL324" s="852"/>
      <c r="BM324" s="852"/>
      <c r="BN324" s="850"/>
      <c r="BO324" s="852"/>
      <c r="BP324" s="852"/>
      <c r="BQ324" s="851"/>
      <c r="BR324" s="852"/>
      <c r="BS324" s="852"/>
      <c r="BT324" s="2184"/>
      <c r="BU324" s="851"/>
      <c r="BV324" s="852"/>
      <c r="BW324" s="852"/>
      <c r="BX324" s="2215"/>
      <c r="BY324" s="2216"/>
      <c r="BZ324" s="2215"/>
      <c r="CA324" s="2215"/>
      <c r="CB324" s="2215"/>
      <c r="CC324" s="2216"/>
      <c r="CD324" s="9"/>
      <c r="CE324" s="145"/>
      <c r="CF324" s="145"/>
      <c r="CG324" s="145"/>
      <c r="CH324" s="145"/>
      <c r="CI324" s="145"/>
      <c r="CJ324" s="145"/>
      <c r="CK324" s="145"/>
      <c r="CL324" s="145"/>
      <c r="CM324" s="145"/>
      <c r="CN324" s="145"/>
      <c r="CO324" s="145"/>
      <c r="CP324" s="145"/>
      <c r="CQ324" s="145"/>
      <c r="CR324" s="141"/>
      <c r="CS324" s="141"/>
      <c r="CT324" s="141"/>
      <c r="CU324" s="141"/>
      <c r="CV324" s="141"/>
      <c r="CW324" s="141"/>
      <c r="CX324" s="141"/>
      <c r="CY324" s="141"/>
      <c r="CZ324" s="141"/>
      <c r="DA324" s="141"/>
      <c r="DB324" s="141"/>
      <c r="DC324" s="141"/>
      <c r="DD324" s="1517"/>
      <c r="DE324" s="1483"/>
      <c r="DF324" s="141"/>
      <c r="DG324" s="141"/>
      <c r="DH324" s="141"/>
      <c r="DI324" s="141"/>
      <c r="DJ324" s="141"/>
      <c r="DK324" s="141"/>
      <c r="DL324" s="141"/>
      <c r="DM324" s="141"/>
      <c r="DN324" s="141"/>
      <c r="DO324" s="141"/>
      <c r="DP324" s="141"/>
      <c r="DQ324" s="141"/>
      <c r="DR324" s="141"/>
      <c r="DS324" s="141"/>
      <c r="DT324" s="141"/>
      <c r="DU324" s="141"/>
      <c r="DV324" s="141"/>
      <c r="DW324" s="141"/>
      <c r="DX324" s="141"/>
      <c r="DY324" s="141"/>
      <c r="DZ324" s="1676"/>
    </row>
    <row r="325" spans="1:136">
      <c r="A325" s="9"/>
      <c r="B325" s="187"/>
      <c r="C325" s="187" t="s">
        <v>982</v>
      </c>
      <c r="D325" s="31"/>
      <c r="E325" s="816"/>
      <c r="F325" s="145"/>
      <c r="G325" s="145"/>
      <c r="H325" s="145"/>
      <c r="I325" s="228"/>
      <c r="J325" s="145"/>
      <c r="K325" s="145"/>
      <c r="L325" s="145"/>
      <c r="M325" s="228"/>
      <c r="N325" s="145"/>
      <c r="O325" s="145"/>
      <c r="P325" s="145"/>
      <c r="Q325" s="145"/>
      <c r="R325" s="145"/>
      <c r="S325" s="145"/>
      <c r="T325" s="145"/>
      <c r="U325" s="145"/>
      <c r="V325" s="227"/>
      <c r="W325" s="145"/>
      <c r="X325" s="145"/>
      <c r="Y325" s="145"/>
      <c r="Z325" s="227"/>
      <c r="AA325" s="145"/>
      <c r="AB325" s="145"/>
      <c r="AC325" s="145"/>
      <c r="AD325" s="227"/>
      <c r="AE325" s="145"/>
      <c r="AF325" s="145"/>
      <c r="AG325" s="145"/>
      <c r="AH325" s="227"/>
      <c r="AI325" s="145"/>
      <c r="AJ325" s="145"/>
      <c r="AK325" s="145"/>
      <c r="AL325" s="145"/>
      <c r="AM325" s="145"/>
      <c r="AN325" s="145"/>
      <c r="AO325" s="228"/>
      <c r="AP325" s="145"/>
      <c r="AQ325" s="145"/>
      <c r="AR325" s="145"/>
      <c r="AS325" s="145"/>
      <c r="AT325" s="145"/>
      <c r="AU325" s="145"/>
      <c r="AV325" s="145"/>
      <c r="AW325" s="145"/>
      <c r="AX325" s="145"/>
      <c r="AY325" s="145"/>
      <c r="AZ325" s="145"/>
      <c r="BA325" s="228"/>
      <c r="BB325" s="1663">
        <f t="shared" ref="BB325:BS325" si="684">BB317/BB321</f>
        <v>95.161290322580641</v>
      </c>
      <c r="BC325" s="1620">
        <f t="shared" si="684"/>
        <v>91.467889908256879</v>
      </c>
      <c r="BD325" s="1620">
        <f t="shared" si="684"/>
        <v>88.387096774193552</v>
      </c>
      <c r="BE325" s="1621">
        <f t="shared" si="684"/>
        <v>93.692307692307693</v>
      </c>
      <c r="BF325" s="1663">
        <f t="shared" si="684"/>
        <v>92.08</v>
      </c>
      <c r="BG325" s="1620">
        <f t="shared" si="684"/>
        <v>96.24</v>
      </c>
      <c r="BH325" s="1620">
        <f t="shared" si="684"/>
        <v>90.743801652892571</v>
      </c>
      <c r="BI325" s="1621">
        <f t="shared" si="684"/>
        <v>85</v>
      </c>
      <c r="BJ325" s="1663">
        <f t="shared" si="684"/>
        <v>74.465408805031444</v>
      </c>
      <c r="BK325" s="1620">
        <f t="shared" si="684"/>
        <v>71.404494382022463</v>
      </c>
      <c r="BL325" s="1620">
        <f t="shared" si="684"/>
        <v>73.448275862068968</v>
      </c>
      <c r="BM325" s="1620">
        <f t="shared" si="684"/>
        <v>73.085714285714289</v>
      </c>
      <c r="BN325" s="1663">
        <f t="shared" si="684"/>
        <v>64.55</v>
      </c>
      <c r="BO325" s="1620">
        <f t="shared" si="684"/>
        <v>56.755555555555553</v>
      </c>
      <c r="BP325" s="1620">
        <f t="shared" si="684"/>
        <v>48.508771929824562</v>
      </c>
      <c r="BQ325" s="1621">
        <f t="shared" si="684"/>
        <v>50.609756097560975</v>
      </c>
      <c r="BR325" s="1663">
        <f t="shared" si="684"/>
        <v>47.692307692307693</v>
      </c>
      <c r="BS325" s="1620">
        <f t="shared" si="684"/>
        <v>53.00380228136882</v>
      </c>
      <c r="BT325" s="1620">
        <f>BT317/BT321</f>
        <v>50.113207547169814</v>
      </c>
      <c r="BU325" s="1621">
        <f>BU317/BU321</f>
        <v>42.35820895522388</v>
      </c>
      <c r="BV325" s="1663">
        <f>BV317/BV321</f>
        <v>38.672316384180796</v>
      </c>
      <c r="BW325" s="1620">
        <f>BW317/BW321</f>
        <v>36.030150753768844</v>
      </c>
      <c r="BX325" s="1620">
        <f t="shared" ref="BX325:CC325" si="685">BW325*(1+BX327)</f>
        <v>34.588944723618091</v>
      </c>
      <c r="BY325" s="1621">
        <f t="shared" si="685"/>
        <v>33.205386934673363</v>
      </c>
      <c r="BZ325" s="1663">
        <f t="shared" si="685"/>
        <v>31.213063718592959</v>
      </c>
      <c r="CA325" s="1620">
        <f t="shared" si="685"/>
        <v>29.34027989547738</v>
      </c>
      <c r="CB325" s="1620">
        <f t="shared" si="685"/>
        <v>27.286460302793962</v>
      </c>
      <c r="CC325" s="1621">
        <f t="shared" si="685"/>
        <v>25.376408081598385</v>
      </c>
      <c r="CD325" s="9"/>
      <c r="CE325" s="145"/>
      <c r="CF325" s="145"/>
      <c r="CG325" s="145"/>
      <c r="CH325" s="145"/>
      <c r="CI325" s="145"/>
      <c r="CJ325" s="145"/>
      <c r="CK325" s="145"/>
      <c r="CL325" s="145"/>
      <c r="CM325" s="145"/>
      <c r="CN325" s="145"/>
      <c r="CO325" s="145"/>
      <c r="CP325" s="145"/>
      <c r="CQ325" s="1620">
        <f t="shared" ref="CQ325:CV325" si="686">CQ317/CQ321</f>
        <v>92.017543859649123</v>
      </c>
      <c r="CR325" s="1620">
        <f t="shared" si="686"/>
        <v>91.054766734279923</v>
      </c>
      <c r="CS325" s="1620">
        <f t="shared" si="686"/>
        <v>73.061224489795919</v>
      </c>
      <c r="CT325" s="1620">
        <f t="shared" si="686"/>
        <v>54.71635150166852</v>
      </c>
      <c r="CU325" s="1620">
        <f t="shared" si="686"/>
        <v>47.911227154046998</v>
      </c>
      <c r="CV325" s="1620">
        <f t="shared" si="686"/>
        <v>35.486324907296762</v>
      </c>
      <c r="CW325" s="1620">
        <f>CW317/CW321</f>
        <v>28.272155350451321</v>
      </c>
      <c r="CX325" s="1620">
        <f t="shared" ref="CX325:DC325" si="687">CW325*(1+CX326)</f>
        <v>28.130794573699063</v>
      </c>
      <c r="CY325" s="1620">
        <f t="shared" si="687"/>
        <v>27.568178682225081</v>
      </c>
      <c r="CZ325" s="1620">
        <f t="shared" si="687"/>
        <v>27.01681510858058</v>
      </c>
      <c r="DA325" s="1620">
        <f t="shared" si="687"/>
        <v>26.47647880640897</v>
      </c>
      <c r="DB325" s="1620">
        <f t="shared" si="687"/>
        <v>25.94694923028079</v>
      </c>
      <c r="DC325" s="1620">
        <f t="shared" si="687"/>
        <v>25.428010245675175</v>
      </c>
      <c r="DD325" s="1517"/>
      <c r="DE325" s="1483"/>
      <c r="DF325" s="141"/>
      <c r="DG325" s="141"/>
      <c r="DH325" s="141"/>
      <c r="DI325" s="141"/>
      <c r="DJ325" s="141"/>
      <c r="DK325" s="141"/>
      <c r="DL325" s="141"/>
      <c r="DM325" s="141"/>
      <c r="DN325" s="141"/>
      <c r="DO325" s="141"/>
      <c r="DP325" s="141"/>
      <c r="DQ325" s="141"/>
      <c r="DR325" s="141"/>
      <c r="DS325" s="141"/>
      <c r="DT325" s="141"/>
      <c r="DU325" s="141"/>
      <c r="DV325" s="141"/>
      <c r="DW325" s="141"/>
      <c r="DX325" s="141"/>
      <c r="DY325" s="141"/>
      <c r="DZ325" s="1676"/>
    </row>
    <row r="326" spans="1:136">
      <c r="A326" s="9"/>
      <c r="B326" s="224"/>
      <c r="C326" s="1180"/>
      <c r="D326" s="1180" t="s">
        <v>76</v>
      </c>
      <c r="E326" s="1182"/>
      <c r="F326" s="145"/>
      <c r="G326" s="145"/>
      <c r="H326" s="145"/>
      <c r="I326" s="228"/>
      <c r="J326" s="145"/>
      <c r="K326" s="145"/>
      <c r="L326" s="145"/>
      <c r="M326" s="228"/>
      <c r="N326" s="145"/>
      <c r="O326" s="145"/>
      <c r="P326" s="145"/>
      <c r="Q326" s="145"/>
      <c r="R326" s="145"/>
      <c r="S326" s="145"/>
      <c r="T326" s="145"/>
      <c r="U326" s="145"/>
      <c r="V326" s="227"/>
      <c r="W326" s="145"/>
      <c r="X326" s="145"/>
      <c r="Y326" s="145"/>
      <c r="Z326" s="227"/>
      <c r="AA326" s="145"/>
      <c r="AB326" s="145"/>
      <c r="AC326" s="145"/>
      <c r="AD326" s="227"/>
      <c r="AE326" s="145"/>
      <c r="AF326" s="145"/>
      <c r="AG326" s="145"/>
      <c r="AH326" s="227"/>
      <c r="AI326" s="145"/>
      <c r="AJ326" s="145"/>
      <c r="AK326" s="145"/>
      <c r="AL326" s="145"/>
      <c r="AM326" s="145"/>
      <c r="AN326" s="145"/>
      <c r="AO326" s="228"/>
      <c r="AP326" s="145"/>
      <c r="AQ326" s="145"/>
      <c r="AR326" s="145"/>
      <c r="AS326" s="145"/>
      <c r="AT326" s="145"/>
      <c r="AU326" s="145"/>
      <c r="AV326" s="145"/>
      <c r="AW326" s="145"/>
      <c r="AX326" s="145"/>
      <c r="AY326" s="145"/>
      <c r="AZ326" s="145"/>
      <c r="BA326" s="228"/>
      <c r="BB326" s="852"/>
      <c r="BC326" s="640"/>
      <c r="BD326" s="640"/>
      <c r="BE326" s="949"/>
      <c r="BF326" s="640">
        <f t="shared" ref="BF326:BY326" si="688">BF325/BB325-1</f>
        <v>-3.2379661016949113E-2</v>
      </c>
      <c r="BG326" s="640">
        <f t="shared" si="688"/>
        <v>5.2172517552657949E-2</v>
      </c>
      <c r="BH326" s="640">
        <f t="shared" si="688"/>
        <v>2.6663449357543723E-2</v>
      </c>
      <c r="BI326" s="949">
        <f t="shared" si="688"/>
        <v>-9.2775041050903173E-2</v>
      </c>
      <c r="BJ326" s="640">
        <f t="shared" si="688"/>
        <v>-0.19129660289931094</v>
      </c>
      <c r="BK326" s="640">
        <f t="shared" si="688"/>
        <v>-0.25805803842453801</v>
      </c>
      <c r="BL326" s="640">
        <f t="shared" si="688"/>
        <v>-0.19059732428867537</v>
      </c>
      <c r="BM326" s="640">
        <f t="shared" si="688"/>
        <v>-0.14016806722689068</v>
      </c>
      <c r="BN326" s="2209">
        <f t="shared" si="688"/>
        <v>-0.13315456081081078</v>
      </c>
      <c r="BO326" s="640">
        <f t="shared" si="688"/>
        <v>-0.20515429670425733</v>
      </c>
      <c r="BP326" s="640">
        <f t="shared" si="688"/>
        <v>-0.33955193147187224</v>
      </c>
      <c r="BQ326" s="949">
        <f t="shared" si="688"/>
        <v>-0.30752874768778971</v>
      </c>
      <c r="BR326" s="640">
        <f t="shared" si="688"/>
        <v>-0.26115712327950902</v>
      </c>
      <c r="BS326" s="640">
        <f t="shared" si="688"/>
        <v>-6.6103718613313656E-2</v>
      </c>
      <c r="BT326" s="640">
        <f t="shared" si="688"/>
        <v>3.3075164625200548E-2</v>
      </c>
      <c r="BU326" s="949">
        <f>BU325/BQ325-1</f>
        <v>-0.16304261823413058</v>
      </c>
      <c r="BV326" s="640">
        <f t="shared" si="688"/>
        <v>-0.18912885000911239</v>
      </c>
      <c r="BW326" s="640">
        <f t="shared" si="688"/>
        <v>-0.32023460199130516</v>
      </c>
      <c r="BX326" s="640">
        <f t="shared" si="688"/>
        <v>-0.30978385905430772</v>
      </c>
      <c r="BY326" s="949">
        <f t="shared" si="688"/>
        <v>-0.21608142190869783</v>
      </c>
      <c r="BZ326" s="640">
        <f>BZ325/BV325-1</f>
        <v>-0.19288352400424347</v>
      </c>
      <c r="CA326" s="640">
        <f>CA325/BW325-1</f>
        <v>-0.18567424000000021</v>
      </c>
      <c r="CB326" s="640">
        <f>CB325/BX325-1</f>
        <v>-0.21112192000000018</v>
      </c>
      <c r="CC326" s="949">
        <f>CC325/BY325-1</f>
        <v>-0.23577436000000018</v>
      </c>
      <c r="CD326" s="9"/>
      <c r="CE326" s="145"/>
      <c r="CF326" s="145"/>
      <c r="CG326" s="145"/>
      <c r="CH326" s="145"/>
      <c r="CI326" s="145"/>
      <c r="CJ326" s="145"/>
      <c r="CK326" s="145"/>
      <c r="CL326" s="145"/>
      <c r="CM326" s="145"/>
      <c r="CN326" s="145"/>
      <c r="CO326" s="145"/>
      <c r="CP326" s="145"/>
      <c r="CQ326" s="640"/>
      <c r="CR326" s="1471">
        <f t="shared" ref="CR326:CW326" si="689">CR325/CQ325-1</f>
        <v>-1.0462973526414565E-2</v>
      </c>
      <c r="CS326" s="1471">
        <f t="shared" si="689"/>
        <v>-0.19761230399934537</v>
      </c>
      <c r="CT326" s="1471">
        <f t="shared" si="689"/>
        <v>-0.25108904369224649</v>
      </c>
      <c r="CU326" s="1471">
        <f t="shared" si="689"/>
        <v>-0.1243709450805397</v>
      </c>
      <c r="CV326" s="1471">
        <f t="shared" si="689"/>
        <v>-0.25933174716650353</v>
      </c>
      <c r="CW326" s="1471">
        <f t="shared" si="689"/>
        <v>-0.20329435566211729</v>
      </c>
      <c r="CX326" s="360">
        <v>-5.0000000000000001E-3</v>
      </c>
      <c r="CY326" s="360">
        <v>-0.02</v>
      </c>
      <c r="CZ326" s="360">
        <v>-0.02</v>
      </c>
      <c r="DA326" s="360">
        <v>-0.02</v>
      </c>
      <c r="DB326" s="360">
        <v>-0.02</v>
      </c>
      <c r="DC326" s="360">
        <v>-0.02</v>
      </c>
      <c r="DD326" s="1517"/>
      <c r="DE326" s="1483"/>
      <c r="DF326" s="141"/>
      <c r="DG326" s="141"/>
      <c r="DH326" s="141"/>
      <c r="DI326" s="141"/>
      <c r="DJ326" s="141"/>
      <c r="DK326" s="141"/>
      <c r="DL326" s="141"/>
      <c r="DM326" s="141"/>
      <c r="DN326" s="141"/>
      <c r="DO326" s="141"/>
      <c r="DP326" s="141"/>
      <c r="DQ326" s="141"/>
      <c r="DR326" s="141"/>
      <c r="DS326" s="141"/>
      <c r="DT326" s="141"/>
      <c r="DU326" s="141"/>
      <c r="DV326" s="141"/>
      <c r="DW326" s="141"/>
      <c r="DX326" s="141"/>
      <c r="DY326" s="141"/>
      <c r="DZ326" s="1676"/>
    </row>
    <row r="327" spans="1:136">
      <c r="A327" s="9"/>
      <c r="B327" s="224"/>
      <c r="C327" s="578"/>
      <c r="D327" s="333" t="s">
        <v>77</v>
      </c>
      <c r="E327" s="578"/>
      <c r="F327" s="145"/>
      <c r="G327" s="145"/>
      <c r="H327" s="145"/>
      <c r="I327" s="228"/>
      <c r="J327" s="145"/>
      <c r="K327" s="145"/>
      <c r="L327" s="145"/>
      <c r="M327" s="228"/>
      <c r="N327" s="145"/>
      <c r="O327" s="145"/>
      <c r="P327" s="145"/>
      <c r="Q327" s="145"/>
      <c r="R327" s="145"/>
      <c r="S327" s="145"/>
      <c r="T327" s="145"/>
      <c r="U327" s="145"/>
      <c r="V327" s="227"/>
      <c r="W327" s="145"/>
      <c r="X327" s="145"/>
      <c r="Y327" s="145"/>
      <c r="Z327" s="227"/>
      <c r="AA327" s="145"/>
      <c r="AB327" s="145"/>
      <c r="AC327" s="145"/>
      <c r="AD327" s="227"/>
      <c r="AE327" s="145"/>
      <c r="AF327" s="145"/>
      <c r="AG327" s="145"/>
      <c r="AH327" s="227"/>
      <c r="AI327" s="145"/>
      <c r="AJ327" s="145"/>
      <c r="AK327" s="145"/>
      <c r="AL327" s="145"/>
      <c r="AM327" s="145"/>
      <c r="AN327" s="145"/>
      <c r="AO327" s="228"/>
      <c r="AP327" s="145"/>
      <c r="AQ327" s="145"/>
      <c r="AR327" s="145"/>
      <c r="AS327" s="145"/>
      <c r="AT327" s="145"/>
      <c r="AU327" s="145"/>
      <c r="AV327" s="145"/>
      <c r="AW327" s="145"/>
      <c r="AX327" s="145"/>
      <c r="AY327" s="145"/>
      <c r="AZ327" s="145"/>
      <c r="BA327" s="228"/>
      <c r="BB327" s="852"/>
      <c r="BC327" s="852">
        <f t="shared" ref="BC327:BS327" si="690">BC325/BB325-1</f>
        <v>-3.8812004353910745E-2</v>
      </c>
      <c r="BD327" s="852">
        <f t="shared" si="690"/>
        <v>-3.3681690231986194E-2</v>
      </c>
      <c r="BE327" s="851">
        <f t="shared" si="690"/>
        <v>6.0022459292532249E-2</v>
      </c>
      <c r="BF327" s="852">
        <f t="shared" si="690"/>
        <v>-1.7208538587848987E-2</v>
      </c>
      <c r="BG327" s="852">
        <f t="shared" si="690"/>
        <v>4.517810599478711E-2</v>
      </c>
      <c r="BH327" s="852">
        <f t="shared" si="690"/>
        <v>-5.7109292883493645E-2</v>
      </c>
      <c r="BI327" s="851">
        <f t="shared" si="690"/>
        <v>-6.3296903460837939E-2</v>
      </c>
      <c r="BJ327" s="852">
        <f t="shared" si="690"/>
        <v>-0.12393636699963007</v>
      </c>
      <c r="BK327" s="852">
        <f t="shared" si="690"/>
        <v>-4.110518524142126E-2</v>
      </c>
      <c r="BL327" s="852">
        <f t="shared" si="690"/>
        <v>2.862258878428614E-2</v>
      </c>
      <c r="BM327" s="852">
        <f t="shared" si="690"/>
        <v>-4.936284372904054E-3</v>
      </c>
      <c r="BN327" s="850">
        <f t="shared" si="690"/>
        <v>-0.11679046129788906</v>
      </c>
      <c r="BO327" s="852">
        <f t="shared" si="690"/>
        <v>-0.12075049487907741</v>
      </c>
      <c r="BP327" s="852">
        <f t="shared" si="690"/>
        <v>-0.14530354861311456</v>
      </c>
      <c r="BQ327" s="851">
        <f t="shared" si="690"/>
        <v>4.3311427689322057E-2</v>
      </c>
      <c r="BR327" s="852">
        <f t="shared" si="690"/>
        <v>-5.7645968489342003E-2</v>
      </c>
      <c r="BS327" s="852">
        <f t="shared" si="690"/>
        <v>0.1113700478351527</v>
      </c>
      <c r="BT327" s="852">
        <f>BT325/BS325-1</f>
        <v>-5.4535610838905235E-2</v>
      </c>
      <c r="BU327" s="851">
        <f>BU325/BT325-1</f>
        <v>-0.15474959539651145</v>
      </c>
      <c r="BV327" s="852">
        <f>BV325/BU325-1</f>
        <v>-8.7017196004188335E-2</v>
      </c>
      <c r="BW327" s="852">
        <f>BW325/BV325-1</f>
        <v>-6.8321887009921922E-2</v>
      </c>
      <c r="BX327" s="360">
        <v>-0.04</v>
      </c>
      <c r="BY327" s="361">
        <v>-0.04</v>
      </c>
      <c r="BZ327" s="360">
        <v>-0.06</v>
      </c>
      <c r="CA327" s="360">
        <v>-0.06</v>
      </c>
      <c r="CB327" s="360">
        <v>-7.0000000000000007E-2</v>
      </c>
      <c r="CC327" s="361">
        <v>-7.0000000000000007E-2</v>
      </c>
      <c r="CD327" s="9"/>
      <c r="CE327" s="145"/>
      <c r="CF327" s="145"/>
      <c r="CG327" s="145"/>
      <c r="CH327" s="145"/>
      <c r="CI327" s="145"/>
      <c r="CJ327" s="145"/>
      <c r="CK327" s="145"/>
      <c r="CL327" s="145"/>
      <c r="CM327" s="145"/>
      <c r="CN327" s="145"/>
      <c r="CO327" s="145"/>
      <c r="CP327" s="145"/>
      <c r="CQ327" s="852"/>
      <c r="CU327" s="141"/>
      <c r="CV327" s="141"/>
      <c r="CW327" s="141"/>
      <c r="CX327" s="141"/>
      <c r="CY327" s="141"/>
      <c r="CZ327" s="141"/>
      <c r="DA327" s="141"/>
      <c r="DB327" s="141"/>
      <c r="DC327" s="141"/>
      <c r="DD327" s="1517"/>
      <c r="DE327" s="1483"/>
      <c r="DF327" s="141"/>
      <c r="DG327" s="141"/>
      <c r="DH327" s="141"/>
      <c r="DI327" s="141"/>
      <c r="DJ327" s="141"/>
      <c r="DK327" s="141"/>
      <c r="DL327" s="141"/>
      <c r="DM327" s="141"/>
      <c r="DN327" s="141"/>
      <c r="DO327" s="141"/>
      <c r="DP327" s="141"/>
      <c r="DQ327" s="141"/>
      <c r="DR327" s="141"/>
      <c r="DS327" s="141"/>
      <c r="DT327" s="141"/>
      <c r="DU327" s="141"/>
      <c r="DV327" s="141"/>
      <c r="DW327" s="141"/>
      <c r="DX327" s="141"/>
      <c r="DY327" s="141"/>
      <c r="DZ327" s="1676"/>
    </row>
    <row r="328" spans="1:136">
      <c r="A328" s="9"/>
      <c r="B328" s="187"/>
      <c r="C328" s="578"/>
      <c r="D328" s="333"/>
      <c r="E328" s="578"/>
      <c r="F328" s="145"/>
      <c r="G328" s="145"/>
      <c r="H328" s="145"/>
      <c r="I328" s="228"/>
      <c r="J328" s="145"/>
      <c r="K328" s="145"/>
      <c r="L328" s="145"/>
      <c r="M328" s="228"/>
      <c r="N328" s="145"/>
      <c r="O328" s="145"/>
      <c r="P328" s="145"/>
      <c r="Q328" s="228"/>
      <c r="R328" s="145"/>
      <c r="S328" s="145"/>
      <c r="T328" s="145"/>
      <c r="U328" s="228"/>
      <c r="V328" s="227"/>
      <c r="W328" s="145"/>
      <c r="X328" s="145"/>
      <c r="Y328" s="228"/>
      <c r="Z328" s="227"/>
      <c r="AA328" s="145"/>
      <c r="AB328" s="145"/>
      <c r="AC328" s="228"/>
      <c r="AD328" s="227"/>
      <c r="AE328" s="145"/>
      <c r="AF328" s="145"/>
      <c r="AG328" s="145"/>
      <c r="AH328" s="227"/>
      <c r="AI328" s="145"/>
      <c r="AJ328" s="145"/>
      <c r="AK328" s="145"/>
      <c r="AL328" s="227"/>
      <c r="AM328" s="145"/>
      <c r="AN328" s="145"/>
      <c r="AO328" s="228"/>
      <c r="AP328" s="145"/>
      <c r="AQ328" s="145"/>
      <c r="AR328" s="145"/>
      <c r="AS328" s="145"/>
      <c r="AT328" s="145"/>
      <c r="AU328" s="145"/>
      <c r="AV328" s="145"/>
      <c r="AW328" s="145"/>
      <c r="AX328" s="145"/>
      <c r="AY328" s="145"/>
      <c r="AZ328" s="145"/>
      <c r="BA328" s="228"/>
      <c r="BB328" s="852"/>
      <c r="BC328" s="852"/>
      <c r="BD328" s="852"/>
      <c r="BE328" s="851"/>
      <c r="BF328" s="852"/>
      <c r="BG328" s="852"/>
      <c r="BH328" s="852"/>
      <c r="BI328" s="851"/>
      <c r="BJ328" s="852"/>
      <c r="BK328" s="852"/>
      <c r="BL328" s="852"/>
      <c r="BM328" s="852"/>
      <c r="BN328" s="850"/>
      <c r="BO328" s="852"/>
      <c r="BP328" s="852"/>
      <c r="BQ328" s="851"/>
      <c r="BR328" s="852"/>
      <c r="BS328" s="852"/>
      <c r="BT328" s="495"/>
      <c r="BU328" s="499"/>
      <c r="BV328" s="2184"/>
      <c r="BW328" s="2215"/>
      <c r="BX328" s="2215"/>
      <c r="BY328" s="2216"/>
      <c r="BZ328" s="2215"/>
      <c r="CA328" s="2215"/>
      <c r="CB328" s="2215"/>
      <c r="CC328" s="2216"/>
      <c r="CD328" s="9"/>
      <c r="CE328" s="145"/>
      <c r="CF328" s="145"/>
      <c r="CG328" s="145"/>
      <c r="CH328" s="145"/>
      <c r="CI328" s="145"/>
      <c r="CJ328" s="145"/>
      <c r="CK328" s="145"/>
      <c r="CL328" s="145"/>
      <c r="CM328" s="145"/>
      <c r="CN328" s="145"/>
      <c r="CO328" s="145"/>
      <c r="CP328" s="145"/>
      <c r="CQ328" s="145"/>
      <c r="CR328" s="141"/>
      <c r="CS328" s="141"/>
      <c r="CT328" s="141"/>
      <c r="CU328" s="141"/>
      <c r="CV328" s="141"/>
      <c r="CW328" s="141"/>
      <c r="CX328" s="141"/>
      <c r="CY328" s="141"/>
      <c r="CZ328" s="141"/>
      <c r="DA328" s="141"/>
      <c r="DB328" s="141"/>
      <c r="DC328" s="141"/>
      <c r="DD328" s="1517"/>
      <c r="DE328" s="1483"/>
      <c r="DF328" s="141"/>
      <c r="DG328" s="141"/>
      <c r="DH328" s="141"/>
      <c r="DI328" s="141"/>
      <c r="DJ328" s="141"/>
      <c r="DK328" s="141"/>
      <c r="DL328" s="141"/>
      <c r="DM328" s="141"/>
      <c r="DN328" s="141"/>
      <c r="DO328" s="141"/>
      <c r="DP328" s="141"/>
      <c r="DQ328" s="141"/>
      <c r="DR328" s="141"/>
      <c r="DS328" s="141"/>
      <c r="DT328" s="141"/>
      <c r="DU328" s="141"/>
      <c r="DV328" s="141"/>
      <c r="DW328" s="141"/>
      <c r="DX328" s="141"/>
      <c r="DY328" s="141"/>
      <c r="DZ328" s="1676"/>
    </row>
    <row r="329" spans="1:136" s="52" customFormat="1" hidden="1" outlineLevel="1">
      <c r="A329" s="338"/>
      <c r="B329" s="196"/>
      <c r="C329" s="196" t="s">
        <v>968</v>
      </c>
      <c r="D329" s="333"/>
      <c r="E329" s="578"/>
      <c r="F329" s="145"/>
      <c r="G329" s="145"/>
      <c r="H329" s="145"/>
      <c r="I329" s="228"/>
      <c r="J329" s="145"/>
      <c r="K329" s="145"/>
      <c r="L329" s="145"/>
      <c r="M329" s="228"/>
      <c r="N329" s="145"/>
      <c r="O329" s="145"/>
      <c r="P329" s="145"/>
      <c r="Q329" s="228"/>
      <c r="R329" s="145"/>
      <c r="S329" s="145"/>
      <c r="T329" s="145"/>
      <c r="U329" s="228"/>
      <c r="V329" s="227"/>
      <c r="W329" s="145"/>
      <c r="X329" s="145"/>
      <c r="Y329" s="228"/>
      <c r="Z329" s="227"/>
      <c r="AA329" s="145"/>
      <c r="AB329" s="145"/>
      <c r="AC329" s="228"/>
      <c r="AD329" s="227"/>
      <c r="AE329" s="145"/>
      <c r="AF329" s="145"/>
      <c r="AG329" s="145"/>
      <c r="AH329" s="227"/>
      <c r="AI329" s="145"/>
      <c r="AJ329" s="145"/>
      <c r="AK329" s="145"/>
      <c r="AL329" s="227"/>
      <c r="AM329" s="145"/>
      <c r="AN329" s="145"/>
      <c r="AO329" s="228"/>
      <c r="AP329" s="145"/>
      <c r="AQ329" s="145"/>
      <c r="AR329" s="145"/>
      <c r="AS329" s="145"/>
      <c r="AT329" s="145"/>
      <c r="AU329" s="145"/>
      <c r="AV329" s="145"/>
      <c r="AW329" s="145"/>
      <c r="AX329" s="145"/>
      <c r="AY329" s="145"/>
      <c r="AZ329" s="145"/>
      <c r="BA329" s="228"/>
      <c r="BB329" s="2101">
        <f t="shared" ref="BB329:BS329" si="691">BB317-SUM(BB343, BB353)</f>
        <v>94.583999999999946</v>
      </c>
      <c r="BC329" s="2102">
        <f t="shared" si="691"/>
        <v>115.31510800000024</v>
      </c>
      <c r="BD329" s="2102">
        <f t="shared" si="691"/>
        <v>117.3562217560002</v>
      </c>
      <c r="BE329" s="2103">
        <f t="shared" si="691"/>
        <v>129.10754188579199</v>
      </c>
      <c r="BF329" s="2101">
        <f t="shared" si="691"/>
        <v>111.62684649292851</v>
      </c>
      <c r="BG329" s="2102">
        <f t="shared" si="691"/>
        <v>160.98086539708129</v>
      </c>
      <c r="BH329" s="2102">
        <f t="shared" si="691"/>
        <v>153.08558827208435</v>
      </c>
      <c r="BI329" s="2103">
        <f t="shared" si="691"/>
        <v>131.00429202548901</v>
      </c>
      <c r="BJ329" s="2101">
        <f t="shared" si="691"/>
        <v>174.29637504293532</v>
      </c>
      <c r="BK329" s="2102">
        <f t="shared" si="691"/>
        <v>205.26660332383449</v>
      </c>
      <c r="BL329" s="2102">
        <f t="shared" si="691"/>
        <v>231.62369355944611</v>
      </c>
      <c r="BM329" s="2102">
        <f t="shared" si="691"/>
        <v>250.10648598519538</v>
      </c>
      <c r="BN329" s="2101">
        <f t="shared" si="691"/>
        <v>238.43507491995024</v>
      </c>
      <c r="BO329" s="2102">
        <f t="shared" si="691"/>
        <v>271.92399163997084</v>
      </c>
      <c r="BP329" s="2102">
        <f t="shared" si="691"/>
        <v>198.72098509041371</v>
      </c>
      <c r="BQ329" s="2103">
        <f t="shared" si="691"/>
        <v>364.15986229953978</v>
      </c>
      <c r="BR329" s="2101">
        <f t="shared" si="691"/>
        <v>394.94359025055974</v>
      </c>
      <c r="BS329" s="2102">
        <f t="shared" si="691"/>
        <v>456.51699197517246</v>
      </c>
      <c r="BT329" s="2102"/>
      <c r="BU329" s="2103"/>
      <c r="BV329" s="2101"/>
      <c r="BW329" s="2102"/>
      <c r="BX329" s="2102"/>
      <c r="BY329" s="2103"/>
      <c r="BZ329" s="2101"/>
      <c r="CA329" s="2102"/>
      <c r="CB329" s="2102"/>
      <c r="CC329" s="2103"/>
      <c r="CD329" s="9"/>
      <c r="CE329" s="145"/>
      <c r="CF329" s="145"/>
      <c r="CG329" s="145"/>
      <c r="CH329" s="145"/>
      <c r="CI329" s="145"/>
      <c r="CJ329" s="145"/>
      <c r="CK329" s="145"/>
      <c r="CL329" s="145"/>
      <c r="CM329" s="145"/>
      <c r="CN329" s="145"/>
      <c r="CO329" s="145"/>
      <c r="CP329" s="145"/>
      <c r="CQ329" s="2102">
        <f>SUM(BB329:BE329)</f>
        <v>456.36287164179237</v>
      </c>
      <c r="CR329" s="2102">
        <f>SUM(BF329:BI329)</f>
        <v>556.69759218758315</v>
      </c>
      <c r="CS329" s="2102">
        <f>SUM(BJ329:BM329)</f>
        <v>861.2931579114113</v>
      </c>
      <c r="CT329" s="2102">
        <f>SUM(BN329:BQ329)</f>
        <v>1073.2399139498746</v>
      </c>
      <c r="CU329" s="2102">
        <f>SUM(BR329:BU329)</f>
        <v>851.4605822257322</v>
      </c>
      <c r="CV329" s="2102"/>
      <c r="CW329" s="2102"/>
      <c r="CX329" s="2102"/>
      <c r="CY329" s="2102"/>
      <c r="CZ329" s="2102"/>
      <c r="DA329" s="2102"/>
      <c r="DB329" s="2102"/>
      <c r="DC329" s="2102"/>
      <c r="DD329" s="1517"/>
      <c r="DE329" s="1483"/>
      <c r="DF329" s="141"/>
      <c r="DG329" s="141"/>
      <c r="DH329" s="141"/>
      <c r="DI329" s="141"/>
      <c r="DJ329" s="141"/>
      <c r="DK329" s="141"/>
      <c r="DL329" s="141"/>
      <c r="DM329" s="141"/>
      <c r="DN329" s="141"/>
      <c r="DO329" s="141"/>
      <c r="DP329" s="141"/>
      <c r="DQ329" s="141"/>
      <c r="DR329" s="141"/>
      <c r="DS329" s="141"/>
      <c r="DT329" s="141"/>
      <c r="DU329" s="141"/>
      <c r="DV329" s="141"/>
      <c r="DW329" s="141"/>
      <c r="DX329" s="141"/>
      <c r="DY329" s="141"/>
      <c r="DZ329" s="1676"/>
      <c r="EA329"/>
      <c r="EB329"/>
      <c r="EC329"/>
      <c r="ED329"/>
      <c r="EE329"/>
      <c r="EF329"/>
    </row>
    <row r="330" spans="1:136" s="52" customFormat="1" hidden="1" outlineLevel="1">
      <c r="A330" s="436"/>
      <c r="B330" s="208"/>
      <c r="C330" s="1180"/>
      <c r="D330" s="1180" t="s">
        <v>76</v>
      </c>
      <c r="E330" s="2175"/>
      <c r="F330" s="145"/>
      <c r="G330" s="145"/>
      <c r="H330" s="145"/>
      <c r="I330" s="228"/>
      <c r="J330" s="145"/>
      <c r="K330" s="145"/>
      <c r="L330" s="145"/>
      <c r="M330" s="228"/>
      <c r="N330" s="145"/>
      <c r="O330" s="145"/>
      <c r="P330" s="145"/>
      <c r="Q330" s="228"/>
      <c r="R330" s="145"/>
      <c r="S330" s="145"/>
      <c r="T330" s="145"/>
      <c r="U330" s="228"/>
      <c r="V330" s="227"/>
      <c r="W330" s="145"/>
      <c r="X330" s="145"/>
      <c r="Y330" s="228"/>
      <c r="Z330" s="227"/>
      <c r="AA330" s="145"/>
      <c r="AB330" s="145"/>
      <c r="AC330" s="228"/>
      <c r="AD330" s="227"/>
      <c r="AE330" s="145"/>
      <c r="AF330" s="145"/>
      <c r="AG330" s="145"/>
      <c r="AH330" s="227"/>
      <c r="AI330" s="145"/>
      <c r="AJ330" s="145"/>
      <c r="AK330" s="145"/>
      <c r="AL330" s="227"/>
      <c r="AM330" s="145"/>
      <c r="AN330" s="145"/>
      <c r="AO330" s="228"/>
      <c r="AP330" s="145"/>
      <c r="AQ330" s="145"/>
      <c r="AR330" s="145"/>
      <c r="AS330" s="145"/>
      <c r="AT330" s="145"/>
      <c r="AU330" s="145"/>
      <c r="AV330" s="145"/>
      <c r="AW330" s="145"/>
      <c r="AX330" s="145"/>
      <c r="AY330" s="145"/>
      <c r="AZ330" s="145"/>
      <c r="BA330" s="228"/>
      <c r="BB330" s="640"/>
      <c r="BC330" s="640"/>
      <c r="BD330" s="640"/>
      <c r="BE330" s="949"/>
      <c r="BF330" s="640"/>
      <c r="BG330" s="640"/>
      <c r="BH330" s="640">
        <f t="shared" ref="BH330:BS330" si="692">BH329/BD329-1</f>
        <v>0.30445225639907236</v>
      </c>
      <c r="BI330" s="949">
        <f t="shared" si="692"/>
        <v>1.4691241983174619E-2</v>
      </c>
      <c r="BJ330" s="640">
        <f t="shared" si="692"/>
        <v>0.56141986017652923</v>
      </c>
      <c r="BK330" s="640">
        <f t="shared" si="692"/>
        <v>0.27509939033758068</v>
      </c>
      <c r="BL330" s="640">
        <f t="shared" si="692"/>
        <v>0.51303395815269859</v>
      </c>
      <c r="BM330" s="640">
        <f t="shared" si="692"/>
        <v>0.90914726623256814</v>
      </c>
      <c r="BN330" s="2209">
        <f t="shared" si="692"/>
        <v>0.36798642462423725</v>
      </c>
      <c r="BO330" s="640">
        <f t="shared" si="692"/>
        <v>0.32473567173991635</v>
      </c>
      <c r="BP330" s="640">
        <f t="shared" si="692"/>
        <v>-0.14205242979854282</v>
      </c>
      <c r="BQ330" s="949">
        <f t="shared" si="692"/>
        <v>0.45601926661388381</v>
      </c>
      <c r="BR330" s="640">
        <f t="shared" si="692"/>
        <v>0.65639887664662622</v>
      </c>
      <c r="BS330" s="640">
        <f t="shared" si="692"/>
        <v>0.67884043339435807</v>
      </c>
      <c r="BT330" s="492"/>
      <c r="BU330" s="493"/>
      <c r="BV330" s="640"/>
      <c r="BW330" s="640"/>
      <c r="BX330" s="640"/>
      <c r="BY330" s="949"/>
      <c r="BZ330" s="640"/>
      <c r="CA330" s="640"/>
      <c r="CB330" s="640"/>
      <c r="CC330" s="949"/>
      <c r="CD330" s="9"/>
      <c r="CE330" s="145"/>
      <c r="CF330" s="145"/>
      <c r="CG330" s="145"/>
      <c r="CH330" s="145"/>
      <c r="CI330" s="145"/>
      <c r="CJ330" s="145"/>
      <c r="CK330" s="145"/>
      <c r="CL330" s="145"/>
      <c r="CM330" s="145"/>
      <c r="CN330" s="145"/>
      <c r="CO330" s="145"/>
      <c r="CP330" s="145"/>
      <c r="CQ330" s="145"/>
      <c r="CR330" s="640">
        <f>CR329/CQ329-1</f>
        <v>0.21985732578294703</v>
      </c>
      <c r="CS330" s="1471">
        <f>CS329/CR329-1</f>
        <v>0.54714726630466992</v>
      </c>
      <c r="CT330" s="1471">
        <f>CT329/CS329-1</f>
        <v>0.24607969318184586</v>
      </c>
      <c r="CU330" s="1471">
        <f>CU329/CT329-1</f>
        <v>-0.20664469224585746</v>
      </c>
      <c r="CV330" s="1471"/>
      <c r="CW330" s="495"/>
      <c r="CX330" s="495"/>
      <c r="CY330" s="495"/>
      <c r="CZ330" s="495"/>
      <c r="DA330" s="495"/>
      <c r="DB330" s="495"/>
      <c r="DC330" s="495"/>
      <c r="DD330" s="1517"/>
      <c r="DE330" s="1483"/>
      <c r="DF330" s="141"/>
      <c r="DG330" s="141"/>
      <c r="DH330" s="141"/>
      <c r="DI330" s="141"/>
      <c r="DJ330" s="141"/>
      <c r="DK330" s="141"/>
      <c r="DL330" s="141"/>
      <c r="DM330" s="141"/>
      <c r="DN330" s="141"/>
      <c r="DO330" s="141"/>
      <c r="DP330" s="141"/>
      <c r="DQ330" s="141"/>
      <c r="DR330" s="141"/>
      <c r="DS330" s="141"/>
      <c r="DT330" s="141"/>
      <c r="DU330" s="141"/>
      <c r="DV330" s="141"/>
      <c r="DW330" s="141"/>
      <c r="DX330" s="141"/>
      <c r="DY330" s="141"/>
      <c r="DZ330" s="1676"/>
      <c r="EA330"/>
      <c r="EB330"/>
      <c r="EC330"/>
      <c r="ED330"/>
      <c r="EE330"/>
      <c r="EF330"/>
    </row>
    <row r="331" spans="1:136" s="52" customFormat="1" hidden="1" outlineLevel="1">
      <c r="A331" s="338"/>
      <c r="B331" s="196"/>
      <c r="C331" s="578"/>
      <c r="D331" s="333" t="s">
        <v>77</v>
      </c>
      <c r="E331" s="578"/>
      <c r="F331" s="145"/>
      <c r="G331" s="145"/>
      <c r="H331" s="145"/>
      <c r="I331" s="228"/>
      <c r="J331" s="145"/>
      <c r="K331" s="145"/>
      <c r="L331" s="145"/>
      <c r="M331" s="228"/>
      <c r="N331" s="145"/>
      <c r="O331" s="145"/>
      <c r="P331" s="145"/>
      <c r="Q331" s="228"/>
      <c r="R331" s="145"/>
      <c r="S331" s="145"/>
      <c r="T331" s="145"/>
      <c r="U331" s="228"/>
      <c r="V331" s="227"/>
      <c r="W331" s="145"/>
      <c r="X331" s="145"/>
      <c r="Y331" s="228"/>
      <c r="Z331" s="227"/>
      <c r="AA331" s="145"/>
      <c r="AB331" s="145"/>
      <c r="AC331" s="228"/>
      <c r="AD331" s="227"/>
      <c r="AE331" s="145"/>
      <c r="AF331" s="145"/>
      <c r="AG331" s="145"/>
      <c r="AH331" s="227"/>
      <c r="AI331" s="145"/>
      <c r="AJ331" s="145"/>
      <c r="AK331" s="145"/>
      <c r="AL331" s="227"/>
      <c r="AM331" s="145"/>
      <c r="AN331" s="145"/>
      <c r="AO331" s="228"/>
      <c r="AP331" s="145"/>
      <c r="AQ331" s="145"/>
      <c r="AR331" s="145"/>
      <c r="AS331" s="145"/>
      <c r="AT331" s="145"/>
      <c r="AU331" s="145"/>
      <c r="AV331" s="145"/>
      <c r="AW331" s="145"/>
      <c r="AX331" s="145"/>
      <c r="AY331" s="145"/>
      <c r="AZ331" s="145"/>
      <c r="BA331" s="228"/>
      <c r="BB331" s="852"/>
      <c r="BC331" s="852"/>
      <c r="BD331" s="852"/>
      <c r="BE331" s="851"/>
      <c r="BF331" s="852">
        <f t="shared" ref="BF331:BS331" si="693">BF329/BE329-1</f>
        <v>-0.13539639232173462</v>
      </c>
      <c r="BG331" s="852">
        <f t="shared" si="693"/>
        <v>0.4421339530296533</v>
      </c>
      <c r="BH331" s="852">
        <f t="shared" si="693"/>
        <v>-4.9044817255281647E-2</v>
      </c>
      <c r="BI331" s="851">
        <f t="shared" si="693"/>
        <v>-0.14424150892211673</v>
      </c>
      <c r="BJ331" s="852">
        <f t="shared" si="693"/>
        <v>0.33046308901866461</v>
      </c>
      <c r="BK331" s="852">
        <f t="shared" si="693"/>
        <v>0.17768716230197046</v>
      </c>
      <c r="BL331" s="852">
        <f t="shared" si="693"/>
        <v>0.12840418172667833</v>
      </c>
      <c r="BM331" s="852">
        <f t="shared" si="693"/>
        <v>7.9796639720735918E-2</v>
      </c>
      <c r="BN331" s="850">
        <f t="shared" si="693"/>
        <v>-4.6665767260174129E-2</v>
      </c>
      <c r="BO331" s="852">
        <f t="shared" si="693"/>
        <v>0.14045297962669223</v>
      </c>
      <c r="BP331" s="852">
        <f t="shared" si="693"/>
        <v>-0.26920392756840084</v>
      </c>
      <c r="BQ331" s="851">
        <f t="shared" si="693"/>
        <v>0.83251840329724103</v>
      </c>
      <c r="BR331" s="852">
        <f t="shared" si="693"/>
        <v>8.4533555556155049E-2</v>
      </c>
      <c r="BS331" s="852">
        <f t="shared" si="693"/>
        <v>0.15590429429567232</v>
      </c>
      <c r="BT331" s="495"/>
      <c r="BU331" s="499"/>
      <c r="BV331" s="495"/>
      <c r="BW331" s="495"/>
      <c r="BX331" s="495"/>
      <c r="BY331" s="499"/>
      <c r="BZ331" s="495"/>
      <c r="CA331" s="495"/>
      <c r="CB331" s="495"/>
      <c r="CC331" s="499"/>
      <c r="CD331" s="9"/>
      <c r="CE331" s="145"/>
      <c r="CF331" s="145"/>
      <c r="CG331" s="145"/>
      <c r="CH331" s="145"/>
      <c r="CI331" s="145"/>
      <c r="CJ331" s="145"/>
      <c r="CK331" s="145"/>
      <c r="CL331" s="145"/>
      <c r="CM331" s="145"/>
      <c r="CN331" s="145"/>
      <c r="CO331" s="145"/>
      <c r="CP331" s="145"/>
      <c r="CQ331" s="145"/>
      <c r="CR331" s="141"/>
      <c r="CS331" s="141"/>
      <c r="CT331" s="141"/>
      <c r="CU331" s="141"/>
      <c r="CV331" s="141"/>
      <c r="CW331" s="51"/>
      <c r="CX331" s="51"/>
      <c r="CY331" s="51"/>
      <c r="CZ331" s="51"/>
      <c r="DA331" s="51"/>
      <c r="DB331" s="51"/>
      <c r="DC331" s="51"/>
      <c r="DD331" s="1517"/>
      <c r="DE331" s="1483"/>
      <c r="DF331" s="141"/>
      <c r="DG331" s="141"/>
      <c r="DH331" s="141"/>
      <c r="DI331" s="141"/>
      <c r="DJ331" s="141"/>
      <c r="DK331" s="141"/>
      <c r="DL331" s="141"/>
      <c r="DM331" s="141"/>
      <c r="DN331" s="141"/>
      <c r="DO331" s="141"/>
      <c r="DP331" s="141"/>
      <c r="DQ331" s="141"/>
      <c r="DR331" s="141"/>
      <c r="DS331" s="141"/>
      <c r="DT331" s="141"/>
      <c r="DU331" s="141"/>
      <c r="DV331" s="141"/>
      <c r="DW331" s="141"/>
      <c r="DX331" s="141"/>
      <c r="DY331" s="141"/>
      <c r="DZ331" s="1676"/>
      <c r="EA331"/>
      <c r="EB331"/>
      <c r="EC331"/>
      <c r="ED331"/>
      <c r="EE331"/>
      <c r="EF331"/>
    </row>
    <row r="332" spans="1:136" s="52" customFormat="1" hidden="1" outlineLevel="1">
      <c r="A332" s="338"/>
      <c r="B332" s="196"/>
      <c r="C332" s="578"/>
      <c r="D332" s="333"/>
      <c r="E332" s="578"/>
      <c r="F332" s="145"/>
      <c r="G332" s="145"/>
      <c r="H332" s="145"/>
      <c r="I332" s="228"/>
      <c r="J332" s="145"/>
      <c r="K332" s="145"/>
      <c r="L332" s="145"/>
      <c r="M332" s="228"/>
      <c r="N332" s="145"/>
      <c r="O332" s="145"/>
      <c r="P332" s="145"/>
      <c r="Q332" s="228"/>
      <c r="R332" s="145"/>
      <c r="S332" s="145"/>
      <c r="T332" s="145"/>
      <c r="U332" s="228"/>
      <c r="V332" s="227"/>
      <c r="W332" s="145"/>
      <c r="X332" s="145"/>
      <c r="Y332" s="228"/>
      <c r="Z332" s="227"/>
      <c r="AA332" s="145"/>
      <c r="AB332" s="145"/>
      <c r="AC332" s="228"/>
      <c r="AD332" s="227"/>
      <c r="AE332" s="145"/>
      <c r="AF332" s="145"/>
      <c r="AG332" s="145"/>
      <c r="AH332" s="227"/>
      <c r="AI332" s="145"/>
      <c r="AJ332" s="145"/>
      <c r="AK332" s="145"/>
      <c r="AL332" s="227"/>
      <c r="AM332" s="145"/>
      <c r="AN332" s="145"/>
      <c r="AO332" s="228"/>
      <c r="AP332" s="145"/>
      <c r="AQ332" s="145"/>
      <c r="AR332" s="145"/>
      <c r="AS332" s="145"/>
      <c r="AT332" s="145"/>
      <c r="AU332" s="145"/>
      <c r="AV332" s="145"/>
      <c r="AW332" s="145"/>
      <c r="AX332" s="145"/>
      <c r="AY332" s="145"/>
      <c r="AZ332" s="145"/>
      <c r="BA332" s="228"/>
      <c r="BB332" s="852"/>
      <c r="BC332" s="852"/>
      <c r="BD332" s="852"/>
      <c r="BE332" s="851"/>
      <c r="BF332" s="852"/>
      <c r="BG332" s="852"/>
      <c r="BH332" s="852"/>
      <c r="BI332" s="851"/>
      <c r="BJ332" s="852"/>
      <c r="BK332" s="852"/>
      <c r="BL332" s="852"/>
      <c r="BM332" s="852"/>
      <c r="BN332" s="850"/>
      <c r="BO332" s="852"/>
      <c r="BP332" s="852"/>
      <c r="BQ332" s="851"/>
      <c r="BR332" s="852"/>
      <c r="BS332" s="852"/>
      <c r="BT332" s="145"/>
      <c r="BU332" s="228"/>
      <c r="BV332" s="145"/>
      <c r="BW332" s="145"/>
      <c r="BX332" s="145"/>
      <c r="BY332" s="228"/>
      <c r="BZ332" s="145"/>
      <c r="CA332" s="145"/>
      <c r="CB332" s="145"/>
      <c r="CC332" s="228"/>
      <c r="CD332" s="9"/>
      <c r="CE332" s="145"/>
      <c r="CF332" s="145"/>
      <c r="CG332" s="145"/>
      <c r="CH332" s="145"/>
      <c r="CI332" s="145"/>
      <c r="CJ332" s="145"/>
      <c r="CK332" s="145"/>
      <c r="CL332" s="145"/>
      <c r="CM332" s="145"/>
      <c r="CN332" s="145"/>
      <c r="CO332" s="145"/>
      <c r="CP332" s="145"/>
      <c r="CQ332" s="145"/>
      <c r="CR332" s="141"/>
      <c r="CS332" s="141"/>
      <c r="CT332" s="141"/>
      <c r="CU332" s="141"/>
      <c r="CV332" s="141"/>
      <c r="CW332" s="141"/>
      <c r="CX332" s="141"/>
      <c r="CY332" s="141"/>
      <c r="CZ332" s="141"/>
      <c r="DA332" s="141"/>
      <c r="DB332" s="141"/>
      <c r="DC332" s="141"/>
      <c r="DD332" s="1517"/>
      <c r="DE332" s="1483"/>
      <c r="DF332" s="141"/>
      <c r="DG332" s="141"/>
      <c r="DH332" s="141"/>
      <c r="DI332" s="141"/>
      <c r="DJ332" s="141"/>
      <c r="DK332" s="141"/>
      <c r="DL332" s="141"/>
      <c r="DM332" s="141"/>
      <c r="DN332" s="141"/>
      <c r="DO332" s="141"/>
      <c r="DP332" s="141"/>
      <c r="DQ332" s="141"/>
      <c r="DR332" s="141"/>
      <c r="DS332" s="141"/>
      <c r="DT332" s="141"/>
      <c r="DU332" s="141"/>
      <c r="DV332" s="141"/>
      <c r="DW332" s="141"/>
      <c r="DX332" s="141"/>
      <c r="DY332" s="141"/>
      <c r="DZ332" s="1676"/>
      <c r="EA332"/>
      <c r="EB332"/>
      <c r="EC332"/>
      <c r="ED332"/>
      <c r="EE332"/>
      <c r="EF332"/>
    </row>
    <row r="333" spans="1:136" s="52" customFormat="1" hidden="1" outlineLevel="1">
      <c r="A333" s="338"/>
      <c r="B333" s="196"/>
      <c r="C333" s="578" t="s">
        <v>955</v>
      </c>
      <c r="D333" s="333"/>
      <c r="E333" s="578"/>
      <c r="F333" s="145"/>
      <c r="G333" s="145"/>
      <c r="H333" s="145"/>
      <c r="I333" s="228"/>
      <c r="J333" s="145"/>
      <c r="K333" s="145"/>
      <c r="L333" s="145"/>
      <c r="M333" s="228"/>
      <c r="N333" s="145"/>
      <c r="O333" s="145"/>
      <c r="P333" s="145"/>
      <c r="Q333" s="228"/>
      <c r="R333" s="145"/>
      <c r="S333" s="145"/>
      <c r="T333" s="145"/>
      <c r="U333" s="228"/>
      <c r="V333" s="227"/>
      <c r="W333" s="145"/>
      <c r="X333" s="145"/>
      <c r="Y333" s="228"/>
      <c r="Z333" s="227"/>
      <c r="AA333" s="145"/>
      <c r="AB333" s="145"/>
      <c r="AC333" s="228"/>
      <c r="AD333" s="227"/>
      <c r="AE333" s="145"/>
      <c r="AF333" s="145"/>
      <c r="AG333" s="145"/>
      <c r="AH333" s="227"/>
      <c r="AI333" s="145"/>
      <c r="AJ333" s="145"/>
      <c r="AK333" s="145"/>
      <c r="AL333" s="227"/>
      <c r="AM333" s="145"/>
      <c r="AN333" s="145"/>
      <c r="AO333" s="228"/>
      <c r="AP333" s="145"/>
      <c r="AQ333" s="145"/>
      <c r="AR333" s="145"/>
      <c r="AS333" s="145"/>
      <c r="AT333" s="145"/>
      <c r="AU333" s="145"/>
      <c r="AV333" s="145"/>
      <c r="AW333" s="145"/>
      <c r="AX333" s="145"/>
      <c r="AY333" s="145"/>
      <c r="AZ333" s="145"/>
      <c r="BA333" s="228"/>
      <c r="BB333" s="2101">
        <f>BB343+BB353</f>
        <v>790.41600000000005</v>
      </c>
      <c r="BC333" s="2102">
        <f t="shared" ref="BC333:BR333" si="694">BC343+BC353</f>
        <v>881.68489199999976</v>
      </c>
      <c r="BD333" s="2102">
        <f t="shared" si="694"/>
        <v>978.6437782439998</v>
      </c>
      <c r="BE333" s="2103">
        <f t="shared" si="694"/>
        <v>1088.892458114208</v>
      </c>
      <c r="BF333" s="2101">
        <f t="shared" si="694"/>
        <v>1039.3731535070715</v>
      </c>
      <c r="BG333" s="2102">
        <f t="shared" si="694"/>
        <v>1042.0191346029187</v>
      </c>
      <c r="BH333" s="2102">
        <f t="shared" si="694"/>
        <v>944.91441172791565</v>
      </c>
      <c r="BI333" s="2103">
        <f t="shared" si="694"/>
        <v>905.99570797451099</v>
      </c>
      <c r="BJ333" s="2101">
        <f t="shared" si="694"/>
        <v>1009.7036249570647</v>
      </c>
      <c r="BK333" s="2102">
        <f t="shared" si="694"/>
        <v>1065.7333966761655</v>
      </c>
      <c r="BL333" s="2102">
        <f t="shared" si="694"/>
        <v>1046.3763064405539</v>
      </c>
      <c r="BM333" s="2102">
        <f t="shared" si="694"/>
        <v>1028.8935140148046</v>
      </c>
      <c r="BN333" s="2101">
        <f t="shared" si="694"/>
        <v>1052.5649250800498</v>
      </c>
      <c r="BO333" s="2102">
        <f t="shared" si="694"/>
        <v>1005.0760083600292</v>
      </c>
      <c r="BP333" s="2102">
        <f t="shared" si="694"/>
        <v>907.27901490958629</v>
      </c>
      <c r="BQ333" s="2103">
        <f t="shared" si="694"/>
        <v>880.84013770046022</v>
      </c>
      <c r="BR333" s="2101">
        <f t="shared" si="694"/>
        <v>969.05640974944026</v>
      </c>
      <c r="BS333" s="2102">
        <f>BS343+BS353</f>
        <v>937.48300802482754</v>
      </c>
      <c r="BT333" s="2102"/>
      <c r="BU333" s="2103"/>
      <c r="BV333" s="2101"/>
      <c r="BW333" s="2102"/>
      <c r="BX333" s="2102"/>
      <c r="BY333" s="2103"/>
      <c r="BZ333" s="2101"/>
      <c r="CA333" s="2102"/>
      <c r="CB333" s="2102"/>
      <c r="CC333" s="2103"/>
      <c r="CD333" s="9"/>
      <c r="CE333" s="145"/>
      <c r="CF333" s="145"/>
      <c r="CG333" s="145"/>
      <c r="CH333" s="145"/>
      <c r="CI333" s="145"/>
      <c r="CJ333" s="145"/>
      <c r="CK333" s="145"/>
      <c r="CL333" s="145"/>
      <c r="CM333" s="145"/>
      <c r="CN333" s="145"/>
      <c r="CO333" s="145"/>
      <c r="CP333" s="145"/>
      <c r="CQ333" s="2102">
        <f>CQ343+CQ353</f>
        <v>3739.6371283582075</v>
      </c>
      <c r="CR333" s="2102">
        <f>CR343+CR353</f>
        <v>3932.3024078124172</v>
      </c>
      <c r="CS333" s="2102">
        <f>CS343+CS353</f>
        <v>4150.706842088588</v>
      </c>
      <c r="CT333" s="2102">
        <f>CT343+CT353</f>
        <v>3845.7600860501252</v>
      </c>
      <c r="CU333" s="2102">
        <f>CU343+CU353</f>
        <v>1906.5394177742678</v>
      </c>
      <c r="CV333" s="2102"/>
      <c r="CW333" s="2102"/>
      <c r="CX333" s="2102"/>
      <c r="CY333" s="2102"/>
      <c r="CZ333" s="2102"/>
      <c r="DA333" s="2102"/>
      <c r="DB333" s="2102"/>
      <c r="DC333" s="2102"/>
      <c r="DD333" s="1517"/>
      <c r="DE333" s="1483"/>
      <c r="DF333" s="141"/>
      <c r="DG333" s="141"/>
      <c r="DH333" s="141"/>
      <c r="DI333" s="141"/>
      <c r="DJ333" s="141"/>
      <c r="DK333" s="141"/>
      <c r="DL333" s="141"/>
      <c r="DM333" s="141"/>
      <c r="DN333" s="141"/>
      <c r="DO333" s="141"/>
      <c r="DP333" s="141"/>
      <c r="DQ333" s="141"/>
      <c r="DR333" s="141"/>
      <c r="DS333" s="141"/>
      <c r="DT333" s="141"/>
      <c r="DU333" s="141"/>
      <c r="DV333" s="141"/>
      <c r="DW333" s="141"/>
      <c r="DX333" s="141"/>
      <c r="DY333" s="141"/>
      <c r="DZ333" s="1676"/>
      <c r="EA333"/>
      <c r="EB333"/>
      <c r="EC333"/>
      <c r="ED333"/>
      <c r="EE333"/>
      <c r="EF333"/>
    </row>
    <row r="334" spans="1:136" s="52" customFormat="1" hidden="1" outlineLevel="1">
      <c r="A334" s="338"/>
      <c r="B334" s="196"/>
      <c r="C334" s="578"/>
      <c r="D334" s="1180" t="s">
        <v>76</v>
      </c>
      <c r="E334" s="578"/>
      <c r="F334" s="145"/>
      <c r="G334" s="145"/>
      <c r="H334" s="145"/>
      <c r="I334" s="228"/>
      <c r="J334" s="145"/>
      <c r="K334" s="145"/>
      <c r="L334" s="145"/>
      <c r="M334" s="228"/>
      <c r="N334" s="145"/>
      <c r="O334" s="145"/>
      <c r="P334" s="145"/>
      <c r="Q334" s="228"/>
      <c r="R334" s="145"/>
      <c r="S334" s="145"/>
      <c r="T334" s="145"/>
      <c r="U334" s="228"/>
      <c r="V334" s="227"/>
      <c r="W334" s="145"/>
      <c r="X334" s="145"/>
      <c r="Y334" s="228"/>
      <c r="Z334" s="227"/>
      <c r="AA334" s="145"/>
      <c r="AB334" s="145"/>
      <c r="AC334" s="228"/>
      <c r="AD334" s="227"/>
      <c r="AE334" s="145"/>
      <c r="AF334" s="145"/>
      <c r="AG334" s="145"/>
      <c r="AH334" s="227"/>
      <c r="AI334" s="145"/>
      <c r="AJ334" s="145"/>
      <c r="AK334" s="145"/>
      <c r="AL334" s="227"/>
      <c r="AM334" s="145"/>
      <c r="AN334" s="145"/>
      <c r="AO334" s="228"/>
      <c r="AP334" s="145"/>
      <c r="AQ334" s="145"/>
      <c r="AR334" s="145"/>
      <c r="AS334" s="145"/>
      <c r="AT334" s="145"/>
      <c r="AU334" s="145"/>
      <c r="AV334" s="145"/>
      <c r="AW334" s="145"/>
      <c r="AX334" s="145"/>
      <c r="AY334" s="145"/>
      <c r="AZ334" s="145"/>
      <c r="BA334" s="228"/>
      <c r="BB334" s="852"/>
      <c r="BC334" s="640"/>
      <c r="BD334" s="640"/>
      <c r="BE334" s="949"/>
      <c r="BF334" s="640">
        <f t="shared" ref="BF334:BS334" si="695">BF333/BB333-1</f>
        <v>0.31496977984639907</v>
      </c>
      <c r="BG334" s="640">
        <f t="shared" si="695"/>
        <v>0.18184982419197326</v>
      </c>
      <c r="BH334" s="640">
        <f t="shared" si="695"/>
        <v>-3.446541761763966E-2</v>
      </c>
      <c r="BI334" s="949">
        <f t="shared" si="695"/>
        <v>-0.16796585262097019</v>
      </c>
      <c r="BJ334" s="640">
        <f t="shared" si="695"/>
        <v>-2.8545598325197652E-2</v>
      </c>
      <c r="BK334" s="640">
        <f t="shared" si="695"/>
        <v>2.2757990986685295E-2</v>
      </c>
      <c r="BL334" s="640">
        <f t="shared" si="695"/>
        <v>0.1073768094266867</v>
      </c>
      <c r="BM334" s="640">
        <f t="shared" si="695"/>
        <v>0.1356494351557691</v>
      </c>
      <c r="BN334" s="2209">
        <f t="shared" si="695"/>
        <v>4.244938719003577E-2</v>
      </c>
      <c r="BO334" s="640">
        <f t="shared" si="695"/>
        <v>-5.6916099753762106E-2</v>
      </c>
      <c r="BP334" s="640">
        <f t="shared" si="695"/>
        <v>-0.13293237879605013</v>
      </c>
      <c r="BQ334" s="949">
        <f t="shared" si="695"/>
        <v>-0.14389572321885014</v>
      </c>
      <c r="BR334" s="640">
        <f t="shared" si="695"/>
        <v>-7.9338113346555272E-2</v>
      </c>
      <c r="BS334" s="640">
        <f t="shared" si="695"/>
        <v>-6.7251630496575454E-2</v>
      </c>
      <c r="BT334" s="640"/>
      <c r="BU334" s="949"/>
      <c r="BV334" s="640"/>
      <c r="BW334" s="640"/>
      <c r="BX334" s="640"/>
      <c r="BY334" s="949"/>
      <c r="BZ334" s="640"/>
      <c r="CA334" s="640"/>
      <c r="CB334" s="640"/>
      <c r="CC334" s="949"/>
      <c r="CD334" s="9"/>
      <c r="CE334" s="145"/>
      <c r="CF334" s="145"/>
      <c r="CG334" s="145"/>
      <c r="CH334" s="145"/>
      <c r="CI334" s="145"/>
      <c r="CJ334" s="145"/>
      <c r="CK334" s="145"/>
      <c r="CL334" s="145"/>
      <c r="CM334" s="145"/>
      <c r="CN334" s="145"/>
      <c r="CO334" s="145"/>
      <c r="CP334" s="145"/>
      <c r="CQ334" s="145"/>
      <c r="CR334" s="640">
        <f>CR333/CQ333-1</f>
        <v>5.1519779283717426E-2</v>
      </c>
      <c r="CS334" s="1471">
        <f>CS333/CR333-1</f>
        <v>5.5541108395493755E-2</v>
      </c>
      <c r="CT334" s="1471">
        <f>CT333/CS333-1</f>
        <v>-7.3468632606444761E-2</v>
      </c>
      <c r="CU334" s="1471">
        <f>CU333/CT333-1</f>
        <v>-0.50424899756749464</v>
      </c>
      <c r="CV334" s="1471"/>
      <c r="CW334" s="1471"/>
      <c r="CX334" s="1471"/>
      <c r="CY334" s="1471"/>
      <c r="CZ334" s="1471"/>
      <c r="DA334" s="1471"/>
      <c r="DB334" s="1471"/>
      <c r="DC334" s="1471"/>
      <c r="DD334" s="1517"/>
      <c r="DE334" s="1483"/>
      <c r="DF334" s="141"/>
      <c r="DG334" s="141"/>
      <c r="DH334" s="141"/>
      <c r="DI334" s="141"/>
      <c r="DJ334" s="141"/>
      <c r="DK334" s="141"/>
      <c r="DL334" s="141"/>
      <c r="DM334" s="141"/>
      <c r="DN334" s="141"/>
      <c r="DO334" s="141"/>
      <c r="DP334" s="141"/>
      <c r="DQ334" s="141"/>
      <c r="DR334" s="141"/>
      <c r="DS334" s="141"/>
      <c r="DT334" s="141"/>
      <c r="DU334" s="141"/>
      <c r="DV334" s="141"/>
      <c r="DW334" s="141"/>
      <c r="DX334" s="141"/>
      <c r="DY334" s="141"/>
      <c r="DZ334" s="1676"/>
      <c r="EA334"/>
      <c r="EB334"/>
      <c r="EC334"/>
      <c r="ED334"/>
      <c r="EE334"/>
      <c r="EF334"/>
    </row>
    <row r="335" spans="1:136" s="52" customFormat="1" hidden="1" outlineLevel="1">
      <c r="A335" s="338"/>
      <c r="B335" s="196"/>
      <c r="C335" s="578"/>
      <c r="D335" s="333" t="s">
        <v>77</v>
      </c>
      <c r="E335" s="578"/>
      <c r="F335" s="145"/>
      <c r="G335" s="145"/>
      <c r="H335" s="145"/>
      <c r="I335" s="228"/>
      <c r="J335" s="145"/>
      <c r="K335" s="145"/>
      <c r="L335" s="145"/>
      <c r="M335" s="228"/>
      <c r="N335" s="145"/>
      <c r="O335" s="145"/>
      <c r="P335" s="145"/>
      <c r="Q335" s="228"/>
      <c r="R335" s="145"/>
      <c r="S335" s="145"/>
      <c r="T335" s="145"/>
      <c r="U335" s="228"/>
      <c r="V335" s="227"/>
      <c r="W335" s="145"/>
      <c r="X335" s="145"/>
      <c r="Y335" s="228"/>
      <c r="Z335" s="227"/>
      <c r="AA335" s="145"/>
      <c r="AB335" s="145"/>
      <c r="AC335" s="228"/>
      <c r="AD335" s="227"/>
      <c r="AE335" s="145"/>
      <c r="AF335" s="145"/>
      <c r="AG335" s="145"/>
      <c r="AH335" s="227"/>
      <c r="AI335" s="145"/>
      <c r="AJ335" s="145"/>
      <c r="AK335" s="145"/>
      <c r="AL335" s="227"/>
      <c r="AM335" s="145"/>
      <c r="AN335" s="145"/>
      <c r="AO335" s="228"/>
      <c r="AP335" s="145"/>
      <c r="AQ335" s="145"/>
      <c r="AR335" s="145"/>
      <c r="AS335" s="145"/>
      <c r="AT335" s="145"/>
      <c r="AU335" s="145"/>
      <c r="AV335" s="145"/>
      <c r="AW335" s="145"/>
      <c r="AX335" s="145"/>
      <c r="AY335" s="145"/>
      <c r="AZ335" s="145"/>
      <c r="BA335" s="228"/>
      <c r="BB335" s="852"/>
      <c r="BC335" s="852">
        <f t="shared" ref="BC335:BS335" si="696">BC333/BB333-1</f>
        <v>0.11546943887775507</v>
      </c>
      <c r="BD335" s="852">
        <f t="shared" si="696"/>
        <v>0.10996999849238653</v>
      </c>
      <c r="BE335" s="851">
        <f t="shared" si="696"/>
        <v>0.11265455554014725</v>
      </c>
      <c r="BF335" s="852">
        <f t="shared" si="696"/>
        <v>-4.5476763327846226E-2</v>
      </c>
      <c r="BG335" s="852">
        <f t="shared" si="696"/>
        <v>2.5457470081069467E-3</v>
      </c>
      <c r="BH335" s="852">
        <f t="shared" si="696"/>
        <v>-9.3189001670306859E-2</v>
      </c>
      <c r="BI335" s="851">
        <f t="shared" si="696"/>
        <v>-4.1187543835040086E-2</v>
      </c>
      <c r="BJ335" s="852">
        <f t="shared" si="696"/>
        <v>0.11446844181459559</v>
      </c>
      <c r="BK335" s="852">
        <f t="shared" si="696"/>
        <v>5.5491304907896444E-2</v>
      </c>
      <c r="BL335" s="852">
        <f t="shared" si="696"/>
        <v>-1.8163163785598679E-2</v>
      </c>
      <c r="BM335" s="852">
        <f t="shared" si="696"/>
        <v>-1.6707939885623246E-2</v>
      </c>
      <c r="BN335" s="850">
        <f t="shared" si="696"/>
        <v>2.3006667592720964E-2</v>
      </c>
      <c r="BO335" s="852">
        <f t="shared" si="696"/>
        <v>-4.5117327766179383E-2</v>
      </c>
      <c r="BP335" s="852">
        <f t="shared" si="696"/>
        <v>-9.7303082191780743E-2</v>
      </c>
      <c r="BQ335" s="851">
        <f t="shared" si="696"/>
        <v>-2.9140845070422805E-2</v>
      </c>
      <c r="BR335" s="852">
        <f t="shared" si="696"/>
        <v>0.10015015015015027</v>
      </c>
      <c r="BS335" s="852">
        <f t="shared" si="696"/>
        <v>-3.2581593194122016E-2</v>
      </c>
      <c r="BT335" s="852"/>
      <c r="BU335" s="851"/>
      <c r="BV335" s="852"/>
      <c r="BW335" s="852"/>
      <c r="BX335" s="852"/>
      <c r="BY335" s="851"/>
      <c r="BZ335" s="852"/>
      <c r="CA335" s="852"/>
      <c r="CB335" s="852"/>
      <c r="CC335" s="851"/>
      <c r="CD335" s="9"/>
      <c r="CE335" s="145"/>
      <c r="CF335" s="145"/>
      <c r="CG335" s="145"/>
      <c r="CH335" s="145"/>
      <c r="CI335" s="145"/>
      <c r="CJ335" s="145"/>
      <c r="CK335" s="145"/>
      <c r="CL335" s="145"/>
      <c r="CM335" s="145"/>
      <c r="CN335" s="145"/>
      <c r="CO335" s="145"/>
      <c r="CP335" s="145"/>
      <c r="CQ335" s="145"/>
      <c r="CR335" s="141"/>
      <c r="CS335" s="141"/>
      <c r="CT335" s="141"/>
      <c r="CU335" s="141"/>
      <c r="CV335" s="141"/>
      <c r="CW335" s="141"/>
      <c r="CX335" s="141"/>
      <c r="CY335" s="141"/>
      <c r="CZ335" s="141"/>
      <c r="DA335" s="141"/>
      <c r="DB335" s="141"/>
      <c r="DC335" s="141"/>
      <c r="DD335" s="1517"/>
      <c r="DE335" s="1483"/>
      <c r="DF335" s="141"/>
      <c r="DG335" s="141"/>
      <c r="DH335" s="141"/>
      <c r="DI335" s="141"/>
      <c r="DJ335" s="141"/>
      <c r="DK335" s="141"/>
      <c r="DL335" s="141"/>
      <c r="DM335" s="141"/>
      <c r="DN335" s="141"/>
      <c r="DO335" s="141"/>
      <c r="DP335" s="141"/>
      <c r="DQ335" s="141"/>
      <c r="DR335" s="141"/>
      <c r="DS335" s="141"/>
      <c r="DT335" s="141"/>
      <c r="DU335" s="141"/>
      <c r="DV335" s="141"/>
      <c r="DW335" s="141"/>
      <c r="DX335" s="141"/>
      <c r="DY335" s="141"/>
      <c r="DZ335" s="1676"/>
      <c r="EA335"/>
      <c r="EB335"/>
      <c r="EC335"/>
      <c r="ED335"/>
      <c r="EE335"/>
      <c r="EF335"/>
    </row>
    <row r="336" spans="1:136" s="52" customFormat="1" hidden="1" outlineLevel="1">
      <c r="A336" s="338"/>
      <c r="B336" s="196"/>
      <c r="C336" s="578" t="s">
        <v>805</v>
      </c>
      <c r="D336" s="333"/>
      <c r="E336" s="578"/>
      <c r="F336" s="145"/>
      <c r="G336" s="145"/>
      <c r="H336" s="145"/>
      <c r="I336" s="228"/>
      <c r="J336" s="145"/>
      <c r="K336" s="145"/>
      <c r="L336" s="145"/>
      <c r="M336" s="228"/>
      <c r="N336" s="145"/>
      <c r="O336" s="145"/>
      <c r="P336" s="145"/>
      <c r="Q336" s="228"/>
      <c r="R336" s="145"/>
      <c r="S336" s="145"/>
      <c r="T336" s="145"/>
      <c r="U336" s="228"/>
      <c r="V336" s="227"/>
      <c r="W336" s="145"/>
      <c r="X336" s="145"/>
      <c r="Y336" s="228"/>
      <c r="Z336" s="227"/>
      <c r="AA336" s="145"/>
      <c r="AB336" s="145"/>
      <c r="AC336" s="228"/>
      <c r="AD336" s="227"/>
      <c r="AE336" s="145"/>
      <c r="AF336" s="145"/>
      <c r="AG336" s="145"/>
      <c r="AH336" s="227"/>
      <c r="AI336" s="145"/>
      <c r="AJ336" s="145"/>
      <c r="AK336" s="145"/>
      <c r="AL336" s="227"/>
      <c r="AM336" s="145"/>
      <c r="AN336" s="145"/>
      <c r="AO336" s="228"/>
      <c r="AP336" s="145"/>
      <c r="AQ336" s="145"/>
      <c r="AR336" s="145"/>
      <c r="AS336" s="145"/>
      <c r="AT336" s="145"/>
      <c r="AU336" s="145"/>
      <c r="AV336" s="145"/>
      <c r="AW336" s="145"/>
      <c r="AX336" s="145"/>
      <c r="AY336" s="145"/>
      <c r="AZ336" s="145"/>
      <c r="BA336" s="228"/>
      <c r="BB336" s="2119">
        <f t="shared" ref="BB336:BR336" si="697">SUM(BB346, BB356)</f>
        <v>5988</v>
      </c>
      <c r="BC336" s="1695">
        <f t="shared" si="697"/>
        <v>6633</v>
      </c>
      <c r="BD336" s="1695">
        <f t="shared" si="697"/>
        <v>7211</v>
      </c>
      <c r="BE336" s="1696">
        <f t="shared" si="697"/>
        <v>7897</v>
      </c>
      <c r="BF336" s="2120">
        <f t="shared" si="697"/>
        <v>7771</v>
      </c>
      <c r="BG336" s="1695">
        <f t="shared" si="697"/>
        <v>7783</v>
      </c>
      <c r="BH336" s="1695">
        <f t="shared" si="697"/>
        <v>7129</v>
      </c>
      <c r="BI336" s="1696">
        <f t="shared" si="697"/>
        <v>7098</v>
      </c>
      <c r="BJ336" s="2119">
        <f t="shared" si="697"/>
        <v>7763</v>
      </c>
      <c r="BK336" s="1695">
        <f t="shared" si="697"/>
        <v>8041</v>
      </c>
      <c r="BL336" s="1695">
        <f t="shared" si="697"/>
        <v>7519</v>
      </c>
      <c r="BM336" s="1695">
        <f t="shared" si="697"/>
        <v>7199</v>
      </c>
      <c r="BN336" s="2119">
        <f t="shared" si="697"/>
        <v>7185</v>
      </c>
      <c r="BO336" s="1695">
        <f t="shared" si="697"/>
        <v>7008</v>
      </c>
      <c r="BP336" s="1695">
        <f t="shared" si="697"/>
        <v>6390</v>
      </c>
      <c r="BQ336" s="1696">
        <f t="shared" si="697"/>
        <v>5994</v>
      </c>
      <c r="BR336" s="1695">
        <f t="shared" si="697"/>
        <v>6465</v>
      </c>
      <c r="BS336" s="1695">
        <f>SUM(BS346, BS356)</f>
        <v>6382</v>
      </c>
      <c r="BT336" s="2105">
        <v>5800</v>
      </c>
      <c r="BU336" s="2107">
        <v>6200</v>
      </c>
      <c r="BV336" s="2121">
        <v>6100</v>
      </c>
      <c r="BW336" s="2108">
        <v>6800</v>
      </c>
      <c r="BX336" s="374"/>
      <c r="BY336" s="1696"/>
      <c r="BZ336" s="1695"/>
      <c r="CA336" s="1695"/>
      <c r="CB336" s="374"/>
      <c r="CC336" s="1696"/>
      <c r="CD336" s="9"/>
      <c r="CE336" s="145"/>
      <c r="CF336" s="145"/>
      <c r="CG336" s="145"/>
      <c r="CH336" s="145"/>
      <c r="CI336" s="145"/>
      <c r="CJ336" s="145"/>
      <c r="CK336" s="145"/>
      <c r="CL336" s="145"/>
      <c r="CM336" s="145"/>
      <c r="CN336" s="145"/>
      <c r="CO336" s="145"/>
      <c r="CP336" s="145"/>
      <c r="CQ336" s="1695">
        <f>SUM(BB336:BE336)</f>
        <v>27729</v>
      </c>
      <c r="CR336" s="1695">
        <f>SUM(BF336:BI336)</f>
        <v>29781</v>
      </c>
      <c r="CS336" s="1695">
        <f>SUM(BJ336:BM336)</f>
        <v>30522</v>
      </c>
      <c r="CT336" s="1695">
        <f>SUM(BN336:BQ336)</f>
        <v>26577</v>
      </c>
      <c r="CU336" s="1695">
        <f>SUM(BR336:BU336)</f>
        <v>24847</v>
      </c>
      <c r="CV336" s="1695"/>
      <c r="CW336" s="1695"/>
      <c r="CX336" s="1695"/>
      <c r="CY336" s="1695"/>
      <c r="CZ336" s="1695"/>
      <c r="DA336" s="1695"/>
      <c r="DB336" s="1695"/>
      <c r="DC336" s="1695"/>
      <c r="DD336" s="1517"/>
      <c r="DE336" s="1483"/>
      <c r="DF336" s="141"/>
      <c r="DG336" s="141"/>
      <c r="DH336" s="141"/>
      <c r="DI336" s="141"/>
      <c r="DJ336" s="141"/>
      <c r="DK336" s="141"/>
      <c r="DL336" s="141"/>
      <c r="DM336" s="141"/>
      <c r="DN336" s="141"/>
      <c r="DO336" s="141"/>
      <c r="DP336" s="141"/>
      <c r="DQ336" s="141"/>
      <c r="DR336" s="141"/>
      <c r="DS336" s="141"/>
      <c r="DT336" s="141"/>
      <c r="DU336" s="141"/>
      <c r="DV336" s="141"/>
      <c r="DW336" s="141"/>
      <c r="DX336" s="141"/>
      <c r="DY336" s="141"/>
      <c r="DZ336" s="1676"/>
      <c r="EA336"/>
      <c r="EB336"/>
      <c r="EC336"/>
      <c r="ED336"/>
      <c r="EE336"/>
      <c r="EF336"/>
    </row>
    <row r="337" spans="1:136" s="52" customFormat="1" hidden="1" outlineLevel="1">
      <c r="A337" s="338"/>
      <c r="B337" s="196"/>
      <c r="C337" s="578"/>
      <c r="D337" s="1180" t="s">
        <v>76</v>
      </c>
      <c r="E337" s="578"/>
      <c r="F337" s="145"/>
      <c r="G337" s="145"/>
      <c r="H337" s="145"/>
      <c r="I337" s="228"/>
      <c r="J337" s="145"/>
      <c r="K337" s="145"/>
      <c r="L337" s="145"/>
      <c r="M337" s="228"/>
      <c r="N337" s="145"/>
      <c r="O337" s="145"/>
      <c r="P337" s="145"/>
      <c r="Q337" s="228"/>
      <c r="R337" s="145"/>
      <c r="S337" s="145"/>
      <c r="T337" s="145"/>
      <c r="U337" s="228"/>
      <c r="V337" s="227"/>
      <c r="W337" s="145"/>
      <c r="X337" s="145"/>
      <c r="Y337" s="228"/>
      <c r="Z337" s="227"/>
      <c r="AA337" s="145"/>
      <c r="AB337" s="145"/>
      <c r="AC337" s="228"/>
      <c r="AD337" s="227"/>
      <c r="AE337" s="145"/>
      <c r="AF337" s="145"/>
      <c r="AG337" s="145"/>
      <c r="AH337" s="227"/>
      <c r="AI337" s="145"/>
      <c r="AJ337" s="145"/>
      <c r="AK337" s="145"/>
      <c r="AL337" s="227"/>
      <c r="AM337" s="145"/>
      <c r="AN337" s="145"/>
      <c r="AO337" s="228"/>
      <c r="AP337" s="145"/>
      <c r="AQ337" s="145"/>
      <c r="AR337" s="145"/>
      <c r="AS337" s="145"/>
      <c r="AT337" s="145"/>
      <c r="AU337" s="145"/>
      <c r="AV337" s="145"/>
      <c r="AW337" s="145"/>
      <c r="AX337" s="145"/>
      <c r="AY337" s="145"/>
      <c r="AZ337" s="145"/>
      <c r="BA337" s="228"/>
      <c r="BB337" s="1695"/>
      <c r="BC337" s="1695"/>
      <c r="BD337" s="1695"/>
      <c r="BE337" s="1696"/>
      <c r="BF337" s="640">
        <f t="shared" ref="BF337:BS337" si="698">BF336/BB336-1</f>
        <v>0.29776219104876422</v>
      </c>
      <c r="BG337" s="640">
        <f t="shared" si="698"/>
        <v>0.17337554650987497</v>
      </c>
      <c r="BH337" s="640">
        <f t="shared" si="698"/>
        <v>-1.1371515739841853E-2</v>
      </c>
      <c r="BI337" s="949">
        <f t="shared" si="698"/>
        <v>-0.10117766240344439</v>
      </c>
      <c r="BJ337" s="640">
        <f t="shared" si="698"/>
        <v>-1.0294685368678058E-3</v>
      </c>
      <c r="BK337" s="640">
        <f t="shared" si="698"/>
        <v>3.3149171270718147E-2</v>
      </c>
      <c r="BL337" s="640">
        <f t="shared" si="698"/>
        <v>5.4706129891990418E-2</v>
      </c>
      <c r="BM337" s="640">
        <f t="shared" si="698"/>
        <v>1.4229360383206435E-2</v>
      </c>
      <c r="BN337" s="2209">
        <f t="shared" si="698"/>
        <v>-7.4455751642406254E-2</v>
      </c>
      <c r="BO337" s="640">
        <f t="shared" si="698"/>
        <v>-0.12846660863076731</v>
      </c>
      <c r="BP337" s="640">
        <f t="shared" si="698"/>
        <v>-0.15015294587046146</v>
      </c>
      <c r="BQ337" s="949">
        <f t="shared" si="698"/>
        <v>-0.16738435893874148</v>
      </c>
      <c r="BR337" s="640">
        <f t="shared" si="698"/>
        <v>-0.10020876826722336</v>
      </c>
      <c r="BS337" s="640">
        <f t="shared" si="698"/>
        <v>-8.9326484018264818E-2</v>
      </c>
      <c r="BT337" s="640">
        <f>BT336/BP336-1</f>
        <v>-9.2331768388106417E-2</v>
      </c>
      <c r="BU337" s="949">
        <f>BU336/BQ336-1</f>
        <v>3.4367701034367704E-2</v>
      </c>
      <c r="BV337" s="640">
        <f>BV336/BR336-1</f>
        <v>-5.6457849961330187E-2</v>
      </c>
      <c r="BW337" s="640">
        <f>BW336/BS336-1</f>
        <v>6.549670949545594E-2</v>
      </c>
      <c r="BX337" s="640"/>
      <c r="BY337" s="949"/>
      <c r="BZ337" s="640"/>
      <c r="CA337" s="640"/>
      <c r="CB337" s="640"/>
      <c r="CC337" s="949"/>
      <c r="CD337" s="9"/>
      <c r="CE337" s="145"/>
      <c r="CF337" s="145"/>
      <c r="CG337" s="145"/>
      <c r="CH337" s="145"/>
      <c r="CI337" s="145"/>
      <c r="CJ337" s="145"/>
      <c r="CK337" s="145"/>
      <c r="CL337" s="145"/>
      <c r="CM337" s="145"/>
      <c r="CN337" s="145"/>
      <c r="CO337" s="145"/>
      <c r="CP337" s="145"/>
      <c r="CQ337" s="145"/>
      <c r="CR337" s="640">
        <f>CR336/CQ336-1</f>
        <v>7.4001947419668923E-2</v>
      </c>
      <c r="CS337" s="1471">
        <f>CS336/CR336-1</f>
        <v>2.4881635942379354E-2</v>
      </c>
      <c r="CT337" s="1471">
        <f>CT336/CS336-1</f>
        <v>-0.12925103204246113</v>
      </c>
      <c r="CU337" s="1471">
        <f>CU336/CT336-1</f>
        <v>-6.5093878165330965E-2</v>
      </c>
      <c r="CV337" s="1471"/>
      <c r="CW337" s="1471"/>
      <c r="CX337" s="1471"/>
      <c r="CY337" s="1471"/>
      <c r="CZ337" s="1471"/>
      <c r="DA337" s="1471"/>
      <c r="DB337" s="1471"/>
      <c r="DC337" s="1471"/>
      <c r="DD337" s="1517"/>
      <c r="DE337" s="1483"/>
      <c r="DF337" s="141"/>
      <c r="DG337" s="141"/>
      <c r="DH337" s="141"/>
      <c r="DI337" s="141"/>
      <c r="DJ337" s="141"/>
      <c r="DK337" s="141"/>
      <c r="DL337" s="141"/>
      <c r="DM337" s="141"/>
      <c r="DN337" s="141"/>
      <c r="DO337" s="141"/>
      <c r="DP337" s="141"/>
      <c r="DQ337" s="141"/>
      <c r="DR337" s="141"/>
      <c r="DS337" s="141"/>
      <c r="DT337" s="141"/>
      <c r="DU337" s="141"/>
      <c r="DV337" s="141"/>
      <c r="DW337" s="141"/>
      <c r="DX337" s="141"/>
      <c r="DY337" s="141"/>
      <c r="DZ337" s="1676"/>
      <c r="EA337"/>
      <c r="EB337"/>
      <c r="EC337"/>
      <c r="ED337"/>
      <c r="EE337"/>
      <c r="EF337"/>
    </row>
    <row r="338" spans="1:136" s="52" customFormat="1" hidden="1" outlineLevel="1">
      <c r="A338" s="338"/>
      <c r="B338" s="196"/>
      <c r="C338" s="578"/>
      <c r="D338" s="333" t="s">
        <v>77</v>
      </c>
      <c r="E338" s="578"/>
      <c r="F338" s="145"/>
      <c r="G338" s="145"/>
      <c r="H338" s="145"/>
      <c r="I338" s="228"/>
      <c r="J338" s="145"/>
      <c r="K338" s="145"/>
      <c r="L338" s="145"/>
      <c r="M338" s="228"/>
      <c r="N338" s="145"/>
      <c r="O338" s="145"/>
      <c r="P338" s="145"/>
      <c r="Q338" s="228"/>
      <c r="R338" s="145"/>
      <c r="S338" s="145"/>
      <c r="T338" s="145"/>
      <c r="U338" s="228"/>
      <c r="V338" s="227"/>
      <c r="W338" s="145"/>
      <c r="X338" s="145"/>
      <c r="Y338" s="228"/>
      <c r="Z338" s="227"/>
      <c r="AA338" s="145"/>
      <c r="AB338" s="145"/>
      <c r="AC338" s="228"/>
      <c r="AD338" s="227"/>
      <c r="AE338" s="145"/>
      <c r="AF338" s="145"/>
      <c r="AG338" s="145"/>
      <c r="AH338" s="227"/>
      <c r="AI338" s="145"/>
      <c r="AJ338" s="145"/>
      <c r="AK338" s="145"/>
      <c r="AL338" s="227"/>
      <c r="AM338" s="145"/>
      <c r="AN338" s="145"/>
      <c r="AO338" s="228"/>
      <c r="AP338" s="145"/>
      <c r="AQ338" s="145"/>
      <c r="AR338" s="145"/>
      <c r="AS338" s="145"/>
      <c r="AT338" s="145"/>
      <c r="AU338" s="145"/>
      <c r="AV338" s="145"/>
      <c r="AW338" s="145"/>
      <c r="AX338" s="145"/>
      <c r="AY338" s="145"/>
      <c r="AZ338" s="145"/>
      <c r="BA338" s="228"/>
      <c r="BB338" s="1695"/>
      <c r="BC338" s="852">
        <f t="shared" ref="BC338:BS338" si="699">BC336/BB336-1</f>
        <v>0.10771543086172342</v>
      </c>
      <c r="BD338" s="852">
        <f t="shared" si="699"/>
        <v>8.7140057289311068E-2</v>
      </c>
      <c r="BE338" s="851">
        <f t="shared" si="699"/>
        <v>9.5132436555262823E-2</v>
      </c>
      <c r="BF338" s="852">
        <f t="shared" si="699"/>
        <v>-1.5955426111181503E-2</v>
      </c>
      <c r="BG338" s="852">
        <f t="shared" si="699"/>
        <v>1.5442028053016532E-3</v>
      </c>
      <c r="BH338" s="852">
        <f t="shared" si="699"/>
        <v>-8.4029294616471795E-2</v>
      </c>
      <c r="BI338" s="851">
        <f t="shared" si="699"/>
        <v>-4.3484359657736116E-3</v>
      </c>
      <c r="BJ338" s="852">
        <f t="shared" si="699"/>
        <v>9.3688362919132073E-2</v>
      </c>
      <c r="BK338" s="852">
        <f t="shared" si="699"/>
        <v>3.5810897848769896E-2</v>
      </c>
      <c r="BL338" s="852">
        <f t="shared" si="699"/>
        <v>-6.4917298843427451E-2</v>
      </c>
      <c r="BM338" s="852">
        <f t="shared" si="699"/>
        <v>-4.2558850911025403E-2</v>
      </c>
      <c r="BN338" s="850">
        <f t="shared" si="699"/>
        <v>-1.9447145436866098E-3</v>
      </c>
      <c r="BO338" s="852">
        <f t="shared" si="699"/>
        <v>-2.4634655532359107E-2</v>
      </c>
      <c r="BP338" s="852">
        <f t="shared" si="699"/>
        <v>-8.8184931506849362E-2</v>
      </c>
      <c r="BQ338" s="851">
        <f t="shared" si="699"/>
        <v>-6.1971830985915521E-2</v>
      </c>
      <c r="BR338" s="852">
        <f t="shared" si="699"/>
        <v>7.8578578578578639E-2</v>
      </c>
      <c r="BS338" s="852">
        <f t="shared" si="699"/>
        <v>-1.2838360402165461E-2</v>
      </c>
      <c r="BT338" s="852">
        <f>BT336/BS336-1</f>
        <v>-9.1193983077405227E-2</v>
      </c>
      <c r="BU338" s="851">
        <f>BU336/BT336-1</f>
        <v>6.8965517241379226E-2</v>
      </c>
      <c r="BV338" s="852">
        <f>BV336/BU336-1</f>
        <v>-1.6129032258064502E-2</v>
      </c>
      <c r="BW338" s="852">
        <f>BW336/BV336-1</f>
        <v>0.11475409836065564</v>
      </c>
      <c r="BX338" s="495"/>
      <c r="BY338" s="499"/>
      <c r="BZ338" s="495"/>
      <c r="CA338" s="495"/>
      <c r="CB338" s="495"/>
      <c r="CC338" s="499"/>
      <c r="CD338" s="9"/>
      <c r="CE338" s="145"/>
      <c r="CF338" s="145"/>
      <c r="CG338" s="145"/>
      <c r="CH338" s="145"/>
      <c r="CI338" s="145"/>
      <c r="CJ338" s="145"/>
      <c r="CK338" s="145"/>
      <c r="CL338" s="145"/>
      <c r="CM338" s="145"/>
      <c r="CN338" s="145"/>
      <c r="CO338" s="145"/>
      <c r="CP338" s="145"/>
      <c r="CQ338" s="145"/>
      <c r="CR338" s="141"/>
      <c r="CS338" s="141"/>
      <c r="CT338" s="141"/>
      <c r="CU338" s="141"/>
      <c r="CV338" s="141"/>
      <c r="CW338" s="141"/>
      <c r="CX338" s="141"/>
      <c r="CY338" s="141"/>
      <c r="CZ338" s="141"/>
      <c r="DA338" s="141"/>
      <c r="DB338" s="141"/>
      <c r="DC338" s="141"/>
      <c r="DD338" s="1517"/>
      <c r="DE338" s="1483"/>
      <c r="DF338" s="141"/>
      <c r="DG338" s="141"/>
      <c r="DH338" s="141"/>
      <c r="DI338" s="141"/>
      <c r="DJ338" s="141"/>
      <c r="DK338" s="141"/>
      <c r="DL338" s="141"/>
      <c r="DM338" s="141"/>
      <c r="DN338" s="141"/>
      <c r="DO338" s="141"/>
      <c r="DP338" s="141"/>
      <c r="DQ338" s="141"/>
      <c r="DR338" s="141"/>
      <c r="DS338" s="141"/>
      <c r="DT338" s="141"/>
      <c r="DU338" s="141"/>
      <c r="DV338" s="141"/>
      <c r="DW338" s="141"/>
      <c r="DX338" s="141"/>
      <c r="DY338" s="141"/>
      <c r="DZ338" s="1676"/>
      <c r="EA338"/>
      <c r="EB338"/>
      <c r="EC338"/>
      <c r="ED338"/>
      <c r="EE338"/>
      <c r="EF338"/>
    </row>
    <row r="339" spans="1:136" s="52" customFormat="1" hidden="1" outlineLevel="1">
      <c r="A339" s="338"/>
      <c r="B339" s="196"/>
      <c r="C339" s="578" t="s">
        <v>806</v>
      </c>
      <c r="D339" s="333"/>
      <c r="E339" s="578"/>
      <c r="F339" s="145"/>
      <c r="G339" s="145"/>
      <c r="H339" s="145"/>
      <c r="I339" s="228"/>
      <c r="J339" s="145"/>
      <c r="K339" s="145"/>
      <c r="L339" s="145"/>
      <c r="M339" s="228"/>
      <c r="N339" s="145"/>
      <c r="O339" s="145"/>
      <c r="P339" s="145"/>
      <c r="Q339" s="228"/>
      <c r="R339" s="145"/>
      <c r="S339" s="145"/>
      <c r="T339" s="145"/>
      <c r="U339" s="228"/>
      <c r="V339" s="227"/>
      <c r="W339" s="145"/>
      <c r="X339" s="145"/>
      <c r="Y339" s="228"/>
      <c r="Z339" s="227"/>
      <c r="AA339" s="145"/>
      <c r="AB339" s="145"/>
      <c r="AC339" s="228"/>
      <c r="AD339" s="227"/>
      <c r="AE339" s="145"/>
      <c r="AF339" s="145"/>
      <c r="AG339" s="145"/>
      <c r="AH339" s="227"/>
      <c r="AI339" s="145"/>
      <c r="AJ339" s="145"/>
      <c r="AK339" s="145"/>
      <c r="AL339" s="227"/>
      <c r="AM339" s="145"/>
      <c r="AN339" s="145"/>
      <c r="AO339" s="228"/>
      <c r="AP339" s="145"/>
      <c r="AQ339" s="145"/>
      <c r="AR339" s="145"/>
      <c r="AS339" s="145"/>
      <c r="AT339" s="145"/>
      <c r="AU339" s="145"/>
      <c r="AV339" s="145"/>
      <c r="AW339" s="145"/>
      <c r="AX339" s="145"/>
      <c r="AY339" s="145"/>
      <c r="AZ339" s="145"/>
      <c r="BA339" s="228"/>
      <c r="BB339" s="2112">
        <f>(BB333/BB336)*1000</f>
        <v>132</v>
      </c>
      <c r="BC339" s="2110">
        <f t="shared" ref="BC339:BR339" si="700">(BC333/BC336)*1000</f>
        <v>132.92399999999995</v>
      </c>
      <c r="BD339" s="2110">
        <f t="shared" si="700"/>
        <v>135.71540399999998</v>
      </c>
      <c r="BE339" s="2111">
        <f t="shared" si="700"/>
        <v>137.88685046400002</v>
      </c>
      <c r="BF339" s="2112">
        <f t="shared" si="700"/>
        <v>133.75024495007997</v>
      </c>
      <c r="BG339" s="2113">
        <f t="shared" si="700"/>
        <v>133.88399519503002</v>
      </c>
      <c r="BH339" s="2110">
        <f t="shared" si="700"/>
        <v>132.54515524307979</v>
      </c>
      <c r="BI339" s="2111">
        <f t="shared" si="700"/>
        <v>127.64098449908579</v>
      </c>
      <c r="BJ339" s="2112">
        <f t="shared" si="700"/>
        <v>130.06616320456843</v>
      </c>
      <c r="BK339" s="2110">
        <f t="shared" si="700"/>
        <v>132.53742030545524</v>
      </c>
      <c r="BL339" s="2110">
        <f t="shared" si="700"/>
        <v>139.16429132072798</v>
      </c>
      <c r="BM339" s="2110">
        <f t="shared" si="700"/>
        <v>142.92172718638764</v>
      </c>
      <c r="BN339" s="2112">
        <f t="shared" si="700"/>
        <v>146.49477036604731</v>
      </c>
      <c r="BO339" s="2110">
        <f t="shared" si="700"/>
        <v>143.41838018836035</v>
      </c>
      <c r="BP339" s="2110">
        <f t="shared" si="700"/>
        <v>141.98419638647673</v>
      </c>
      <c r="BQ339" s="2111">
        <f t="shared" si="700"/>
        <v>146.95364326000339</v>
      </c>
      <c r="BR339" s="2110">
        <f t="shared" si="700"/>
        <v>149.89271612520344</v>
      </c>
      <c r="BS339" s="2110">
        <f>(BS333/BS336)*1000</f>
        <v>146.89486180269938</v>
      </c>
      <c r="BT339" s="2110"/>
      <c r="BU339" s="2111"/>
      <c r="BV339" s="2112"/>
      <c r="BW339" s="2110"/>
      <c r="BX339" s="2110"/>
      <c r="BY339" s="2111"/>
      <c r="BZ339" s="2112"/>
      <c r="CA339" s="2110"/>
      <c r="CB339" s="2110"/>
      <c r="CC339" s="2111"/>
      <c r="CD339" s="9"/>
      <c r="CE339" s="145"/>
      <c r="CF339" s="145"/>
      <c r="CG339" s="145"/>
      <c r="CH339" s="145"/>
      <c r="CI339" s="145"/>
      <c r="CJ339" s="145"/>
      <c r="CK339" s="145"/>
      <c r="CL339" s="145"/>
      <c r="CM339" s="145"/>
      <c r="CN339" s="145"/>
      <c r="CO339" s="145"/>
      <c r="CP339" s="145"/>
      <c r="CQ339" s="2110">
        <f>CQ333/CQ336*1000</f>
        <v>134.86375737885274</v>
      </c>
      <c r="CR339" s="2110">
        <f>CR333/CR336*1000</f>
        <v>132.04064362554706</v>
      </c>
      <c r="CS339" s="2110">
        <f>CS333/CS336*1000</f>
        <v>135.99065729927881</v>
      </c>
      <c r="CT339" s="2110">
        <f>CT333/CT336*1000</f>
        <v>144.70256560372221</v>
      </c>
      <c r="CU339" s="2110">
        <f>CU333/CU336*1000</f>
        <v>76.731171480430945</v>
      </c>
      <c r="CV339" s="2110"/>
      <c r="CW339" s="2110"/>
      <c r="CX339" s="2110"/>
      <c r="CY339" s="2110"/>
      <c r="CZ339" s="2110"/>
      <c r="DA339" s="2110"/>
      <c r="DB339" s="2110"/>
      <c r="DC339" s="2110"/>
      <c r="DD339" s="1517"/>
      <c r="DE339" s="1483"/>
      <c r="DF339" s="141"/>
      <c r="DG339" s="141"/>
      <c r="DH339" s="141"/>
      <c r="DI339" s="141"/>
      <c r="DJ339" s="141"/>
      <c r="DK339" s="141"/>
      <c r="DL339" s="141"/>
      <c r="DM339" s="141"/>
      <c r="DN339" s="141"/>
      <c r="DO339" s="141"/>
      <c r="DP339" s="141"/>
      <c r="DQ339" s="141"/>
      <c r="DR339" s="141"/>
      <c r="DS339" s="141"/>
      <c r="DT339" s="141"/>
      <c r="DU339" s="141"/>
      <c r="DV339" s="141"/>
      <c r="DW339" s="141"/>
      <c r="DX339" s="141"/>
      <c r="DY339" s="141"/>
      <c r="DZ339" s="1676"/>
      <c r="EA339"/>
      <c r="EB339"/>
      <c r="EC339"/>
      <c r="ED339"/>
      <c r="EE339"/>
      <c r="EF339"/>
    </row>
    <row r="340" spans="1:136" s="52" customFormat="1" hidden="1" outlineLevel="1">
      <c r="A340" s="338"/>
      <c r="B340" s="196"/>
      <c r="C340" s="578"/>
      <c r="D340" s="1180" t="s">
        <v>76</v>
      </c>
      <c r="E340" s="578"/>
      <c r="F340" s="145"/>
      <c r="G340" s="145"/>
      <c r="H340" s="145"/>
      <c r="I340" s="228"/>
      <c r="J340" s="145"/>
      <c r="K340" s="145"/>
      <c r="L340" s="145"/>
      <c r="M340" s="228"/>
      <c r="N340" s="145"/>
      <c r="O340" s="145"/>
      <c r="P340" s="145"/>
      <c r="Q340" s="228"/>
      <c r="R340" s="145"/>
      <c r="S340" s="145"/>
      <c r="T340" s="145"/>
      <c r="U340" s="228"/>
      <c r="V340" s="227"/>
      <c r="W340" s="145"/>
      <c r="X340" s="145"/>
      <c r="Y340" s="228"/>
      <c r="Z340" s="227"/>
      <c r="AA340" s="145"/>
      <c r="AB340" s="145"/>
      <c r="AC340" s="228"/>
      <c r="AD340" s="227"/>
      <c r="AE340" s="145"/>
      <c r="AF340" s="145"/>
      <c r="AG340" s="145"/>
      <c r="AH340" s="227"/>
      <c r="AI340" s="145"/>
      <c r="AJ340" s="145"/>
      <c r="AK340" s="145"/>
      <c r="AL340" s="227"/>
      <c r="AM340" s="145"/>
      <c r="AN340" s="145"/>
      <c r="AO340" s="228"/>
      <c r="AP340" s="145"/>
      <c r="AQ340" s="145"/>
      <c r="AR340" s="145"/>
      <c r="AS340" s="145"/>
      <c r="AT340" s="145"/>
      <c r="AU340" s="145"/>
      <c r="AV340" s="145"/>
      <c r="AW340" s="145"/>
      <c r="AX340" s="145"/>
      <c r="AY340" s="145"/>
      <c r="AZ340" s="145"/>
      <c r="BA340" s="228"/>
      <c r="BB340" s="1695"/>
      <c r="BC340" s="1695"/>
      <c r="BD340" s="1695"/>
      <c r="BE340" s="1696"/>
      <c r="BF340" s="640">
        <f t="shared" ref="BF340:BS340" si="701">BF339/BB339-1</f>
        <v>1.3259431439999858E-2</v>
      </c>
      <c r="BG340" s="640">
        <f t="shared" si="701"/>
        <v>7.2221359199999835E-3</v>
      </c>
      <c r="BH340" s="640">
        <f t="shared" si="701"/>
        <v>-2.3359535199999781E-2</v>
      </c>
      <c r="BI340" s="949">
        <f t="shared" si="701"/>
        <v>-7.43063311000004E-2</v>
      </c>
      <c r="BJ340" s="640">
        <f t="shared" si="701"/>
        <v>-2.7544485970000032E-2</v>
      </c>
      <c r="BK340" s="640">
        <f t="shared" si="701"/>
        <v>-1.0057773429999695E-2</v>
      </c>
      <c r="BL340" s="640">
        <f t="shared" si="701"/>
        <v>4.9938725149999641E-2</v>
      </c>
      <c r="BM340" s="640">
        <f t="shared" si="701"/>
        <v>0.1197165843500001</v>
      </c>
      <c r="BN340" s="2209">
        <f t="shared" si="701"/>
        <v>0.1263096162499997</v>
      </c>
      <c r="BO340" s="640">
        <f t="shared" si="701"/>
        <v>8.2097266249999912E-2</v>
      </c>
      <c r="BP340" s="640">
        <f t="shared" si="701"/>
        <v>2.026313674999991E-2</v>
      </c>
      <c r="BQ340" s="949">
        <f t="shared" si="701"/>
        <v>2.8210658749999729E-2</v>
      </c>
      <c r="BR340" s="640">
        <f t="shared" si="701"/>
        <v>2.3194996999999828E-2</v>
      </c>
      <c r="BS340" s="640">
        <f t="shared" si="701"/>
        <v>2.4240139999999633E-2</v>
      </c>
      <c r="BT340" s="492"/>
      <c r="BU340" s="493"/>
      <c r="BV340" s="497"/>
      <c r="BW340" s="492"/>
      <c r="BX340" s="492"/>
      <c r="BY340" s="493"/>
      <c r="BZ340" s="497"/>
      <c r="CA340" s="492"/>
      <c r="CB340" s="492"/>
      <c r="CC340" s="493"/>
      <c r="CD340" s="9"/>
      <c r="CE340" s="145"/>
      <c r="CF340" s="145"/>
      <c r="CG340" s="145"/>
      <c r="CH340" s="145"/>
      <c r="CI340" s="145"/>
      <c r="CJ340" s="145"/>
      <c r="CK340" s="145"/>
      <c r="CL340" s="145"/>
      <c r="CM340" s="145"/>
      <c r="CN340" s="145"/>
      <c r="CO340" s="145"/>
      <c r="CP340" s="145"/>
      <c r="CQ340" s="145"/>
      <c r="CR340" s="640">
        <f>CR339/CQ339-1</f>
        <v>-2.0933079488324791E-2</v>
      </c>
      <c r="CS340" s="1471">
        <f>CS339/CR339-1</f>
        <v>2.9915134955972755E-2</v>
      </c>
      <c r="CT340" s="1471">
        <f>CT339/CS339-1</f>
        <v>6.4062550159389442E-2</v>
      </c>
      <c r="CU340" s="1471">
        <f>CU339/CT339-1</f>
        <v>-0.46973178284506401</v>
      </c>
      <c r="CV340" s="1471"/>
      <c r="CW340" s="1471"/>
      <c r="CX340" s="1471"/>
      <c r="CY340" s="1471"/>
      <c r="CZ340" s="1471"/>
      <c r="DA340" s="1471"/>
      <c r="DB340" s="1471"/>
      <c r="DC340" s="1471"/>
      <c r="DD340" s="1517"/>
      <c r="DE340" s="1483"/>
      <c r="DF340" s="141"/>
      <c r="DG340" s="141"/>
      <c r="DH340" s="141"/>
      <c r="DI340" s="141"/>
      <c r="DJ340" s="141"/>
      <c r="DK340" s="141"/>
      <c r="DL340" s="141"/>
      <c r="DM340" s="141"/>
      <c r="DN340" s="141"/>
      <c r="DO340" s="141"/>
      <c r="DP340" s="141"/>
      <c r="DQ340" s="141"/>
      <c r="DR340" s="141"/>
      <c r="DS340" s="141"/>
      <c r="DT340" s="141"/>
      <c r="DU340" s="141"/>
      <c r="DV340" s="141"/>
      <c r="DW340" s="141"/>
      <c r="DX340" s="141"/>
      <c r="DY340" s="141"/>
      <c r="DZ340" s="1676"/>
      <c r="EA340"/>
      <c r="EB340"/>
      <c r="EC340"/>
      <c r="ED340"/>
      <c r="EE340"/>
      <c r="EF340"/>
    </row>
    <row r="341" spans="1:136" s="52" customFormat="1" hidden="1" outlineLevel="1">
      <c r="A341" s="338"/>
      <c r="B341" s="196"/>
      <c r="C341" s="578"/>
      <c r="D341" s="333" t="s">
        <v>77</v>
      </c>
      <c r="E341" s="578"/>
      <c r="F341" s="145"/>
      <c r="G341" s="145"/>
      <c r="H341" s="145"/>
      <c r="I341" s="228"/>
      <c r="J341" s="145"/>
      <c r="K341" s="145"/>
      <c r="L341" s="145"/>
      <c r="M341" s="228"/>
      <c r="N341" s="145"/>
      <c r="O341" s="145"/>
      <c r="P341" s="145"/>
      <c r="Q341" s="228"/>
      <c r="R341" s="145"/>
      <c r="S341" s="145"/>
      <c r="T341" s="145"/>
      <c r="U341" s="228"/>
      <c r="V341" s="227"/>
      <c r="W341" s="145"/>
      <c r="X341" s="145"/>
      <c r="Y341" s="228"/>
      <c r="Z341" s="227"/>
      <c r="AA341" s="145"/>
      <c r="AB341" s="145"/>
      <c r="AC341" s="228"/>
      <c r="AD341" s="227"/>
      <c r="AE341" s="145"/>
      <c r="AF341" s="145"/>
      <c r="AG341" s="145"/>
      <c r="AH341" s="227"/>
      <c r="AI341" s="145"/>
      <c r="AJ341" s="145"/>
      <c r="AK341" s="145"/>
      <c r="AL341" s="227"/>
      <c r="AM341" s="145"/>
      <c r="AN341" s="145"/>
      <c r="AO341" s="228"/>
      <c r="AP341" s="145"/>
      <c r="AQ341" s="145"/>
      <c r="AR341" s="145"/>
      <c r="AS341" s="145"/>
      <c r="AT341" s="145"/>
      <c r="AU341" s="145"/>
      <c r="AV341" s="145"/>
      <c r="AW341" s="145"/>
      <c r="AX341" s="145"/>
      <c r="AY341" s="145"/>
      <c r="AZ341" s="145"/>
      <c r="BA341" s="228"/>
      <c r="BB341" s="1695"/>
      <c r="BC341" s="852">
        <f t="shared" ref="BC341:BS341" si="702">BC339/BB339-1</f>
        <v>6.9999999999996732E-3</v>
      </c>
      <c r="BD341" s="852">
        <f t="shared" si="702"/>
        <v>2.100000000000013E-2</v>
      </c>
      <c r="BE341" s="851">
        <f t="shared" si="702"/>
        <v>1.6000000000000236E-2</v>
      </c>
      <c r="BF341" s="852">
        <f t="shared" si="702"/>
        <v>-3.000000000000036E-2</v>
      </c>
      <c r="BG341" s="852">
        <f t="shared" si="702"/>
        <v>9.9999999999988987E-4</v>
      </c>
      <c r="BH341" s="852">
        <f t="shared" si="702"/>
        <v>-9.9999999999994538E-3</v>
      </c>
      <c r="BI341" s="851">
        <f t="shared" si="702"/>
        <v>-3.7000000000000366E-2</v>
      </c>
      <c r="BJ341" s="852">
        <f t="shared" si="702"/>
        <v>1.9000000000000128E-2</v>
      </c>
      <c r="BK341" s="852">
        <f t="shared" si="702"/>
        <v>1.9000000000000128E-2</v>
      </c>
      <c r="BL341" s="852">
        <f t="shared" si="702"/>
        <v>4.9999999999999822E-2</v>
      </c>
      <c r="BM341" s="852">
        <f t="shared" si="702"/>
        <v>2.6999999999999913E-2</v>
      </c>
      <c r="BN341" s="850">
        <f t="shared" si="702"/>
        <v>2.4999999999999911E-2</v>
      </c>
      <c r="BO341" s="852">
        <f t="shared" si="702"/>
        <v>-2.0999999999999797E-2</v>
      </c>
      <c r="BP341" s="852">
        <f t="shared" si="702"/>
        <v>-1.000000000000012E-2</v>
      </c>
      <c r="BQ341" s="851">
        <f t="shared" si="702"/>
        <v>3.499999999999992E-2</v>
      </c>
      <c r="BR341" s="852">
        <f t="shared" si="702"/>
        <v>1.9999999999999796E-2</v>
      </c>
      <c r="BS341" s="852">
        <f t="shared" si="702"/>
        <v>-1.9999999999999907E-2</v>
      </c>
      <c r="BT341" s="495"/>
      <c r="BU341" s="499"/>
      <c r="BV341" s="495"/>
      <c r="BW341" s="495"/>
      <c r="BX341" s="495"/>
      <c r="BY341" s="499"/>
      <c r="BZ341" s="495"/>
      <c r="CA341" s="495"/>
      <c r="CB341" s="495"/>
      <c r="CC341" s="499"/>
      <c r="CD341" s="9"/>
      <c r="CE341" s="145"/>
      <c r="CF341" s="145"/>
      <c r="CG341" s="145"/>
      <c r="CH341" s="145"/>
      <c r="CI341" s="145"/>
      <c r="CJ341" s="145"/>
      <c r="CK341" s="145"/>
      <c r="CL341" s="145"/>
      <c r="CM341" s="145"/>
      <c r="CN341" s="145"/>
      <c r="CO341" s="145"/>
      <c r="CP341" s="145"/>
      <c r="CQ341" s="145"/>
      <c r="CR341" s="141"/>
      <c r="CS341" s="141"/>
      <c r="CT341" s="141"/>
      <c r="CU341" s="141"/>
      <c r="CV341" s="141"/>
      <c r="CW341" s="141"/>
      <c r="CX341" s="141"/>
      <c r="CY341" s="141"/>
      <c r="CZ341" s="141"/>
      <c r="DA341" s="141"/>
      <c r="DB341" s="141"/>
      <c r="DC341" s="141"/>
      <c r="DD341" s="1517"/>
      <c r="DE341" s="1483"/>
      <c r="DF341" s="141"/>
      <c r="DG341" s="141"/>
      <c r="DH341" s="141"/>
      <c r="DI341" s="141"/>
      <c r="DJ341" s="141"/>
      <c r="DK341" s="141"/>
      <c r="DL341" s="141"/>
      <c r="DM341" s="141"/>
      <c r="DN341" s="141"/>
      <c r="DO341" s="141"/>
      <c r="DP341" s="141"/>
      <c r="DQ341" s="141"/>
      <c r="DR341" s="141"/>
      <c r="DS341" s="141"/>
      <c r="DT341" s="141"/>
      <c r="DU341" s="141"/>
      <c r="DV341" s="141"/>
      <c r="DW341" s="141"/>
      <c r="DX341" s="141"/>
      <c r="DY341" s="141"/>
      <c r="DZ341" s="1676"/>
      <c r="EA341"/>
      <c r="EB341"/>
      <c r="EC341"/>
      <c r="ED341"/>
      <c r="EE341"/>
      <c r="EF341"/>
    </row>
    <row r="342" spans="1:136" s="52" customFormat="1" hidden="1" outlineLevel="1">
      <c r="A342" s="338"/>
      <c r="B342" s="196"/>
      <c r="C342" s="578"/>
      <c r="D342" s="333"/>
      <c r="E342" s="578"/>
      <c r="F342" s="145"/>
      <c r="G342" s="145"/>
      <c r="H342" s="145"/>
      <c r="I342" s="228"/>
      <c r="J342" s="145"/>
      <c r="K342" s="145"/>
      <c r="L342" s="145"/>
      <c r="M342" s="228"/>
      <c r="N342" s="145"/>
      <c r="O342" s="145"/>
      <c r="P342" s="145"/>
      <c r="Q342" s="228"/>
      <c r="R342" s="145"/>
      <c r="S342" s="145"/>
      <c r="T342" s="145"/>
      <c r="U342" s="228"/>
      <c r="V342" s="227"/>
      <c r="W342" s="145"/>
      <c r="X342" s="145"/>
      <c r="Y342" s="228"/>
      <c r="Z342" s="227"/>
      <c r="AA342" s="145"/>
      <c r="AB342" s="145"/>
      <c r="AC342" s="228"/>
      <c r="AD342" s="227"/>
      <c r="AE342" s="145"/>
      <c r="AF342" s="145"/>
      <c r="AG342" s="145"/>
      <c r="AH342" s="227"/>
      <c r="AI342" s="145"/>
      <c r="AJ342" s="145"/>
      <c r="AK342" s="145"/>
      <c r="AL342" s="227"/>
      <c r="AM342" s="145"/>
      <c r="AN342" s="145"/>
      <c r="AO342" s="228"/>
      <c r="AP342" s="145"/>
      <c r="AQ342" s="145"/>
      <c r="AR342" s="145"/>
      <c r="AS342" s="145"/>
      <c r="AT342" s="145"/>
      <c r="AU342" s="145"/>
      <c r="AV342" s="145"/>
      <c r="AW342" s="145"/>
      <c r="AX342" s="145"/>
      <c r="AY342" s="145"/>
      <c r="AZ342" s="145"/>
      <c r="BA342" s="228"/>
      <c r="BB342" s="2114"/>
      <c r="BC342" s="2115"/>
      <c r="BD342" s="2115"/>
      <c r="BE342" s="2116"/>
      <c r="BF342" s="2117"/>
      <c r="BG342" s="1584"/>
      <c r="BH342" s="2115"/>
      <c r="BI342" s="2116"/>
      <c r="BJ342" s="2117"/>
      <c r="BK342" s="2115"/>
      <c r="BL342" s="2115"/>
      <c r="BM342" s="2115"/>
      <c r="BN342" s="2117"/>
      <c r="BO342" s="2115"/>
      <c r="BP342" s="2115"/>
      <c r="BQ342" s="2116"/>
      <c r="BR342" s="2115"/>
      <c r="BS342" s="2115"/>
      <c r="BT342" s="2144"/>
      <c r="BU342" s="2145"/>
      <c r="BV342" s="2146"/>
      <c r="BW342" s="1667"/>
      <c r="BX342" s="1667"/>
      <c r="BY342" s="2147"/>
      <c r="BZ342" s="2146"/>
      <c r="CA342" s="1667"/>
      <c r="CB342" s="1667"/>
      <c r="CC342" s="2147"/>
      <c r="CD342" s="9"/>
      <c r="CE342" s="145"/>
      <c r="CF342" s="145"/>
      <c r="CG342" s="145"/>
      <c r="CH342" s="145"/>
      <c r="CI342" s="145"/>
      <c r="CJ342" s="145"/>
      <c r="CK342" s="145"/>
      <c r="CL342" s="145"/>
      <c r="CM342" s="145"/>
      <c r="CN342" s="145"/>
      <c r="CO342" s="145"/>
      <c r="CP342" s="145"/>
      <c r="CQ342" s="145"/>
      <c r="CR342" s="141"/>
      <c r="CS342" s="141"/>
      <c r="CT342" s="141"/>
      <c r="CU342" s="141"/>
      <c r="CV342" s="141"/>
      <c r="CW342" s="141"/>
      <c r="CX342" s="141"/>
      <c r="CY342" s="141"/>
      <c r="CZ342" s="141"/>
      <c r="DA342" s="141"/>
      <c r="DB342" s="141"/>
      <c r="DC342" s="141"/>
      <c r="DD342" s="1517"/>
      <c r="DE342" s="1483"/>
      <c r="DF342" s="141"/>
      <c r="DG342" s="141"/>
      <c r="DH342" s="141"/>
      <c r="DI342" s="141"/>
      <c r="DJ342" s="141"/>
      <c r="DK342" s="141"/>
      <c r="DL342" s="141"/>
      <c r="DM342" s="141"/>
      <c r="DN342" s="141"/>
      <c r="DO342" s="141"/>
      <c r="DP342" s="141"/>
      <c r="DQ342" s="141"/>
      <c r="DR342" s="141"/>
      <c r="DS342" s="141"/>
      <c r="DT342" s="141"/>
      <c r="DU342" s="141"/>
      <c r="DV342" s="141"/>
      <c r="DW342" s="141"/>
      <c r="DX342" s="141"/>
      <c r="DY342" s="141"/>
      <c r="DZ342" s="1676"/>
      <c r="EA342"/>
      <c r="EB342"/>
      <c r="EC342"/>
      <c r="ED342"/>
      <c r="EE342"/>
      <c r="EF342"/>
    </row>
    <row r="343" spans="1:136" s="52" customFormat="1" hidden="1" outlineLevel="1">
      <c r="A343" s="338"/>
      <c r="B343" s="196"/>
      <c r="C343" s="578" t="s">
        <v>953</v>
      </c>
      <c r="D343" s="333"/>
      <c r="E343" s="578"/>
      <c r="F343" s="145"/>
      <c r="G343" s="145"/>
      <c r="H343" s="145"/>
      <c r="I343" s="228"/>
      <c r="J343" s="145"/>
      <c r="K343" s="145"/>
      <c r="L343" s="145"/>
      <c r="M343" s="228"/>
      <c r="N343" s="145"/>
      <c r="O343" s="145"/>
      <c r="P343" s="145"/>
      <c r="Q343" s="228"/>
      <c r="R343" s="145"/>
      <c r="S343" s="145"/>
      <c r="T343" s="145"/>
      <c r="U343" s="228"/>
      <c r="V343" s="227"/>
      <c r="W343" s="145"/>
      <c r="X343" s="145"/>
      <c r="Y343" s="228"/>
      <c r="Z343" s="227"/>
      <c r="AA343" s="145"/>
      <c r="AB343" s="145"/>
      <c r="AC343" s="228"/>
      <c r="AD343" s="227"/>
      <c r="AE343" s="145"/>
      <c r="AF343" s="145"/>
      <c r="AG343" s="145"/>
      <c r="AH343" s="227"/>
      <c r="AI343" s="145"/>
      <c r="AJ343" s="145"/>
      <c r="AK343" s="145"/>
      <c r="AL343" s="227"/>
      <c r="AM343" s="145"/>
      <c r="AN343" s="145"/>
      <c r="AO343" s="228"/>
      <c r="AP343" s="145"/>
      <c r="AQ343" s="145"/>
      <c r="AR343" s="145"/>
      <c r="AS343" s="145"/>
      <c r="AT343" s="145"/>
      <c r="AU343" s="145"/>
      <c r="AV343" s="145"/>
      <c r="AW343" s="145"/>
      <c r="AX343" s="145"/>
      <c r="AY343" s="145"/>
      <c r="AZ343" s="145"/>
      <c r="BA343" s="228"/>
      <c r="BB343" s="2101">
        <f>BB346*BB349/1000</f>
        <v>386.23200000000003</v>
      </c>
      <c r="BC343" s="2102">
        <f t="shared" ref="BC343:BR343" si="703">BC346*BC349/1000</f>
        <v>420.05047391999994</v>
      </c>
      <c r="BD343" s="2102">
        <f t="shared" si="703"/>
        <v>437.4489645497664</v>
      </c>
      <c r="BE343" s="2103">
        <f t="shared" si="703"/>
        <v>453.33711094221394</v>
      </c>
      <c r="BF343" s="2101">
        <f t="shared" si="703"/>
        <v>457.32647751850538</v>
      </c>
      <c r="BG343" s="2102">
        <f t="shared" si="703"/>
        <v>457.78380399602383</v>
      </c>
      <c r="BH343" s="2102">
        <f t="shared" si="703"/>
        <v>430.54566765826041</v>
      </c>
      <c r="BI343" s="2103">
        <f t="shared" si="703"/>
        <v>410.46932317535567</v>
      </c>
      <c r="BJ343" s="2101">
        <f t="shared" si="703"/>
        <v>439.18165233147181</v>
      </c>
      <c r="BK343" s="2102">
        <f t="shared" si="703"/>
        <v>449.76373424439856</v>
      </c>
      <c r="BL343" s="2102">
        <f t="shared" si="703"/>
        <v>479.33569977096772</v>
      </c>
      <c r="BM343" s="2102">
        <f t="shared" si="703"/>
        <v>462.74109784489667</v>
      </c>
      <c r="BN343" s="2101">
        <f t="shared" si="703"/>
        <v>460.08033653228853</v>
      </c>
      <c r="BO343" s="2102">
        <f t="shared" si="703"/>
        <v>409.88097101325053</v>
      </c>
      <c r="BP343" s="2102">
        <f t="shared" si="703"/>
        <v>344.91483710765027</v>
      </c>
      <c r="BQ343" s="2103">
        <f t="shared" si="703"/>
        <v>310.40007164538048</v>
      </c>
      <c r="BR343" s="2101">
        <f t="shared" si="703"/>
        <v>335.60455746298538</v>
      </c>
      <c r="BS343" s="2102">
        <f>BS346*BS349/1000</f>
        <v>338.75924030313746</v>
      </c>
      <c r="BT343" s="2102"/>
      <c r="BU343" s="2103"/>
      <c r="BV343" s="2101"/>
      <c r="BW343" s="2102"/>
      <c r="BX343" s="2102"/>
      <c r="BY343" s="2103"/>
      <c r="BZ343" s="2101"/>
      <c r="CA343" s="2102"/>
      <c r="CB343" s="2102"/>
      <c r="CC343" s="2103"/>
      <c r="CD343" s="9"/>
      <c r="CE343" s="145"/>
      <c r="CF343" s="145"/>
      <c r="CG343" s="145"/>
      <c r="CH343" s="145"/>
      <c r="CI343" s="145"/>
      <c r="CJ343" s="145"/>
      <c r="CK343" s="145"/>
      <c r="CL343" s="145"/>
      <c r="CM343" s="145"/>
      <c r="CN343" s="145"/>
      <c r="CO343" s="145"/>
      <c r="CP343" s="145"/>
      <c r="CQ343" s="2102">
        <f>SUM(BB343:BE343)</f>
        <v>1697.0685494119805</v>
      </c>
      <c r="CR343" s="2102">
        <f>SUM(BF343:BI343)</f>
        <v>1756.1252723481452</v>
      </c>
      <c r="CS343" s="2102">
        <f>SUM(BJ343:BM343)</f>
        <v>1831.0221841917346</v>
      </c>
      <c r="CT343" s="2102">
        <f>SUM(BN343:BQ343)</f>
        <v>1525.2762162985698</v>
      </c>
      <c r="CU343" s="2102">
        <f>SUM(BR343:BU343)</f>
        <v>674.36379776612284</v>
      </c>
      <c r="CV343" s="2102"/>
      <c r="CW343" s="2102"/>
      <c r="CX343" s="2102"/>
      <c r="CY343" s="2102"/>
      <c r="CZ343" s="2102"/>
      <c r="DA343" s="2102"/>
      <c r="DB343" s="2102"/>
      <c r="DC343" s="2102"/>
      <c r="DD343" s="1517"/>
      <c r="DE343" s="1483"/>
      <c r="DF343" s="141"/>
      <c r="DG343" s="141"/>
      <c r="DH343" s="141"/>
      <c r="DI343" s="141"/>
      <c r="DJ343" s="141"/>
      <c r="DK343" s="141"/>
      <c r="DL343" s="141"/>
      <c r="DM343" s="141"/>
      <c r="DN343" s="141"/>
      <c r="DO343" s="141"/>
      <c r="DP343" s="141"/>
      <c r="DQ343" s="141"/>
      <c r="DR343" s="141"/>
      <c r="DS343" s="141"/>
      <c r="DT343" s="141"/>
      <c r="DU343" s="141"/>
      <c r="DV343" s="141"/>
      <c r="DW343" s="141"/>
      <c r="DX343" s="141"/>
      <c r="DY343" s="141"/>
      <c r="DZ343" s="1676"/>
      <c r="EA343"/>
      <c r="EB343"/>
      <c r="EC343"/>
      <c r="ED343"/>
      <c r="EE343"/>
      <c r="EF343"/>
    </row>
    <row r="344" spans="1:136" s="52" customFormat="1" hidden="1" outlineLevel="1">
      <c r="A344" s="338"/>
      <c r="B344" s="196"/>
      <c r="C344" s="578"/>
      <c r="D344" s="1180" t="s">
        <v>76</v>
      </c>
      <c r="E344" s="578"/>
      <c r="F344" s="145"/>
      <c r="G344" s="145"/>
      <c r="H344" s="145"/>
      <c r="I344" s="228"/>
      <c r="J344" s="145"/>
      <c r="K344" s="145"/>
      <c r="L344" s="145"/>
      <c r="M344" s="228"/>
      <c r="N344" s="145"/>
      <c r="O344" s="145"/>
      <c r="P344" s="145"/>
      <c r="Q344" s="228"/>
      <c r="R344" s="145"/>
      <c r="S344" s="145"/>
      <c r="T344" s="145"/>
      <c r="U344" s="228"/>
      <c r="V344" s="227"/>
      <c r="W344" s="145"/>
      <c r="X344" s="145"/>
      <c r="Y344" s="228"/>
      <c r="Z344" s="227"/>
      <c r="AA344" s="145"/>
      <c r="AB344" s="145"/>
      <c r="AC344" s="228"/>
      <c r="AD344" s="227"/>
      <c r="AE344" s="145"/>
      <c r="AF344" s="145"/>
      <c r="AG344" s="145"/>
      <c r="AH344" s="227"/>
      <c r="AI344" s="145"/>
      <c r="AJ344" s="145"/>
      <c r="AK344" s="145"/>
      <c r="AL344" s="227"/>
      <c r="AM344" s="145"/>
      <c r="AN344" s="145"/>
      <c r="AO344" s="228"/>
      <c r="AP344" s="145"/>
      <c r="AQ344" s="145"/>
      <c r="AR344" s="145"/>
      <c r="AS344" s="145"/>
      <c r="AT344" s="145"/>
      <c r="AU344" s="145"/>
      <c r="AV344" s="145"/>
      <c r="AW344" s="145"/>
      <c r="AX344" s="145"/>
      <c r="AY344" s="145"/>
      <c r="AZ344" s="145"/>
      <c r="BA344" s="228"/>
      <c r="BB344" s="852"/>
      <c r="BC344" s="640"/>
      <c r="BD344" s="640"/>
      <c r="BE344" s="949"/>
      <c r="BF344" s="640">
        <f t="shared" ref="BF344:BS344" si="704">BF343/BB343-1</f>
        <v>0.18407195032650159</v>
      </c>
      <c r="BG344" s="640">
        <f t="shared" si="704"/>
        <v>8.9830466619614802E-2</v>
      </c>
      <c r="BH344" s="640">
        <f t="shared" si="704"/>
        <v>-1.578080519315217E-2</v>
      </c>
      <c r="BI344" s="949">
        <f t="shared" si="704"/>
        <v>-9.4560508575532332E-2</v>
      </c>
      <c r="BJ344" s="640">
        <f t="shared" si="704"/>
        <v>-3.967586850752447E-2</v>
      </c>
      <c r="BK344" s="640">
        <f t="shared" si="704"/>
        <v>-1.7519339219993268E-2</v>
      </c>
      <c r="BL344" s="640">
        <f t="shared" si="704"/>
        <v>0.11332138673715253</v>
      </c>
      <c r="BM344" s="640">
        <f t="shared" si="704"/>
        <v>0.12734636114867492</v>
      </c>
      <c r="BN344" s="2209">
        <f t="shared" si="704"/>
        <v>4.7585512941791697E-2</v>
      </c>
      <c r="BO344" s="640">
        <f t="shared" si="704"/>
        <v>-8.867492017370171E-2</v>
      </c>
      <c r="BP344" s="640">
        <f t="shared" si="704"/>
        <v>-0.28043156962342952</v>
      </c>
      <c r="BQ344" s="949">
        <f t="shared" si="704"/>
        <v>-0.32921438555816029</v>
      </c>
      <c r="BR344" s="640">
        <f t="shared" si="704"/>
        <v>-0.27055226921346032</v>
      </c>
      <c r="BS344" s="640">
        <f t="shared" si="704"/>
        <v>-0.17351801069050821</v>
      </c>
      <c r="BT344" s="640"/>
      <c r="BU344" s="949"/>
      <c r="BV344" s="640"/>
      <c r="BW344" s="640"/>
      <c r="BX344" s="640"/>
      <c r="BY344" s="949"/>
      <c r="BZ344" s="640"/>
      <c r="CA344" s="640"/>
      <c r="CB344" s="640"/>
      <c r="CC344" s="949"/>
      <c r="CD344" s="9"/>
      <c r="CE344" s="145"/>
      <c r="CF344" s="145"/>
      <c r="CG344" s="145"/>
      <c r="CH344" s="145"/>
      <c r="CI344" s="145"/>
      <c r="CJ344" s="145"/>
      <c r="CK344" s="145"/>
      <c r="CL344" s="145"/>
      <c r="CM344" s="145"/>
      <c r="CN344" s="145"/>
      <c r="CO344" s="145"/>
      <c r="CP344" s="145"/>
      <c r="CQ344" s="145"/>
      <c r="CR344" s="640">
        <f>CR343/CQ343-1</f>
        <v>3.4799256020994207E-2</v>
      </c>
      <c r="CS344" s="1471">
        <f>CS343/CR343-1</f>
        <v>4.2648957351113959E-2</v>
      </c>
      <c r="CT344" s="1471">
        <f>CT343/CS343-1</f>
        <v>-0.16698102870235287</v>
      </c>
      <c r="CU344" s="1471">
        <f>CU343/CT343-1</f>
        <v>-0.55787431118370145</v>
      </c>
      <c r="CV344" s="1471"/>
      <c r="CW344" s="1471"/>
      <c r="CX344" s="1471"/>
      <c r="CY344" s="1471"/>
      <c r="CZ344" s="1471"/>
      <c r="DA344" s="1471"/>
      <c r="DB344" s="1471"/>
      <c r="DC344" s="1471"/>
      <c r="DD344" s="1517"/>
      <c r="DE344" s="1483"/>
      <c r="DF344" s="141"/>
      <c r="DG344" s="141"/>
      <c r="DH344" s="141"/>
      <c r="DI344" s="141"/>
      <c r="DJ344" s="141"/>
      <c r="DK344" s="141"/>
      <c r="DL344" s="141"/>
      <c r="DM344" s="141"/>
      <c r="DN344" s="141"/>
      <c r="DO344" s="141"/>
      <c r="DP344" s="141"/>
      <c r="DQ344" s="141"/>
      <c r="DR344" s="141"/>
      <c r="DS344" s="141"/>
      <c r="DT344" s="141"/>
      <c r="DU344" s="141"/>
      <c r="DV344" s="141"/>
      <c r="DW344" s="141"/>
      <c r="DX344" s="141"/>
      <c r="DY344" s="141"/>
      <c r="DZ344" s="1676"/>
      <c r="EA344"/>
      <c r="EB344"/>
      <c r="EC344"/>
      <c r="ED344"/>
      <c r="EE344"/>
      <c r="EF344"/>
    </row>
    <row r="345" spans="1:136" s="52" customFormat="1" hidden="1" outlineLevel="1">
      <c r="A345" s="338"/>
      <c r="B345" s="196"/>
      <c r="C345" s="578"/>
      <c r="D345" s="333" t="s">
        <v>77</v>
      </c>
      <c r="E345" s="578"/>
      <c r="F345" s="145"/>
      <c r="G345" s="145"/>
      <c r="H345" s="145"/>
      <c r="I345" s="228"/>
      <c r="J345" s="145"/>
      <c r="K345" s="145"/>
      <c r="L345" s="145"/>
      <c r="M345" s="228"/>
      <c r="N345" s="145"/>
      <c r="O345" s="145"/>
      <c r="P345" s="145"/>
      <c r="Q345" s="228"/>
      <c r="R345" s="145"/>
      <c r="S345" s="145"/>
      <c r="T345" s="145"/>
      <c r="U345" s="228"/>
      <c r="V345" s="227"/>
      <c r="W345" s="145"/>
      <c r="X345" s="145"/>
      <c r="Y345" s="228"/>
      <c r="Z345" s="227"/>
      <c r="AA345" s="145"/>
      <c r="AB345" s="145"/>
      <c r="AC345" s="228"/>
      <c r="AD345" s="227"/>
      <c r="AE345" s="145"/>
      <c r="AF345" s="145"/>
      <c r="AG345" s="145"/>
      <c r="AH345" s="227"/>
      <c r="AI345" s="145"/>
      <c r="AJ345" s="145"/>
      <c r="AK345" s="145"/>
      <c r="AL345" s="227"/>
      <c r="AM345" s="145"/>
      <c r="AN345" s="145"/>
      <c r="AO345" s="228"/>
      <c r="AP345" s="145"/>
      <c r="AQ345" s="145"/>
      <c r="AR345" s="145"/>
      <c r="AS345" s="145"/>
      <c r="AT345" s="145"/>
      <c r="AU345" s="145"/>
      <c r="AV345" s="145"/>
      <c r="AW345" s="145"/>
      <c r="AX345" s="145"/>
      <c r="AY345" s="145"/>
      <c r="AZ345" s="145"/>
      <c r="BA345" s="228"/>
      <c r="BB345" s="852"/>
      <c r="BC345" s="852">
        <f t="shared" ref="BC345:BS345" si="705">BC343/BB343-1</f>
        <v>8.755999999999986E-2</v>
      </c>
      <c r="BD345" s="852">
        <f t="shared" si="705"/>
        <v>4.1420000000000234E-2</v>
      </c>
      <c r="BE345" s="851">
        <f t="shared" si="705"/>
        <v>3.632000000000013E-2</v>
      </c>
      <c r="BF345" s="852">
        <f t="shared" si="705"/>
        <v>8.799999999999919E-3</v>
      </c>
      <c r="BG345" s="852">
        <f t="shared" si="705"/>
        <v>9.9999999999988987E-4</v>
      </c>
      <c r="BH345" s="852">
        <f t="shared" si="705"/>
        <v>-5.9499999999999997E-2</v>
      </c>
      <c r="BI345" s="851">
        <f t="shared" si="705"/>
        <v>-4.6630000000000171E-2</v>
      </c>
      <c r="BJ345" s="852">
        <f t="shared" si="705"/>
        <v>6.9949999999999957E-2</v>
      </c>
      <c r="BK345" s="852">
        <f t="shared" si="705"/>
        <v>2.4094999999999756E-2</v>
      </c>
      <c r="BL345" s="852">
        <f t="shared" si="705"/>
        <v>6.5749999999999975E-2</v>
      </c>
      <c r="BM345" s="852">
        <f t="shared" si="705"/>
        <v>-3.4620000000000317E-2</v>
      </c>
      <c r="BN345" s="850">
        <f t="shared" si="705"/>
        <v>-5.7499999999999218E-3</v>
      </c>
      <c r="BO345" s="852">
        <f t="shared" si="705"/>
        <v>-0.10911000000000004</v>
      </c>
      <c r="BP345" s="852">
        <f t="shared" si="705"/>
        <v>-0.15850000000000009</v>
      </c>
      <c r="BQ345" s="851">
        <f t="shared" si="705"/>
        <v>-0.10006749999999998</v>
      </c>
      <c r="BR345" s="852">
        <f t="shared" si="705"/>
        <v>8.1199999999999939E-2</v>
      </c>
      <c r="BS345" s="852">
        <f t="shared" si="705"/>
        <v>9.400000000000075E-3</v>
      </c>
      <c r="BT345" s="852"/>
      <c r="BU345" s="851"/>
      <c r="BV345" s="852"/>
      <c r="BW345" s="852"/>
      <c r="BX345" s="852"/>
      <c r="BY345" s="851"/>
      <c r="BZ345" s="852"/>
      <c r="CA345" s="852"/>
      <c r="CB345" s="852"/>
      <c r="CC345" s="851"/>
      <c r="CD345" s="9"/>
      <c r="CE345" s="145"/>
      <c r="CF345" s="145"/>
      <c r="CG345" s="145"/>
      <c r="CH345" s="145"/>
      <c r="CI345" s="145"/>
      <c r="CJ345" s="145"/>
      <c r="CK345" s="145"/>
      <c r="CL345" s="145"/>
      <c r="CM345" s="145"/>
      <c r="CN345" s="145"/>
      <c r="CO345" s="145"/>
      <c r="CP345" s="145"/>
      <c r="CQ345" s="145"/>
      <c r="CR345" s="141"/>
      <c r="CS345" s="141"/>
      <c r="CT345" s="141"/>
      <c r="CU345" s="141"/>
      <c r="CV345" s="141"/>
      <c r="CW345" s="141"/>
      <c r="CX345" s="141"/>
      <c r="CY345" s="141"/>
      <c r="CZ345" s="141"/>
      <c r="DA345" s="141"/>
      <c r="DB345" s="141"/>
      <c r="DC345" s="141"/>
      <c r="DD345" s="1517"/>
      <c r="DE345" s="1483"/>
      <c r="DF345" s="141"/>
      <c r="DG345" s="141"/>
      <c r="DH345" s="141"/>
      <c r="DI345" s="141"/>
      <c r="DJ345" s="141"/>
      <c r="DK345" s="141"/>
      <c r="DL345" s="141"/>
      <c r="DM345" s="141"/>
      <c r="DN345" s="141"/>
      <c r="DO345" s="141"/>
      <c r="DP345" s="141"/>
      <c r="DQ345" s="141"/>
      <c r="DR345" s="141"/>
      <c r="DS345" s="141"/>
      <c r="DT345" s="141"/>
      <c r="DU345" s="141"/>
      <c r="DV345" s="141"/>
      <c r="DW345" s="141"/>
      <c r="DX345" s="141"/>
      <c r="DY345" s="141"/>
      <c r="DZ345" s="1676"/>
      <c r="EA345"/>
      <c r="EB345"/>
      <c r="EC345"/>
      <c r="ED345"/>
      <c r="EE345"/>
      <c r="EF345"/>
    </row>
    <row r="346" spans="1:136" s="52" customFormat="1" hidden="1" outlineLevel="1">
      <c r="A346" s="338"/>
      <c r="B346" s="196"/>
      <c r="C346" s="578" t="s">
        <v>805</v>
      </c>
      <c r="D346" s="333"/>
      <c r="E346" s="578"/>
      <c r="F346" s="145"/>
      <c r="G346" s="145"/>
      <c r="H346" s="145"/>
      <c r="I346" s="228"/>
      <c r="J346" s="145"/>
      <c r="K346" s="145"/>
      <c r="L346" s="145"/>
      <c r="M346" s="228"/>
      <c r="N346" s="145"/>
      <c r="O346" s="145"/>
      <c r="P346" s="145"/>
      <c r="Q346" s="228"/>
      <c r="R346" s="145"/>
      <c r="S346" s="145"/>
      <c r="T346" s="145"/>
      <c r="U346" s="228"/>
      <c r="V346" s="227"/>
      <c r="W346" s="145"/>
      <c r="X346" s="145"/>
      <c r="Y346" s="228"/>
      <c r="Z346" s="227"/>
      <c r="AA346" s="145"/>
      <c r="AB346" s="145"/>
      <c r="AC346" s="228"/>
      <c r="AD346" s="227"/>
      <c r="AE346" s="145"/>
      <c r="AF346" s="145"/>
      <c r="AG346" s="145"/>
      <c r="AH346" s="227"/>
      <c r="AI346" s="145"/>
      <c r="AJ346" s="145"/>
      <c r="AK346" s="145"/>
      <c r="AL346" s="227"/>
      <c r="AM346" s="145"/>
      <c r="AN346" s="145"/>
      <c r="AO346" s="228"/>
      <c r="AP346" s="145"/>
      <c r="AQ346" s="145"/>
      <c r="AR346" s="145"/>
      <c r="AS346" s="145"/>
      <c r="AT346" s="145"/>
      <c r="AU346" s="145"/>
      <c r="AV346" s="145"/>
      <c r="AW346" s="145"/>
      <c r="AX346" s="145"/>
      <c r="AY346" s="145"/>
      <c r="AZ346" s="145"/>
      <c r="BA346" s="2106"/>
      <c r="BB346" s="2121">
        <v>2926</v>
      </c>
      <c r="BC346" s="1695">
        <f t="shared" ref="BC346:BS346" si="706">BB346*(1+BC348)</f>
        <v>3160.0800000000004</v>
      </c>
      <c r="BD346" s="1695">
        <f t="shared" si="706"/>
        <v>3223.2816000000003</v>
      </c>
      <c r="BE346" s="1696">
        <f t="shared" si="706"/>
        <v>3287.7472320000002</v>
      </c>
      <c r="BF346" s="2120">
        <f t="shared" si="706"/>
        <v>3419.2571212800003</v>
      </c>
      <c r="BG346" s="1695">
        <f t="shared" si="706"/>
        <v>3419.2571212800003</v>
      </c>
      <c r="BH346" s="1695">
        <f t="shared" si="706"/>
        <v>3248.294265216</v>
      </c>
      <c r="BI346" s="1696">
        <f t="shared" si="706"/>
        <v>3215.8113225638399</v>
      </c>
      <c r="BJ346" s="2119">
        <f t="shared" si="706"/>
        <v>3376.6018886920319</v>
      </c>
      <c r="BK346" s="1695">
        <f t="shared" si="706"/>
        <v>3393.4848981354917</v>
      </c>
      <c r="BL346" s="1695">
        <f t="shared" si="706"/>
        <v>3444.3871716075237</v>
      </c>
      <c r="BM346" s="1695">
        <f t="shared" si="706"/>
        <v>3237.7239413110719</v>
      </c>
      <c r="BN346" s="2119">
        <f t="shared" si="706"/>
        <v>3140.5922230717397</v>
      </c>
      <c r="BO346" s="1695">
        <f t="shared" si="706"/>
        <v>2857.9389229952831</v>
      </c>
      <c r="BP346" s="1695">
        <f t="shared" si="706"/>
        <v>2429.2480845459904</v>
      </c>
      <c r="BQ346" s="1696">
        <f t="shared" si="706"/>
        <v>2112.2312095127386</v>
      </c>
      <c r="BR346" s="1695">
        <f t="shared" si="706"/>
        <v>2238.9650820835031</v>
      </c>
      <c r="BS346" s="1695">
        <f t="shared" si="706"/>
        <v>2306.1340345460085</v>
      </c>
      <c r="BT346" s="374"/>
      <c r="BU346" s="1696"/>
      <c r="BV346" s="1695"/>
      <c r="BW346" s="1695"/>
      <c r="BX346" s="374"/>
      <c r="BY346" s="1696"/>
      <c r="BZ346" s="1695"/>
      <c r="CA346" s="1695"/>
      <c r="CB346" s="374"/>
      <c r="CC346" s="1696"/>
      <c r="CD346" s="9"/>
      <c r="CE346" s="145"/>
      <c r="CF346" s="145"/>
      <c r="CG346" s="145"/>
      <c r="CH346" s="145"/>
      <c r="CI346" s="145"/>
      <c r="CJ346" s="145"/>
      <c r="CK346" s="145"/>
      <c r="CL346" s="145"/>
      <c r="CM346" s="145"/>
      <c r="CN346" s="145"/>
      <c r="CO346" s="145"/>
      <c r="CP346" s="145"/>
      <c r="CQ346" s="1695">
        <f>SUM(BB346:BE346)</f>
        <v>12597.108832</v>
      </c>
      <c r="CR346" s="1695">
        <f>SUM(BF346:BI346)</f>
        <v>13302.619830339841</v>
      </c>
      <c r="CS346" s="1695">
        <f>SUM(BJ346:BM346)</f>
        <v>13452.197899746119</v>
      </c>
      <c r="CT346" s="1695">
        <f>SUM(BN346:BQ346)</f>
        <v>10540.010440125752</v>
      </c>
      <c r="CU346" s="1695">
        <f>SUM(BR346:BU346)</f>
        <v>4545.0991166295116</v>
      </c>
      <c r="CV346" s="1695"/>
      <c r="CW346" s="1695"/>
      <c r="CX346" s="1695"/>
      <c r="CY346" s="1695"/>
      <c r="CZ346" s="1695"/>
      <c r="DA346" s="1695"/>
      <c r="DB346" s="1695"/>
      <c r="DC346" s="1695"/>
      <c r="DD346" s="1517"/>
      <c r="DE346" s="1483"/>
      <c r="DF346" s="141"/>
      <c r="DG346" s="141"/>
      <c r="DH346" s="141"/>
      <c r="DI346" s="141"/>
      <c r="DJ346" s="141"/>
      <c r="DK346" s="141"/>
      <c r="DL346" s="141"/>
      <c r="DM346" s="141"/>
      <c r="DN346" s="141"/>
      <c r="DO346" s="141"/>
      <c r="DP346" s="141"/>
      <c r="DQ346" s="141"/>
      <c r="DR346" s="141"/>
      <c r="DS346" s="141"/>
      <c r="DT346" s="141"/>
      <c r="DU346" s="141"/>
      <c r="DV346" s="141"/>
      <c r="DW346" s="141"/>
      <c r="DX346" s="141"/>
      <c r="DY346" s="141"/>
      <c r="DZ346" s="1676"/>
      <c r="EA346"/>
      <c r="EB346"/>
      <c r="EC346"/>
      <c r="ED346"/>
      <c r="EE346"/>
      <c r="EF346"/>
    </row>
    <row r="347" spans="1:136" s="52" customFormat="1" hidden="1" outlineLevel="1">
      <c r="A347" s="338"/>
      <c r="B347" s="196"/>
      <c r="C347" s="578"/>
      <c r="D347" s="1180" t="s">
        <v>76</v>
      </c>
      <c r="E347" s="578"/>
      <c r="F347" s="145"/>
      <c r="G347" s="145"/>
      <c r="H347" s="145"/>
      <c r="I347" s="228"/>
      <c r="J347" s="145"/>
      <c r="K347" s="145"/>
      <c r="L347" s="145"/>
      <c r="M347" s="228"/>
      <c r="N347" s="145"/>
      <c r="O347" s="145"/>
      <c r="P347" s="145"/>
      <c r="Q347" s="228"/>
      <c r="R347" s="145"/>
      <c r="S347" s="145"/>
      <c r="T347" s="145"/>
      <c r="U347" s="228"/>
      <c r="V347" s="227"/>
      <c r="W347" s="145"/>
      <c r="X347" s="145"/>
      <c r="Y347" s="228"/>
      <c r="Z347" s="227"/>
      <c r="AA347" s="145"/>
      <c r="AB347" s="145"/>
      <c r="AC347" s="228"/>
      <c r="AD347" s="227"/>
      <c r="AE347" s="145"/>
      <c r="AF347" s="145"/>
      <c r="AG347" s="145"/>
      <c r="AH347" s="227"/>
      <c r="AI347" s="145"/>
      <c r="AJ347" s="145"/>
      <c r="AK347" s="145"/>
      <c r="AL347" s="227"/>
      <c r="AM347" s="145"/>
      <c r="AN347" s="145"/>
      <c r="AO347" s="228"/>
      <c r="AP347" s="145"/>
      <c r="AQ347" s="145"/>
      <c r="AR347" s="145"/>
      <c r="AS347" s="145"/>
      <c r="AT347" s="145"/>
      <c r="AU347" s="145"/>
      <c r="AV347" s="145"/>
      <c r="AW347" s="145"/>
      <c r="AX347" s="145"/>
      <c r="AY347" s="145"/>
      <c r="AZ347" s="145"/>
      <c r="BA347" s="493"/>
      <c r="BB347" s="497"/>
      <c r="BC347" s="492"/>
      <c r="BD347" s="492"/>
      <c r="BE347" s="493"/>
      <c r="BF347" s="435">
        <f t="shared" ref="BF347:BS347" si="707">BF346/BB346-1</f>
        <v>0.16857728000000005</v>
      </c>
      <c r="BG347" s="492">
        <f t="shared" si="707"/>
        <v>8.2015999999999867E-2</v>
      </c>
      <c r="BH347" s="492">
        <f t="shared" si="707"/>
        <v>7.7599999999999891E-3</v>
      </c>
      <c r="BI347" s="493">
        <f t="shared" si="707"/>
        <v>-2.1880000000000122E-2</v>
      </c>
      <c r="BJ347" s="497">
        <f t="shared" si="707"/>
        <v>-1.2475000000000125E-2</v>
      </c>
      <c r="BK347" s="492">
        <f t="shared" si="707"/>
        <v>-7.5373750000001793E-3</v>
      </c>
      <c r="BL347" s="492">
        <f t="shared" si="707"/>
        <v>6.0367962499999761E-2</v>
      </c>
      <c r="BM347" s="492">
        <f t="shared" si="707"/>
        <v>6.8140249999997238E-3</v>
      </c>
      <c r="BN347" s="497">
        <f t="shared" si="707"/>
        <v>-6.98956150000003E-2</v>
      </c>
      <c r="BO347" s="492">
        <f t="shared" si="707"/>
        <v>-0.15781593000000016</v>
      </c>
      <c r="BP347" s="492">
        <f t="shared" si="707"/>
        <v>-0.29472270000000012</v>
      </c>
      <c r="BQ347" s="493">
        <f t="shared" si="707"/>
        <v>-0.34761849750000007</v>
      </c>
      <c r="BR347" s="492">
        <f t="shared" si="707"/>
        <v>-0.28708825500000001</v>
      </c>
      <c r="BS347" s="492">
        <f t="shared" si="707"/>
        <v>-0.19307791499999993</v>
      </c>
      <c r="BT347" s="640"/>
      <c r="BU347" s="949"/>
      <c r="BV347" s="640"/>
      <c r="BW347" s="640"/>
      <c r="BX347" s="640"/>
      <c r="BY347" s="949"/>
      <c r="BZ347" s="640"/>
      <c r="CA347" s="640"/>
      <c r="CB347" s="640"/>
      <c r="CC347" s="949"/>
      <c r="CD347" s="9"/>
      <c r="CE347" s="145"/>
      <c r="CF347" s="145"/>
      <c r="CG347" s="145"/>
      <c r="CH347" s="145"/>
      <c r="CI347" s="145"/>
      <c r="CJ347" s="145"/>
      <c r="CK347" s="145"/>
      <c r="CL347" s="145"/>
      <c r="CM347" s="145"/>
      <c r="CN347" s="145"/>
      <c r="CO347" s="145"/>
      <c r="CP347" s="145"/>
      <c r="CQ347" s="145"/>
      <c r="CR347" s="640">
        <f>CR346/CQ346-1</f>
        <v>5.6005787339683533E-2</v>
      </c>
      <c r="CS347" s="1471">
        <f>CS346/CR346-1</f>
        <v>1.1244256493381011E-2</v>
      </c>
      <c r="CT347" s="1471">
        <f>CT346/CS346-1</f>
        <v>-0.21648413748621165</v>
      </c>
      <c r="CU347" s="1471">
        <f>CU346/CT346-1</f>
        <v>-0.56877660203007507</v>
      </c>
      <c r="CV347" s="1471"/>
      <c r="CW347" s="495"/>
      <c r="CX347" s="495"/>
      <c r="CY347" s="495"/>
      <c r="CZ347" s="495"/>
      <c r="DA347" s="495"/>
      <c r="DB347" s="495"/>
      <c r="DC347" s="495"/>
      <c r="DD347" s="1517"/>
      <c r="DE347" s="1483"/>
      <c r="DF347" s="141"/>
      <c r="DG347" s="141"/>
      <c r="DH347" s="141"/>
      <c r="DI347" s="141"/>
      <c r="DJ347" s="141"/>
      <c r="DK347" s="141"/>
      <c r="DL347" s="141"/>
      <c r="DM347" s="141"/>
      <c r="DN347" s="141"/>
      <c r="DO347" s="141"/>
      <c r="DP347" s="141"/>
      <c r="DQ347" s="141"/>
      <c r="DR347" s="141"/>
      <c r="DS347" s="141"/>
      <c r="DT347" s="141"/>
      <c r="DU347" s="141"/>
      <c r="DV347" s="141"/>
      <c r="DW347" s="141"/>
      <c r="DX347" s="141"/>
      <c r="DY347" s="141"/>
      <c r="DZ347" s="1676"/>
      <c r="EA347"/>
      <c r="EB347"/>
      <c r="EC347"/>
      <c r="ED347"/>
      <c r="EE347"/>
      <c r="EF347"/>
    </row>
    <row r="348" spans="1:136" s="52" customFormat="1" hidden="1" outlineLevel="1">
      <c r="A348" s="338"/>
      <c r="B348" s="196"/>
      <c r="C348" s="578"/>
      <c r="D348" s="333" t="s">
        <v>77</v>
      </c>
      <c r="E348" s="578"/>
      <c r="F348" s="145"/>
      <c r="G348" s="145"/>
      <c r="H348" s="145"/>
      <c r="I348" s="228"/>
      <c r="J348" s="145"/>
      <c r="K348" s="145"/>
      <c r="L348" s="145"/>
      <c r="M348" s="228"/>
      <c r="N348" s="145"/>
      <c r="O348" s="145"/>
      <c r="P348" s="145"/>
      <c r="Q348" s="228"/>
      <c r="R348" s="145"/>
      <c r="S348" s="145"/>
      <c r="T348" s="145"/>
      <c r="U348" s="228"/>
      <c r="V348" s="227"/>
      <c r="W348" s="145"/>
      <c r="X348" s="145"/>
      <c r="Y348" s="228"/>
      <c r="Z348" s="227"/>
      <c r="AA348" s="145"/>
      <c r="AB348" s="145"/>
      <c r="AC348" s="228"/>
      <c r="AD348" s="227"/>
      <c r="AE348" s="145"/>
      <c r="AF348" s="145"/>
      <c r="AG348" s="145"/>
      <c r="AH348" s="227"/>
      <c r="AI348" s="145"/>
      <c r="AJ348" s="145"/>
      <c r="AK348" s="145"/>
      <c r="AL348" s="227"/>
      <c r="AM348" s="145"/>
      <c r="AN348" s="145"/>
      <c r="AO348" s="228"/>
      <c r="AP348" s="145"/>
      <c r="AQ348" s="145"/>
      <c r="AR348" s="145"/>
      <c r="AS348" s="145"/>
      <c r="AT348" s="145"/>
      <c r="AU348" s="145"/>
      <c r="AV348" s="145"/>
      <c r="AW348" s="145"/>
      <c r="AX348" s="145"/>
      <c r="AY348" s="145"/>
      <c r="AZ348" s="145"/>
      <c r="BA348" s="493"/>
      <c r="BB348" s="495"/>
      <c r="BC348" s="495">
        <v>0.08</v>
      </c>
      <c r="BD348" s="495">
        <v>0.02</v>
      </c>
      <c r="BE348" s="499">
        <v>0.02</v>
      </c>
      <c r="BF348" s="992">
        <v>0.04</v>
      </c>
      <c r="BG348" s="495">
        <v>0</v>
      </c>
      <c r="BH348" s="495">
        <v>-0.05</v>
      </c>
      <c r="BI348" s="499">
        <v>-0.01</v>
      </c>
      <c r="BJ348" s="1026">
        <v>0.05</v>
      </c>
      <c r="BK348" s="495">
        <v>5.0000000000000001E-3</v>
      </c>
      <c r="BL348" s="495">
        <v>1.4999999999999999E-2</v>
      </c>
      <c r="BM348" s="495">
        <v>-0.06</v>
      </c>
      <c r="BN348" s="1026">
        <v>-0.03</v>
      </c>
      <c r="BO348" s="495">
        <v>-0.09</v>
      </c>
      <c r="BP348" s="495">
        <v>-0.15</v>
      </c>
      <c r="BQ348" s="499">
        <v>-0.1305</v>
      </c>
      <c r="BR348" s="495">
        <v>0.06</v>
      </c>
      <c r="BS348" s="495">
        <v>0.03</v>
      </c>
      <c r="BT348" s="495"/>
      <c r="BU348" s="499"/>
      <c r="BV348" s="495"/>
      <c r="BW348" s="495"/>
      <c r="BX348" s="495"/>
      <c r="BY348" s="499"/>
      <c r="BZ348" s="495"/>
      <c r="CA348" s="495"/>
      <c r="CB348" s="495"/>
      <c r="CC348" s="499"/>
      <c r="CD348" s="9"/>
      <c r="CE348" s="145"/>
      <c r="CF348" s="145"/>
      <c r="CG348" s="145"/>
      <c r="CH348" s="145"/>
      <c r="CI348" s="145"/>
      <c r="CJ348" s="145"/>
      <c r="CK348" s="145"/>
      <c r="CL348" s="145"/>
      <c r="CM348" s="145"/>
      <c r="CN348" s="145"/>
      <c r="CO348" s="145"/>
      <c r="CP348" s="145"/>
      <c r="CQ348" s="145"/>
      <c r="CR348" s="141"/>
      <c r="CS348" s="141"/>
      <c r="CT348" s="141"/>
      <c r="CU348" s="141"/>
      <c r="CV348" s="141"/>
      <c r="CW348" s="141"/>
      <c r="CX348" s="141"/>
      <c r="CY348" s="141"/>
      <c r="CZ348" s="141"/>
      <c r="DA348" s="141"/>
      <c r="DB348" s="141"/>
      <c r="DC348" s="141"/>
      <c r="DD348" s="1517"/>
      <c r="DE348" s="1483"/>
      <c r="DF348" s="141"/>
      <c r="DG348" s="141"/>
      <c r="DH348" s="141"/>
      <c r="DI348" s="141"/>
      <c r="DJ348" s="141"/>
      <c r="DK348" s="141"/>
      <c r="DL348" s="141"/>
      <c r="DM348" s="141"/>
      <c r="DN348" s="141"/>
      <c r="DO348" s="141"/>
      <c r="DP348" s="141"/>
      <c r="DQ348" s="141"/>
      <c r="DR348" s="141"/>
      <c r="DS348" s="141"/>
      <c r="DT348" s="141"/>
      <c r="DU348" s="141"/>
      <c r="DV348" s="141"/>
      <c r="DW348" s="141"/>
      <c r="DX348" s="141"/>
      <c r="DY348" s="141"/>
      <c r="DZ348" s="1676"/>
      <c r="EA348"/>
      <c r="EB348"/>
      <c r="EC348"/>
      <c r="ED348"/>
      <c r="EE348"/>
      <c r="EF348"/>
    </row>
    <row r="349" spans="1:136" s="52" customFormat="1" hidden="1" outlineLevel="1">
      <c r="A349" s="338"/>
      <c r="B349" s="196"/>
      <c r="C349" s="578" t="s">
        <v>806</v>
      </c>
      <c r="D349" s="333"/>
      <c r="E349" s="578"/>
      <c r="F349" s="145"/>
      <c r="G349" s="145"/>
      <c r="H349" s="145"/>
      <c r="I349" s="228"/>
      <c r="J349" s="145"/>
      <c r="K349" s="145"/>
      <c r="L349" s="145"/>
      <c r="M349" s="228"/>
      <c r="N349" s="145"/>
      <c r="O349" s="145"/>
      <c r="P349" s="145"/>
      <c r="Q349" s="228"/>
      <c r="R349" s="145"/>
      <c r="S349" s="145"/>
      <c r="T349" s="145"/>
      <c r="U349" s="228"/>
      <c r="V349" s="227"/>
      <c r="W349" s="145"/>
      <c r="X349" s="145"/>
      <c r="Y349" s="228"/>
      <c r="Z349" s="227"/>
      <c r="AA349" s="145"/>
      <c r="AB349" s="145"/>
      <c r="AC349" s="228"/>
      <c r="AD349" s="227"/>
      <c r="AE349" s="145"/>
      <c r="AF349" s="145"/>
      <c r="AG349" s="145"/>
      <c r="AH349" s="227"/>
      <c r="AI349" s="145"/>
      <c r="AJ349" s="145"/>
      <c r="AK349" s="145"/>
      <c r="AL349" s="227"/>
      <c r="AM349" s="145"/>
      <c r="AN349" s="145"/>
      <c r="AO349" s="228"/>
      <c r="AP349" s="145"/>
      <c r="AQ349" s="145"/>
      <c r="AR349" s="145"/>
      <c r="AS349" s="145"/>
      <c r="AT349" s="145"/>
      <c r="AU349" s="145"/>
      <c r="AV349" s="145"/>
      <c r="AW349" s="145"/>
      <c r="AX349" s="145"/>
      <c r="AY349" s="145"/>
      <c r="AZ349" s="145"/>
      <c r="BA349" s="228"/>
      <c r="BB349" s="2109">
        <v>132</v>
      </c>
      <c r="BC349" s="2110">
        <f t="shared" ref="BC349:BS349" si="708">BB349*(1+BC351)</f>
        <v>132.92399999999998</v>
      </c>
      <c r="BD349" s="2110">
        <f t="shared" si="708"/>
        <v>135.71540399999998</v>
      </c>
      <c r="BE349" s="2111">
        <f t="shared" si="708"/>
        <v>137.88685046399999</v>
      </c>
      <c r="BF349" s="2112">
        <f t="shared" si="708"/>
        <v>133.75024495007997</v>
      </c>
      <c r="BG349" s="2113">
        <f t="shared" si="708"/>
        <v>133.88399519503005</v>
      </c>
      <c r="BH349" s="2110">
        <f t="shared" si="708"/>
        <v>132.54515524307976</v>
      </c>
      <c r="BI349" s="2111">
        <f t="shared" si="708"/>
        <v>127.6409844990858</v>
      </c>
      <c r="BJ349" s="2112">
        <f t="shared" si="708"/>
        <v>130.06616320456843</v>
      </c>
      <c r="BK349" s="2110">
        <f t="shared" si="708"/>
        <v>132.53742030545521</v>
      </c>
      <c r="BL349" s="2110">
        <f t="shared" si="708"/>
        <v>139.16429132072798</v>
      </c>
      <c r="BM349" s="2110">
        <f t="shared" si="708"/>
        <v>142.92172718638761</v>
      </c>
      <c r="BN349" s="2112">
        <f t="shared" si="708"/>
        <v>146.49477036604731</v>
      </c>
      <c r="BO349" s="2110">
        <f t="shared" si="708"/>
        <v>143.41838018836032</v>
      </c>
      <c r="BP349" s="2110">
        <f t="shared" si="708"/>
        <v>141.98419638647673</v>
      </c>
      <c r="BQ349" s="2111">
        <f t="shared" si="708"/>
        <v>146.95364326000339</v>
      </c>
      <c r="BR349" s="2110">
        <f t="shared" si="708"/>
        <v>149.89271612520346</v>
      </c>
      <c r="BS349" s="2110">
        <f t="shared" si="708"/>
        <v>146.89486180269938</v>
      </c>
      <c r="BT349" s="2110"/>
      <c r="BU349" s="2111"/>
      <c r="BV349" s="2112"/>
      <c r="BW349" s="2110"/>
      <c r="BX349" s="2110"/>
      <c r="BY349" s="2111"/>
      <c r="BZ349" s="2112"/>
      <c r="CA349" s="2110"/>
      <c r="CB349" s="2110"/>
      <c r="CC349" s="2111"/>
      <c r="CD349" s="9"/>
      <c r="CE349" s="145"/>
      <c r="CF349" s="145"/>
      <c r="CG349" s="145"/>
      <c r="CH349" s="145"/>
      <c r="CI349" s="145"/>
      <c r="CJ349" s="145"/>
      <c r="CK349" s="145"/>
      <c r="CL349" s="145"/>
      <c r="CM349" s="145"/>
      <c r="CN349" s="145"/>
      <c r="CO349" s="145"/>
      <c r="CP349" s="145"/>
      <c r="CQ349" s="2110">
        <f>CQ343/CQ346*1000</f>
        <v>134.71889240973897</v>
      </c>
      <c r="CR349" s="2110">
        <f>CR343/CR346*1000</f>
        <v>132.01349018054901</v>
      </c>
      <c r="CS349" s="2110">
        <f>CS343/CS346*1000</f>
        <v>136.11323575802371</v>
      </c>
      <c r="CT349" s="2110">
        <f>CT343/CT346*1000</f>
        <v>144.71297015910466</v>
      </c>
      <c r="CU349" s="2110">
        <f>CU343/CU346*1000</f>
        <v>148.37163733102651</v>
      </c>
      <c r="CV349" s="2110"/>
      <c r="CW349" s="2110"/>
      <c r="CX349" s="2110"/>
      <c r="CY349" s="2110"/>
      <c r="CZ349" s="2110"/>
      <c r="DA349" s="2110"/>
      <c r="DB349" s="2110"/>
      <c r="DC349" s="2110"/>
      <c r="DD349" s="1517"/>
      <c r="DE349" s="1483"/>
      <c r="DF349" s="141"/>
      <c r="DG349" s="141"/>
      <c r="DH349" s="141"/>
      <c r="DI349" s="141"/>
      <c r="DJ349" s="141"/>
      <c r="DK349" s="141"/>
      <c r="DL349" s="141"/>
      <c r="DM349" s="141"/>
      <c r="DN349" s="141"/>
      <c r="DO349" s="141"/>
      <c r="DP349" s="141"/>
      <c r="DQ349" s="141"/>
      <c r="DR349" s="141"/>
      <c r="DS349" s="141"/>
      <c r="DT349" s="141"/>
      <c r="DU349" s="141"/>
      <c r="DV349" s="141"/>
      <c r="DW349" s="141"/>
      <c r="DX349" s="141"/>
      <c r="DY349" s="141"/>
      <c r="DZ349" s="1676"/>
      <c r="EA349"/>
      <c r="EB349"/>
      <c r="EC349"/>
      <c r="ED349"/>
      <c r="EE349"/>
      <c r="EF349"/>
    </row>
    <row r="350" spans="1:136" s="52" customFormat="1" hidden="1" outlineLevel="1">
      <c r="A350" s="338"/>
      <c r="B350" s="196"/>
      <c r="C350" s="578"/>
      <c r="D350" s="1180" t="s">
        <v>76</v>
      </c>
      <c r="E350" s="578"/>
      <c r="F350" s="145"/>
      <c r="G350" s="145"/>
      <c r="H350" s="145"/>
      <c r="I350" s="228"/>
      <c r="J350" s="145"/>
      <c r="K350" s="145"/>
      <c r="L350" s="145"/>
      <c r="M350" s="228"/>
      <c r="N350" s="145"/>
      <c r="O350" s="145"/>
      <c r="P350" s="145"/>
      <c r="Q350" s="228"/>
      <c r="R350" s="145"/>
      <c r="S350" s="145"/>
      <c r="T350" s="145"/>
      <c r="U350" s="228"/>
      <c r="V350" s="227"/>
      <c r="W350" s="145"/>
      <c r="X350" s="145"/>
      <c r="Y350" s="228"/>
      <c r="Z350" s="227"/>
      <c r="AA350" s="145"/>
      <c r="AB350" s="145"/>
      <c r="AC350" s="228"/>
      <c r="AD350" s="227"/>
      <c r="AE350" s="145"/>
      <c r="AF350" s="145"/>
      <c r="AG350" s="145"/>
      <c r="AH350" s="227"/>
      <c r="AI350" s="145"/>
      <c r="AJ350" s="145"/>
      <c r="AK350" s="145"/>
      <c r="AL350" s="227"/>
      <c r="AM350" s="145"/>
      <c r="AN350" s="145"/>
      <c r="AO350" s="228"/>
      <c r="AP350" s="145"/>
      <c r="AQ350" s="145"/>
      <c r="AR350" s="145"/>
      <c r="AS350" s="145"/>
      <c r="AT350" s="145"/>
      <c r="AU350" s="145"/>
      <c r="AV350" s="145"/>
      <c r="AW350" s="145"/>
      <c r="AX350" s="145"/>
      <c r="AY350" s="145"/>
      <c r="AZ350" s="145"/>
      <c r="BA350" s="228"/>
      <c r="BB350" s="852"/>
      <c r="BC350" s="492"/>
      <c r="BD350" s="492"/>
      <c r="BE350" s="493"/>
      <c r="BF350" s="497">
        <f t="shared" ref="BF350:BR350" si="709">BF349/BB349-1</f>
        <v>1.3259431439999858E-2</v>
      </c>
      <c r="BG350" s="436">
        <f t="shared" si="709"/>
        <v>7.2221359199999835E-3</v>
      </c>
      <c r="BH350" s="492">
        <f t="shared" si="709"/>
        <v>-2.3359535200000003E-2</v>
      </c>
      <c r="BI350" s="493">
        <f t="shared" si="709"/>
        <v>-7.4306331100000067E-2</v>
      </c>
      <c r="BJ350" s="497">
        <f t="shared" si="709"/>
        <v>-2.7544485970000032E-2</v>
      </c>
      <c r="BK350" s="492">
        <f t="shared" si="709"/>
        <v>-1.0057773430000139E-2</v>
      </c>
      <c r="BL350" s="492">
        <f t="shared" si="709"/>
        <v>4.9938725149999863E-2</v>
      </c>
      <c r="BM350" s="492">
        <f t="shared" si="709"/>
        <v>0.11971658434999966</v>
      </c>
      <c r="BN350" s="497">
        <f t="shared" si="709"/>
        <v>0.1263096162499997</v>
      </c>
      <c r="BO350" s="492">
        <f t="shared" si="709"/>
        <v>8.2097266249999912E-2</v>
      </c>
      <c r="BP350" s="492">
        <f t="shared" si="709"/>
        <v>2.026313674999991E-2</v>
      </c>
      <c r="BQ350" s="493">
        <f t="shared" si="709"/>
        <v>2.8210658749999951E-2</v>
      </c>
      <c r="BR350" s="492">
        <f t="shared" si="709"/>
        <v>2.319499700000005E-2</v>
      </c>
      <c r="BS350" s="492">
        <f>BS349/BO349-1</f>
        <v>2.4240139999999855E-2</v>
      </c>
      <c r="BT350" s="492"/>
      <c r="BU350" s="493"/>
      <c r="BV350" s="497"/>
      <c r="BW350" s="492"/>
      <c r="BX350" s="492"/>
      <c r="BY350" s="493"/>
      <c r="BZ350" s="497"/>
      <c r="CA350" s="492"/>
      <c r="CB350" s="492"/>
      <c r="CC350" s="493"/>
      <c r="CD350" s="9"/>
      <c r="CE350" s="145"/>
      <c r="CF350" s="145"/>
      <c r="CG350" s="145"/>
      <c r="CH350" s="145"/>
      <c r="CI350" s="145"/>
      <c r="CJ350" s="145"/>
      <c r="CK350" s="145"/>
      <c r="CL350" s="145"/>
      <c r="CM350" s="145"/>
      <c r="CN350" s="145"/>
      <c r="CO350" s="145"/>
      <c r="CP350" s="145"/>
      <c r="CQ350" s="145"/>
      <c r="CR350" s="640">
        <f>CR349/CQ349-1</f>
        <v>-2.0081832479453943E-2</v>
      </c>
      <c r="CS350" s="1471">
        <f>CS349/CR349-1</f>
        <v>3.1055504796272393E-2</v>
      </c>
      <c r="CT350" s="1471">
        <f>CT349/CS349-1</f>
        <v>6.3180735901166907E-2</v>
      </c>
      <c r="CU350" s="1471">
        <f>CU349/CT349-1</f>
        <v>2.5282233982892643E-2</v>
      </c>
      <c r="CV350" s="1471"/>
      <c r="CW350" s="495"/>
      <c r="CX350" s="495"/>
      <c r="CY350" s="495"/>
      <c r="CZ350" s="495"/>
      <c r="DA350" s="495"/>
      <c r="DB350" s="495"/>
      <c r="DC350" s="495"/>
      <c r="DD350" s="1517"/>
      <c r="DE350" s="1483"/>
      <c r="DF350" s="141"/>
      <c r="DG350" s="141"/>
      <c r="DH350" s="141"/>
      <c r="DI350" s="141"/>
      <c r="DJ350" s="141"/>
      <c r="DK350" s="141"/>
      <c r="DL350" s="141"/>
      <c r="DM350" s="141"/>
      <c r="DN350" s="141"/>
      <c r="DO350" s="141"/>
      <c r="DP350" s="141"/>
      <c r="DQ350" s="141"/>
      <c r="DR350" s="141"/>
      <c r="DS350" s="141"/>
      <c r="DT350" s="141"/>
      <c r="DU350" s="141"/>
      <c r="DV350" s="141"/>
      <c r="DW350" s="141"/>
      <c r="DX350" s="141"/>
      <c r="DY350" s="141"/>
      <c r="DZ350" s="1676"/>
      <c r="EA350"/>
      <c r="EB350"/>
      <c r="EC350"/>
      <c r="ED350"/>
      <c r="EE350"/>
      <c r="EF350"/>
    </row>
    <row r="351" spans="1:136" s="52" customFormat="1" hidden="1" outlineLevel="1">
      <c r="A351" s="338"/>
      <c r="B351" s="196"/>
      <c r="C351" s="578"/>
      <c r="D351" s="333" t="s">
        <v>77</v>
      </c>
      <c r="E351" s="578"/>
      <c r="F351" s="145"/>
      <c r="G351" s="145"/>
      <c r="H351" s="145"/>
      <c r="I351" s="228"/>
      <c r="J351" s="145"/>
      <c r="K351" s="145"/>
      <c r="L351" s="145"/>
      <c r="M351" s="228"/>
      <c r="N351" s="145"/>
      <c r="O351" s="145"/>
      <c r="P351" s="145"/>
      <c r="Q351" s="228"/>
      <c r="R351" s="145"/>
      <c r="S351" s="145"/>
      <c r="T351" s="145"/>
      <c r="U351" s="228"/>
      <c r="V351" s="227"/>
      <c r="W351" s="145"/>
      <c r="X351" s="145"/>
      <c r="Y351" s="228"/>
      <c r="Z351" s="227"/>
      <c r="AA351" s="145"/>
      <c r="AB351" s="145"/>
      <c r="AC351" s="228"/>
      <c r="AD351" s="227"/>
      <c r="AE351" s="145"/>
      <c r="AF351" s="145"/>
      <c r="AG351" s="145"/>
      <c r="AH351" s="227"/>
      <c r="AI351" s="145"/>
      <c r="AJ351" s="145"/>
      <c r="AK351" s="145"/>
      <c r="AL351" s="227"/>
      <c r="AM351" s="145"/>
      <c r="AN351" s="145"/>
      <c r="AO351" s="228"/>
      <c r="AP351" s="145"/>
      <c r="AQ351" s="145"/>
      <c r="AR351" s="145"/>
      <c r="AS351" s="145"/>
      <c r="AT351" s="145"/>
      <c r="AU351" s="145"/>
      <c r="AV351" s="145"/>
      <c r="AW351" s="145"/>
      <c r="AX351" s="145"/>
      <c r="AY351" s="145"/>
      <c r="AZ351" s="145"/>
      <c r="BA351" s="228"/>
      <c r="BB351" s="852"/>
      <c r="BC351" s="495">
        <v>7.0000000000000001E-3</v>
      </c>
      <c r="BD351" s="495">
        <v>2.1000000000000001E-2</v>
      </c>
      <c r="BE351" s="499">
        <v>1.6E-2</v>
      </c>
      <c r="BF351" s="1026">
        <v>-0.03</v>
      </c>
      <c r="BG351" s="935">
        <v>1E-3</v>
      </c>
      <c r="BH351" s="495">
        <v>-0.01</v>
      </c>
      <c r="BI351" s="499">
        <v>-3.6999999999999998E-2</v>
      </c>
      <c r="BJ351" s="1026">
        <v>1.9E-2</v>
      </c>
      <c r="BK351" s="495">
        <v>1.9E-2</v>
      </c>
      <c r="BL351" s="495">
        <v>0.05</v>
      </c>
      <c r="BM351" s="495">
        <v>2.7E-2</v>
      </c>
      <c r="BN351" s="1026">
        <v>2.5000000000000001E-2</v>
      </c>
      <c r="BO351" s="495">
        <v>-2.1000000000000001E-2</v>
      </c>
      <c r="BP351" s="495">
        <v>-0.01</v>
      </c>
      <c r="BQ351" s="499">
        <v>3.5000000000000003E-2</v>
      </c>
      <c r="BR351" s="1026">
        <v>0.02</v>
      </c>
      <c r="BS351" s="495">
        <v>-0.02</v>
      </c>
      <c r="BT351" s="495"/>
      <c r="BU351" s="499"/>
      <c r="BV351" s="495"/>
      <c r="BW351" s="495"/>
      <c r="BX351" s="495"/>
      <c r="BY351" s="499"/>
      <c r="BZ351" s="495"/>
      <c r="CA351" s="495"/>
      <c r="CB351" s="495"/>
      <c r="CC351" s="499"/>
      <c r="CD351" s="9"/>
      <c r="CE351" s="145"/>
      <c r="CF351" s="145"/>
      <c r="CG351" s="145"/>
      <c r="CH351" s="145"/>
      <c r="CI351" s="145"/>
      <c r="CJ351" s="145"/>
      <c r="CK351" s="145"/>
      <c r="CL351" s="145"/>
      <c r="CM351" s="145"/>
      <c r="CN351" s="145"/>
      <c r="CO351" s="145"/>
      <c r="CP351" s="145"/>
      <c r="CQ351" s="145"/>
      <c r="CR351" s="141"/>
      <c r="CS351" s="141"/>
      <c r="CT351" s="141"/>
      <c r="CU351" s="141"/>
      <c r="CV351" s="141"/>
      <c r="CW351" s="141"/>
      <c r="CX351" s="141"/>
      <c r="CY351" s="141"/>
      <c r="CZ351" s="141"/>
      <c r="DA351" s="141"/>
      <c r="DB351" s="141"/>
      <c r="DC351" s="141"/>
      <c r="DD351" s="1517"/>
      <c r="DE351" s="1483"/>
      <c r="DF351" s="141"/>
      <c r="DG351" s="141"/>
      <c r="DH351" s="141"/>
      <c r="DI351" s="141"/>
      <c r="DJ351" s="141"/>
      <c r="DK351" s="141"/>
      <c r="DL351" s="141"/>
      <c r="DM351" s="141"/>
      <c r="DN351" s="141"/>
      <c r="DO351" s="141"/>
      <c r="DP351" s="141"/>
      <c r="DQ351" s="141"/>
      <c r="DR351" s="141"/>
      <c r="DS351" s="141"/>
      <c r="DT351" s="141"/>
      <c r="DU351" s="141"/>
      <c r="DV351" s="141"/>
      <c r="DW351" s="141"/>
      <c r="DX351" s="141"/>
      <c r="DY351" s="141"/>
      <c r="DZ351" s="1676"/>
      <c r="EA351"/>
      <c r="EB351"/>
      <c r="EC351"/>
      <c r="ED351"/>
      <c r="EE351"/>
      <c r="EF351"/>
    </row>
    <row r="352" spans="1:136" s="52" customFormat="1" hidden="1" outlineLevel="1">
      <c r="A352" s="338"/>
      <c r="B352" s="196"/>
      <c r="C352" s="578"/>
      <c r="D352" s="333"/>
      <c r="E352" s="578"/>
      <c r="F352" s="145"/>
      <c r="G352" s="145"/>
      <c r="H352" s="145"/>
      <c r="I352" s="228"/>
      <c r="J352" s="145"/>
      <c r="K352" s="145"/>
      <c r="L352" s="145"/>
      <c r="M352" s="228"/>
      <c r="N352" s="145"/>
      <c r="O352" s="145"/>
      <c r="P352" s="145"/>
      <c r="Q352" s="228"/>
      <c r="R352" s="145"/>
      <c r="S352" s="145"/>
      <c r="T352" s="145"/>
      <c r="U352" s="228"/>
      <c r="V352" s="227"/>
      <c r="W352" s="145"/>
      <c r="X352" s="145"/>
      <c r="Y352" s="228"/>
      <c r="Z352" s="227"/>
      <c r="AA352" s="145"/>
      <c r="AB352" s="145"/>
      <c r="AC352" s="228"/>
      <c r="AD352" s="227"/>
      <c r="AE352" s="145"/>
      <c r="AF352" s="145"/>
      <c r="AG352" s="145"/>
      <c r="AH352" s="227"/>
      <c r="AI352" s="145"/>
      <c r="AJ352" s="145"/>
      <c r="AK352" s="145"/>
      <c r="AL352" s="227"/>
      <c r="AM352" s="145"/>
      <c r="AN352" s="145"/>
      <c r="AO352" s="228"/>
      <c r="AP352" s="145"/>
      <c r="AQ352" s="145"/>
      <c r="AR352" s="145"/>
      <c r="AS352" s="145"/>
      <c r="AT352" s="145"/>
      <c r="AU352" s="145"/>
      <c r="AV352" s="145"/>
      <c r="AW352" s="145"/>
      <c r="AX352" s="145"/>
      <c r="AY352" s="145"/>
      <c r="AZ352" s="145"/>
      <c r="BA352" s="228"/>
      <c r="BB352" s="2114"/>
      <c r="BC352" s="2115"/>
      <c r="BD352" s="2115"/>
      <c r="BE352" s="2116"/>
      <c r="BF352" s="2117"/>
      <c r="BG352" s="1584"/>
      <c r="BH352" s="2115"/>
      <c r="BI352" s="2116"/>
      <c r="BJ352" s="2117"/>
      <c r="BK352" s="2115"/>
      <c r="BL352" s="2115"/>
      <c r="BM352" s="2115"/>
      <c r="BN352" s="2117"/>
      <c r="BO352" s="2115"/>
      <c r="BP352" s="2115"/>
      <c r="BQ352" s="2116"/>
      <c r="BR352" s="2115"/>
      <c r="BS352" s="2115"/>
      <c r="BT352" s="2144"/>
      <c r="BU352" s="2145"/>
      <c r="BV352" s="2146"/>
      <c r="BW352" s="1667"/>
      <c r="BX352" s="1667"/>
      <c r="BY352" s="2147"/>
      <c r="BZ352" s="2146"/>
      <c r="CA352" s="1667"/>
      <c r="CB352" s="1667"/>
      <c r="CC352" s="2147"/>
      <c r="CD352" s="9"/>
      <c r="CE352" s="145"/>
      <c r="CF352" s="145"/>
      <c r="CG352" s="145"/>
      <c r="CH352" s="145"/>
      <c r="CI352" s="145"/>
      <c r="CJ352" s="145"/>
      <c r="CK352" s="145"/>
      <c r="CL352" s="145"/>
      <c r="CM352" s="145"/>
      <c r="CN352" s="145"/>
      <c r="CO352" s="145"/>
      <c r="CP352" s="145"/>
      <c r="CQ352" s="145"/>
      <c r="CR352" s="141"/>
      <c r="CS352" s="141"/>
      <c r="CT352" s="141"/>
      <c r="CU352" s="141"/>
      <c r="CV352" s="141"/>
      <c r="CW352" s="141"/>
      <c r="CX352" s="141"/>
      <c r="CY352" s="141"/>
      <c r="CZ352" s="141"/>
      <c r="DA352" s="141"/>
      <c r="DB352" s="141"/>
      <c r="DC352" s="141"/>
      <c r="DD352" s="1517"/>
      <c r="DE352" s="1483"/>
      <c r="DF352" s="141"/>
      <c r="DG352" s="141"/>
      <c r="DH352" s="141"/>
      <c r="DI352" s="141"/>
      <c r="DJ352" s="141"/>
      <c r="DK352" s="141"/>
      <c r="DL352" s="141"/>
      <c r="DM352" s="141"/>
      <c r="DN352" s="141"/>
      <c r="DO352" s="141"/>
      <c r="DP352" s="141"/>
      <c r="DQ352" s="141"/>
      <c r="DR352" s="141"/>
      <c r="DS352" s="141"/>
      <c r="DT352" s="141"/>
      <c r="DU352" s="141"/>
      <c r="DV352" s="141"/>
      <c r="DW352" s="141"/>
      <c r="DX352" s="141"/>
      <c r="DY352" s="141"/>
      <c r="DZ352" s="1676"/>
      <c r="EA352"/>
      <c r="EB352"/>
      <c r="EC352"/>
      <c r="ED352"/>
      <c r="EE352"/>
      <c r="EF352"/>
    </row>
    <row r="353" spans="1:136" s="52" customFormat="1" hidden="1" outlineLevel="1">
      <c r="A353" s="338"/>
      <c r="B353" s="196"/>
      <c r="C353" s="578" t="s">
        <v>954</v>
      </c>
      <c r="D353" s="333"/>
      <c r="E353" s="578"/>
      <c r="F353" s="145"/>
      <c r="G353" s="145"/>
      <c r="H353" s="145"/>
      <c r="I353" s="228"/>
      <c r="J353" s="145"/>
      <c r="K353" s="145"/>
      <c r="L353" s="145"/>
      <c r="M353" s="228"/>
      <c r="N353" s="145"/>
      <c r="O353" s="145"/>
      <c r="P353" s="145"/>
      <c r="Q353" s="228"/>
      <c r="R353" s="145"/>
      <c r="S353" s="145"/>
      <c r="T353" s="145"/>
      <c r="U353" s="228"/>
      <c r="V353" s="227"/>
      <c r="W353" s="145"/>
      <c r="X353" s="145"/>
      <c r="Y353" s="228"/>
      <c r="Z353" s="227"/>
      <c r="AA353" s="145"/>
      <c r="AB353" s="145"/>
      <c r="AC353" s="228"/>
      <c r="AD353" s="227"/>
      <c r="AE353" s="145"/>
      <c r="AF353" s="145"/>
      <c r="AG353" s="145"/>
      <c r="AH353" s="227"/>
      <c r="AI353" s="145"/>
      <c r="AJ353" s="145"/>
      <c r="AK353" s="145"/>
      <c r="AL353" s="227"/>
      <c r="AM353" s="145"/>
      <c r="AN353" s="145"/>
      <c r="AO353" s="228"/>
      <c r="AP353" s="145"/>
      <c r="AQ353" s="145"/>
      <c r="AR353" s="145"/>
      <c r="AS353" s="145"/>
      <c r="AT353" s="145"/>
      <c r="AU353" s="145"/>
      <c r="AV353" s="145"/>
      <c r="AW353" s="145"/>
      <c r="AX353" s="145"/>
      <c r="AY353" s="145"/>
      <c r="AZ353" s="145"/>
      <c r="BA353" s="228"/>
      <c r="BB353" s="2101">
        <f>BB356*BB359/1000</f>
        <v>404.18400000000003</v>
      </c>
      <c r="BC353" s="2102">
        <f t="shared" ref="BC353:BR353" si="710">BC356*BC359/1000</f>
        <v>461.63441807999988</v>
      </c>
      <c r="BD353" s="2102">
        <f t="shared" si="710"/>
        <v>541.1948136942334</v>
      </c>
      <c r="BE353" s="2103">
        <f t="shared" si="710"/>
        <v>635.55534717199407</v>
      </c>
      <c r="BF353" s="2101">
        <f t="shared" si="710"/>
        <v>582.04667598856611</v>
      </c>
      <c r="BG353" s="2102">
        <f t="shared" si="710"/>
        <v>584.23533060689499</v>
      </c>
      <c r="BH353" s="2102">
        <f t="shared" si="710"/>
        <v>514.36874406965524</v>
      </c>
      <c r="BI353" s="2103">
        <f t="shared" si="710"/>
        <v>495.52638479915532</v>
      </c>
      <c r="BJ353" s="2101">
        <f t="shared" si="710"/>
        <v>570.52197262559287</v>
      </c>
      <c r="BK353" s="2102">
        <f t="shared" si="710"/>
        <v>615.96966243176689</v>
      </c>
      <c r="BL353" s="2102">
        <f t="shared" si="710"/>
        <v>567.04060666958605</v>
      </c>
      <c r="BM353" s="2102">
        <f t="shared" si="710"/>
        <v>566.15241616990784</v>
      </c>
      <c r="BN353" s="2101">
        <f t="shared" si="710"/>
        <v>592.48458854776129</v>
      </c>
      <c r="BO353" s="2102">
        <f t="shared" si="710"/>
        <v>595.19503734677858</v>
      </c>
      <c r="BP353" s="2102">
        <f t="shared" si="710"/>
        <v>562.36417780193597</v>
      </c>
      <c r="BQ353" s="2103">
        <f t="shared" si="710"/>
        <v>570.4400660550798</v>
      </c>
      <c r="BR353" s="2101">
        <f t="shared" si="710"/>
        <v>633.45185228645494</v>
      </c>
      <c r="BS353" s="2102">
        <f>BS356*BS359/1000</f>
        <v>598.72376772169002</v>
      </c>
      <c r="BT353" s="2102"/>
      <c r="BU353" s="2103"/>
      <c r="BV353" s="2101"/>
      <c r="BW353" s="2102"/>
      <c r="BX353" s="2102"/>
      <c r="BY353" s="2103"/>
      <c r="BZ353" s="2101"/>
      <c r="CA353" s="2102"/>
      <c r="CB353" s="2102"/>
      <c r="CC353" s="2103"/>
      <c r="CD353" s="9"/>
      <c r="CE353" s="145"/>
      <c r="CF353" s="145"/>
      <c r="CG353" s="145"/>
      <c r="CH353" s="145"/>
      <c r="CI353" s="145"/>
      <c r="CJ353" s="145"/>
      <c r="CK353" s="145"/>
      <c r="CL353" s="145"/>
      <c r="CM353" s="145"/>
      <c r="CN353" s="145"/>
      <c r="CO353" s="145"/>
      <c r="CP353" s="145"/>
      <c r="CQ353" s="2102">
        <f>SUM(BB353:BE353)</f>
        <v>2042.5685789462273</v>
      </c>
      <c r="CR353" s="2102">
        <f>SUM(BF353:BI353)</f>
        <v>2176.1771354642719</v>
      </c>
      <c r="CS353" s="2102">
        <f>SUM(BJ353:BM353)</f>
        <v>2319.6846578968534</v>
      </c>
      <c r="CT353" s="2102">
        <f>SUM(BN353:BQ353)</f>
        <v>2320.4838697515556</v>
      </c>
      <c r="CU353" s="2102">
        <f>SUM(BR353:BU353)</f>
        <v>1232.175620008145</v>
      </c>
      <c r="CV353" s="2102"/>
      <c r="CW353" s="2102"/>
      <c r="CX353" s="2102"/>
      <c r="CY353" s="2102"/>
      <c r="CZ353" s="2102"/>
      <c r="DA353" s="2102"/>
      <c r="DB353" s="2102"/>
      <c r="DC353" s="2102"/>
      <c r="DD353" s="1517"/>
      <c r="DE353" s="1483"/>
      <c r="DF353" s="141"/>
      <c r="DG353" s="141"/>
      <c r="DH353" s="141"/>
      <c r="DI353" s="141"/>
      <c r="DJ353" s="141"/>
      <c r="DK353" s="141"/>
      <c r="DL353" s="141"/>
      <c r="DM353" s="141"/>
      <c r="DN353" s="141"/>
      <c r="DO353" s="141"/>
      <c r="DP353" s="141"/>
      <c r="DQ353" s="141"/>
      <c r="DR353" s="141"/>
      <c r="DS353" s="141"/>
      <c r="DT353" s="141"/>
      <c r="DU353" s="141"/>
      <c r="DV353" s="141"/>
      <c r="DW353" s="141"/>
      <c r="DX353" s="141"/>
      <c r="DY353" s="141"/>
      <c r="DZ353" s="1676"/>
      <c r="EA353"/>
      <c r="EB353"/>
      <c r="EC353"/>
      <c r="ED353"/>
      <c r="EE353"/>
      <c r="EF353"/>
    </row>
    <row r="354" spans="1:136" s="52" customFormat="1" hidden="1" outlineLevel="1">
      <c r="A354" s="338"/>
      <c r="B354" s="196"/>
      <c r="C354" s="578"/>
      <c r="D354" s="1180" t="s">
        <v>76</v>
      </c>
      <c r="E354" s="578"/>
      <c r="F354" s="145"/>
      <c r="G354" s="145"/>
      <c r="H354" s="145"/>
      <c r="I354" s="228"/>
      <c r="J354" s="145"/>
      <c r="K354" s="145"/>
      <c r="L354" s="145"/>
      <c r="M354" s="228"/>
      <c r="N354" s="145"/>
      <c r="O354" s="145"/>
      <c r="P354" s="145"/>
      <c r="Q354" s="228"/>
      <c r="R354" s="145"/>
      <c r="S354" s="145"/>
      <c r="T354" s="145"/>
      <c r="U354" s="228"/>
      <c r="V354" s="227"/>
      <c r="W354" s="145"/>
      <c r="X354" s="145"/>
      <c r="Y354" s="228"/>
      <c r="Z354" s="227"/>
      <c r="AA354" s="145"/>
      <c r="AB354" s="145"/>
      <c r="AC354" s="228"/>
      <c r="AD354" s="227"/>
      <c r="AE354" s="145"/>
      <c r="AF354" s="145"/>
      <c r="AG354" s="145"/>
      <c r="AH354" s="227"/>
      <c r="AI354" s="145"/>
      <c r="AJ354" s="145"/>
      <c r="AK354" s="145"/>
      <c r="AL354" s="227"/>
      <c r="AM354" s="145"/>
      <c r="AN354" s="145"/>
      <c r="AO354" s="228"/>
      <c r="AP354" s="145"/>
      <c r="AQ354" s="145"/>
      <c r="AR354" s="145"/>
      <c r="AS354" s="145"/>
      <c r="AT354" s="145"/>
      <c r="AU354" s="145"/>
      <c r="AV354" s="145"/>
      <c r="AW354" s="145"/>
      <c r="AX354" s="145"/>
      <c r="AY354" s="145"/>
      <c r="AZ354" s="145"/>
      <c r="BA354" s="228"/>
      <c r="BB354" s="852"/>
      <c r="BC354" s="640"/>
      <c r="BD354" s="640"/>
      <c r="BE354" s="949"/>
      <c r="BF354" s="640">
        <f t="shared" ref="BF354:BS354" si="711">BF353/BB353-1</f>
        <v>0.440053727976778</v>
      </c>
      <c r="BG354" s="640">
        <f t="shared" si="711"/>
        <v>0.26558009482223821</v>
      </c>
      <c r="BH354" s="640">
        <f t="shared" si="711"/>
        <v>-4.9568231154067388E-2</v>
      </c>
      <c r="BI354" s="949">
        <f t="shared" si="711"/>
        <v>-0.22032536268622427</v>
      </c>
      <c r="BJ354" s="640">
        <f t="shared" si="711"/>
        <v>-1.9800307841977283E-2</v>
      </c>
      <c r="BK354" s="640">
        <f t="shared" si="711"/>
        <v>5.4317721237273853E-2</v>
      </c>
      <c r="BL354" s="640">
        <f t="shared" si="711"/>
        <v>0.10240097830049733</v>
      </c>
      <c r="BM354" s="640">
        <f t="shared" si="711"/>
        <v>0.14252728721877927</v>
      </c>
      <c r="BN354" s="2209">
        <f t="shared" si="711"/>
        <v>3.8495653061519253E-2</v>
      </c>
      <c r="BO354" s="640">
        <f t="shared" si="711"/>
        <v>-3.3726701738804543E-2</v>
      </c>
      <c r="BP354" s="640">
        <f t="shared" si="711"/>
        <v>-8.2470793319657787E-3</v>
      </c>
      <c r="BQ354" s="949">
        <f t="shared" si="711"/>
        <v>7.573313762711642E-3</v>
      </c>
      <c r="BR354" s="640">
        <f t="shared" si="711"/>
        <v>6.914485968168127E-2</v>
      </c>
      <c r="BS354" s="640">
        <f t="shared" si="711"/>
        <v>5.9286958954523072E-3</v>
      </c>
      <c r="BT354" s="640"/>
      <c r="BU354" s="949"/>
      <c r="BV354" s="640"/>
      <c r="BW354" s="640"/>
      <c r="BX354" s="640"/>
      <c r="BY354" s="949"/>
      <c r="BZ354" s="640"/>
      <c r="CA354" s="640"/>
      <c r="CB354" s="640"/>
      <c r="CC354" s="949"/>
      <c r="CD354" s="9"/>
      <c r="CE354" s="145"/>
      <c r="CF354" s="145"/>
      <c r="CG354" s="145"/>
      <c r="CH354" s="145"/>
      <c r="CI354" s="145"/>
      <c r="CJ354" s="145"/>
      <c r="CK354" s="145"/>
      <c r="CL354" s="145"/>
      <c r="CM354" s="145"/>
      <c r="CN354" s="145"/>
      <c r="CO354" s="145"/>
      <c r="CP354" s="145"/>
      <c r="CQ354" s="145"/>
      <c r="CR354" s="640">
        <f>CR353/CQ353-1</f>
        <v>6.5412029684200013E-2</v>
      </c>
      <c r="CS354" s="1471">
        <f>CS353/CR353-1</f>
        <v>6.594477999694881E-2</v>
      </c>
      <c r="CT354" s="1471">
        <f>CT353/CS353-1</f>
        <v>3.4453469870632247E-4</v>
      </c>
      <c r="CU354" s="1471">
        <f>CU353/CT353-1</f>
        <v>-0.46900056661886269</v>
      </c>
      <c r="CV354" s="1471"/>
      <c r="CW354" s="1471"/>
      <c r="CX354" s="1471"/>
      <c r="CY354" s="1471"/>
      <c r="CZ354" s="1471"/>
      <c r="DA354" s="1471"/>
      <c r="DB354" s="1471"/>
      <c r="DC354" s="1471"/>
      <c r="DD354" s="1517"/>
      <c r="DE354" s="1483"/>
      <c r="DF354" s="141"/>
      <c r="DG354" s="141"/>
      <c r="DH354" s="141"/>
      <c r="DI354" s="141"/>
      <c r="DJ354" s="141"/>
      <c r="DK354" s="141"/>
      <c r="DL354" s="141"/>
      <c r="DM354" s="141"/>
      <c r="DN354" s="141"/>
      <c r="DO354" s="141"/>
      <c r="DP354" s="141"/>
      <c r="DQ354" s="141"/>
      <c r="DR354" s="141"/>
      <c r="DS354" s="141"/>
      <c r="DT354" s="141"/>
      <c r="DU354" s="141"/>
      <c r="DV354" s="141"/>
      <c r="DW354" s="141"/>
      <c r="DX354" s="141"/>
      <c r="DY354" s="141"/>
      <c r="DZ354" s="1676"/>
      <c r="EA354"/>
      <c r="EB354"/>
      <c r="EC354"/>
      <c r="ED354"/>
      <c r="EE354"/>
      <c r="EF354"/>
    </row>
    <row r="355" spans="1:136" s="52" customFormat="1" hidden="1" outlineLevel="1">
      <c r="A355" s="338"/>
      <c r="B355" s="196"/>
      <c r="C355" s="578"/>
      <c r="D355" s="333" t="s">
        <v>77</v>
      </c>
      <c r="E355" s="578"/>
      <c r="F355" s="145"/>
      <c r="G355" s="145"/>
      <c r="H355" s="145"/>
      <c r="I355" s="228"/>
      <c r="J355" s="145"/>
      <c r="K355" s="145"/>
      <c r="L355" s="145"/>
      <c r="M355" s="228"/>
      <c r="N355" s="145"/>
      <c r="O355" s="145"/>
      <c r="P355" s="145"/>
      <c r="Q355" s="228"/>
      <c r="R355" s="145"/>
      <c r="S355" s="145"/>
      <c r="T355" s="145"/>
      <c r="U355" s="228"/>
      <c r="V355" s="227"/>
      <c r="W355" s="145"/>
      <c r="X355" s="145"/>
      <c r="Y355" s="228"/>
      <c r="Z355" s="227"/>
      <c r="AA355" s="145"/>
      <c r="AB355" s="145"/>
      <c r="AC355" s="228"/>
      <c r="AD355" s="227"/>
      <c r="AE355" s="145"/>
      <c r="AF355" s="145"/>
      <c r="AG355" s="145"/>
      <c r="AH355" s="227"/>
      <c r="AI355" s="145"/>
      <c r="AJ355" s="145"/>
      <c r="AK355" s="145"/>
      <c r="AL355" s="227"/>
      <c r="AM355" s="145"/>
      <c r="AN355" s="145"/>
      <c r="AO355" s="228"/>
      <c r="AP355" s="145"/>
      <c r="AQ355" s="145"/>
      <c r="AR355" s="145"/>
      <c r="AS355" s="145"/>
      <c r="AT355" s="145"/>
      <c r="AU355" s="145"/>
      <c r="AV355" s="145"/>
      <c r="AW355" s="145"/>
      <c r="AX355" s="145"/>
      <c r="AY355" s="145"/>
      <c r="AZ355" s="145"/>
      <c r="BA355" s="228"/>
      <c r="BB355" s="852"/>
      <c r="BC355" s="852">
        <f t="shared" ref="BC355:BS355" si="712">BC353/BB353-1</f>
        <v>0.14213926845199176</v>
      </c>
      <c r="BD355" s="852">
        <f t="shared" si="712"/>
        <v>0.17234502562684995</v>
      </c>
      <c r="BE355" s="851">
        <f t="shared" si="712"/>
        <v>0.17435594556727008</v>
      </c>
      <c r="BF355" s="852">
        <f t="shared" si="712"/>
        <v>-8.419199275330369E-2</v>
      </c>
      <c r="BG355" s="852">
        <f t="shared" si="712"/>
        <v>3.7602733743158367E-3</v>
      </c>
      <c r="BH355" s="852">
        <f t="shared" si="712"/>
        <v>-0.11958637705916109</v>
      </c>
      <c r="BI355" s="851">
        <f t="shared" si="712"/>
        <v>-3.6632006683416041E-2</v>
      </c>
      <c r="BJ355" s="852">
        <f t="shared" si="712"/>
        <v>0.15134529689440135</v>
      </c>
      <c r="BK355" s="852">
        <f t="shared" si="712"/>
        <v>7.9659841315172786E-2</v>
      </c>
      <c r="BL355" s="852">
        <f t="shared" si="712"/>
        <v>-7.9434197406760942E-2</v>
      </c>
      <c r="BM355" s="852">
        <f t="shared" si="712"/>
        <v>-1.5663613667720178E-3</v>
      </c>
      <c r="BN355" s="850">
        <f t="shared" si="712"/>
        <v>4.651074803494426E-2</v>
      </c>
      <c r="BO355" s="852">
        <f t="shared" si="712"/>
        <v>4.5747161215803356E-3</v>
      </c>
      <c r="BP355" s="852">
        <f t="shared" si="712"/>
        <v>-5.5159834146457087E-2</v>
      </c>
      <c r="BQ355" s="851">
        <f t="shared" si="712"/>
        <v>1.4360602207468709E-2</v>
      </c>
      <c r="BR355" s="852">
        <f t="shared" si="712"/>
        <v>0.11046171189751419</v>
      </c>
      <c r="BS355" s="852">
        <f t="shared" si="712"/>
        <v>-5.4823558316884458E-2</v>
      </c>
      <c r="BT355" s="852"/>
      <c r="BU355" s="851"/>
      <c r="BV355" s="852"/>
      <c r="BW355" s="852"/>
      <c r="BX355" s="852"/>
      <c r="BY355" s="851"/>
      <c r="BZ355" s="852"/>
      <c r="CA355" s="852"/>
      <c r="CB355" s="852"/>
      <c r="CC355" s="851"/>
      <c r="CD355" s="9"/>
      <c r="CE355" s="145"/>
      <c r="CF355" s="145"/>
      <c r="CG355" s="145"/>
      <c r="CH355" s="145"/>
      <c r="CI355" s="145"/>
      <c r="CJ355" s="145"/>
      <c r="CK355" s="145"/>
      <c r="CL355" s="145"/>
      <c r="CM355" s="145"/>
      <c r="CN355" s="145"/>
      <c r="CO355" s="145"/>
      <c r="CP355" s="145"/>
      <c r="CQ355" s="145"/>
      <c r="CR355" s="141"/>
      <c r="CS355" s="141"/>
      <c r="CT355" s="141"/>
      <c r="CU355" s="141"/>
      <c r="CV355" s="141"/>
      <c r="CW355" s="141"/>
      <c r="CX355" s="141"/>
      <c r="CY355" s="141"/>
      <c r="CZ355" s="141"/>
      <c r="DA355" s="141"/>
      <c r="DB355" s="141"/>
      <c r="DC355" s="141"/>
      <c r="DD355" s="1517"/>
      <c r="DE355" s="1483"/>
      <c r="DF355" s="141"/>
      <c r="DG355" s="141"/>
      <c r="DH355" s="141"/>
      <c r="DI355" s="141"/>
      <c r="DJ355" s="141"/>
      <c r="DK355" s="141"/>
      <c r="DL355" s="141"/>
      <c r="DM355" s="141"/>
      <c r="DN355" s="141"/>
      <c r="DO355" s="141"/>
      <c r="DP355" s="141"/>
      <c r="DQ355" s="141"/>
      <c r="DR355" s="141"/>
      <c r="DS355" s="141"/>
      <c r="DT355" s="141"/>
      <c r="DU355" s="141"/>
      <c r="DV355" s="141"/>
      <c r="DW355" s="141"/>
      <c r="DX355" s="141"/>
      <c r="DY355" s="141"/>
      <c r="DZ355" s="1676"/>
      <c r="EA355"/>
      <c r="EB355"/>
      <c r="EC355"/>
      <c r="ED355"/>
      <c r="EE355"/>
      <c r="EF355"/>
    </row>
    <row r="356" spans="1:136" s="52" customFormat="1" hidden="1" outlineLevel="1">
      <c r="A356" s="338"/>
      <c r="B356" s="196"/>
      <c r="C356" s="578" t="s">
        <v>805</v>
      </c>
      <c r="D356" s="333"/>
      <c r="E356" s="578"/>
      <c r="F356" s="145"/>
      <c r="G356" s="145"/>
      <c r="H356" s="145"/>
      <c r="I356" s="228"/>
      <c r="J356" s="145"/>
      <c r="K356" s="145"/>
      <c r="L356" s="145"/>
      <c r="M356" s="228"/>
      <c r="N356" s="145"/>
      <c r="O356" s="145"/>
      <c r="P356" s="145"/>
      <c r="Q356" s="228"/>
      <c r="R356" s="145"/>
      <c r="S356" s="145"/>
      <c r="T356" s="145"/>
      <c r="U356" s="228"/>
      <c r="V356" s="227"/>
      <c r="W356" s="145"/>
      <c r="X356" s="145"/>
      <c r="Y356" s="228"/>
      <c r="Z356" s="227"/>
      <c r="AA356" s="145"/>
      <c r="AB356" s="145"/>
      <c r="AC356" s="228"/>
      <c r="AD356" s="227"/>
      <c r="AE356" s="145"/>
      <c r="AF356" s="145"/>
      <c r="AG356" s="145"/>
      <c r="AH356" s="227"/>
      <c r="AI356" s="145"/>
      <c r="AJ356" s="145"/>
      <c r="AK356" s="145"/>
      <c r="AL356" s="227"/>
      <c r="AM356" s="145"/>
      <c r="AN356" s="145"/>
      <c r="AO356" s="228"/>
      <c r="AP356" s="145"/>
      <c r="AQ356" s="145"/>
      <c r="AR356" s="145"/>
      <c r="AS356" s="145"/>
      <c r="AT356" s="145"/>
      <c r="AU356" s="145"/>
      <c r="AV356" s="145"/>
      <c r="AW356" s="145"/>
      <c r="AX356" s="145"/>
      <c r="AY356" s="145"/>
      <c r="AZ356" s="145"/>
      <c r="BA356" s="228"/>
      <c r="BB356" s="2104">
        <f>5988-BB346</f>
        <v>3062</v>
      </c>
      <c r="BC356" s="2105">
        <f>6633-BC346</f>
        <v>3472.9199999999996</v>
      </c>
      <c r="BD356" s="2105">
        <f>7211-BD346</f>
        <v>3987.7183999999997</v>
      </c>
      <c r="BE356" s="2106">
        <f>7897-BE346</f>
        <v>4609.2527680000003</v>
      </c>
      <c r="BF356" s="2122">
        <f>7771-BF346</f>
        <v>4351.7428787199997</v>
      </c>
      <c r="BG356" s="1336">
        <f>7783-BG346</f>
        <v>4363.7428787199997</v>
      </c>
      <c r="BH356" s="2105">
        <f>7129-BH346</f>
        <v>3880.705734784</v>
      </c>
      <c r="BI356" s="2106">
        <f>7098-BI346</f>
        <v>3882.1886774361601</v>
      </c>
      <c r="BJ356" s="2104">
        <f>7763-BJ346</f>
        <v>4386.3981113079681</v>
      </c>
      <c r="BK356" s="2105">
        <f>8041-BK346</f>
        <v>4647.5151018645083</v>
      </c>
      <c r="BL356" s="2105">
        <f>7519-BL346</f>
        <v>4074.6128283924763</v>
      </c>
      <c r="BM356" s="2105">
        <f>7199-BM346</f>
        <v>3961.2760586889281</v>
      </c>
      <c r="BN356" s="2104">
        <f>7185-BN346</f>
        <v>4044.4077769282603</v>
      </c>
      <c r="BO356" s="2105">
        <f>7008-BO346</f>
        <v>4150.0610770047169</v>
      </c>
      <c r="BP356" s="2105">
        <f>6390-BP346</f>
        <v>3960.7519154540096</v>
      </c>
      <c r="BQ356" s="2106">
        <f>5994-BQ346</f>
        <v>3881.7687904872614</v>
      </c>
      <c r="BR356" s="2104">
        <f>6465-BR346</f>
        <v>4226.0349179164969</v>
      </c>
      <c r="BS356" s="2105">
        <f>6382-BS346</f>
        <v>4075.8659654539915</v>
      </c>
      <c r="BT356" s="2105"/>
      <c r="BU356" s="1696"/>
      <c r="BV356" s="1695"/>
      <c r="BW356" s="1695"/>
      <c r="BX356" s="374"/>
      <c r="BY356" s="1696"/>
      <c r="BZ356" s="1695"/>
      <c r="CA356" s="1695"/>
      <c r="CB356" s="374"/>
      <c r="CC356" s="1696"/>
      <c r="CD356" s="9"/>
      <c r="CE356" s="145"/>
      <c r="CF356" s="145"/>
      <c r="CG356" s="145"/>
      <c r="CH356" s="145"/>
      <c r="CI356" s="145"/>
      <c r="CJ356" s="145"/>
      <c r="CK356" s="145"/>
      <c r="CL356" s="145"/>
      <c r="CM356" s="145"/>
      <c r="CN356" s="145"/>
      <c r="CO356" s="145"/>
      <c r="CP356" s="145"/>
      <c r="CQ356" s="1695">
        <f>SUM(BB356:BE356)</f>
        <v>15131.891168</v>
      </c>
      <c r="CR356" s="1695">
        <f>SUM(BF356:BI356)</f>
        <v>16478.380169660159</v>
      </c>
      <c r="CS356" s="1695">
        <f>SUM(BJ356:BM356)</f>
        <v>17069.802100253881</v>
      </c>
      <c r="CT356" s="1695">
        <f>SUM(BN356:BQ356)</f>
        <v>16036.989559874248</v>
      </c>
      <c r="CU356" s="1695">
        <f>SUM(BR356:BU356)</f>
        <v>8301.9008833704884</v>
      </c>
      <c r="CV356" s="1695"/>
      <c r="CW356" s="1695"/>
      <c r="CX356" s="1695"/>
      <c r="CY356" s="1695"/>
      <c r="CZ356" s="1695"/>
      <c r="DA356" s="1695"/>
      <c r="DB356" s="1695"/>
      <c r="DC356" s="1695"/>
      <c r="DD356" s="1517"/>
      <c r="DE356" s="1483"/>
      <c r="DF356" s="141"/>
      <c r="DG356" s="141"/>
      <c r="DH356" s="141"/>
      <c r="DI356" s="141"/>
      <c r="DJ356" s="141"/>
      <c r="DK356" s="141"/>
      <c r="DL356" s="141"/>
      <c r="DM356" s="141"/>
      <c r="DN356" s="141"/>
      <c r="DO356" s="141"/>
      <c r="DP356" s="141"/>
      <c r="DQ356" s="141"/>
      <c r="DR356" s="141"/>
      <c r="DS356" s="141"/>
      <c r="DT356" s="141"/>
      <c r="DU356" s="141"/>
      <c r="DV356" s="141"/>
      <c r="DW356" s="141"/>
      <c r="DX356" s="141"/>
      <c r="DY356" s="141"/>
      <c r="DZ356" s="1676"/>
      <c r="EA356"/>
      <c r="EB356"/>
      <c r="EC356"/>
      <c r="ED356"/>
      <c r="EE356"/>
      <c r="EF356"/>
    </row>
    <row r="357" spans="1:136" s="52" customFormat="1" hidden="1" outlineLevel="1">
      <c r="A357" s="338"/>
      <c r="B357" s="196"/>
      <c r="C357" s="578"/>
      <c r="D357" s="1180" t="s">
        <v>76</v>
      </c>
      <c r="E357" s="578"/>
      <c r="F357" s="145"/>
      <c r="G357" s="145"/>
      <c r="H357" s="145"/>
      <c r="I357" s="228"/>
      <c r="J357" s="145"/>
      <c r="K357" s="145"/>
      <c r="L357" s="145"/>
      <c r="M357" s="228"/>
      <c r="N357" s="145"/>
      <c r="O357" s="145"/>
      <c r="P357" s="145"/>
      <c r="Q357" s="228"/>
      <c r="R357" s="145"/>
      <c r="S357" s="145"/>
      <c r="T357" s="145"/>
      <c r="U357" s="228"/>
      <c r="V357" s="227"/>
      <c r="W357" s="145"/>
      <c r="X357" s="145"/>
      <c r="Y357" s="228"/>
      <c r="Z357" s="227"/>
      <c r="AA357" s="145"/>
      <c r="AB357" s="145"/>
      <c r="AC357" s="228"/>
      <c r="AD357" s="227"/>
      <c r="AE357" s="145"/>
      <c r="AF357" s="145"/>
      <c r="AG357" s="145"/>
      <c r="AH357" s="227"/>
      <c r="AI357" s="145"/>
      <c r="AJ357" s="145"/>
      <c r="AK357" s="145"/>
      <c r="AL357" s="227"/>
      <c r="AM357" s="145"/>
      <c r="AN357" s="145"/>
      <c r="AO357" s="228"/>
      <c r="AP357" s="145"/>
      <c r="AQ357" s="145"/>
      <c r="AR357" s="145"/>
      <c r="AS357" s="145"/>
      <c r="AT357" s="145"/>
      <c r="AU357" s="145"/>
      <c r="AV357" s="145"/>
      <c r="AW357" s="145"/>
      <c r="AX357" s="145"/>
      <c r="AY357" s="145"/>
      <c r="AZ357" s="145"/>
      <c r="BA357" s="228"/>
      <c r="BB357" s="497"/>
      <c r="BC357" s="492"/>
      <c r="BD357" s="492"/>
      <c r="BE357" s="493"/>
      <c r="BF357" s="497">
        <f t="shared" ref="BF357:BS357" si="713">BF356/BB356-1</f>
        <v>0.42120930069235785</v>
      </c>
      <c r="BG357" s="436">
        <f t="shared" si="713"/>
        <v>0.25650544173778833</v>
      </c>
      <c r="BH357" s="492">
        <f t="shared" si="713"/>
        <v>-2.6835562214222453E-2</v>
      </c>
      <c r="BI357" s="493">
        <f t="shared" si="713"/>
        <v>-0.15774012126467096</v>
      </c>
      <c r="BJ357" s="497">
        <f t="shared" si="713"/>
        <v>7.9635294533213496E-3</v>
      </c>
      <c r="BK357" s="492">
        <f t="shared" si="713"/>
        <v>6.5029547118446773E-2</v>
      </c>
      <c r="BL357" s="492">
        <f t="shared" si="713"/>
        <v>4.9966966541787894E-2</v>
      </c>
      <c r="BM357" s="492">
        <f t="shared" si="713"/>
        <v>2.0371854081290497E-2</v>
      </c>
      <c r="BN357" s="497">
        <f t="shared" si="713"/>
        <v>-7.7966095575791372E-2</v>
      </c>
      <c r="BO357" s="492">
        <f t="shared" si="713"/>
        <v>-0.1070365590980481</v>
      </c>
      <c r="BP357" s="492">
        <f t="shared" si="713"/>
        <v>-2.7943983326481403E-2</v>
      </c>
      <c r="BQ357" s="493">
        <f t="shared" si="713"/>
        <v>-2.0071125320152872E-2</v>
      </c>
      <c r="BR357" s="497">
        <f t="shared" si="713"/>
        <v>4.4908216729368178E-2</v>
      </c>
      <c r="BS357" s="492">
        <f t="shared" si="713"/>
        <v>-1.7878077014778615E-2</v>
      </c>
      <c r="BT357" s="640"/>
      <c r="BU357" s="949"/>
      <c r="BV357" s="640"/>
      <c r="BW357" s="640"/>
      <c r="BX357" s="640"/>
      <c r="BY357" s="949"/>
      <c r="BZ357" s="640"/>
      <c r="CA357" s="640"/>
      <c r="CB357" s="640"/>
      <c r="CC357" s="949"/>
      <c r="CD357" s="9"/>
      <c r="CE357" s="145"/>
      <c r="CF357" s="145"/>
      <c r="CG357" s="145"/>
      <c r="CH357" s="145"/>
      <c r="CI357" s="145"/>
      <c r="CJ357" s="145"/>
      <c r="CK357" s="145"/>
      <c r="CL357" s="145"/>
      <c r="CM357" s="145"/>
      <c r="CN357" s="145"/>
      <c r="CO357" s="145"/>
      <c r="CP357" s="145"/>
      <c r="CQ357" s="145"/>
      <c r="CR357" s="640">
        <f>CR356/CQ356-1</f>
        <v>8.8983524049368823E-2</v>
      </c>
      <c r="CS357" s="1471">
        <f>CS356/CR356-1</f>
        <v>3.5890780799112898E-2</v>
      </c>
      <c r="CT357" s="1471">
        <f>CT356/CS356-1</f>
        <v>-6.0505243957355015E-2</v>
      </c>
      <c r="CU357" s="1471">
        <f>CU356/CT356-1</f>
        <v>-0.48232797356540857</v>
      </c>
      <c r="CV357" s="1471"/>
      <c r="CW357" s="495"/>
      <c r="CX357" s="495"/>
      <c r="CY357" s="495"/>
      <c r="CZ357" s="495"/>
      <c r="DA357" s="495"/>
      <c r="DB357" s="495"/>
      <c r="DC357" s="495"/>
      <c r="DD357" s="1517"/>
      <c r="DE357" s="1483"/>
      <c r="DF357" s="141"/>
      <c r="DG357" s="141"/>
      <c r="DH357" s="141"/>
      <c r="DI357" s="141"/>
      <c r="DJ357" s="141"/>
      <c r="DK357" s="141"/>
      <c r="DL357" s="141"/>
      <c r="DM357" s="141"/>
      <c r="DN357" s="141"/>
      <c r="DO357" s="141"/>
      <c r="DP357" s="141"/>
      <c r="DQ357" s="141"/>
      <c r="DR357" s="141"/>
      <c r="DS357" s="141"/>
      <c r="DT357" s="141"/>
      <c r="DU357" s="141"/>
      <c r="DV357" s="141"/>
      <c r="DW357" s="141"/>
      <c r="DX357" s="141"/>
      <c r="DY357" s="141"/>
      <c r="DZ357" s="1676"/>
      <c r="EA357"/>
      <c r="EB357"/>
      <c r="EC357"/>
      <c r="ED357"/>
      <c r="EE357"/>
      <c r="EF357"/>
    </row>
    <row r="358" spans="1:136" s="52" customFormat="1" hidden="1" outlineLevel="1">
      <c r="A358" s="338"/>
      <c r="B358" s="196"/>
      <c r="C358" s="578"/>
      <c r="D358" s="333" t="s">
        <v>77</v>
      </c>
      <c r="E358" s="578"/>
      <c r="F358" s="145"/>
      <c r="G358" s="145"/>
      <c r="H358" s="145"/>
      <c r="I358" s="228"/>
      <c r="J358" s="145"/>
      <c r="K358" s="145"/>
      <c r="L358" s="145"/>
      <c r="M358" s="228"/>
      <c r="N358" s="145"/>
      <c r="O358" s="145"/>
      <c r="P358" s="145"/>
      <c r="Q358" s="228"/>
      <c r="R358" s="145"/>
      <c r="S358" s="145"/>
      <c r="T358" s="145"/>
      <c r="U358" s="228"/>
      <c r="V358" s="227"/>
      <c r="W358" s="145"/>
      <c r="X358" s="145"/>
      <c r="Y358" s="228"/>
      <c r="Z358" s="227"/>
      <c r="AA358" s="145"/>
      <c r="AB358" s="145"/>
      <c r="AC358" s="228"/>
      <c r="AD358" s="227"/>
      <c r="AE358" s="145"/>
      <c r="AF358" s="145"/>
      <c r="AG358" s="145"/>
      <c r="AH358" s="227"/>
      <c r="AI358" s="145"/>
      <c r="AJ358" s="145"/>
      <c r="AK358" s="145"/>
      <c r="AL358" s="227"/>
      <c r="AM358" s="145"/>
      <c r="AN358" s="145"/>
      <c r="AO358" s="228"/>
      <c r="AP358" s="145"/>
      <c r="AQ358" s="145"/>
      <c r="AR358" s="145"/>
      <c r="AS358" s="145"/>
      <c r="AT358" s="145"/>
      <c r="AU358" s="145"/>
      <c r="AV358" s="145"/>
      <c r="AW358" s="145"/>
      <c r="AX358" s="145"/>
      <c r="AY358" s="145"/>
      <c r="AZ358" s="145"/>
      <c r="BA358" s="228"/>
      <c r="BB358" s="497"/>
      <c r="BC358" s="492">
        <f t="shared" ref="BC358:BL358" si="714">BC356/BB356-1</f>
        <v>0.13419986936642703</v>
      </c>
      <c r="BD358" s="492">
        <f t="shared" si="714"/>
        <v>0.1482321504670423</v>
      </c>
      <c r="BE358" s="492">
        <f t="shared" si="714"/>
        <v>0.1558621511488878</v>
      </c>
      <c r="BF358" s="497">
        <f t="shared" si="714"/>
        <v>-5.5868033766292347E-2</v>
      </c>
      <c r="BG358" s="436">
        <f t="shared" si="714"/>
        <v>2.7575158584576265E-3</v>
      </c>
      <c r="BH358" s="492">
        <f t="shared" si="714"/>
        <v>-0.110693310160769</v>
      </c>
      <c r="BI358" s="492">
        <f t="shared" si="714"/>
        <v>3.8213220829086403E-4</v>
      </c>
      <c r="BJ358" s="497">
        <f t="shared" si="714"/>
        <v>0.12987762207497688</v>
      </c>
      <c r="BK358" s="436">
        <f t="shared" si="714"/>
        <v>5.952879422489965E-2</v>
      </c>
      <c r="BL358" s="436">
        <f t="shared" si="714"/>
        <v>-0.12327066419691524</v>
      </c>
      <c r="BM358" s="492">
        <v>-2.35E-2</v>
      </c>
      <c r="BN358" s="497">
        <f>BN356/BM356-1</f>
        <v>2.0986095643848346E-2</v>
      </c>
      <c r="BO358" s="436">
        <f>BO356/BN356-1</f>
        <v>2.6123305537875563E-2</v>
      </c>
      <c r="BP358" s="436">
        <f>BP356/BO356-1</f>
        <v>-4.5615994087330414E-2</v>
      </c>
      <c r="BQ358" s="499">
        <v>-0.02</v>
      </c>
      <c r="BR358" s="497">
        <f>BR356/BQ356-1</f>
        <v>8.8687952840700079E-2</v>
      </c>
      <c r="BS358" s="492">
        <f>BS356/BR356-1</f>
        <v>-3.5534243180494363E-2</v>
      </c>
      <c r="BT358" s="495"/>
      <c r="BU358" s="499"/>
      <c r="BV358" s="495"/>
      <c r="BW358" s="495"/>
      <c r="BX358" s="495"/>
      <c r="BY358" s="499"/>
      <c r="BZ358" s="495"/>
      <c r="CA358" s="495"/>
      <c r="CB358" s="495"/>
      <c r="CC358" s="499"/>
      <c r="CD358" s="9"/>
      <c r="CE358" s="145"/>
      <c r="CF358" s="145"/>
      <c r="CG358" s="145"/>
      <c r="CH358" s="145"/>
      <c r="CI358" s="145"/>
      <c r="CJ358" s="145"/>
      <c r="CK358" s="145"/>
      <c r="CL358" s="145"/>
      <c r="CM358" s="145"/>
      <c r="CN358" s="145"/>
      <c r="CO358" s="145"/>
      <c r="CP358" s="145"/>
      <c r="CQ358" s="145"/>
      <c r="CR358" s="141"/>
      <c r="CS358" s="141"/>
      <c r="CT358" s="141"/>
      <c r="CU358" s="141"/>
      <c r="CV358" s="141"/>
      <c r="CW358" s="141"/>
      <c r="CX358" s="141"/>
      <c r="CY358" s="141"/>
      <c r="CZ358" s="141"/>
      <c r="DA358" s="141"/>
      <c r="DB358" s="141"/>
      <c r="DC358" s="141"/>
      <c r="DD358" s="1517"/>
      <c r="DE358" s="1483"/>
      <c r="DF358" s="141"/>
      <c r="DG358" s="141"/>
      <c r="DH358" s="141"/>
      <c r="DI358" s="141"/>
      <c r="DJ358" s="141"/>
      <c r="DK358" s="141"/>
      <c r="DL358" s="141"/>
      <c r="DM358" s="141"/>
      <c r="DN358" s="141"/>
      <c r="DO358" s="141"/>
      <c r="DP358" s="141"/>
      <c r="DQ358" s="141"/>
      <c r="DR358" s="141"/>
      <c r="DS358" s="141"/>
      <c r="DT358" s="141"/>
      <c r="DU358" s="141"/>
      <c r="DV358" s="141"/>
      <c r="DW358" s="141"/>
      <c r="DX358" s="141"/>
      <c r="DY358" s="141"/>
      <c r="DZ358" s="1676"/>
      <c r="EA358"/>
      <c r="EB358"/>
      <c r="EC358"/>
      <c r="ED358"/>
      <c r="EE358"/>
      <c r="EF358"/>
    </row>
    <row r="359" spans="1:136" s="52" customFormat="1" hidden="1" outlineLevel="1">
      <c r="A359" s="338"/>
      <c r="B359" s="196"/>
      <c r="C359" s="578" t="s">
        <v>806</v>
      </c>
      <c r="D359" s="333"/>
      <c r="E359" s="578"/>
      <c r="F359" s="145"/>
      <c r="G359" s="145"/>
      <c r="H359" s="145"/>
      <c r="I359" s="228"/>
      <c r="J359" s="145"/>
      <c r="K359" s="145"/>
      <c r="L359" s="145"/>
      <c r="M359" s="228"/>
      <c r="N359" s="145"/>
      <c r="O359" s="145"/>
      <c r="P359" s="145"/>
      <c r="Q359" s="228"/>
      <c r="R359" s="145"/>
      <c r="S359" s="145"/>
      <c r="T359" s="145"/>
      <c r="U359" s="228"/>
      <c r="V359" s="227"/>
      <c r="W359" s="145"/>
      <c r="X359" s="145"/>
      <c r="Y359" s="228"/>
      <c r="Z359" s="227"/>
      <c r="AA359" s="145"/>
      <c r="AB359" s="145"/>
      <c r="AC359" s="228"/>
      <c r="AD359" s="227"/>
      <c r="AE359" s="145"/>
      <c r="AF359" s="145"/>
      <c r="AG359" s="145"/>
      <c r="AH359" s="227"/>
      <c r="AI359" s="145"/>
      <c r="AJ359" s="145"/>
      <c r="AK359" s="145"/>
      <c r="AL359" s="227"/>
      <c r="AM359" s="145"/>
      <c r="AN359" s="145"/>
      <c r="AO359" s="228"/>
      <c r="AP359" s="145"/>
      <c r="AQ359" s="145"/>
      <c r="AR359" s="145"/>
      <c r="AS359" s="145"/>
      <c r="AT359" s="145"/>
      <c r="AU359" s="145"/>
      <c r="AV359" s="145"/>
      <c r="AW359" s="145"/>
      <c r="AX359" s="145"/>
      <c r="AY359" s="145"/>
      <c r="AZ359" s="145"/>
      <c r="BA359" s="228"/>
      <c r="BB359" s="2109">
        <v>132</v>
      </c>
      <c r="BC359" s="2110">
        <f t="shared" ref="BC359:BS359" si="715">BB359*(1+BC361)</f>
        <v>132.92399999999998</v>
      </c>
      <c r="BD359" s="2110">
        <f t="shared" si="715"/>
        <v>135.71540399999998</v>
      </c>
      <c r="BE359" s="2111">
        <f t="shared" si="715"/>
        <v>137.88685046399999</v>
      </c>
      <c r="BF359" s="2112">
        <f t="shared" si="715"/>
        <v>133.75024495007997</v>
      </c>
      <c r="BG359" s="2113">
        <f t="shared" si="715"/>
        <v>133.88399519503005</v>
      </c>
      <c r="BH359" s="2110">
        <f t="shared" si="715"/>
        <v>132.54515524307976</v>
      </c>
      <c r="BI359" s="2111">
        <f t="shared" si="715"/>
        <v>127.6409844990858</v>
      </c>
      <c r="BJ359" s="2112">
        <f t="shared" si="715"/>
        <v>130.06616320456843</v>
      </c>
      <c r="BK359" s="2110">
        <f t="shared" si="715"/>
        <v>132.53742030545521</v>
      </c>
      <c r="BL359" s="2110">
        <f t="shared" si="715"/>
        <v>139.16429132072798</v>
      </c>
      <c r="BM359" s="2110">
        <f t="shared" si="715"/>
        <v>142.92172718638761</v>
      </c>
      <c r="BN359" s="2112">
        <f t="shared" si="715"/>
        <v>146.49477036604731</v>
      </c>
      <c r="BO359" s="2110">
        <f t="shared" si="715"/>
        <v>143.41838018836032</v>
      </c>
      <c r="BP359" s="2110">
        <f t="shared" si="715"/>
        <v>141.98419638647673</v>
      </c>
      <c r="BQ359" s="2111">
        <f t="shared" si="715"/>
        <v>146.95364326000339</v>
      </c>
      <c r="BR359" s="2110">
        <f t="shared" si="715"/>
        <v>149.89271612520346</v>
      </c>
      <c r="BS359" s="2110">
        <f t="shared" si="715"/>
        <v>146.89486180269938</v>
      </c>
      <c r="BT359" s="2110"/>
      <c r="BU359" s="2111"/>
      <c r="BV359" s="2112"/>
      <c r="BW359" s="2110"/>
      <c r="BX359" s="2110"/>
      <c r="BY359" s="2111"/>
      <c r="BZ359" s="2112"/>
      <c r="CA359" s="2110"/>
      <c r="CB359" s="2110"/>
      <c r="CC359" s="2111"/>
      <c r="CD359" s="9"/>
      <c r="CE359" s="145"/>
      <c r="CF359" s="145"/>
      <c r="CG359" s="145"/>
      <c r="CH359" s="145"/>
      <c r="CI359" s="145"/>
      <c r="CJ359" s="145"/>
      <c r="CK359" s="145"/>
      <c r="CL359" s="145"/>
      <c r="CM359" s="145"/>
      <c r="CN359" s="145"/>
      <c r="CO359" s="145"/>
      <c r="CP359" s="145"/>
      <c r="CQ359" s="2110">
        <f>CQ353/CQ356*1000</f>
        <v>134.9843556412649</v>
      </c>
      <c r="CR359" s="2110">
        <f>CR353/CR356*1000</f>
        <v>132.06256398132078</v>
      </c>
      <c r="CS359" s="2110">
        <f>CS353/CS356*1000</f>
        <v>135.89405690077405</v>
      </c>
      <c r="CT359" s="2110">
        <f>CT353/CT356*1000</f>
        <v>144.69572740494766</v>
      </c>
      <c r="CU359" s="2110">
        <f>CU353/CU356*1000</f>
        <v>148.4209023112179</v>
      </c>
      <c r="CV359" s="2110"/>
      <c r="CW359" s="2110"/>
      <c r="CX359" s="2110"/>
      <c r="CY359" s="2110"/>
      <c r="CZ359" s="2110"/>
      <c r="DA359" s="2110"/>
      <c r="DB359" s="2110"/>
      <c r="DC359" s="2110"/>
      <c r="DD359" s="1517"/>
      <c r="DE359" s="1483"/>
      <c r="DF359" s="141"/>
      <c r="DG359" s="141"/>
      <c r="DH359" s="141"/>
      <c r="DI359" s="141"/>
      <c r="DJ359" s="141"/>
      <c r="DK359" s="141"/>
      <c r="DL359" s="141"/>
      <c r="DM359" s="141"/>
      <c r="DN359" s="141"/>
      <c r="DO359" s="141"/>
      <c r="DP359" s="141"/>
      <c r="DQ359" s="141"/>
      <c r="DR359" s="141"/>
      <c r="DS359" s="141"/>
      <c r="DT359" s="141"/>
      <c r="DU359" s="141"/>
      <c r="DV359" s="141"/>
      <c r="DW359" s="141"/>
      <c r="DX359" s="141"/>
      <c r="DY359" s="141"/>
      <c r="DZ359" s="1676"/>
      <c r="EA359"/>
      <c r="EB359"/>
      <c r="EC359"/>
      <c r="ED359"/>
      <c r="EE359"/>
      <c r="EF359"/>
    </row>
    <row r="360" spans="1:136" s="52" customFormat="1" hidden="1" outlineLevel="1">
      <c r="A360" s="338"/>
      <c r="B360" s="196"/>
      <c r="C360" s="578"/>
      <c r="D360" s="1180" t="s">
        <v>76</v>
      </c>
      <c r="E360" s="578"/>
      <c r="F360" s="145"/>
      <c r="G360" s="145"/>
      <c r="H360" s="145"/>
      <c r="I360" s="228"/>
      <c r="J360" s="145"/>
      <c r="K360" s="145"/>
      <c r="L360" s="145"/>
      <c r="M360" s="228"/>
      <c r="N360" s="145"/>
      <c r="O360" s="145"/>
      <c r="P360" s="145"/>
      <c r="Q360" s="228"/>
      <c r="R360" s="145"/>
      <c r="S360" s="145"/>
      <c r="T360" s="145"/>
      <c r="U360" s="228"/>
      <c r="V360" s="227"/>
      <c r="W360" s="145"/>
      <c r="X360" s="145"/>
      <c r="Y360" s="228"/>
      <c r="Z360" s="227"/>
      <c r="AA360" s="145"/>
      <c r="AB360" s="145"/>
      <c r="AC360" s="228"/>
      <c r="AD360" s="227"/>
      <c r="AE360" s="145"/>
      <c r="AF360" s="145"/>
      <c r="AG360" s="145"/>
      <c r="AH360" s="227"/>
      <c r="AI360" s="145"/>
      <c r="AJ360" s="145"/>
      <c r="AK360" s="145"/>
      <c r="AL360" s="227"/>
      <c r="AM360" s="145"/>
      <c r="AN360" s="145"/>
      <c r="AO360" s="228"/>
      <c r="AP360" s="145"/>
      <c r="AQ360" s="145"/>
      <c r="AR360" s="145"/>
      <c r="AS360" s="145"/>
      <c r="AT360" s="145"/>
      <c r="AU360" s="145"/>
      <c r="AV360" s="145"/>
      <c r="AW360" s="145"/>
      <c r="AX360" s="145"/>
      <c r="AY360" s="145"/>
      <c r="AZ360" s="145"/>
      <c r="BA360" s="228"/>
      <c r="BB360" s="852"/>
      <c r="BC360" s="492"/>
      <c r="BD360" s="492"/>
      <c r="BE360" s="493"/>
      <c r="BF360" s="497">
        <f t="shared" ref="BF360:BS360" si="716">BF359/BB359-1</f>
        <v>1.3259431439999858E-2</v>
      </c>
      <c r="BG360" s="436">
        <f t="shared" si="716"/>
        <v>7.2221359199999835E-3</v>
      </c>
      <c r="BH360" s="492">
        <f t="shared" si="716"/>
        <v>-2.3359535200000003E-2</v>
      </c>
      <c r="BI360" s="493">
        <f t="shared" si="716"/>
        <v>-7.4306331100000067E-2</v>
      </c>
      <c r="BJ360" s="497">
        <f t="shared" si="716"/>
        <v>-2.7544485970000032E-2</v>
      </c>
      <c r="BK360" s="492">
        <f t="shared" si="716"/>
        <v>-1.0057773430000139E-2</v>
      </c>
      <c r="BL360" s="492">
        <f t="shared" si="716"/>
        <v>4.9938725149999863E-2</v>
      </c>
      <c r="BM360" s="492">
        <f t="shared" si="716"/>
        <v>0.11971658434999966</v>
      </c>
      <c r="BN360" s="497">
        <f t="shared" si="716"/>
        <v>0.1263096162499997</v>
      </c>
      <c r="BO360" s="492">
        <f t="shared" si="716"/>
        <v>8.2097266249999912E-2</v>
      </c>
      <c r="BP360" s="492">
        <f t="shared" si="716"/>
        <v>2.026313674999991E-2</v>
      </c>
      <c r="BQ360" s="493">
        <f t="shared" si="716"/>
        <v>2.8210658749999951E-2</v>
      </c>
      <c r="BR360" s="492">
        <f t="shared" si="716"/>
        <v>2.319499700000005E-2</v>
      </c>
      <c r="BS360" s="492">
        <f t="shared" si="716"/>
        <v>2.4240139999999855E-2</v>
      </c>
      <c r="BT360" s="492"/>
      <c r="BU360" s="493"/>
      <c r="BV360" s="497"/>
      <c r="BW360" s="492"/>
      <c r="BX360" s="492"/>
      <c r="BY360" s="493"/>
      <c r="BZ360" s="497"/>
      <c r="CA360" s="492"/>
      <c r="CB360" s="492"/>
      <c r="CC360" s="493"/>
      <c r="CD360" s="9"/>
      <c r="CE360" s="145"/>
      <c r="CF360" s="145"/>
      <c r="CG360" s="145"/>
      <c r="CH360" s="145"/>
      <c r="CI360" s="145"/>
      <c r="CJ360" s="145"/>
      <c r="CK360" s="145"/>
      <c r="CL360" s="145"/>
      <c r="CM360" s="145"/>
      <c r="CN360" s="145"/>
      <c r="CO360" s="145"/>
      <c r="CP360" s="145"/>
      <c r="CQ360" s="145"/>
      <c r="CR360" s="640">
        <f>CR359/CQ359-1</f>
        <v>-2.1645409544414851E-2</v>
      </c>
      <c r="CS360" s="1471">
        <f>CS359/CR359-1</f>
        <v>2.901271036957298E-2</v>
      </c>
      <c r="CT360" s="1471">
        <f>CT359/CS359-1</f>
        <v>6.4768619797702653E-2</v>
      </c>
      <c r="CU360" s="1471">
        <f>CU359/CT359-1</f>
        <v>2.574488530573471E-2</v>
      </c>
      <c r="CV360" s="1471"/>
      <c r="CW360" s="495"/>
      <c r="CX360" s="495"/>
      <c r="CY360" s="495"/>
      <c r="CZ360" s="495"/>
      <c r="DA360" s="495"/>
      <c r="DB360" s="495"/>
      <c r="DC360" s="495"/>
      <c r="DD360" s="1517"/>
      <c r="DE360" s="1483"/>
      <c r="DF360" s="141"/>
      <c r="DG360" s="141"/>
      <c r="DH360" s="141"/>
      <c r="DI360" s="141"/>
      <c r="DJ360" s="141"/>
      <c r="DK360" s="141"/>
      <c r="DL360" s="141"/>
      <c r="DM360" s="141"/>
      <c r="DN360" s="141"/>
      <c r="DO360" s="141"/>
      <c r="DP360" s="141"/>
      <c r="DQ360" s="141"/>
      <c r="DR360" s="141"/>
      <c r="DS360" s="141"/>
      <c r="DT360" s="141"/>
      <c r="DU360" s="141"/>
      <c r="DV360" s="141"/>
      <c r="DW360" s="141"/>
      <c r="DX360" s="141"/>
      <c r="DY360" s="141"/>
      <c r="DZ360" s="1676"/>
      <c r="EA360"/>
      <c r="EB360"/>
      <c r="EC360"/>
      <c r="ED360"/>
      <c r="EE360"/>
      <c r="EF360"/>
    </row>
    <row r="361" spans="1:136" s="52" customFormat="1" hidden="1" outlineLevel="1">
      <c r="A361" s="338"/>
      <c r="B361" s="196"/>
      <c r="C361" s="578"/>
      <c r="D361" s="333" t="s">
        <v>77</v>
      </c>
      <c r="E361" s="578"/>
      <c r="F361" s="145"/>
      <c r="G361" s="145"/>
      <c r="H361" s="145"/>
      <c r="I361" s="228"/>
      <c r="J361" s="145"/>
      <c r="K361" s="145"/>
      <c r="L361" s="145"/>
      <c r="M361" s="228"/>
      <c r="N361" s="145"/>
      <c r="O361" s="145"/>
      <c r="P361" s="145"/>
      <c r="Q361" s="228"/>
      <c r="R361" s="145"/>
      <c r="S361" s="145"/>
      <c r="T361" s="145"/>
      <c r="U361" s="228"/>
      <c r="V361" s="227"/>
      <c r="W361" s="145"/>
      <c r="X361" s="145"/>
      <c r="Y361" s="228"/>
      <c r="Z361" s="227"/>
      <c r="AA361" s="145"/>
      <c r="AB361" s="145"/>
      <c r="AC361" s="228"/>
      <c r="AD361" s="227"/>
      <c r="AE361" s="145"/>
      <c r="AF361" s="145"/>
      <c r="AG361" s="145"/>
      <c r="AH361" s="227"/>
      <c r="AI361" s="145"/>
      <c r="AJ361" s="145"/>
      <c r="AK361" s="145"/>
      <c r="AL361" s="227"/>
      <c r="AM361" s="145"/>
      <c r="AN361" s="145"/>
      <c r="AO361" s="228"/>
      <c r="AP361" s="145"/>
      <c r="AQ361" s="145"/>
      <c r="AR361" s="145"/>
      <c r="AS361" s="145"/>
      <c r="AT361" s="145"/>
      <c r="AU361" s="145"/>
      <c r="AV361" s="145"/>
      <c r="AW361" s="145"/>
      <c r="AX361" s="145"/>
      <c r="AY361" s="145"/>
      <c r="AZ361" s="145"/>
      <c r="BA361" s="228"/>
      <c r="BB361" s="852"/>
      <c r="BC361" s="495">
        <f>BC351</f>
        <v>7.0000000000000001E-3</v>
      </c>
      <c r="BD361" s="495">
        <f t="shared" ref="BD361:BR361" si="717">BD351</f>
        <v>2.1000000000000001E-2</v>
      </c>
      <c r="BE361" s="499">
        <f t="shared" si="717"/>
        <v>1.6E-2</v>
      </c>
      <c r="BF361" s="1026">
        <f t="shared" si="717"/>
        <v>-0.03</v>
      </c>
      <c r="BG361" s="935">
        <f t="shared" si="717"/>
        <v>1E-3</v>
      </c>
      <c r="BH361" s="495">
        <f t="shared" si="717"/>
        <v>-0.01</v>
      </c>
      <c r="BI361" s="499">
        <f t="shared" si="717"/>
        <v>-3.6999999999999998E-2</v>
      </c>
      <c r="BJ361" s="1026">
        <f t="shared" si="717"/>
        <v>1.9E-2</v>
      </c>
      <c r="BK361" s="495">
        <f t="shared" si="717"/>
        <v>1.9E-2</v>
      </c>
      <c r="BL361" s="495">
        <f t="shared" si="717"/>
        <v>0.05</v>
      </c>
      <c r="BM361" s="495">
        <f t="shared" si="717"/>
        <v>2.7E-2</v>
      </c>
      <c r="BN361" s="1026">
        <f t="shared" si="717"/>
        <v>2.5000000000000001E-2</v>
      </c>
      <c r="BO361" s="495">
        <f t="shared" si="717"/>
        <v>-2.1000000000000001E-2</v>
      </c>
      <c r="BP361" s="495">
        <f t="shared" si="717"/>
        <v>-0.01</v>
      </c>
      <c r="BQ361" s="499">
        <f t="shared" si="717"/>
        <v>3.5000000000000003E-2</v>
      </c>
      <c r="BR361" s="1026">
        <f t="shared" si="717"/>
        <v>0.02</v>
      </c>
      <c r="BS361" s="495">
        <v>-0.02</v>
      </c>
      <c r="BT361" s="495"/>
      <c r="BU361" s="499"/>
      <c r="BV361" s="495"/>
      <c r="BW361" s="495"/>
      <c r="BX361" s="495"/>
      <c r="BY361" s="499"/>
      <c r="BZ361" s="495"/>
      <c r="CA361" s="495"/>
      <c r="CB361" s="495"/>
      <c r="CC361" s="499"/>
      <c r="CD361" s="9"/>
      <c r="CE361" s="145"/>
      <c r="CF361" s="145"/>
      <c r="CG361" s="145"/>
      <c r="CH361" s="145"/>
      <c r="CI361" s="145"/>
      <c r="CJ361" s="145"/>
      <c r="CK361" s="145"/>
      <c r="CL361" s="145"/>
      <c r="CM361" s="145"/>
      <c r="CN361" s="145"/>
      <c r="CO361" s="145"/>
      <c r="CP361" s="145"/>
      <c r="CQ361" s="145"/>
      <c r="CR361" s="141"/>
      <c r="CS361" s="141"/>
      <c r="CT361" s="141"/>
      <c r="CU361" s="141"/>
      <c r="CV361" s="141"/>
      <c r="CW361" s="141"/>
      <c r="CX361" s="141"/>
      <c r="CY361" s="141"/>
      <c r="CZ361" s="141"/>
      <c r="DA361" s="141"/>
      <c r="DB361" s="141"/>
      <c r="DC361" s="141"/>
      <c r="DD361" s="1517"/>
      <c r="DE361" s="1483"/>
      <c r="DF361" s="141"/>
      <c r="DG361" s="141"/>
      <c r="DH361" s="141"/>
      <c r="DI361" s="141"/>
      <c r="DJ361" s="141"/>
      <c r="DK361" s="141"/>
      <c r="DL361" s="141"/>
      <c r="DM361" s="141"/>
      <c r="DN361" s="141"/>
      <c r="DO361" s="141"/>
      <c r="DP361" s="141"/>
      <c r="DQ361" s="141"/>
      <c r="DR361" s="141"/>
      <c r="DS361" s="141"/>
      <c r="DT361" s="141"/>
      <c r="DU361" s="141"/>
      <c r="DV361" s="141"/>
      <c r="DW361" s="141"/>
      <c r="DX361" s="141"/>
      <c r="DY361" s="141"/>
      <c r="DZ361" s="1676"/>
      <c r="EA361"/>
      <c r="EB361"/>
      <c r="EC361"/>
      <c r="ED361"/>
      <c r="EE361"/>
      <c r="EF361"/>
    </row>
    <row r="362" spans="1:136" hidden="1" outlineLevel="1">
      <c r="A362" s="338"/>
      <c r="B362" s="578"/>
      <c r="C362" s="333"/>
      <c r="D362" s="578"/>
      <c r="E362" s="216"/>
      <c r="F362" s="145"/>
      <c r="G362" s="145"/>
      <c r="H362" s="145"/>
      <c r="I362" s="228"/>
      <c r="J362" s="145"/>
      <c r="K362" s="145"/>
      <c r="L362" s="145"/>
      <c r="M362" s="228"/>
      <c r="N362" s="145"/>
      <c r="O362" s="145"/>
      <c r="P362" s="145"/>
      <c r="Q362" s="228"/>
      <c r="R362" s="145"/>
      <c r="S362" s="145"/>
      <c r="T362" s="145"/>
      <c r="U362" s="228"/>
      <c r="V362" s="227"/>
      <c r="W362" s="145"/>
      <c r="X362" s="145"/>
      <c r="Y362" s="228"/>
      <c r="Z362" s="227"/>
      <c r="AA362" s="145"/>
      <c r="AB362" s="145"/>
      <c r="AC362" s="228"/>
      <c r="AD362" s="227"/>
      <c r="AE362" s="145"/>
      <c r="AF362" s="145"/>
      <c r="AG362" s="145"/>
      <c r="AH362" s="227"/>
      <c r="AI362" s="145"/>
      <c r="AJ362" s="145"/>
      <c r="AK362" s="145"/>
      <c r="AL362" s="227"/>
      <c r="AM362" s="145"/>
      <c r="AN362" s="145"/>
      <c r="AO362" s="228"/>
      <c r="AP362" s="145"/>
      <c r="AQ362" s="145"/>
      <c r="AR362" s="145"/>
      <c r="AS362" s="145"/>
      <c r="AT362" s="145"/>
      <c r="AU362" s="145"/>
      <c r="AV362" s="145"/>
      <c r="AW362" s="145"/>
      <c r="AX362" s="145"/>
      <c r="AY362" s="145"/>
      <c r="AZ362" s="145"/>
      <c r="BA362" s="228"/>
      <c r="BB362" s="1711"/>
      <c r="BC362" s="1666"/>
      <c r="BD362" s="1666"/>
      <c r="BE362" s="1712"/>
      <c r="BF362" s="1711"/>
      <c r="BG362" s="1666"/>
      <c r="BH362" s="1666"/>
      <c r="BI362" s="1712"/>
      <c r="BJ362" s="1711"/>
      <c r="BK362" s="1666"/>
      <c r="BL362" s="1666"/>
      <c r="BM362" s="1666"/>
      <c r="BN362" s="1711"/>
      <c r="BO362" s="1666"/>
      <c r="BP362" s="1666"/>
      <c r="BQ362" s="1712"/>
      <c r="BR362" s="1711"/>
      <c r="BS362" s="1666"/>
      <c r="BT362" s="1666"/>
      <c r="BU362" s="1712"/>
      <c r="BV362" s="1711"/>
      <c r="BW362" s="1666"/>
      <c r="BX362" s="1666"/>
      <c r="BY362" s="1712"/>
      <c r="BZ362" s="1711"/>
      <c r="CA362" s="1666"/>
      <c r="CB362" s="1666"/>
      <c r="CC362" s="1712"/>
      <c r="CD362" s="9"/>
      <c r="CE362" s="145"/>
      <c r="CF362" s="145"/>
      <c r="CG362" s="145"/>
      <c r="CH362" s="145"/>
      <c r="CI362" s="145"/>
      <c r="CJ362" s="145"/>
      <c r="CK362" s="145"/>
      <c r="CL362" s="145"/>
      <c r="CM362" s="145"/>
      <c r="CN362" s="145"/>
      <c r="CO362" s="145"/>
      <c r="CP362" s="145"/>
      <c r="CQ362" s="145"/>
      <c r="CR362" s="141"/>
      <c r="CS362" s="141"/>
      <c r="CT362" s="141"/>
      <c r="CU362" s="141"/>
      <c r="CV362" s="141"/>
      <c r="CW362" s="141"/>
      <c r="CX362" s="141"/>
      <c r="CY362" s="141"/>
      <c r="CZ362" s="141"/>
      <c r="DA362" s="141"/>
      <c r="DB362" s="141"/>
      <c r="DC362" s="141"/>
      <c r="DD362" s="1517"/>
      <c r="DE362" s="1483"/>
      <c r="DF362" s="141"/>
      <c r="DG362" s="141"/>
      <c r="DH362" s="141"/>
      <c r="DI362" s="141"/>
      <c r="DJ362" s="141"/>
      <c r="DK362" s="141"/>
      <c r="DL362" s="141"/>
      <c r="DM362" s="141"/>
      <c r="DN362" s="141"/>
      <c r="DO362" s="141"/>
      <c r="DP362" s="141"/>
      <c r="DQ362" s="141"/>
      <c r="DR362" s="141"/>
      <c r="DS362" s="141"/>
      <c r="DT362" s="141"/>
      <c r="DU362" s="141"/>
      <c r="DV362" s="141"/>
      <c r="DW362" s="141"/>
      <c r="DX362" s="141"/>
      <c r="DY362" s="141"/>
      <c r="DZ362" s="1676"/>
    </row>
    <row r="363" spans="1:136" hidden="1" outlineLevel="1">
      <c r="A363" s="9"/>
      <c r="B363" s="224" t="s">
        <v>956</v>
      </c>
      <c r="C363" s="180"/>
      <c r="D363" s="31"/>
      <c r="E363" s="820"/>
      <c r="F363" s="145"/>
      <c r="G363" s="145"/>
      <c r="H363" s="145"/>
      <c r="I363" s="228"/>
      <c r="J363" s="145"/>
      <c r="K363" s="145"/>
      <c r="L363" s="145"/>
      <c r="M363" s="228"/>
      <c r="N363" s="145"/>
      <c r="O363" s="145"/>
      <c r="P363" s="145"/>
      <c r="Q363" s="145"/>
      <c r="R363" s="145"/>
      <c r="S363" s="145"/>
      <c r="T363" s="145"/>
      <c r="U363" s="145"/>
      <c r="V363" s="227"/>
      <c r="W363" s="145"/>
      <c r="X363" s="145"/>
      <c r="Y363" s="145"/>
      <c r="Z363" s="227"/>
      <c r="AA363" s="145"/>
      <c r="AB363" s="145"/>
      <c r="AC363" s="145"/>
      <c r="AD363" s="227"/>
      <c r="AE363" s="145"/>
      <c r="AF363" s="145"/>
      <c r="AG363" s="145"/>
      <c r="AH363" s="227"/>
      <c r="AI363" s="145"/>
      <c r="AJ363" s="145"/>
      <c r="AK363" s="145"/>
      <c r="AL363" s="145"/>
      <c r="AM363" s="145"/>
      <c r="AN363" s="145"/>
      <c r="AO363" s="228"/>
      <c r="AP363" s="145"/>
      <c r="AQ363" s="145"/>
      <c r="AR363" s="145"/>
      <c r="AS363" s="145"/>
      <c r="AT363" s="145"/>
      <c r="AU363" s="145"/>
      <c r="AV363" s="145"/>
      <c r="AW363" s="145"/>
      <c r="AX363" s="145"/>
      <c r="AY363" s="145"/>
      <c r="AZ363" s="145"/>
      <c r="BA363" s="228"/>
      <c r="BB363" s="1663">
        <f t="shared" ref="BB363:BS363" si="718">SUM(BB261, BB271, BB281, BB307, BB333)</f>
        <v>3849.2876797158124</v>
      </c>
      <c r="BC363" s="1620">
        <f t="shared" si="718"/>
        <v>3669.0795397395859</v>
      </c>
      <c r="BD363" s="1620">
        <f t="shared" si="718"/>
        <v>3644.3884282535359</v>
      </c>
      <c r="BE363" s="1621">
        <f t="shared" si="718"/>
        <v>3597.6640577042735</v>
      </c>
      <c r="BF363" s="1663">
        <f t="shared" si="718"/>
        <v>3617.1464381380611</v>
      </c>
      <c r="BG363" s="1620">
        <f t="shared" si="718"/>
        <v>3793.4751172995529</v>
      </c>
      <c r="BH363" s="1620">
        <f t="shared" si="718"/>
        <v>3531.3788972216234</v>
      </c>
      <c r="BI363" s="1621">
        <f t="shared" si="718"/>
        <v>3502.7891851881282</v>
      </c>
      <c r="BJ363" s="1663">
        <f t="shared" si="718"/>
        <v>3727.6584819457366</v>
      </c>
      <c r="BK363" s="1620">
        <f t="shared" si="718"/>
        <v>3644.2900422095418</v>
      </c>
      <c r="BL363" s="1620">
        <f t="shared" si="718"/>
        <v>3305.4770723976585</v>
      </c>
      <c r="BM363" s="1620">
        <f t="shared" si="718"/>
        <v>2924.8231847345442</v>
      </c>
      <c r="BN363" s="1663">
        <f t="shared" si="718"/>
        <v>3077.3726477821538</v>
      </c>
      <c r="BO363" s="1620">
        <f t="shared" si="718"/>
        <v>3014.4091625548626</v>
      </c>
      <c r="BP363" s="1620">
        <f t="shared" si="718"/>
        <v>2579.036334932659</v>
      </c>
      <c r="BQ363" s="1621">
        <f t="shared" si="718"/>
        <v>2515.2239887555761</v>
      </c>
      <c r="BR363" s="1663">
        <f t="shared" si="718"/>
        <v>2921.5138787658616</v>
      </c>
      <c r="BS363" s="1620">
        <f t="shared" si="718"/>
        <v>2778.8341194773848</v>
      </c>
      <c r="BT363" s="1620">
        <f>(BT366/1000)*BT370</f>
        <v>2463.3000000000002</v>
      </c>
      <c r="BU363" s="1620">
        <f>(BU366/1000)*BU370</f>
        <v>2475.8999999999996</v>
      </c>
      <c r="BV363" s="1663">
        <f>(BV366/1000)*BV370</f>
        <v>2574.2000000000003</v>
      </c>
      <c r="BW363" s="1620">
        <f>(BW366/1000)*BW370</f>
        <v>2664.8999999999996</v>
      </c>
      <c r="BX363" s="1620"/>
      <c r="BY363" s="1621"/>
      <c r="BZ363" s="1663"/>
      <c r="CA363" s="1620"/>
      <c r="CB363" s="1620"/>
      <c r="CC363" s="1621"/>
      <c r="CD363" s="9"/>
      <c r="CE363" s="145"/>
      <c r="CF363" s="145"/>
      <c r="CG363" s="145"/>
      <c r="CH363" s="145"/>
      <c r="CI363" s="145"/>
      <c r="CJ363" s="145"/>
      <c r="CK363" s="145"/>
      <c r="CL363" s="145"/>
      <c r="CM363" s="145"/>
      <c r="CN363" s="145"/>
      <c r="CO363" s="145"/>
      <c r="CP363" s="145"/>
      <c r="CQ363" s="1620">
        <f>SUM(CQ261, CQ271, CQ281, CQ307, CQ333)</f>
        <v>14760.419705413209</v>
      </c>
      <c r="CR363" s="1620">
        <f>SUM(CR261, CR271, CR281, CR307, CR333)</f>
        <v>14444.789637847367</v>
      </c>
      <c r="CS363" s="1620">
        <f>SUM(CS261, CS271, CS281, CS307, CS333)</f>
        <v>13602.248781287481</v>
      </c>
      <c r="CT363" s="1620">
        <f>SUM(CT261, CT271, CT281, CT307, CT333)</f>
        <v>11186.042134025251</v>
      </c>
      <c r="CU363" s="1620">
        <f>SUM(CU261, CU271, CU281, CU307, CU333)</f>
        <v>5700.3479982432473</v>
      </c>
      <c r="CV363" s="1620"/>
      <c r="CW363" s="1620"/>
      <c r="CX363" s="1620"/>
      <c r="CY363" s="1620"/>
      <c r="CZ363" s="1620"/>
      <c r="DA363" s="1620"/>
      <c r="DB363" s="1620"/>
      <c r="DC363" s="1620"/>
      <c r="DD363" s="1517"/>
      <c r="DE363" s="1483"/>
      <c r="DF363" s="141"/>
      <c r="DG363" s="141"/>
      <c r="DH363" s="141"/>
      <c r="DI363" s="141"/>
      <c r="DJ363" s="141"/>
      <c r="DK363" s="141"/>
      <c r="DL363" s="141"/>
      <c r="DM363" s="141"/>
      <c r="DN363" s="141"/>
      <c r="DO363" s="141"/>
      <c r="DP363" s="141"/>
      <c r="DQ363" s="141"/>
      <c r="DR363" s="141"/>
      <c r="DS363" s="141"/>
      <c r="DT363" s="141"/>
      <c r="DU363" s="141"/>
      <c r="DV363" s="141"/>
      <c r="DW363" s="141"/>
      <c r="DX363" s="141"/>
      <c r="DY363" s="141"/>
      <c r="DZ363" s="1676"/>
    </row>
    <row r="364" spans="1:136" hidden="1" outlineLevel="1">
      <c r="A364" s="9"/>
      <c r="B364" s="1181"/>
      <c r="C364" s="368" t="s">
        <v>76</v>
      </c>
      <c r="D364" s="1182"/>
      <c r="E364" s="1183"/>
      <c r="F364" s="145"/>
      <c r="G364" s="145"/>
      <c r="H364" s="145"/>
      <c r="I364" s="228"/>
      <c r="J364" s="145"/>
      <c r="K364" s="145"/>
      <c r="L364" s="145"/>
      <c r="M364" s="228"/>
      <c r="N364" s="145"/>
      <c r="O364" s="145"/>
      <c r="P364" s="145"/>
      <c r="Q364" s="145"/>
      <c r="R364" s="145"/>
      <c r="S364" s="145"/>
      <c r="T364" s="145"/>
      <c r="U364" s="145"/>
      <c r="V364" s="227"/>
      <c r="W364" s="145"/>
      <c r="X364" s="145"/>
      <c r="Y364" s="145"/>
      <c r="Z364" s="227"/>
      <c r="AA364" s="145"/>
      <c r="AB364" s="145"/>
      <c r="AC364" s="145"/>
      <c r="AD364" s="227"/>
      <c r="AE364" s="145"/>
      <c r="AF364" s="145"/>
      <c r="AG364" s="145"/>
      <c r="AH364" s="227"/>
      <c r="AI364" s="145"/>
      <c r="AJ364" s="145"/>
      <c r="AK364" s="145"/>
      <c r="AL364" s="145"/>
      <c r="AM364" s="145"/>
      <c r="AN364" s="145"/>
      <c r="AO364" s="228"/>
      <c r="AP364" s="145"/>
      <c r="AQ364" s="145"/>
      <c r="AR364" s="145"/>
      <c r="AS364" s="145"/>
      <c r="AT364" s="145"/>
      <c r="AU364" s="145"/>
      <c r="AV364" s="145"/>
      <c r="AW364" s="145"/>
      <c r="AX364" s="145"/>
      <c r="AY364" s="145"/>
      <c r="AZ364" s="145"/>
      <c r="BA364" s="228"/>
      <c r="BB364" s="852"/>
      <c r="BC364" s="640"/>
      <c r="BD364" s="640"/>
      <c r="BE364" s="949"/>
      <c r="BF364" s="640">
        <f t="shared" ref="BF364:BS364" si="719">BF363/BB363-1</f>
        <v>-6.0307584387896407E-2</v>
      </c>
      <c r="BG364" s="640">
        <f t="shared" si="719"/>
        <v>3.3903756027266807E-2</v>
      </c>
      <c r="BH364" s="640">
        <f t="shared" si="719"/>
        <v>-3.1009189403575443E-2</v>
      </c>
      <c r="BI364" s="949">
        <f t="shared" si="719"/>
        <v>-2.637124283824499E-2</v>
      </c>
      <c r="BJ364" s="640">
        <f t="shared" si="719"/>
        <v>3.0552272543481029E-2</v>
      </c>
      <c r="BK364" s="640">
        <f t="shared" si="719"/>
        <v>-3.932675725475987E-2</v>
      </c>
      <c r="BL364" s="640">
        <f t="shared" si="719"/>
        <v>-6.3969863160732277E-2</v>
      </c>
      <c r="BM364" s="640">
        <f t="shared" si="719"/>
        <v>-0.16500165151176305</v>
      </c>
      <c r="BN364" s="2209">
        <f t="shared" si="719"/>
        <v>-0.17444887650334084</v>
      </c>
      <c r="BO364" s="640">
        <f t="shared" si="719"/>
        <v>-0.17284049083886333</v>
      </c>
      <c r="BP364" s="640">
        <f t="shared" si="719"/>
        <v>-0.21976880237080842</v>
      </c>
      <c r="BQ364" s="949">
        <f t="shared" si="719"/>
        <v>-0.14004237866985558</v>
      </c>
      <c r="BR364" s="640">
        <f t="shared" si="719"/>
        <v>-5.0646699914168258E-2</v>
      </c>
      <c r="BS364" s="640">
        <f t="shared" si="719"/>
        <v>-7.8149657320513266E-2</v>
      </c>
      <c r="BT364" s="640"/>
      <c r="BU364" s="949"/>
      <c r="BV364" s="640"/>
      <c r="BW364" s="640"/>
      <c r="BX364" s="640"/>
      <c r="BY364" s="949"/>
      <c r="BZ364" s="640"/>
      <c r="CA364" s="640"/>
      <c r="CB364" s="640"/>
      <c r="CC364" s="949"/>
      <c r="CD364" s="9"/>
      <c r="CE364" s="145"/>
      <c r="CF364" s="145"/>
      <c r="CG364" s="145"/>
      <c r="CH364" s="145"/>
      <c r="CI364" s="145"/>
      <c r="CJ364" s="145"/>
      <c r="CK364" s="145"/>
      <c r="CL364" s="145"/>
      <c r="CM364" s="145"/>
      <c r="CN364" s="145"/>
      <c r="CO364" s="145"/>
      <c r="CP364" s="145"/>
      <c r="CQ364" s="640"/>
      <c r="CR364" s="640">
        <f>CR363/CQ363-1</f>
        <v>-2.1383542871080352E-2</v>
      </c>
      <c r="CS364" s="640">
        <f>CS363/CR363-1</f>
        <v>-5.8328357676619369E-2</v>
      </c>
      <c r="CT364" s="640">
        <f>CT363/CS363-1</f>
        <v>-0.17763288160015045</v>
      </c>
      <c r="CU364" s="640">
        <f>CU363/CT363-1</f>
        <v>-0.4904052809792161</v>
      </c>
      <c r="CV364" s="640"/>
      <c r="CW364" s="640"/>
      <c r="CX364" s="640"/>
      <c r="CY364" s="640"/>
      <c r="CZ364" s="640"/>
      <c r="DA364" s="640"/>
      <c r="DB364" s="640"/>
      <c r="DC364" s="640"/>
      <c r="DD364" s="1517"/>
      <c r="DE364" s="1483"/>
      <c r="DF364" s="141"/>
      <c r="DG364" s="141"/>
      <c r="DH364" s="141"/>
      <c r="DI364" s="141"/>
      <c r="DJ364" s="141"/>
      <c r="DK364" s="141"/>
      <c r="DL364" s="141"/>
      <c r="DM364" s="141"/>
      <c r="DN364" s="141"/>
      <c r="DO364" s="141"/>
      <c r="DP364" s="141"/>
      <c r="DQ364" s="141"/>
      <c r="DR364" s="141"/>
      <c r="DS364" s="141"/>
      <c r="DT364" s="141"/>
      <c r="DU364" s="141"/>
      <c r="DV364" s="141"/>
      <c r="DW364" s="141"/>
      <c r="DX364" s="141"/>
      <c r="DY364" s="141"/>
      <c r="DZ364" s="1676"/>
    </row>
    <row r="365" spans="1:136" hidden="1" outlineLevel="1">
      <c r="A365" s="9"/>
      <c r="B365" s="1181"/>
      <c r="C365" s="1180" t="s">
        <v>77</v>
      </c>
      <c r="D365" s="1182"/>
      <c r="E365" s="1183"/>
      <c r="F365" s="145"/>
      <c r="G365" s="145"/>
      <c r="H365" s="145"/>
      <c r="I365" s="228"/>
      <c r="J365" s="145"/>
      <c r="K365" s="145"/>
      <c r="L365" s="145"/>
      <c r="M365" s="228"/>
      <c r="N365" s="145"/>
      <c r="O365" s="145"/>
      <c r="P365" s="145"/>
      <c r="Q365" s="145"/>
      <c r="R365" s="145"/>
      <c r="S365" s="145"/>
      <c r="T365" s="145"/>
      <c r="U365" s="145"/>
      <c r="V365" s="227"/>
      <c r="W365" s="145"/>
      <c r="X365" s="145"/>
      <c r="Y365" s="145"/>
      <c r="Z365" s="227"/>
      <c r="AA365" s="145"/>
      <c r="AB365" s="145"/>
      <c r="AC365" s="145"/>
      <c r="AD365" s="227"/>
      <c r="AE365" s="145"/>
      <c r="AF365" s="145"/>
      <c r="AG365" s="145"/>
      <c r="AH365" s="227"/>
      <c r="AI365" s="145"/>
      <c r="AJ365" s="145"/>
      <c r="AK365" s="145"/>
      <c r="AL365" s="145"/>
      <c r="AM365" s="145"/>
      <c r="AN365" s="145"/>
      <c r="AO365" s="228"/>
      <c r="AP365" s="145"/>
      <c r="AQ365" s="145"/>
      <c r="AR365" s="145"/>
      <c r="AS365" s="145"/>
      <c r="AT365" s="145"/>
      <c r="AU365" s="145"/>
      <c r="AV365" s="145"/>
      <c r="AW365" s="145"/>
      <c r="AX365" s="145"/>
      <c r="AY365" s="145"/>
      <c r="AZ365" s="145"/>
      <c r="BA365" s="228"/>
      <c r="BB365" s="852"/>
      <c r="BC365" s="852">
        <f t="shared" ref="BC365:BS365" si="720">BC363/BB363-1</f>
        <v>-4.6815970894004688E-2</v>
      </c>
      <c r="BD365" s="852">
        <f t="shared" si="720"/>
        <v>-6.7295110990704954E-3</v>
      </c>
      <c r="BE365" s="851">
        <f t="shared" si="720"/>
        <v>-1.2820908492362282E-2</v>
      </c>
      <c r="BF365" s="852">
        <f t="shared" si="720"/>
        <v>5.4152861749463543E-3</v>
      </c>
      <c r="BG365" s="852">
        <f t="shared" si="720"/>
        <v>4.8748006799596899E-2</v>
      </c>
      <c r="BH365" s="852">
        <f t="shared" si="720"/>
        <v>-6.9091324438291579E-2</v>
      </c>
      <c r="BI365" s="851">
        <f t="shared" si="720"/>
        <v>-8.0959061221067552E-3</v>
      </c>
      <c r="BJ365" s="852">
        <f t="shared" si="720"/>
        <v>6.4197211099226159E-2</v>
      </c>
      <c r="BK365" s="852">
        <f t="shared" si="720"/>
        <v>-2.2364827716910063E-2</v>
      </c>
      <c r="BL365" s="852">
        <f t="shared" si="720"/>
        <v>-9.2970912273069306E-2</v>
      </c>
      <c r="BM365" s="852">
        <f t="shared" si="720"/>
        <v>-0.11515853213497063</v>
      </c>
      <c r="BN365" s="850">
        <f t="shared" si="720"/>
        <v>5.2156815442317095E-2</v>
      </c>
      <c r="BO365" s="852">
        <f t="shared" si="720"/>
        <v>-2.046014325651091E-2</v>
      </c>
      <c r="BP365" s="852">
        <f t="shared" si="720"/>
        <v>-0.14443056802985677</v>
      </c>
      <c r="BQ365" s="851">
        <f t="shared" si="720"/>
        <v>-2.4742709248704364E-2</v>
      </c>
      <c r="BR365" s="852">
        <f t="shared" si="720"/>
        <v>0.16153228969929634</v>
      </c>
      <c r="BS365" s="852">
        <f t="shared" si="720"/>
        <v>-4.8837611323876096E-2</v>
      </c>
      <c r="BT365" s="852"/>
      <c r="BU365" s="851"/>
      <c r="BV365" s="852"/>
      <c r="BW365" s="852"/>
      <c r="BX365" s="852"/>
      <c r="BY365" s="851"/>
      <c r="BZ365" s="852"/>
      <c r="CA365" s="852"/>
      <c r="CB365" s="852"/>
      <c r="CC365" s="851"/>
      <c r="CD365" s="9"/>
      <c r="CE365" s="145"/>
      <c r="CF365" s="145"/>
      <c r="CG365" s="145"/>
      <c r="CH365" s="145"/>
      <c r="CI365" s="145"/>
      <c r="CJ365" s="145"/>
      <c r="CK365" s="145"/>
      <c r="CL365" s="145"/>
      <c r="CM365" s="145"/>
      <c r="CN365" s="145"/>
      <c r="CO365" s="145"/>
      <c r="CP365" s="145"/>
      <c r="CQ365" s="852"/>
      <c r="CR365" s="852"/>
      <c r="CS365" s="852"/>
      <c r="CT365" s="852"/>
      <c r="CU365" s="852"/>
      <c r="CV365" s="852"/>
      <c r="CW365" s="852"/>
      <c r="CX365" s="852"/>
      <c r="CY365" s="852"/>
      <c r="CZ365" s="852"/>
      <c r="DA365" s="852"/>
      <c r="DB365" s="852"/>
      <c r="DC365" s="852"/>
      <c r="DD365" s="1517"/>
      <c r="DE365" s="1483"/>
      <c r="DF365" s="141"/>
      <c r="DG365" s="141"/>
      <c r="DH365" s="141"/>
      <c r="DI365" s="141"/>
      <c r="DJ365" s="141"/>
      <c r="DK365" s="141"/>
      <c r="DL365" s="141"/>
      <c r="DM365" s="141"/>
      <c r="DN365" s="141"/>
      <c r="DO365" s="141"/>
      <c r="DP365" s="141"/>
      <c r="DQ365" s="141"/>
      <c r="DR365" s="141"/>
      <c r="DS365" s="141"/>
      <c r="DT365" s="141"/>
      <c r="DU365" s="141"/>
      <c r="DV365" s="141"/>
      <c r="DW365" s="141"/>
      <c r="DX365" s="141"/>
      <c r="DY365" s="141"/>
      <c r="DZ365" s="1676"/>
    </row>
    <row r="366" spans="1:136" hidden="1" outlineLevel="1">
      <c r="A366" s="9"/>
      <c r="B366" s="224" t="s">
        <v>810</v>
      </c>
      <c r="C366" s="211"/>
      <c r="D366" s="819"/>
      <c r="E366" s="820"/>
      <c r="F366" s="145"/>
      <c r="G366" s="145"/>
      <c r="H366" s="145"/>
      <c r="I366" s="228"/>
      <c r="J366" s="145"/>
      <c r="K366" s="145"/>
      <c r="L366" s="145"/>
      <c r="M366" s="228"/>
      <c r="N366" s="145"/>
      <c r="O366" s="145"/>
      <c r="P366" s="145"/>
      <c r="Q366" s="145"/>
      <c r="R366" s="145"/>
      <c r="S366" s="145"/>
      <c r="T366" s="145"/>
      <c r="U366" s="145"/>
      <c r="V366" s="227"/>
      <c r="W366" s="145"/>
      <c r="X366" s="145"/>
      <c r="Y366" s="145"/>
      <c r="Z366" s="227"/>
      <c r="AA366" s="145"/>
      <c r="AB366" s="145"/>
      <c r="AC366" s="145"/>
      <c r="AD366" s="227"/>
      <c r="AE366" s="145"/>
      <c r="AF366" s="145"/>
      <c r="AG366" s="145"/>
      <c r="AH366" s="227"/>
      <c r="AI366" s="145"/>
      <c r="AJ366" s="145"/>
      <c r="AK366" s="145"/>
      <c r="AL366" s="145"/>
      <c r="AM366" s="145"/>
      <c r="AN366" s="145"/>
      <c r="AO366" s="228"/>
      <c r="AP366" s="145"/>
      <c r="AQ366" s="145"/>
      <c r="AR366" s="145"/>
      <c r="AS366" s="145"/>
      <c r="AT366" s="145"/>
      <c r="AU366" s="145"/>
      <c r="AV366" s="145"/>
      <c r="AW366" s="145"/>
      <c r="AX366" s="145"/>
      <c r="AY366" s="145"/>
      <c r="AZ366" s="145"/>
      <c r="BA366" s="228"/>
      <c r="BB366" s="1663">
        <f t="shared" ref="BB366:BV366" si="721">SUM(BB264, BB274, BB284, BB310, BB336)</f>
        <v>62480</v>
      </c>
      <c r="BC366" s="1620">
        <f t="shared" si="721"/>
        <v>59241</v>
      </c>
      <c r="BD366" s="1620">
        <f t="shared" si="721"/>
        <v>60175</v>
      </c>
      <c r="BE366" s="1621">
        <f t="shared" si="721"/>
        <v>59896</v>
      </c>
      <c r="BF366" s="1663">
        <f t="shared" si="721"/>
        <v>62610</v>
      </c>
      <c r="BG366" s="1620">
        <f t="shared" si="721"/>
        <v>63082</v>
      </c>
      <c r="BH366" s="1620">
        <f t="shared" si="721"/>
        <v>60423</v>
      </c>
      <c r="BI366" s="1621">
        <f t="shared" si="721"/>
        <v>63097</v>
      </c>
      <c r="BJ366" s="1663">
        <f t="shared" si="721"/>
        <v>64744</v>
      </c>
      <c r="BK366" s="1620">
        <f t="shared" si="721"/>
        <v>61045</v>
      </c>
      <c r="BL366" s="1620">
        <f t="shared" si="721"/>
        <v>54527</v>
      </c>
      <c r="BM366" s="1620">
        <f t="shared" si="721"/>
        <v>48520</v>
      </c>
      <c r="BN366" s="1663">
        <f t="shared" si="721"/>
        <v>51731</v>
      </c>
      <c r="BO366" s="1620">
        <f t="shared" si="721"/>
        <v>49688</v>
      </c>
      <c r="BP366" s="1620">
        <f t="shared" si="721"/>
        <v>43123</v>
      </c>
      <c r="BQ366" s="1621">
        <f t="shared" si="721"/>
        <v>40114</v>
      </c>
      <c r="BR366" s="1663">
        <f t="shared" si="721"/>
        <v>47523</v>
      </c>
      <c r="BS366" s="1620">
        <f t="shared" si="721"/>
        <v>44762</v>
      </c>
      <c r="BT366" s="1620">
        <f>SUM(BT264, BT274, BT284, BT310, BT336)</f>
        <v>39100</v>
      </c>
      <c r="BU366" s="1621">
        <f t="shared" si="721"/>
        <v>39300</v>
      </c>
      <c r="BV366" s="1663">
        <f t="shared" si="721"/>
        <v>42200</v>
      </c>
      <c r="BW366" s="1620">
        <f t="shared" ref="BW366" si="722">SUM(BW264, BW274, BW284, BW310, BW336)</f>
        <v>42300</v>
      </c>
      <c r="BX366" s="1620"/>
      <c r="BY366" s="1621"/>
      <c r="BZ366" s="1663"/>
      <c r="CA366" s="1620"/>
      <c r="CB366" s="1620"/>
      <c r="CC366" s="1621"/>
      <c r="CD366" s="9"/>
      <c r="CE366" s="145"/>
      <c r="CF366" s="145"/>
      <c r="CG366" s="145"/>
      <c r="CH366" s="145"/>
      <c r="CI366" s="145"/>
      <c r="CJ366" s="145"/>
      <c r="CK366" s="145"/>
      <c r="CL366" s="145"/>
      <c r="CM366" s="145"/>
      <c r="CN366" s="145"/>
      <c r="CO366" s="145"/>
      <c r="CP366" s="145"/>
      <c r="CQ366" s="1620">
        <f>SUM(CQ264, CQ274, CQ284, CQ310, CQ336)</f>
        <v>241792</v>
      </c>
      <c r="CR366" s="1620">
        <f>SUM(CR264, CR274, CR284, CR310, CR336)</f>
        <v>249212</v>
      </c>
      <c r="CS366" s="1620">
        <f>SUM(CS264, CS274, CS284, CS310, CS336)</f>
        <v>228836</v>
      </c>
      <c r="CT366" s="1620">
        <f>SUM(CT264, CT274, CT284, CT310, CT336)</f>
        <v>184656</v>
      </c>
      <c r="CU366" s="1620">
        <f>SUM(CU264, CU274, CU284, CU310, CU336)</f>
        <v>170685</v>
      </c>
      <c r="CV366" s="1620"/>
      <c r="CW366" s="1620"/>
      <c r="CX366" s="1620"/>
      <c r="CY366" s="1620"/>
      <c r="CZ366" s="1620"/>
      <c r="DA366" s="1620"/>
      <c r="DB366" s="1620"/>
      <c r="DC366" s="1620"/>
      <c r="DD366" s="1517"/>
      <c r="DE366" s="1483"/>
      <c r="DF366" s="141"/>
      <c r="DG366" s="141"/>
      <c r="DH366" s="141"/>
      <c r="DI366" s="141"/>
      <c r="DJ366" s="141"/>
      <c r="DK366" s="141"/>
      <c r="DL366" s="141"/>
      <c r="DM366" s="141"/>
      <c r="DN366" s="141"/>
      <c r="DO366" s="141"/>
      <c r="DP366" s="141"/>
      <c r="DQ366" s="141"/>
      <c r="DR366" s="141"/>
      <c r="DS366" s="141"/>
      <c r="DT366" s="141"/>
      <c r="DU366" s="141"/>
      <c r="DV366" s="141"/>
      <c r="DW366" s="141"/>
      <c r="DX366" s="141"/>
      <c r="DY366" s="141"/>
      <c r="DZ366" s="1676"/>
    </row>
    <row r="367" spans="1:136" hidden="1" outlineLevel="1">
      <c r="A367" s="9"/>
      <c r="B367" s="497"/>
      <c r="C367" s="1180" t="s">
        <v>76</v>
      </c>
      <c r="D367" s="1182"/>
      <c r="E367" s="1183"/>
      <c r="F367" s="145"/>
      <c r="G367" s="145"/>
      <c r="H367" s="145"/>
      <c r="I367" s="228"/>
      <c r="J367" s="145"/>
      <c r="K367" s="145"/>
      <c r="L367" s="145"/>
      <c r="M367" s="228"/>
      <c r="N367" s="145"/>
      <c r="O367" s="145"/>
      <c r="P367" s="145"/>
      <c r="Q367" s="145"/>
      <c r="R367" s="145"/>
      <c r="S367" s="145"/>
      <c r="T367" s="145"/>
      <c r="U367" s="145"/>
      <c r="V367" s="227"/>
      <c r="W367" s="145"/>
      <c r="X367" s="145"/>
      <c r="Y367" s="145"/>
      <c r="Z367" s="227"/>
      <c r="AA367" s="145"/>
      <c r="AB367" s="145"/>
      <c r="AC367" s="145"/>
      <c r="AD367" s="227"/>
      <c r="AE367" s="145"/>
      <c r="AF367" s="145"/>
      <c r="AG367" s="145"/>
      <c r="AH367" s="227"/>
      <c r="AI367" s="145"/>
      <c r="AJ367" s="145"/>
      <c r="AK367" s="145"/>
      <c r="AL367" s="145"/>
      <c r="AM367" s="145"/>
      <c r="AN367" s="145"/>
      <c r="AO367" s="228"/>
      <c r="AP367" s="145"/>
      <c r="AQ367" s="145"/>
      <c r="AR367" s="145"/>
      <c r="AS367" s="145"/>
      <c r="AT367" s="145"/>
      <c r="AU367" s="145"/>
      <c r="AV367" s="145"/>
      <c r="AW367" s="145"/>
      <c r="AX367" s="145"/>
      <c r="AY367" s="145"/>
      <c r="AZ367" s="145"/>
      <c r="BA367" s="228"/>
      <c r="BB367" s="852"/>
      <c r="BC367" s="640"/>
      <c r="BD367" s="640"/>
      <c r="BE367" s="949"/>
      <c r="BF367" s="640">
        <f t="shared" ref="BF367:BS367" si="723">BF366/BB366-1</f>
        <v>2.0806658130601008E-3</v>
      </c>
      <c r="BG367" s="640">
        <f t="shared" si="723"/>
        <v>6.4836852855286065E-2</v>
      </c>
      <c r="BH367" s="640">
        <f t="shared" si="723"/>
        <v>4.1213128375572339E-3</v>
      </c>
      <c r="BI367" s="949">
        <f t="shared" si="723"/>
        <v>5.3442633898757919E-2</v>
      </c>
      <c r="BJ367" s="640">
        <f t="shared" si="723"/>
        <v>3.4084012138636099E-2</v>
      </c>
      <c r="BK367" s="640">
        <f t="shared" si="723"/>
        <v>-3.2291303382898429E-2</v>
      </c>
      <c r="BL367" s="640">
        <f t="shared" si="723"/>
        <v>-9.7578736573821212E-2</v>
      </c>
      <c r="BM367" s="640">
        <f t="shared" si="723"/>
        <v>-0.23102524684216363</v>
      </c>
      <c r="BN367" s="2209">
        <f t="shared" si="723"/>
        <v>-0.20099159767700481</v>
      </c>
      <c r="BO367" s="640">
        <f t="shared" si="723"/>
        <v>-0.18604308297157834</v>
      </c>
      <c r="BP367" s="640">
        <f t="shared" si="723"/>
        <v>-0.20914409375171938</v>
      </c>
      <c r="BQ367" s="949">
        <f t="shared" si="723"/>
        <v>-0.17324814509480624</v>
      </c>
      <c r="BR367" s="640">
        <f t="shared" si="723"/>
        <v>-8.1343875045910563E-2</v>
      </c>
      <c r="BS367" s="640">
        <f t="shared" si="723"/>
        <v>-9.9138625020125604E-2</v>
      </c>
      <c r="BT367" s="640"/>
      <c r="BU367" s="949"/>
      <c r="BV367" s="640"/>
      <c r="BW367" s="640"/>
      <c r="BX367" s="640"/>
      <c r="BY367" s="949"/>
      <c r="BZ367" s="640"/>
      <c r="CA367" s="640"/>
      <c r="CB367" s="640"/>
      <c r="CC367" s="949"/>
      <c r="CD367" s="9"/>
      <c r="CE367" s="145"/>
      <c r="CF367" s="145"/>
      <c r="CG367" s="145"/>
      <c r="CH367" s="145"/>
      <c r="CI367" s="145"/>
      <c r="CJ367" s="145"/>
      <c r="CK367" s="145"/>
      <c r="CL367" s="145"/>
      <c r="CM367" s="145"/>
      <c r="CN367" s="145"/>
      <c r="CO367" s="145"/>
      <c r="CP367" s="145"/>
      <c r="CQ367" s="640"/>
      <c r="CR367" s="852">
        <f>CR366/CQ366-1</f>
        <v>3.0687533086289021E-2</v>
      </c>
      <c r="CS367" s="852">
        <f>CS366/CR366-1</f>
        <v>-8.1761712919121043E-2</v>
      </c>
      <c r="CT367" s="852">
        <f>CT366/CS366-1</f>
        <v>-0.19306402838714187</v>
      </c>
      <c r="CU367" s="852">
        <f>CU366/CT366-1</f>
        <v>-7.5659604886924914E-2</v>
      </c>
      <c r="CV367" s="852"/>
      <c r="CW367" s="852"/>
      <c r="CX367" s="852"/>
      <c r="CY367" s="852"/>
      <c r="CZ367" s="852"/>
      <c r="DA367" s="852"/>
      <c r="DB367" s="852"/>
      <c r="DC367" s="852"/>
      <c r="DD367" s="1517"/>
      <c r="DE367" s="1483"/>
      <c r="DF367" s="141"/>
      <c r="DG367" s="141"/>
      <c r="DH367" s="141"/>
      <c r="DI367" s="141"/>
      <c r="DJ367" s="141"/>
      <c r="DK367" s="141"/>
      <c r="DL367" s="141"/>
      <c r="DM367" s="141"/>
      <c r="DN367" s="141"/>
      <c r="DO367" s="141"/>
      <c r="DP367" s="141"/>
      <c r="DQ367" s="141"/>
      <c r="DR367" s="141"/>
      <c r="DS367" s="141"/>
      <c r="DT367" s="141"/>
      <c r="DU367" s="141"/>
      <c r="DV367" s="141"/>
      <c r="DW367" s="141"/>
      <c r="DX367" s="141"/>
      <c r="DY367" s="141"/>
      <c r="DZ367" s="1676"/>
    </row>
    <row r="368" spans="1:136" hidden="1" outlineLevel="1">
      <c r="A368" s="9"/>
      <c r="B368" s="497"/>
      <c r="C368" s="1180" t="s">
        <v>77</v>
      </c>
      <c r="D368" s="1182"/>
      <c r="E368" s="1183"/>
      <c r="F368" s="145"/>
      <c r="G368" s="145"/>
      <c r="H368" s="145"/>
      <c r="I368" s="228"/>
      <c r="J368" s="145"/>
      <c r="K368" s="145"/>
      <c r="L368" s="145"/>
      <c r="M368" s="228"/>
      <c r="N368" s="145"/>
      <c r="O368" s="145"/>
      <c r="P368" s="145"/>
      <c r="Q368" s="145"/>
      <c r="R368" s="145"/>
      <c r="S368" s="145"/>
      <c r="T368" s="145"/>
      <c r="U368" s="145"/>
      <c r="V368" s="227"/>
      <c r="W368" s="145"/>
      <c r="X368" s="145"/>
      <c r="Y368" s="145"/>
      <c r="Z368" s="227"/>
      <c r="AA368" s="145"/>
      <c r="AB368" s="145"/>
      <c r="AC368" s="145"/>
      <c r="AD368" s="227"/>
      <c r="AE368" s="145"/>
      <c r="AF368" s="145"/>
      <c r="AG368" s="145"/>
      <c r="AH368" s="227"/>
      <c r="AI368" s="145"/>
      <c r="AJ368" s="145"/>
      <c r="AK368" s="145"/>
      <c r="AL368" s="145"/>
      <c r="AM368" s="145"/>
      <c r="AN368" s="145"/>
      <c r="AO368" s="228"/>
      <c r="AP368" s="145"/>
      <c r="AQ368" s="145"/>
      <c r="AR368" s="145"/>
      <c r="AS368" s="145"/>
      <c r="AT368" s="145"/>
      <c r="AU368" s="145"/>
      <c r="AV368" s="145"/>
      <c r="AW368" s="145"/>
      <c r="AX368" s="145"/>
      <c r="AY368" s="145"/>
      <c r="AZ368" s="145"/>
      <c r="BA368" s="228"/>
      <c r="BB368" s="852"/>
      <c r="BC368" s="852">
        <f t="shared" ref="BC368:BS368" si="724">BC366/BB366-1</f>
        <v>-5.1840588988476322E-2</v>
      </c>
      <c r="BD368" s="852">
        <f t="shared" si="724"/>
        <v>1.5766107932006612E-2</v>
      </c>
      <c r="BE368" s="851">
        <f t="shared" si="724"/>
        <v>-4.6364769422517771E-3</v>
      </c>
      <c r="BF368" s="852">
        <f t="shared" si="724"/>
        <v>4.5311873914785528E-2</v>
      </c>
      <c r="BG368" s="852">
        <f t="shared" si="724"/>
        <v>7.5387318319757313E-3</v>
      </c>
      <c r="BH368" s="852">
        <f t="shared" si="724"/>
        <v>-4.2151485368250863E-2</v>
      </c>
      <c r="BI368" s="851">
        <f t="shared" si="724"/>
        <v>4.4254671234463805E-2</v>
      </c>
      <c r="BJ368" s="852">
        <f t="shared" si="724"/>
        <v>2.6102667321742823E-2</v>
      </c>
      <c r="BK368" s="852">
        <f t="shared" si="724"/>
        <v>-5.7132707277894434E-2</v>
      </c>
      <c r="BL368" s="852">
        <f t="shared" si="724"/>
        <v>-0.1067736915390286</v>
      </c>
      <c r="BM368" s="852">
        <f t="shared" si="724"/>
        <v>-0.11016560603004011</v>
      </c>
      <c r="BN368" s="850">
        <f t="shared" si="724"/>
        <v>6.6178895300906815E-2</v>
      </c>
      <c r="BO368" s="852">
        <f t="shared" si="724"/>
        <v>-3.9492760627090173E-2</v>
      </c>
      <c r="BP368" s="852">
        <f t="shared" si="724"/>
        <v>-0.13212445660924166</v>
      </c>
      <c r="BQ368" s="851">
        <f t="shared" si="724"/>
        <v>-6.9777149085174961E-2</v>
      </c>
      <c r="BR368" s="852">
        <f t="shared" si="724"/>
        <v>0.18469860896445134</v>
      </c>
      <c r="BS368" s="852">
        <f t="shared" si="724"/>
        <v>-5.8098184037203016E-2</v>
      </c>
      <c r="BT368" s="852"/>
      <c r="BU368" s="851"/>
      <c r="BV368" s="852"/>
      <c r="BW368" s="852"/>
      <c r="BX368" s="852"/>
      <c r="BY368" s="851"/>
      <c r="BZ368" s="852"/>
      <c r="CA368" s="852"/>
      <c r="CB368" s="852"/>
      <c r="CC368" s="851"/>
      <c r="CD368" s="9"/>
      <c r="CE368" s="145"/>
      <c r="CF368" s="145"/>
      <c r="CG368" s="145"/>
      <c r="CH368" s="145"/>
      <c r="CI368" s="145"/>
      <c r="CJ368" s="145"/>
      <c r="CK368" s="145"/>
      <c r="CL368" s="145"/>
      <c r="CM368" s="145"/>
      <c r="CN368" s="145"/>
      <c r="CO368" s="145"/>
      <c r="CP368" s="145"/>
      <c r="CQ368" s="852"/>
      <c r="CS368" s="63"/>
      <c r="CT368" s="63"/>
      <c r="CU368" s="63"/>
      <c r="CV368" s="77"/>
      <c r="CW368" s="77"/>
      <c r="CX368" s="77"/>
      <c r="CY368" s="77"/>
      <c r="CZ368" s="77"/>
      <c r="DA368" s="77"/>
      <c r="DB368" s="77"/>
      <c r="DC368" s="77"/>
      <c r="DD368" s="1517"/>
      <c r="DE368" s="1483"/>
      <c r="DF368" s="141"/>
      <c r="DG368" s="141"/>
      <c r="DH368" s="141"/>
      <c r="DI368" s="141"/>
      <c r="DJ368" s="141"/>
      <c r="DK368" s="141"/>
      <c r="DL368" s="141"/>
      <c r="DM368" s="141"/>
      <c r="DN368" s="141"/>
      <c r="DO368" s="141"/>
      <c r="DP368" s="141"/>
      <c r="DQ368" s="141"/>
      <c r="DR368" s="141"/>
      <c r="DS368" s="141"/>
      <c r="DT368" s="141"/>
      <c r="DU368" s="141"/>
      <c r="DV368" s="141"/>
      <c r="DW368" s="141"/>
      <c r="DX368" s="141"/>
      <c r="DY368" s="141"/>
      <c r="DZ368" s="1676"/>
    </row>
    <row r="369" spans="1:136" hidden="1" outlineLevel="1">
      <c r="A369" s="9"/>
      <c r="B369" s="497"/>
      <c r="C369" s="1180"/>
      <c r="D369" s="1182"/>
      <c r="E369" s="1183"/>
      <c r="F369" s="145"/>
      <c r="G369" s="145"/>
      <c r="H369" s="145"/>
      <c r="I369" s="228"/>
      <c r="J369" s="145"/>
      <c r="K369" s="145"/>
      <c r="L369" s="145"/>
      <c r="M369" s="228"/>
      <c r="N369" s="145"/>
      <c r="O369" s="145"/>
      <c r="P369" s="145"/>
      <c r="Q369" s="145"/>
      <c r="R369" s="145"/>
      <c r="S369" s="145"/>
      <c r="T369" s="145"/>
      <c r="U369" s="145"/>
      <c r="V369" s="227"/>
      <c r="W369" s="145"/>
      <c r="X369" s="145"/>
      <c r="Y369" s="145"/>
      <c r="Z369" s="227"/>
      <c r="AA369" s="145"/>
      <c r="AB369" s="145"/>
      <c r="AC369" s="145"/>
      <c r="AD369" s="227"/>
      <c r="AE369" s="145"/>
      <c r="AF369" s="145"/>
      <c r="AG369" s="145"/>
      <c r="AH369" s="227"/>
      <c r="AI369" s="145"/>
      <c r="AJ369" s="145"/>
      <c r="AK369" s="145"/>
      <c r="AL369" s="145"/>
      <c r="AM369" s="145"/>
      <c r="AN369" s="145"/>
      <c r="AO369" s="228"/>
      <c r="AP369" s="145"/>
      <c r="AQ369" s="145"/>
      <c r="AR369" s="145"/>
      <c r="AS369" s="145"/>
      <c r="AT369" s="145"/>
      <c r="AU369" s="145"/>
      <c r="AV369" s="145"/>
      <c r="AW369" s="145"/>
      <c r="AX369" s="145"/>
      <c r="AY369" s="145"/>
      <c r="AZ369" s="145"/>
      <c r="BA369" s="228"/>
      <c r="BB369" s="1711"/>
      <c r="BC369" s="1666"/>
      <c r="BD369" s="1666"/>
      <c r="BE369" s="1712"/>
      <c r="BF369" s="1711"/>
      <c r="BG369" s="1666"/>
      <c r="BH369" s="1666"/>
      <c r="BI369" s="1712"/>
      <c r="BJ369" s="1711"/>
      <c r="BK369" s="1666"/>
      <c r="BL369" s="1666"/>
      <c r="BM369" s="1666"/>
      <c r="BN369" s="1711"/>
      <c r="BO369" s="1666"/>
      <c r="BP369" s="1666"/>
      <c r="BQ369" s="1712"/>
      <c r="BR369" s="1711"/>
      <c r="BS369" s="852"/>
      <c r="BT369" s="852"/>
      <c r="BU369" s="851"/>
      <c r="BV369" s="852"/>
      <c r="BW369" s="852"/>
      <c r="BX369" s="852"/>
      <c r="BY369" s="851"/>
      <c r="BZ369" s="852"/>
      <c r="CA369" s="852"/>
      <c r="CB369" s="852"/>
      <c r="CC369" s="851"/>
      <c r="CD369" s="9"/>
      <c r="CE369" s="145"/>
      <c r="CF369" s="145"/>
      <c r="CG369" s="145"/>
      <c r="CH369" s="145"/>
      <c r="CI369" s="145"/>
      <c r="CJ369" s="145"/>
      <c r="CK369" s="145"/>
      <c r="CL369" s="145"/>
      <c r="CM369" s="145"/>
      <c r="CN369" s="145"/>
      <c r="CO369" s="145"/>
      <c r="CP369" s="145"/>
      <c r="CQ369" s="852"/>
      <c r="CR369" s="852"/>
      <c r="CS369" s="852"/>
      <c r="CT369" s="852"/>
      <c r="CU369" s="852"/>
      <c r="CV369" s="852"/>
      <c r="CW369" s="852"/>
      <c r="CX369" s="852"/>
      <c r="CY369" s="852"/>
      <c r="CZ369" s="852"/>
      <c r="DA369" s="852"/>
      <c r="DB369" s="852"/>
      <c r="DC369" s="852"/>
      <c r="DD369" s="1517"/>
      <c r="DE369" s="1483"/>
      <c r="DF369" s="141"/>
      <c r="DG369" s="141"/>
      <c r="DH369" s="141"/>
      <c r="DI369" s="141"/>
      <c r="DJ369" s="141"/>
      <c r="DK369" s="141"/>
      <c r="DL369" s="141"/>
      <c r="DM369" s="141"/>
      <c r="DN369" s="141"/>
      <c r="DO369" s="141"/>
      <c r="DP369" s="141"/>
      <c r="DQ369" s="141"/>
      <c r="DR369" s="141"/>
      <c r="DS369" s="141"/>
      <c r="DT369" s="141"/>
      <c r="DU369" s="141"/>
      <c r="DV369" s="141"/>
      <c r="DW369" s="141"/>
      <c r="DX369" s="141"/>
      <c r="DY369" s="141"/>
      <c r="DZ369" s="1676"/>
    </row>
    <row r="370" spans="1:136" hidden="1" outlineLevel="1">
      <c r="A370" s="9"/>
      <c r="B370" s="224" t="s">
        <v>811</v>
      </c>
      <c r="C370" s="211"/>
      <c r="D370" s="819"/>
      <c r="E370" s="820"/>
      <c r="F370" s="145"/>
      <c r="G370" s="145"/>
      <c r="H370" s="145"/>
      <c r="I370" s="228"/>
      <c r="J370" s="145"/>
      <c r="K370" s="145"/>
      <c r="L370" s="145"/>
      <c r="M370" s="228"/>
      <c r="N370" s="145"/>
      <c r="O370" s="145"/>
      <c r="P370" s="145"/>
      <c r="Q370" s="145"/>
      <c r="R370" s="145"/>
      <c r="S370" s="145"/>
      <c r="T370" s="145"/>
      <c r="U370" s="145"/>
      <c r="V370" s="227"/>
      <c r="W370" s="145"/>
      <c r="X370" s="145"/>
      <c r="Y370" s="145"/>
      <c r="Z370" s="227"/>
      <c r="AA370" s="145"/>
      <c r="AB370" s="145"/>
      <c r="AC370" s="145"/>
      <c r="AD370" s="227"/>
      <c r="AE370" s="145"/>
      <c r="AF370" s="145"/>
      <c r="AG370" s="145"/>
      <c r="AH370" s="227"/>
      <c r="AI370" s="145"/>
      <c r="AJ370" s="145"/>
      <c r="AK370" s="145"/>
      <c r="AL370" s="145"/>
      <c r="AM370" s="145"/>
      <c r="AN370" s="145"/>
      <c r="AO370" s="228"/>
      <c r="AP370" s="145"/>
      <c r="AQ370" s="145"/>
      <c r="AR370" s="145"/>
      <c r="AS370" s="145"/>
      <c r="AT370" s="145"/>
      <c r="AU370" s="145"/>
      <c r="AV370" s="145"/>
      <c r="AW370" s="145"/>
      <c r="AX370" s="145"/>
      <c r="AY370" s="145"/>
      <c r="AZ370" s="145"/>
      <c r="BA370" s="228"/>
      <c r="BB370" s="1663">
        <f t="shared" ref="BB370:BR370" si="725">BB363*1000/BB366</f>
        <v>61.608317537064856</v>
      </c>
      <c r="BC370" s="1620">
        <f t="shared" si="725"/>
        <v>61.934800893630864</v>
      </c>
      <c r="BD370" s="1620">
        <f t="shared" si="725"/>
        <v>60.563164574217467</v>
      </c>
      <c r="BE370" s="1621">
        <f t="shared" si="725"/>
        <v>60.06518060812531</v>
      </c>
      <c r="BF370" s="1663">
        <f t="shared" si="725"/>
        <v>57.772663123112302</v>
      </c>
      <c r="BG370" s="1620">
        <f t="shared" si="725"/>
        <v>60.135618992732525</v>
      </c>
      <c r="BH370" s="1620">
        <f t="shared" si="725"/>
        <v>58.444282760234074</v>
      </c>
      <c r="BI370" s="1621">
        <f t="shared" si="725"/>
        <v>55.514353854987213</v>
      </c>
      <c r="BJ370" s="1663">
        <f t="shared" si="725"/>
        <v>57.575350332783529</v>
      </c>
      <c r="BK370" s="1620">
        <f t="shared" si="725"/>
        <v>59.698419890401212</v>
      </c>
      <c r="BL370" s="1620">
        <f t="shared" si="725"/>
        <v>60.620923072930083</v>
      </c>
      <c r="BM370" s="1620">
        <f t="shared" si="725"/>
        <v>60.280774623547906</v>
      </c>
      <c r="BN370" s="1663">
        <f t="shared" si="725"/>
        <v>59.487979118558577</v>
      </c>
      <c r="BO370" s="1620">
        <f t="shared" si="725"/>
        <v>60.666743731984837</v>
      </c>
      <c r="BP370" s="1620">
        <f t="shared" si="725"/>
        <v>59.80651473535373</v>
      </c>
      <c r="BQ370" s="1621">
        <f t="shared" si="725"/>
        <v>62.701899305867684</v>
      </c>
      <c r="BR370" s="1663">
        <f t="shared" si="725"/>
        <v>61.475788118718548</v>
      </c>
      <c r="BS370" s="1620">
        <f>BS363*1000/BS366</f>
        <v>62.080204626187047</v>
      </c>
      <c r="BT370" s="2186">
        <v>63</v>
      </c>
      <c r="BU370" s="2186">
        <v>63</v>
      </c>
      <c r="BV370" s="2211">
        <v>61</v>
      </c>
      <c r="BW370" s="2186">
        <v>63</v>
      </c>
      <c r="BX370" s="1620"/>
      <c r="BY370" s="1621"/>
      <c r="BZ370" s="1663"/>
      <c r="CA370" s="1620"/>
      <c r="CB370" s="1620"/>
      <c r="CC370" s="1621"/>
      <c r="CD370" s="9"/>
      <c r="CE370" s="145"/>
      <c r="CF370" s="145"/>
      <c r="CG370" s="145"/>
      <c r="CH370" s="145"/>
      <c r="CI370" s="145"/>
      <c r="CJ370" s="145"/>
      <c r="CK370" s="145"/>
      <c r="CL370" s="145"/>
      <c r="CM370" s="145"/>
      <c r="CN370" s="145"/>
      <c r="CO370" s="145"/>
      <c r="CP370" s="145"/>
      <c r="CQ370" s="1620">
        <f>CQ363*1000/CQ366</f>
        <v>61.045939093986604</v>
      </c>
      <c r="CR370" s="1620">
        <f>CR363*1000/CR366</f>
        <v>57.961854316194113</v>
      </c>
      <c r="CS370" s="1620">
        <f>CS363*1000/CS366</f>
        <v>59.441035419634495</v>
      </c>
      <c r="CT370" s="1620">
        <f>CT363*1000/CT366</f>
        <v>60.577734457722734</v>
      </c>
      <c r="CU370" s="1620">
        <f>CU363*1000/CU366</f>
        <v>33.396888995771434</v>
      </c>
      <c r="CV370" s="1620"/>
      <c r="CW370" s="1620"/>
      <c r="CX370" s="1620"/>
      <c r="CY370" s="1620"/>
      <c r="CZ370" s="1620"/>
      <c r="DA370" s="1620"/>
      <c r="DB370" s="1620"/>
      <c r="DC370" s="1620"/>
      <c r="DD370" s="1517"/>
      <c r="DE370" s="1483"/>
      <c r="DF370" s="141"/>
      <c r="DG370" s="141"/>
      <c r="DH370" s="141"/>
      <c r="DI370" s="141"/>
      <c r="DJ370" s="141"/>
      <c r="DK370" s="141"/>
      <c r="DL370" s="141"/>
      <c r="DM370" s="141"/>
      <c r="DN370" s="141"/>
      <c r="DO370" s="141"/>
      <c r="DP370" s="141"/>
      <c r="DQ370" s="141"/>
      <c r="DR370" s="141"/>
      <c r="DS370" s="141"/>
      <c r="DT370" s="141"/>
      <c r="DU370" s="141"/>
      <c r="DV370" s="141"/>
      <c r="DW370" s="141"/>
      <c r="DX370" s="141"/>
      <c r="DY370" s="141"/>
      <c r="DZ370" s="1676"/>
    </row>
    <row r="371" spans="1:136" hidden="1" outlineLevel="1">
      <c r="A371" s="9"/>
      <c r="B371" s="1181"/>
      <c r="C371" s="368" t="s">
        <v>76</v>
      </c>
      <c r="D371" s="1182"/>
      <c r="E371" s="1183"/>
      <c r="F371" s="145"/>
      <c r="G371" s="145"/>
      <c r="H371" s="145"/>
      <c r="I371" s="228"/>
      <c r="J371" s="145"/>
      <c r="K371" s="145"/>
      <c r="L371" s="145"/>
      <c r="M371" s="228"/>
      <c r="N371" s="145"/>
      <c r="O371" s="145"/>
      <c r="P371" s="145"/>
      <c r="Q371" s="145"/>
      <c r="R371" s="145"/>
      <c r="S371" s="145"/>
      <c r="T371" s="145"/>
      <c r="U371" s="145"/>
      <c r="V371" s="227"/>
      <c r="W371" s="145"/>
      <c r="X371" s="145"/>
      <c r="Y371" s="145"/>
      <c r="Z371" s="227"/>
      <c r="AA371" s="145"/>
      <c r="AB371" s="145"/>
      <c r="AC371" s="145"/>
      <c r="AD371" s="227"/>
      <c r="AE371" s="145"/>
      <c r="AF371" s="145"/>
      <c r="AG371" s="145"/>
      <c r="AH371" s="227"/>
      <c r="AI371" s="145"/>
      <c r="AJ371" s="145"/>
      <c r="AK371" s="145"/>
      <c r="AL371" s="145"/>
      <c r="AM371" s="145"/>
      <c r="AN371" s="145"/>
      <c r="AO371" s="228"/>
      <c r="AP371" s="145"/>
      <c r="AQ371" s="145"/>
      <c r="AR371" s="145"/>
      <c r="AS371" s="145"/>
      <c r="AT371" s="145"/>
      <c r="AU371" s="145"/>
      <c r="AV371" s="145"/>
      <c r="AW371" s="145"/>
      <c r="AX371" s="145"/>
      <c r="AY371" s="145"/>
      <c r="AZ371" s="145"/>
      <c r="BA371" s="228"/>
      <c r="BB371" s="852"/>
      <c r="BC371" s="640"/>
      <c r="BD371" s="640"/>
      <c r="BE371" s="949"/>
      <c r="BF371" s="640">
        <f t="shared" ref="BF371:BS371" si="726">BF370/BB370-1</f>
        <v>-6.2258710630183067E-2</v>
      </c>
      <c r="BG371" s="640">
        <f t="shared" si="726"/>
        <v>-2.9049611445240986E-2</v>
      </c>
      <c r="BH371" s="640">
        <f t="shared" si="726"/>
        <v>-3.4986312701457245E-2</v>
      </c>
      <c r="BI371" s="949">
        <f t="shared" si="726"/>
        <v>-7.5764805950196079E-2</v>
      </c>
      <c r="BJ371" s="640">
        <f t="shared" si="726"/>
        <v>-3.4153313983172895E-3</v>
      </c>
      <c r="BK371" s="640">
        <f t="shared" si="726"/>
        <v>-7.2702187098822035E-3</v>
      </c>
      <c r="BL371" s="640">
        <f t="shared" si="726"/>
        <v>3.7242998115412096E-2</v>
      </c>
      <c r="BM371" s="640">
        <f t="shared" si="726"/>
        <v>8.5859249681828009E-2</v>
      </c>
      <c r="BN371" s="2209">
        <f t="shared" si="726"/>
        <v>3.3219577036355252E-2</v>
      </c>
      <c r="BO371" s="640">
        <f t="shared" si="726"/>
        <v>1.6220259151939809E-2</v>
      </c>
      <c r="BP371" s="640">
        <f t="shared" si="726"/>
        <v>-1.3434443032095955E-2</v>
      </c>
      <c r="BQ371" s="949">
        <f t="shared" si="726"/>
        <v>4.0164126911766518E-2</v>
      </c>
      <c r="BR371" s="640">
        <f t="shared" si="726"/>
        <v>3.3415305572883858E-2</v>
      </c>
      <c r="BS371" s="640">
        <f t="shared" si="726"/>
        <v>2.3298776351779127E-2</v>
      </c>
      <c r="BT371" s="640"/>
      <c r="BU371" s="949"/>
      <c r="BV371" s="640"/>
      <c r="BW371" s="640"/>
      <c r="BX371" s="640"/>
      <c r="BY371" s="949"/>
      <c r="BZ371" s="640"/>
      <c r="CA371" s="640"/>
      <c r="CB371" s="640"/>
      <c r="CC371" s="949"/>
      <c r="CD371" s="9"/>
      <c r="CE371" s="145"/>
      <c r="CF371" s="145"/>
      <c r="CG371" s="145"/>
      <c r="CH371" s="145"/>
      <c r="CI371" s="145"/>
      <c r="CJ371" s="145"/>
      <c r="CK371" s="145"/>
      <c r="CL371" s="145"/>
      <c r="CM371" s="145"/>
      <c r="CN371" s="145"/>
      <c r="CO371" s="145"/>
      <c r="CP371" s="145"/>
      <c r="CQ371" s="640"/>
      <c r="CR371" s="852">
        <f>CR370/CQ370-1</f>
        <v>-5.0520719700031469E-2</v>
      </c>
      <c r="CS371" s="852">
        <f>CS370/CR370-1</f>
        <v>2.5519906512499357E-2</v>
      </c>
      <c r="CT371" s="852">
        <f>CT370/CS370-1</f>
        <v>1.9123136568256482E-2</v>
      </c>
      <c r="CU371" s="852">
        <f>CU370/CT370-1</f>
        <v>-0.4486936612150928</v>
      </c>
      <c r="CV371" s="852"/>
      <c r="CW371" s="852"/>
      <c r="CX371" s="852"/>
      <c r="CY371" s="852"/>
      <c r="CZ371" s="852"/>
      <c r="DA371" s="852"/>
      <c r="DB371" s="852"/>
      <c r="DC371" s="852"/>
      <c r="DD371" s="1517"/>
      <c r="DE371" s="1483"/>
      <c r="DF371" s="141"/>
      <c r="DG371" s="141"/>
      <c r="DH371" s="141"/>
      <c r="DI371" s="141"/>
      <c r="DJ371" s="141"/>
      <c r="DK371" s="141"/>
      <c r="DL371" s="141"/>
      <c r="DM371" s="141"/>
      <c r="DN371" s="141"/>
      <c r="DO371" s="141"/>
      <c r="DP371" s="141"/>
      <c r="DQ371" s="141"/>
      <c r="DR371" s="141"/>
      <c r="DS371" s="141"/>
      <c r="DT371" s="141"/>
      <c r="DU371" s="141"/>
      <c r="DV371" s="141"/>
      <c r="DW371" s="141"/>
      <c r="DX371" s="141"/>
      <c r="DY371" s="141"/>
      <c r="DZ371" s="1676"/>
    </row>
    <row r="372" spans="1:136" hidden="1" outlineLevel="1">
      <c r="A372" s="9"/>
      <c r="B372" s="1181"/>
      <c r="C372" s="1180" t="s">
        <v>77</v>
      </c>
      <c r="D372" s="1182"/>
      <c r="E372" s="1183"/>
      <c r="F372" s="145"/>
      <c r="G372" s="145"/>
      <c r="H372" s="145"/>
      <c r="I372" s="228"/>
      <c r="J372" s="145"/>
      <c r="K372" s="145"/>
      <c r="L372" s="145"/>
      <c r="M372" s="228"/>
      <c r="N372" s="145"/>
      <c r="O372" s="145"/>
      <c r="P372" s="145"/>
      <c r="Q372" s="145"/>
      <c r="R372" s="145"/>
      <c r="S372" s="145"/>
      <c r="T372" s="145"/>
      <c r="U372" s="145"/>
      <c r="V372" s="227"/>
      <c r="W372" s="145"/>
      <c r="X372" s="145"/>
      <c r="Y372" s="145"/>
      <c r="Z372" s="227"/>
      <c r="AA372" s="145"/>
      <c r="AB372" s="145"/>
      <c r="AC372" s="145"/>
      <c r="AD372" s="227"/>
      <c r="AE372" s="145"/>
      <c r="AF372" s="145"/>
      <c r="AG372" s="145"/>
      <c r="AH372" s="227"/>
      <c r="AI372" s="145"/>
      <c r="AJ372" s="145"/>
      <c r="AK372" s="145"/>
      <c r="AL372" s="145"/>
      <c r="AM372" s="145"/>
      <c r="AN372" s="145"/>
      <c r="AO372" s="228"/>
      <c r="AP372" s="145"/>
      <c r="AQ372" s="145"/>
      <c r="AR372" s="145"/>
      <c r="AS372" s="145"/>
      <c r="AT372" s="145"/>
      <c r="AU372" s="145"/>
      <c r="AV372" s="145"/>
      <c r="AW372" s="145"/>
      <c r="AX372" s="145"/>
      <c r="AY372" s="145"/>
      <c r="AZ372" s="145"/>
      <c r="BA372" s="228"/>
      <c r="BB372" s="852"/>
      <c r="BC372" s="852">
        <f t="shared" ref="BC372:BS372" si="727">BC370/BB370-1</f>
        <v>5.2993389467190788E-3</v>
      </c>
      <c r="BD372" s="852">
        <f t="shared" si="727"/>
        <v>-2.2146455621438021E-2</v>
      </c>
      <c r="BE372" s="851">
        <f t="shared" si="727"/>
        <v>-8.2225552378772937E-3</v>
      </c>
      <c r="BF372" s="852">
        <f t="shared" si="727"/>
        <v>-3.8167162102945351E-2</v>
      </c>
      <c r="BG372" s="852">
        <f t="shared" si="727"/>
        <v>4.0900933796055305E-2</v>
      </c>
      <c r="BH372" s="852">
        <f t="shared" si="727"/>
        <v>-2.8125364980492673E-2</v>
      </c>
      <c r="BI372" s="851">
        <f t="shared" si="727"/>
        <v>-5.0132002085932159E-2</v>
      </c>
      <c r="BJ372" s="852">
        <f t="shared" si="727"/>
        <v>3.7125469985293869E-2</v>
      </c>
      <c r="BK372" s="852">
        <f t="shared" si="727"/>
        <v>3.6874626821138179E-2</v>
      </c>
      <c r="BL372" s="852">
        <f t="shared" si="727"/>
        <v>1.5452723610146935E-2</v>
      </c>
      <c r="BM372" s="852">
        <f t="shared" si="727"/>
        <v>-5.6110734073276936E-3</v>
      </c>
      <c r="BN372" s="850">
        <f t="shared" si="727"/>
        <v>-1.3151713957564759E-2</v>
      </c>
      <c r="BO372" s="852">
        <f t="shared" si="727"/>
        <v>1.9815173265123054E-2</v>
      </c>
      <c r="BP372" s="852">
        <f t="shared" si="727"/>
        <v>-1.4179580833140637E-2</v>
      </c>
      <c r="BQ372" s="851">
        <f t="shared" si="727"/>
        <v>4.8412528021840817E-2</v>
      </c>
      <c r="BR372" s="852">
        <f t="shared" si="727"/>
        <v>-1.9554609999419825E-2</v>
      </c>
      <c r="BS372" s="852">
        <f t="shared" si="727"/>
        <v>9.8317813559589684E-3</v>
      </c>
      <c r="BT372" s="852"/>
      <c r="BU372" s="851"/>
      <c r="BV372" s="852"/>
      <c r="BW372" s="852"/>
      <c r="BX372" s="852"/>
      <c r="BY372" s="851"/>
      <c r="BZ372" s="852"/>
      <c r="CA372" s="852"/>
      <c r="CB372" s="852"/>
      <c r="CC372" s="851"/>
      <c r="CD372" s="9"/>
      <c r="CE372" s="145"/>
      <c r="CF372" s="145"/>
      <c r="CG372" s="145"/>
      <c r="CH372" s="145"/>
      <c r="CI372" s="145"/>
      <c r="CJ372" s="145"/>
      <c r="CK372" s="145"/>
      <c r="CL372" s="145"/>
      <c r="CM372" s="145"/>
      <c r="CN372" s="145"/>
      <c r="CO372" s="145"/>
      <c r="CP372" s="145"/>
      <c r="CQ372" s="852"/>
      <c r="CS372" s="141"/>
      <c r="CT372" s="141"/>
      <c r="CU372" s="141"/>
      <c r="CV372" s="141"/>
      <c r="CW372" s="141"/>
      <c r="CX372" s="141"/>
      <c r="CY372" s="141"/>
      <c r="CZ372" s="141"/>
      <c r="DA372" s="141"/>
      <c r="DB372" s="141"/>
      <c r="DC372" s="141"/>
      <c r="DD372" s="1517"/>
      <c r="DE372" s="1483"/>
      <c r="DF372" s="141"/>
      <c r="DG372" s="141"/>
      <c r="DH372" s="141"/>
      <c r="DI372" s="141"/>
      <c r="DJ372" s="141"/>
      <c r="DK372" s="141"/>
      <c r="DL372" s="141"/>
      <c r="DM372" s="141"/>
      <c r="DN372" s="141"/>
      <c r="DO372" s="141"/>
      <c r="DP372" s="141"/>
      <c r="DQ372" s="141"/>
      <c r="DR372" s="141"/>
      <c r="DS372" s="141"/>
      <c r="DT372" s="141"/>
      <c r="DU372" s="141"/>
      <c r="DV372" s="141"/>
      <c r="DW372" s="141"/>
      <c r="DX372" s="141"/>
      <c r="DY372" s="141"/>
      <c r="DZ372" s="1676"/>
    </row>
    <row r="373" spans="1:136" hidden="1" outlineLevel="1">
      <c r="A373" s="9"/>
      <c r="B373" s="1180"/>
      <c r="C373" s="1180"/>
      <c r="D373" s="1182"/>
      <c r="E373" s="1182"/>
      <c r="F373" s="145"/>
      <c r="G373" s="145"/>
      <c r="H373" s="145"/>
      <c r="I373" s="228"/>
      <c r="J373" s="145"/>
      <c r="K373" s="145"/>
      <c r="L373" s="145"/>
      <c r="M373" s="228"/>
      <c r="N373" s="145"/>
      <c r="O373" s="145"/>
      <c r="P373" s="145"/>
      <c r="Q373" s="145"/>
      <c r="R373" s="145"/>
      <c r="S373" s="145"/>
      <c r="T373" s="145"/>
      <c r="U373" s="145"/>
      <c r="V373" s="227"/>
      <c r="W373" s="145"/>
      <c r="X373" s="145"/>
      <c r="Y373" s="145"/>
      <c r="Z373" s="227"/>
      <c r="AA373" s="145"/>
      <c r="AB373" s="145"/>
      <c r="AC373" s="145"/>
      <c r="AD373" s="227"/>
      <c r="AE373" s="145"/>
      <c r="AF373" s="145"/>
      <c r="AG373" s="145"/>
      <c r="AH373" s="227"/>
      <c r="AI373" s="145"/>
      <c r="AJ373" s="145"/>
      <c r="AK373" s="145"/>
      <c r="AL373" s="145"/>
      <c r="AM373" s="145"/>
      <c r="AN373" s="145"/>
      <c r="AO373" s="228"/>
      <c r="AP373" s="145"/>
      <c r="AQ373" s="145"/>
      <c r="AR373" s="145"/>
      <c r="AS373" s="145"/>
      <c r="AT373" s="145"/>
      <c r="AU373" s="145"/>
      <c r="AV373" s="145"/>
      <c r="AW373" s="145"/>
      <c r="AX373" s="145"/>
      <c r="AY373" s="145"/>
      <c r="AZ373" s="145"/>
      <c r="BA373" s="228"/>
      <c r="BB373" s="852"/>
      <c r="BC373" s="852"/>
      <c r="BD373" s="852"/>
      <c r="BE373" s="851"/>
      <c r="BF373" s="852"/>
      <c r="BG373" s="852"/>
      <c r="BH373" s="852"/>
      <c r="BI373" s="851"/>
      <c r="BJ373" s="852"/>
      <c r="BK373" s="852"/>
      <c r="BL373" s="852"/>
      <c r="BM373" s="852"/>
      <c r="BN373" s="850"/>
      <c r="BO373" s="852"/>
      <c r="BP373" s="852"/>
      <c r="BQ373" s="851"/>
      <c r="BR373" s="852"/>
      <c r="BS373" s="852"/>
      <c r="BT373" s="852"/>
      <c r="BU373" s="851"/>
      <c r="BV373" s="852"/>
      <c r="BW373" s="852"/>
      <c r="BX373" s="852"/>
      <c r="BY373" s="851"/>
      <c r="BZ373" s="852"/>
      <c r="CA373" s="852"/>
      <c r="CB373" s="852"/>
      <c r="CC373" s="851"/>
      <c r="CD373" s="9"/>
      <c r="CE373" s="145"/>
      <c r="CF373" s="145"/>
      <c r="CG373" s="145"/>
      <c r="CH373" s="145"/>
      <c r="CI373" s="145"/>
      <c r="CJ373" s="145"/>
      <c r="CK373" s="145"/>
      <c r="CL373" s="145"/>
      <c r="CM373" s="145"/>
      <c r="CN373" s="145"/>
      <c r="CO373" s="145"/>
      <c r="CP373" s="145"/>
      <c r="CQ373" s="1620"/>
      <c r="CR373" s="1620"/>
      <c r="CS373" s="1620"/>
      <c r="CT373" s="1620"/>
      <c r="CU373" s="1620"/>
      <c r="CV373" s="1620"/>
      <c r="CW373" s="1620"/>
      <c r="CX373" s="1620"/>
      <c r="CY373" s="1620"/>
      <c r="CZ373" s="1620"/>
      <c r="DA373" s="1620"/>
      <c r="DB373" s="1620"/>
      <c r="DC373" s="1620"/>
      <c r="DD373" s="1517"/>
      <c r="DE373" s="1483"/>
      <c r="DF373" s="141"/>
      <c r="DG373" s="141"/>
      <c r="DH373" s="141"/>
      <c r="DI373" s="141"/>
      <c r="DJ373" s="141"/>
      <c r="DK373" s="141"/>
      <c r="DL373" s="141"/>
      <c r="DM373" s="141"/>
      <c r="DN373" s="141"/>
      <c r="DO373" s="141"/>
      <c r="DP373" s="141"/>
      <c r="DQ373" s="141"/>
      <c r="DR373" s="141"/>
      <c r="DS373" s="141"/>
      <c r="DT373" s="141"/>
      <c r="DU373" s="141"/>
      <c r="DV373" s="141"/>
      <c r="DW373" s="141"/>
      <c r="DX373" s="141"/>
      <c r="DY373" s="141"/>
      <c r="DZ373" s="1676"/>
    </row>
    <row r="374" spans="1:136" hidden="1" outlineLevel="1">
      <c r="A374" s="9"/>
      <c r="B374" s="224" t="s">
        <v>957</v>
      </c>
      <c r="C374" s="180"/>
      <c r="D374" s="31"/>
      <c r="E374" s="820"/>
      <c r="F374" s="145"/>
      <c r="G374" s="145"/>
      <c r="H374" s="145"/>
      <c r="I374" s="228"/>
      <c r="J374" s="145"/>
      <c r="K374" s="145"/>
      <c r="L374" s="145"/>
      <c r="M374" s="228"/>
      <c r="N374" s="145"/>
      <c r="O374" s="145"/>
      <c r="P374" s="145"/>
      <c r="Q374" s="145"/>
      <c r="R374" s="145"/>
      <c r="S374" s="145"/>
      <c r="T374" s="145"/>
      <c r="U374" s="145"/>
      <c r="V374" s="227"/>
      <c r="W374" s="145"/>
      <c r="X374" s="145"/>
      <c r="Y374" s="145"/>
      <c r="Z374" s="227"/>
      <c r="AA374" s="145"/>
      <c r="AB374" s="145"/>
      <c r="AC374" s="145"/>
      <c r="AD374" s="227"/>
      <c r="AE374" s="145"/>
      <c r="AF374" s="145"/>
      <c r="AG374" s="145"/>
      <c r="AH374" s="227"/>
      <c r="AI374" s="145"/>
      <c r="AJ374" s="145"/>
      <c r="AK374" s="145"/>
      <c r="AL374" s="145"/>
      <c r="AM374" s="145"/>
      <c r="AN374" s="145"/>
      <c r="AO374" s="228"/>
      <c r="AP374" s="145"/>
      <c r="AQ374" s="145"/>
      <c r="AR374" s="145"/>
      <c r="AS374" s="145"/>
      <c r="AT374" s="145"/>
      <c r="AU374" s="145"/>
      <c r="AV374" s="145"/>
      <c r="AW374" s="145"/>
      <c r="AX374" s="145"/>
      <c r="AY374" s="145"/>
      <c r="AZ374" s="145"/>
      <c r="BA374" s="228"/>
      <c r="BB374" s="1663">
        <f t="shared" ref="BB374:BS374" si="728">SUM(BB253, BB303, BB329)</f>
        <v>185.71232028418774</v>
      </c>
      <c r="BC374" s="1620">
        <f t="shared" si="728"/>
        <v>154.92046026041419</v>
      </c>
      <c r="BD374" s="1620">
        <f t="shared" si="728"/>
        <v>119.61157174646416</v>
      </c>
      <c r="BE374" s="1621">
        <f t="shared" si="728"/>
        <v>130.33594229572628</v>
      </c>
      <c r="BF374" s="1663">
        <f t="shared" si="728"/>
        <v>186.853561861939</v>
      </c>
      <c r="BG374" s="1620">
        <f t="shared" si="728"/>
        <v>178.52488270044694</v>
      </c>
      <c r="BH374" s="1620">
        <f t="shared" si="728"/>
        <v>171.62110277837667</v>
      </c>
      <c r="BI374" s="1621">
        <f t="shared" si="728"/>
        <v>148.21081481187167</v>
      </c>
      <c r="BJ374" s="1663">
        <f t="shared" si="728"/>
        <v>215.34151805426319</v>
      </c>
      <c r="BK374" s="1620">
        <f t="shared" si="728"/>
        <v>243.70995779045825</v>
      </c>
      <c r="BL374" s="1620">
        <f t="shared" si="728"/>
        <v>244.5229276023415</v>
      </c>
      <c r="BM374" s="1620">
        <f t="shared" si="728"/>
        <v>266.17681526545601</v>
      </c>
      <c r="BN374" s="1663">
        <f t="shared" si="728"/>
        <v>282.62735221784612</v>
      </c>
      <c r="BO374" s="1620">
        <f t="shared" si="728"/>
        <v>302.59083744513771</v>
      </c>
      <c r="BP374" s="1620">
        <f t="shared" si="728"/>
        <v>242.96366506734074</v>
      </c>
      <c r="BQ374" s="1621">
        <f t="shared" si="728"/>
        <v>979.77601124442413</v>
      </c>
      <c r="BR374" s="1663">
        <f t="shared" si="728"/>
        <v>1792.4861212341384</v>
      </c>
      <c r="BS374" s="1620">
        <f t="shared" si="728"/>
        <v>2109.1658805226152</v>
      </c>
      <c r="BT374" s="2186"/>
      <c r="BU374" s="1621"/>
      <c r="BV374" s="1663"/>
      <c r="BW374" s="1620"/>
      <c r="BX374" s="1620"/>
      <c r="BY374" s="1621"/>
      <c r="BZ374" s="1663"/>
      <c r="CA374" s="1620"/>
      <c r="CB374" s="1620"/>
      <c r="CC374" s="1621"/>
      <c r="CD374" s="9"/>
      <c r="CE374" s="145"/>
      <c r="CF374" s="145"/>
      <c r="CG374" s="145"/>
      <c r="CH374" s="145"/>
      <c r="CI374" s="145"/>
      <c r="CJ374" s="145"/>
      <c r="CK374" s="145"/>
      <c r="CL374" s="145"/>
      <c r="CM374" s="145"/>
      <c r="CN374" s="145"/>
      <c r="CO374" s="145"/>
      <c r="CP374" s="145"/>
      <c r="CQ374" s="1620">
        <f>SUM(CQ253, CQ303, CQ329)</f>
        <v>590.58029458679243</v>
      </c>
      <c r="CR374" s="1620">
        <f>SUM(CR253, CR303, CR329)</f>
        <v>685.21036215263427</v>
      </c>
      <c r="CS374" s="1620">
        <f>SUM(CS253, CS303, CS329)</f>
        <v>969.75121871251895</v>
      </c>
      <c r="CT374" s="1620">
        <f>SUM(CT253, CT303, CT329)</f>
        <v>1807.9578659747488</v>
      </c>
      <c r="CU374" s="1620">
        <f>SUM(CU253, CU303, CU329)</f>
        <v>3901.6520017567532</v>
      </c>
      <c r="CV374" s="1620"/>
      <c r="CW374" s="1620"/>
      <c r="CX374" s="1620"/>
      <c r="CY374" s="1620"/>
      <c r="CZ374" s="1620"/>
      <c r="DA374" s="1620"/>
      <c r="DB374" s="1620"/>
      <c r="DC374" s="1620"/>
      <c r="DD374" s="1517"/>
      <c r="DE374" s="1483"/>
      <c r="DF374" s="141"/>
      <c r="DG374" s="141"/>
      <c r="DH374" s="141"/>
      <c r="DI374" s="141"/>
      <c r="DJ374" s="141"/>
      <c r="DK374" s="141"/>
      <c r="DL374" s="141"/>
      <c r="DM374" s="141"/>
      <c r="DN374" s="141"/>
      <c r="DO374" s="141"/>
      <c r="DP374" s="141"/>
      <c r="DQ374" s="141"/>
      <c r="DR374" s="141"/>
      <c r="DS374" s="141"/>
      <c r="DT374" s="141"/>
      <c r="DU374" s="141"/>
      <c r="DV374" s="141"/>
      <c r="DW374" s="141"/>
      <c r="DX374" s="141"/>
      <c r="DY374" s="141"/>
      <c r="DZ374" s="1676"/>
    </row>
    <row r="375" spans="1:136" ht="5.25" customHeight="1" collapsed="1">
      <c r="A375" s="3"/>
      <c r="B375" s="225"/>
      <c r="C375" s="1186"/>
      <c r="D375" s="205"/>
      <c r="E375" s="384"/>
      <c r="F375" s="1187"/>
      <c r="G375" s="882"/>
      <c r="H375" s="882"/>
      <c r="I375" s="1049"/>
      <c r="J375" s="1188"/>
      <c r="K375" s="1189"/>
      <c r="L375" s="1189"/>
      <c r="M375" s="1190"/>
      <c r="N375" s="1189"/>
      <c r="O375" s="1189"/>
      <c r="P375" s="1189"/>
      <c r="Q375" s="1189"/>
      <c r="R375" s="1188"/>
      <c r="S375" s="1189"/>
      <c r="T375" s="1189"/>
      <c r="U375" s="1189"/>
      <c r="V375" s="1188"/>
      <c r="W375" s="1189"/>
      <c r="X375" s="1189"/>
      <c r="Y375" s="1189"/>
      <c r="Z375" s="1188"/>
      <c r="AA375" s="1189"/>
      <c r="AB375" s="1189"/>
      <c r="AC375" s="1189"/>
      <c r="AD375" s="1188"/>
      <c r="AE375" s="1189"/>
      <c r="AF375" s="1189"/>
      <c r="AG375" s="1189"/>
      <c r="AH375" s="1188"/>
      <c r="AI375" s="1189"/>
      <c r="AJ375" s="1189"/>
      <c r="AK375" s="1190"/>
      <c r="AL375" s="1189"/>
      <c r="AM375" s="1189"/>
      <c r="AN375" s="1189"/>
      <c r="AO375" s="1190"/>
      <c r="AP375" s="1189"/>
      <c r="AQ375" s="1189"/>
      <c r="AR375" s="1189"/>
      <c r="AS375" s="1190"/>
      <c r="AT375" s="1189"/>
      <c r="AU375" s="1189"/>
      <c r="AV375" s="1189"/>
      <c r="AW375" s="1190"/>
      <c r="AX375" s="1189"/>
      <c r="AY375" s="1189"/>
      <c r="AZ375" s="1189"/>
      <c r="BA375" s="1190"/>
      <c r="BB375" s="1188"/>
      <c r="BC375" s="1189"/>
      <c r="BD375" s="1189"/>
      <c r="BE375" s="1190"/>
      <c r="BF375" s="1188"/>
      <c r="BG375" s="1189"/>
      <c r="BH375" s="1189"/>
      <c r="BI375" s="1190"/>
      <c r="BJ375" s="1188"/>
      <c r="BK375" s="1189"/>
      <c r="BL375" s="1189"/>
      <c r="BM375" s="1189"/>
      <c r="BN375" s="1188"/>
      <c r="BO375" s="1189"/>
      <c r="BP375" s="1189"/>
      <c r="BQ375" s="1190"/>
      <c r="BR375" s="1189"/>
      <c r="BS375" s="1189"/>
      <c r="BT375" s="1189"/>
      <c r="BU375" s="1190"/>
      <c r="BV375" s="1189"/>
      <c r="BW375" s="1189"/>
      <c r="BX375" s="1189"/>
      <c r="BY375" s="1190"/>
      <c r="BZ375" s="1189"/>
      <c r="CA375" s="1189"/>
      <c r="CB375" s="1189"/>
      <c r="CC375" s="1190"/>
      <c r="CD375" s="9"/>
      <c r="CE375" s="1191"/>
      <c r="CF375" s="1191"/>
      <c r="CG375" s="1191"/>
      <c r="CH375" s="1191"/>
      <c r="CI375" s="1191"/>
      <c r="CJ375" s="1191"/>
      <c r="CK375" s="1192"/>
      <c r="CL375" s="1192"/>
      <c r="CM375" s="1191"/>
      <c r="CN375" s="1191"/>
      <c r="CO375" s="1193"/>
      <c r="CP375" s="1193"/>
      <c r="CQ375" s="1193"/>
      <c r="CR375" s="1189"/>
      <c r="CS375" s="1189"/>
      <c r="CT375" s="1189"/>
      <c r="CU375" s="1189"/>
      <c r="CV375" s="1189"/>
      <c r="CW375" s="1189"/>
      <c r="CX375" s="1189"/>
      <c r="CY375" s="1189"/>
      <c r="CZ375" s="1189"/>
      <c r="DA375" s="1189"/>
      <c r="DB375" s="1189"/>
      <c r="DC375" s="1189"/>
      <c r="DD375" s="1526"/>
      <c r="DE375" s="1483"/>
      <c r="DF375" s="24"/>
      <c r="DG375" s="1244"/>
      <c r="DH375" s="1194"/>
      <c r="DI375" s="1194"/>
      <c r="DJ375" s="1194"/>
      <c r="DK375" s="1194"/>
      <c r="DL375" s="1194"/>
      <c r="DM375" s="641"/>
      <c r="DN375" s="641"/>
      <c r="DO375" s="641"/>
      <c r="DP375" s="641"/>
      <c r="DQ375" s="641"/>
      <c r="DR375" s="641"/>
      <c r="DS375" s="1102"/>
      <c r="DT375" s="732"/>
      <c r="DU375" s="1351"/>
      <c r="DV375" s="1351"/>
      <c r="DW375" s="1248"/>
      <c r="DX375" s="732"/>
      <c r="DY375" s="732"/>
      <c r="DZ375" s="1561"/>
    </row>
    <row r="376" spans="1:136" ht="5.25" hidden="1" customHeight="1" outlineLevel="1">
      <c r="A376" s="3"/>
      <c r="B376" s="208"/>
      <c r="C376" s="213"/>
      <c r="D376" s="201"/>
      <c r="E376" s="197"/>
      <c r="F376" s="38"/>
      <c r="G376" s="39"/>
      <c r="H376" s="39"/>
      <c r="I376" s="59"/>
      <c r="J376" s="610"/>
      <c r="K376" s="610"/>
      <c r="L376" s="610"/>
      <c r="M376" s="611"/>
      <c r="N376" s="610"/>
      <c r="O376" s="610"/>
      <c r="P376" s="610"/>
      <c r="Q376" s="610"/>
      <c r="R376" s="610"/>
      <c r="S376" s="610"/>
      <c r="T376" s="610"/>
      <c r="U376" s="610"/>
      <c r="V376" s="610"/>
      <c r="W376" s="610"/>
      <c r="X376" s="610"/>
      <c r="Y376" s="610"/>
      <c r="Z376" s="610"/>
      <c r="AA376" s="610"/>
      <c r="AB376" s="610"/>
      <c r="AC376" s="610"/>
      <c r="AD376" s="610"/>
      <c r="AE376" s="610"/>
      <c r="AF376" s="610"/>
      <c r="AG376" s="610"/>
      <c r="AH376" s="656"/>
      <c r="AI376" s="610"/>
      <c r="AJ376" s="610"/>
      <c r="AK376" s="611"/>
      <c r="AL376" s="610"/>
      <c r="AM376" s="610"/>
      <c r="AN376" s="610"/>
      <c r="AO376" s="611"/>
      <c r="AP376" s="610"/>
      <c r="AQ376" s="610"/>
      <c r="AR376" s="610"/>
      <c r="AS376" s="610"/>
      <c r="AT376" s="1196"/>
      <c r="AU376" s="610"/>
      <c r="AV376" s="610"/>
      <c r="AW376" s="611"/>
      <c r="AX376" s="610"/>
      <c r="AY376" s="610"/>
      <c r="AZ376" s="610"/>
      <c r="BA376" s="611"/>
      <c r="BB376" s="656"/>
      <c r="BC376" s="610"/>
      <c r="BD376" s="610"/>
      <c r="BE376" s="611"/>
      <c r="BF376" s="656"/>
      <c r="BG376" s="610"/>
      <c r="BH376" s="610"/>
      <c r="BI376" s="611"/>
      <c r="BJ376" s="656"/>
      <c r="BK376" s="610"/>
      <c r="BL376" s="610"/>
      <c r="BM376" s="610"/>
      <c r="BN376" s="656"/>
      <c r="BO376" s="610"/>
      <c r="BP376" s="610"/>
      <c r="BQ376" s="611"/>
      <c r="BR376" s="610"/>
      <c r="BS376" s="610"/>
      <c r="BT376" s="610"/>
      <c r="BU376" s="611"/>
      <c r="BV376" s="610"/>
      <c r="BW376" s="610"/>
      <c r="BX376" s="610"/>
      <c r="BY376" s="611"/>
      <c r="BZ376" s="610"/>
      <c r="CA376" s="610"/>
      <c r="CB376" s="610"/>
      <c r="CC376" s="611"/>
      <c r="CD376" s="9"/>
      <c r="CE376" s="374"/>
      <c r="CF376" s="374"/>
      <c r="CG376" s="374"/>
      <c r="CH376" s="374"/>
      <c r="CI376" s="374"/>
      <c r="CJ376" s="374"/>
      <c r="CK376" s="555"/>
      <c r="CL376" s="555"/>
      <c r="CM376" s="374"/>
      <c r="CN376" s="374"/>
      <c r="CO376" s="821"/>
      <c r="CP376" s="821"/>
      <c r="CQ376" s="821"/>
      <c r="CR376" s="610"/>
      <c r="CS376" s="610"/>
      <c r="CT376" s="610"/>
      <c r="CU376" s="610"/>
      <c r="CV376" s="610"/>
      <c r="CW376" s="610"/>
      <c r="CX376" s="610"/>
      <c r="CY376" s="610"/>
      <c r="CZ376" s="610"/>
      <c r="DA376" s="610"/>
      <c r="DB376" s="610"/>
      <c r="DC376" s="610"/>
      <c r="DD376" s="1517"/>
      <c r="DE376" s="1483"/>
      <c r="DF376" s="24"/>
      <c r="DG376" s="1102"/>
      <c r="DH376" s="641"/>
      <c r="DI376" s="641"/>
      <c r="DJ376" s="641"/>
      <c r="DK376" s="641"/>
      <c r="DL376" s="641"/>
      <c r="DM376" s="1249"/>
      <c r="DN376" s="1249"/>
      <c r="DO376" s="1249"/>
      <c r="DP376" s="1249"/>
      <c r="DQ376" s="1249"/>
      <c r="DR376" s="1249"/>
      <c r="DS376" s="1573"/>
      <c r="DT376" s="1350"/>
      <c r="DU376" s="732"/>
      <c r="DV376" s="732"/>
      <c r="DW376" s="1008"/>
      <c r="DX376" s="732"/>
      <c r="DY376" s="732"/>
      <c r="DZ376" s="1561"/>
    </row>
    <row r="377" spans="1:136" s="1785" customFormat="1" ht="11.25" hidden="1" customHeight="1" outlineLevel="1">
      <c r="A377" s="1823"/>
      <c r="B377" s="1832" t="s">
        <v>958</v>
      </c>
      <c r="C377" s="1833"/>
      <c r="D377" s="1826"/>
      <c r="E377" s="1833"/>
      <c r="F377" s="1779"/>
      <c r="G377" s="1779"/>
      <c r="H377" s="1779"/>
      <c r="I377" s="1834"/>
      <c r="J377" s="1779"/>
      <c r="K377" s="1779"/>
      <c r="L377" s="1779"/>
      <c r="M377" s="1834"/>
      <c r="N377" s="1779"/>
      <c r="O377" s="1779"/>
      <c r="P377" s="1779"/>
      <c r="Q377" s="1779"/>
      <c r="R377" s="1779"/>
      <c r="S377" s="1779"/>
      <c r="T377" s="1779"/>
      <c r="U377" s="1779"/>
      <c r="V377" s="1832"/>
      <c r="W377" s="1779"/>
      <c r="X377" s="1779"/>
      <c r="Y377" s="1779"/>
      <c r="Z377" s="1832"/>
      <c r="AA377" s="1779"/>
      <c r="AB377" s="1779"/>
      <c r="AC377" s="1779"/>
      <c r="AD377" s="1832"/>
      <c r="AE377" s="1779"/>
      <c r="AF377" s="1779"/>
      <c r="AG377" s="1779"/>
      <c r="AH377" s="1832"/>
      <c r="AI377" s="1779"/>
      <c r="AJ377" s="1779"/>
      <c r="AK377" s="1779"/>
      <c r="AL377" s="1779"/>
      <c r="AM377" s="1779"/>
      <c r="AN377" s="1779"/>
      <c r="AO377" s="1834"/>
      <c r="AP377" s="1779"/>
      <c r="AQ377" s="1779"/>
      <c r="AR377" s="1779"/>
      <c r="AS377" s="1779"/>
      <c r="AT377" s="1779"/>
      <c r="AU377" s="1779"/>
      <c r="AV377" s="1779"/>
      <c r="AW377" s="1779"/>
      <c r="AX377" s="1779"/>
      <c r="AY377" s="1779"/>
      <c r="AZ377" s="1779"/>
      <c r="BA377" s="1834"/>
      <c r="BB377" s="1835"/>
      <c r="BC377" s="1835"/>
      <c r="BD377" s="1835"/>
      <c r="BE377" s="1836"/>
      <c r="BF377" s="1835"/>
      <c r="BG377" s="1835"/>
      <c r="BH377" s="1835"/>
      <c r="BI377" s="1836"/>
      <c r="BJ377" s="1835"/>
      <c r="BK377" s="1835"/>
      <c r="BL377" s="1835"/>
      <c r="BM377" s="1835"/>
      <c r="BN377" s="1883"/>
      <c r="BO377" s="1835"/>
      <c r="BP377" s="1835"/>
      <c r="BQ377" s="1836"/>
      <c r="BR377" s="1835"/>
      <c r="BS377" s="1838"/>
      <c r="BT377" s="1838"/>
      <c r="BU377" s="2130"/>
      <c r="BV377" s="1838"/>
      <c r="BW377" s="1838"/>
      <c r="BX377" s="1838"/>
      <c r="BY377" s="2130"/>
      <c r="BZ377" s="1838"/>
      <c r="CA377" s="1838"/>
      <c r="CB377" s="1838"/>
      <c r="CC377" s="2130"/>
      <c r="CD377" s="1837"/>
      <c r="CE377" s="1779"/>
      <c r="CF377" s="1779"/>
      <c r="CG377" s="1779"/>
      <c r="CH377" s="1779"/>
      <c r="CI377" s="1779"/>
      <c r="CJ377" s="1779"/>
      <c r="CK377" s="1779"/>
      <c r="CL377" s="1779"/>
      <c r="CM377" s="1779"/>
      <c r="CN377" s="1779"/>
      <c r="CO377" s="1779"/>
      <c r="CP377" s="1779"/>
      <c r="CQ377" s="1779"/>
      <c r="CR377" s="1838"/>
      <c r="CS377" s="1838"/>
      <c r="CT377" s="1838"/>
      <c r="CU377" s="1838"/>
      <c r="CV377" s="1838"/>
      <c r="CW377" s="1838"/>
      <c r="CX377" s="1838"/>
      <c r="CY377" s="1838"/>
      <c r="CZ377" s="1838"/>
      <c r="DA377" s="1838"/>
      <c r="DB377" s="1838"/>
      <c r="DC377" s="1838"/>
      <c r="DD377" s="1837"/>
      <c r="DE377" s="1839"/>
      <c r="DF377" s="1838"/>
      <c r="DG377" s="1838"/>
      <c r="DH377" s="1838"/>
      <c r="DI377" s="1838"/>
      <c r="DJ377" s="1838"/>
      <c r="DK377" s="1838"/>
      <c r="DL377" s="1838"/>
      <c r="DM377" s="1838"/>
      <c r="DN377" s="1838"/>
      <c r="DO377" s="1838"/>
      <c r="DP377" s="1838"/>
      <c r="DQ377" s="1838"/>
      <c r="DR377" s="1838"/>
      <c r="DS377" s="1838"/>
      <c r="DT377" s="1838"/>
      <c r="DU377" s="1838"/>
      <c r="DV377" s="1838"/>
      <c r="DW377" s="1838"/>
      <c r="DX377" s="1838"/>
      <c r="DY377" s="1838"/>
      <c r="DZ377" s="1838"/>
      <c r="EA377"/>
      <c r="EB377"/>
      <c r="EC377"/>
      <c r="ED377"/>
      <c r="EE377"/>
      <c r="EF377"/>
    </row>
    <row r="378" spans="1:136" s="1785" customFormat="1" ht="11.25" hidden="1" customHeight="1" outlineLevel="1">
      <c r="A378" s="1824"/>
      <c r="B378" s="1770" t="s">
        <v>192</v>
      </c>
      <c r="C378" s="1840"/>
      <c r="D378" s="1771"/>
      <c r="E378" s="1841"/>
      <c r="F378" s="1842"/>
      <c r="G378" s="1776"/>
      <c r="H378" s="1776"/>
      <c r="I378" s="1775"/>
      <c r="J378" s="1843">
        <f t="shared" ref="J378:AN378" si="729">J382+J395</f>
        <v>440.94299999999998</v>
      </c>
      <c r="K378" s="1831">
        <f t="shared" si="729"/>
        <v>574.66999999999996</v>
      </c>
      <c r="L378" s="1831">
        <f t="shared" si="729"/>
        <v>594.8667143407182</v>
      </c>
      <c r="M378" s="1844">
        <f t="shared" si="729"/>
        <v>540.67200000000003</v>
      </c>
      <c r="N378" s="1831">
        <f t="shared" si="729"/>
        <v>582.90927873704163</v>
      </c>
      <c r="O378" s="1831">
        <f t="shared" si="729"/>
        <v>749.48840189176462</v>
      </c>
      <c r="P378" s="1831">
        <f t="shared" si="729"/>
        <v>705.83853477611558</v>
      </c>
      <c r="Q378" s="1831">
        <f t="shared" si="729"/>
        <v>680.26236561653354</v>
      </c>
      <c r="R378" s="1843">
        <f t="shared" si="729"/>
        <v>714.22488345032104</v>
      </c>
      <c r="S378" s="1831">
        <f t="shared" si="729"/>
        <v>834.81680169199649</v>
      </c>
      <c r="T378" s="1831">
        <f t="shared" si="729"/>
        <v>748.8909767732564</v>
      </c>
      <c r="U378" s="1831">
        <f t="shared" si="729"/>
        <v>748.79343562788586</v>
      </c>
      <c r="V378" s="1843">
        <f t="shared" si="729"/>
        <v>823.57649571832212</v>
      </c>
      <c r="W378" s="1831">
        <f t="shared" si="729"/>
        <v>954.92508108797097</v>
      </c>
      <c r="X378" s="1831">
        <f t="shared" si="729"/>
        <v>919.89553710847383</v>
      </c>
      <c r="Y378" s="1831">
        <f t="shared" si="729"/>
        <v>940.36705711427976</v>
      </c>
      <c r="Z378" s="1843">
        <f t="shared" si="729"/>
        <v>1009.9049524614122</v>
      </c>
      <c r="AA378" s="1831">
        <f t="shared" si="729"/>
        <v>1117.0674262637269</v>
      </c>
      <c r="AB378" s="1831">
        <f t="shared" si="729"/>
        <v>1128.7699816586421</v>
      </c>
      <c r="AC378" s="1831">
        <f t="shared" si="729"/>
        <v>1085.520633982266</v>
      </c>
      <c r="AD378" s="1843">
        <f t="shared" si="729"/>
        <v>1263.9988334361215</v>
      </c>
      <c r="AE378" s="1831">
        <f t="shared" si="729"/>
        <v>1427.9700114953569</v>
      </c>
      <c r="AF378" s="1831">
        <f t="shared" si="729"/>
        <v>1410.029773424646</v>
      </c>
      <c r="AG378" s="1831">
        <f t="shared" si="729"/>
        <v>1366.7077743125046</v>
      </c>
      <c r="AH378" s="1843">
        <f t="shared" si="729"/>
        <v>1765.988572513043</v>
      </c>
      <c r="AI378" s="1831">
        <f t="shared" si="729"/>
        <v>2204.1036084876764</v>
      </c>
      <c r="AJ378" s="1831">
        <f t="shared" si="729"/>
        <v>2111.0268418486398</v>
      </c>
      <c r="AK378" s="1844">
        <f t="shared" si="729"/>
        <v>1993.0649197251787</v>
      </c>
      <c r="AL378" s="1831">
        <f t="shared" si="729"/>
        <v>2108.9897603707814</v>
      </c>
      <c r="AM378" s="1831">
        <f t="shared" si="729"/>
        <v>1822.7877252563499</v>
      </c>
      <c r="AN378" s="1831">
        <f t="shared" si="729"/>
        <v>1591.8920069350916</v>
      </c>
      <c r="AO378" s="1844">
        <f>AO382+AO395</f>
        <v>1928.1865719438424</v>
      </c>
      <c r="AP378" s="1831">
        <f t="shared" ref="AP378:AU378" si="730">AP382+AP395</f>
        <v>2208</v>
      </c>
      <c r="AQ378" s="1831">
        <f t="shared" si="730"/>
        <v>2619</v>
      </c>
      <c r="AR378" s="1831">
        <f t="shared" si="730"/>
        <v>2641</v>
      </c>
      <c r="AS378" s="1844">
        <f t="shared" si="730"/>
        <v>2382</v>
      </c>
      <c r="AT378" s="1831">
        <f t="shared" si="730"/>
        <v>2447</v>
      </c>
      <c r="AU378" s="1831">
        <f t="shared" si="730"/>
        <v>2475</v>
      </c>
      <c r="AV378" s="1831">
        <f t="shared" ref="AV378:BE378" si="731">AV382+AV395</f>
        <v>2252</v>
      </c>
      <c r="AW378" s="1844">
        <f t="shared" si="731"/>
        <v>2403</v>
      </c>
      <c r="AX378" s="1831">
        <f t="shared" si="731"/>
        <v>2694</v>
      </c>
      <c r="AY378" s="1831">
        <f t="shared" si="731"/>
        <v>1995</v>
      </c>
      <c r="AZ378" s="1831">
        <f t="shared" si="731"/>
        <v>3035</v>
      </c>
      <c r="BA378" s="1844">
        <f t="shared" si="731"/>
        <v>4754</v>
      </c>
      <c r="BB378" s="1831">
        <f t="shared" si="731"/>
        <v>4035</v>
      </c>
      <c r="BC378" s="1831">
        <f t="shared" si="731"/>
        <v>3824</v>
      </c>
      <c r="BD378" s="1831">
        <f t="shared" si="731"/>
        <v>3764</v>
      </c>
      <c r="BE378" s="1844">
        <f t="shared" si="731"/>
        <v>3728</v>
      </c>
      <c r="BF378" s="1831">
        <f t="shared" ref="BF378:BM378" si="732">BF382+BF395</f>
        <v>3804</v>
      </c>
      <c r="BG378" s="1831">
        <f t="shared" si="732"/>
        <v>3972</v>
      </c>
      <c r="BH378" s="1831">
        <f t="shared" si="732"/>
        <v>3703</v>
      </c>
      <c r="BI378" s="1844">
        <f t="shared" si="732"/>
        <v>3651</v>
      </c>
      <c r="BJ378" s="1831">
        <f t="shared" si="732"/>
        <v>3943</v>
      </c>
      <c r="BK378" s="1831">
        <f t="shared" si="732"/>
        <v>3888</v>
      </c>
      <c r="BL378" s="1831">
        <f t="shared" si="732"/>
        <v>3550</v>
      </c>
      <c r="BM378" s="1831">
        <f t="shared" si="732"/>
        <v>3191</v>
      </c>
      <c r="BN378" s="1843">
        <f>BN382+BN395</f>
        <v>3360</v>
      </c>
      <c r="BO378" s="1831">
        <f>BO382+BO395</f>
        <v>3317</v>
      </c>
      <c r="BP378" s="1831">
        <f>BP382+BP395</f>
        <v>2822</v>
      </c>
      <c r="BQ378" s="1844">
        <f>BQ382+BQ395</f>
        <v>2753.5925912799753</v>
      </c>
      <c r="BR378" s="1831">
        <f>BR382+BR395</f>
        <v>3167.1276904351325</v>
      </c>
      <c r="BS378" s="1831"/>
      <c r="BT378" s="1831"/>
      <c r="BU378" s="1844"/>
      <c r="BV378" s="1831"/>
      <c r="BW378" s="1831"/>
      <c r="BX378" s="1831"/>
      <c r="BY378" s="1844"/>
      <c r="BZ378" s="1831"/>
      <c r="CA378" s="1831"/>
      <c r="CB378" s="1831"/>
      <c r="CC378" s="1844"/>
      <c r="CD378" s="1845"/>
      <c r="CE378" s="1831"/>
      <c r="CF378" s="1831"/>
      <c r="CG378" s="1831"/>
      <c r="CH378" s="1831"/>
      <c r="CI378" s="1831"/>
      <c r="CJ378" s="1846">
        <f>SUM(Z378:AC378)</f>
        <v>4341.2629943660477</v>
      </c>
      <c r="CK378" s="1847">
        <f>SUM(AD378:AG378)</f>
        <v>5468.7063926686287</v>
      </c>
      <c r="CL378" s="1847">
        <f>SUM(AH378:AK378)</f>
        <v>8074.1839425745384</v>
      </c>
      <c r="CM378" s="1846">
        <f>SUM(AL378:AO378)</f>
        <v>7451.8560645060661</v>
      </c>
      <c r="CN378" s="1846">
        <f>SUM(AP378:AS378)</f>
        <v>9850</v>
      </c>
      <c r="CO378" s="1776">
        <f>SUM(AT378:AW378)</f>
        <v>9577</v>
      </c>
      <c r="CP378" s="1776">
        <f>SUM(AX378:BA378)</f>
        <v>12478</v>
      </c>
      <c r="CQ378" s="1776">
        <f>SUM(BB378:BE378)</f>
        <v>15351</v>
      </c>
      <c r="CR378" s="1831">
        <f>SUM(BF378:BI378)</f>
        <v>15130</v>
      </c>
      <c r="CS378" s="1831">
        <f>SUM(BJ378:BM378)</f>
        <v>14572</v>
      </c>
      <c r="CT378" s="1831">
        <f>SUM(BN378:BQ378)</f>
        <v>12252.592591279976</v>
      </c>
      <c r="CU378" s="1831">
        <f>SUM(BR378:BU378)</f>
        <v>3167.1276904351325</v>
      </c>
      <c r="CV378" s="1831"/>
      <c r="CW378" s="1831"/>
      <c r="CX378" s="1831"/>
      <c r="CY378" s="1831"/>
      <c r="CZ378" s="1831"/>
      <c r="DA378" s="1831"/>
      <c r="DB378" s="1831"/>
      <c r="DC378" s="1831"/>
      <c r="DD378" s="1845"/>
      <c r="DE378" s="1839"/>
      <c r="DF378" s="1830"/>
      <c r="DG378" s="1783"/>
      <c r="DH378" s="1782"/>
      <c r="DI378" s="1782"/>
      <c r="DJ378" s="1782"/>
      <c r="DK378" s="1782"/>
      <c r="DL378" s="1782"/>
      <c r="DM378" s="1803">
        <f>SUM(AF378:AI378)</f>
        <v>6746.82972873787</v>
      </c>
      <c r="DN378" s="1803">
        <f>SUM(AJ378:AM378)</f>
        <v>8035.8692472009498</v>
      </c>
      <c r="DO378" s="1803">
        <f>SUM(AN378:AQ378)</f>
        <v>8347.0785788789344</v>
      </c>
      <c r="DP378" s="1803">
        <f>SUM(AR378:AU378)</f>
        <v>9945</v>
      </c>
      <c r="DQ378" s="1803">
        <f>SUM(AV378:AY378)</f>
        <v>9344</v>
      </c>
      <c r="DR378" s="1803">
        <f>SUM(AZ378:BC378)</f>
        <v>15648</v>
      </c>
      <c r="DS378" s="1804">
        <f>SUM(BD378:BG378)</f>
        <v>15268</v>
      </c>
      <c r="DT378" s="1803">
        <f>SUM(BH378:BK378)</f>
        <v>15185</v>
      </c>
      <c r="DU378" s="1803">
        <f>SUM(BL378:BO378)</f>
        <v>13418</v>
      </c>
      <c r="DV378" s="1803">
        <f>SUM(BP378:BS378)</f>
        <v>8742.7202817151083</v>
      </c>
      <c r="DW378" s="1805"/>
      <c r="DX378" s="1803"/>
      <c r="DY378" s="1803"/>
      <c r="DZ378" s="1830"/>
      <c r="EA378"/>
      <c r="EB378"/>
      <c r="EC378"/>
      <c r="ED378"/>
      <c r="EE378"/>
      <c r="EF378"/>
    </row>
    <row r="379" spans="1:136" s="1785" customFormat="1" ht="11.25" hidden="1" customHeight="1" outlineLevel="1">
      <c r="A379" s="1825"/>
      <c r="B379" s="1848"/>
      <c r="C379" s="1849" t="s">
        <v>76</v>
      </c>
      <c r="D379" s="1849"/>
      <c r="E379" s="1850"/>
      <c r="F379" s="1851"/>
      <c r="G379" s="1852"/>
      <c r="H379" s="1852"/>
      <c r="I379" s="1825"/>
      <c r="J379" s="1851"/>
      <c r="K379" s="1852"/>
      <c r="L379" s="1852"/>
      <c r="M379" s="1825"/>
      <c r="N379" s="1852">
        <f t="shared" ref="N379:AU379" si="733">N378/J378-1</f>
        <v>0.32196061336055148</v>
      </c>
      <c r="O379" s="1852">
        <f t="shared" si="733"/>
        <v>0.3042065914207539</v>
      </c>
      <c r="P379" s="1852">
        <f t="shared" si="733"/>
        <v>0.18654904999750377</v>
      </c>
      <c r="Q379" s="1852">
        <f t="shared" si="733"/>
        <v>0.25817938716362887</v>
      </c>
      <c r="R379" s="1851">
        <f t="shared" si="733"/>
        <v>0.22527622994403851</v>
      </c>
      <c r="S379" s="1852">
        <f t="shared" si="733"/>
        <v>0.11384885954853563</v>
      </c>
      <c r="T379" s="1852">
        <f t="shared" si="733"/>
        <v>6.099474578955455E-2</v>
      </c>
      <c r="U379" s="1852">
        <f t="shared" si="733"/>
        <v>0.10074211580004344</v>
      </c>
      <c r="V379" s="1851">
        <f t="shared" si="733"/>
        <v>0.15310529610749302</v>
      </c>
      <c r="W379" s="1852">
        <f t="shared" si="733"/>
        <v>0.14387381656974374</v>
      </c>
      <c r="X379" s="1852">
        <f t="shared" si="733"/>
        <v>0.22834373178326195</v>
      </c>
      <c r="Y379" s="1852">
        <f t="shared" si="733"/>
        <v>0.25584308351441898</v>
      </c>
      <c r="Z379" s="1851">
        <f t="shared" si="733"/>
        <v>0.22624304811002971</v>
      </c>
      <c r="AA379" s="1852">
        <f t="shared" si="733"/>
        <v>0.16979588073131668</v>
      </c>
      <c r="AB379" s="1852">
        <f t="shared" si="733"/>
        <v>0.22706322199010498</v>
      </c>
      <c r="AC379" s="1852">
        <f t="shared" si="733"/>
        <v>0.15435842394715671</v>
      </c>
      <c r="AD379" s="1851">
        <f t="shared" si="733"/>
        <v>0.25160177733103839</v>
      </c>
      <c r="AE379" s="1852">
        <f t="shared" si="733"/>
        <v>0.27832033941900058</v>
      </c>
      <c r="AF379" s="1852">
        <f t="shared" si="733"/>
        <v>0.24917369910272935</v>
      </c>
      <c r="AG379" s="1852">
        <f t="shared" si="733"/>
        <v>0.2590343578257881</v>
      </c>
      <c r="AH379" s="1851">
        <f t="shared" si="733"/>
        <v>0.39714414744536275</v>
      </c>
      <c r="AI379" s="1852">
        <f t="shared" si="733"/>
        <v>0.54352233642467018</v>
      </c>
      <c r="AJ379" s="1852">
        <f t="shared" si="733"/>
        <v>0.49715054365230116</v>
      </c>
      <c r="AK379" s="1825">
        <f t="shared" si="733"/>
        <v>0.45829632141205212</v>
      </c>
      <c r="AL379" s="1852">
        <f t="shared" si="733"/>
        <v>0.19422616499133949</v>
      </c>
      <c r="AM379" s="1852">
        <f t="shared" si="733"/>
        <v>-0.17300270357660841</v>
      </c>
      <c r="AN379" s="1852">
        <f t="shared" si="733"/>
        <v>-0.24591579065803759</v>
      </c>
      <c r="AO379" s="1825">
        <f t="shared" si="733"/>
        <v>-3.2552049428616892E-2</v>
      </c>
      <c r="AP379" s="1852">
        <f t="shared" si="733"/>
        <v>4.6946761662707948E-2</v>
      </c>
      <c r="AQ379" s="1852">
        <f t="shared" si="733"/>
        <v>0.43681020214883981</v>
      </c>
      <c r="AR379" s="1852">
        <f t="shared" si="733"/>
        <v>0.65903213816921014</v>
      </c>
      <c r="AS379" s="1852">
        <f t="shared" si="733"/>
        <v>0.23535763325986636</v>
      </c>
      <c r="AT379" s="1851">
        <f t="shared" si="733"/>
        <v>0.10824275362318847</v>
      </c>
      <c r="AU379" s="1852">
        <f t="shared" si="733"/>
        <v>-5.4982817869415834E-2</v>
      </c>
      <c r="AV379" s="1852">
        <f t="shared" ref="AV379:BC379" si="734">AV378/AR378-1</f>
        <v>-0.14729269216205987</v>
      </c>
      <c r="AW379" s="1825">
        <f t="shared" si="734"/>
        <v>8.8161209068009505E-3</v>
      </c>
      <c r="AX379" s="1852">
        <f t="shared" si="734"/>
        <v>0.10093992644053951</v>
      </c>
      <c r="AY379" s="1852">
        <f t="shared" si="734"/>
        <v>-0.19393939393939397</v>
      </c>
      <c r="AZ379" s="1852">
        <f t="shared" si="734"/>
        <v>0.34769094138543521</v>
      </c>
      <c r="BA379" s="1825">
        <f t="shared" si="734"/>
        <v>0.9783603828547649</v>
      </c>
      <c r="BB379" s="1852">
        <f t="shared" si="734"/>
        <v>0.49777282850779514</v>
      </c>
      <c r="BC379" s="1852">
        <f t="shared" si="734"/>
        <v>0.91679197994987471</v>
      </c>
      <c r="BD379" s="1852">
        <f t="shared" ref="BD379:BI379" si="735">BD378/AZ378-1</f>
        <v>0.24019769357495879</v>
      </c>
      <c r="BE379" s="1825">
        <f t="shared" si="735"/>
        <v>-0.21581825830879264</v>
      </c>
      <c r="BF379" s="1852">
        <f t="shared" si="735"/>
        <v>-5.7249070631970267E-2</v>
      </c>
      <c r="BG379" s="1852">
        <f t="shared" si="735"/>
        <v>3.8702928870292919E-2</v>
      </c>
      <c r="BH379" s="1852">
        <f t="shared" si="735"/>
        <v>-1.6206163655685391E-2</v>
      </c>
      <c r="BI379" s="1825">
        <f t="shared" si="735"/>
        <v>-2.0654506437768227E-2</v>
      </c>
      <c r="BJ379" s="1852">
        <f t="shared" ref="BJ379:BQ379" si="736">BJ378/BF378-1</f>
        <v>3.6540483701366977E-2</v>
      </c>
      <c r="BK379" s="1852">
        <f t="shared" si="736"/>
        <v>-2.1148036253776481E-2</v>
      </c>
      <c r="BL379" s="1852">
        <f t="shared" si="736"/>
        <v>-4.1317850391574429E-2</v>
      </c>
      <c r="BM379" s="1852">
        <f t="shared" si="736"/>
        <v>-0.12599287866337994</v>
      </c>
      <c r="BN379" s="1851">
        <f t="shared" si="736"/>
        <v>-0.14785696170428608</v>
      </c>
      <c r="BO379" s="1852">
        <f t="shared" si="736"/>
        <v>-0.14686213991769548</v>
      </c>
      <c r="BP379" s="1852">
        <f t="shared" si="736"/>
        <v>-0.20507042253521124</v>
      </c>
      <c r="BQ379" s="1825">
        <f t="shared" si="736"/>
        <v>-0.13707533961768248</v>
      </c>
      <c r="BR379" s="1852">
        <f>BR378/BN378-1</f>
        <v>-5.7402473084781969E-2</v>
      </c>
      <c r="BS379" s="1852"/>
      <c r="BT379" s="1852"/>
      <c r="BU379" s="1825"/>
      <c r="BV379" s="1852"/>
      <c r="BW379" s="1852"/>
      <c r="BX379" s="1852"/>
      <c r="BY379" s="1825"/>
      <c r="BZ379" s="1852"/>
      <c r="CA379" s="1852"/>
      <c r="CB379" s="1852"/>
      <c r="CC379" s="1825"/>
      <c r="CD379" s="1853"/>
      <c r="CE379" s="1852"/>
      <c r="CF379" s="1852"/>
      <c r="CG379" s="1852"/>
      <c r="CH379" s="1852"/>
      <c r="CI379" s="1852"/>
      <c r="CJ379" s="1852"/>
      <c r="CK379" s="1852">
        <f t="shared" ref="CK379:CP379" si="737">CK378/CJ378-1</f>
        <v>0.2597040077428483</v>
      </c>
      <c r="CL379" s="1852">
        <f t="shared" si="737"/>
        <v>0.47643397959686107</v>
      </c>
      <c r="CM379" s="1852">
        <f t="shared" si="737"/>
        <v>-7.7076257179005569E-2</v>
      </c>
      <c r="CN379" s="1852">
        <f t="shared" si="737"/>
        <v>0.32181833824146611</v>
      </c>
      <c r="CO379" s="1852">
        <f t="shared" si="737"/>
        <v>-2.7715736040609174E-2</v>
      </c>
      <c r="CP379" s="1852">
        <f t="shared" si="737"/>
        <v>0.30291322961261358</v>
      </c>
      <c r="CQ379" s="1852">
        <f>CQ378/CP378-1</f>
        <v>0.23024523160762933</v>
      </c>
      <c r="CR379" s="1852">
        <f>CR378/CQ378-1</f>
        <v>-1.4396456256921319E-2</v>
      </c>
      <c r="CS379" s="1852">
        <f>CS378/CR378-1</f>
        <v>-3.6880370125578321E-2</v>
      </c>
      <c r="CT379" s="1852">
        <f>CT378/CS378-1</f>
        <v>-0.15916877633269455</v>
      </c>
      <c r="CU379" s="1852">
        <f>CU378/CT378-1</f>
        <v>-0.74151367011997604</v>
      </c>
      <c r="CV379" s="1852"/>
      <c r="CW379" s="1852"/>
      <c r="CX379" s="1852"/>
      <c r="CY379" s="1852"/>
      <c r="CZ379" s="1852"/>
      <c r="DA379" s="1852"/>
      <c r="DB379" s="1852"/>
      <c r="DC379" s="1852"/>
      <c r="DD379" s="1853"/>
      <c r="DE379" s="1854"/>
      <c r="DF379" s="1852"/>
      <c r="DG379" s="1855"/>
      <c r="DH379" s="1848"/>
      <c r="DI379" s="1848"/>
      <c r="DJ379" s="1848"/>
      <c r="DK379" s="1848"/>
      <c r="DL379" s="1848"/>
      <c r="DM379" s="1852"/>
      <c r="DN379" s="1852">
        <f t="shared" ref="DN379:DV379" si="738">DN378/DM378-1</f>
        <v>0.19105855198515886</v>
      </c>
      <c r="DO379" s="1852">
        <f t="shared" si="738"/>
        <v>3.8727525561268239E-2</v>
      </c>
      <c r="DP379" s="1852">
        <f t="shared" si="738"/>
        <v>0.19143481231437942</v>
      </c>
      <c r="DQ379" s="1852">
        <f t="shared" si="738"/>
        <v>-6.043237807943691E-2</v>
      </c>
      <c r="DR379" s="1852">
        <f t="shared" si="738"/>
        <v>0.67465753424657526</v>
      </c>
      <c r="DS379" s="1851">
        <f t="shared" si="738"/>
        <v>-2.4284253578732096E-2</v>
      </c>
      <c r="DT379" s="1852">
        <f t="shared" si="738"/>
        <v>-5.4362064448519876E-3</v>
      </c>
      <c r="DU379" s="1852">
        <f t="shared" si="738"/>
        <v>-0.11636483371748441</v>
      </c>
      <c r="DV379" s="1852">
        <f t="shared" si="738"/>
        <v>-0.34843342661237831</v>
      </c>
      <c r="DW379" s="1825"/>
      <c r="DX379" s="1852"/>
      <c r="DY379" s="1852"/>
      <c r="DZ379" s="1852"/>
      <c r="EA379"/>
      <c r="EB379"/>
      <c r="EC379"/>
      <c r="ED379"/>
      <c r="EE379"/>
      <c r="EF379"/>
    </row>
    <row r="380" spans="1:136" s="1785" customFormat="1" ht="11.25" hidden="1" customHeight="1" outlineLevel="1">
      <c r="A380" s="1825"/>
      <c r="B380" s="1848"/>
      <c r="C380" s="1848" t="s">
        <v>77</v>
      </c>
      <c r="D380" s="1849"/>
      <c r="E380" s="1850"/>
      <c r="F380" s="1851"/>
      <c r="G380" s="1852"/>
      <c r="H380" s="1852"/>
      <c r="I380" s="1825"/>
      <c r="J380" s="1851"/>
      <c r="K380" s="1852">
        <f t="shared" ref="K380:AU380" si="739">K378/J378-1</f>
        <v>0.30327502647734517</v>
      </c>
      <c r="L380" s="1852">
        <f t="shared" si="739"/>
        <v>3.5144890703739939E-2</v>
      </c>
      <c r="M380" s="1825">
        <f t="shared" si="739"/>
        <v>-9.1103961667751698E-2</v>
      </c>
      <c r="N380" s="1852">
        <f t="shared" si="739"/>
        <v>7.8119966887579828E-2</v>
      </c>
      <c r="O380" s="1852">
        <f t="shared" si="739"/>
        <v>0.28577195325427152</v>
      </c>
      <c r="P380" s="1852">
        <f t="shared" si="739"/>
        <v>-5.8239549812209912E-2</v>
      </c>
      <c r="Q380" s="1852">
        <f t="shared" si="739"/>
        <v>-3.6235155633284499E-2</v>
      </c>
      <c r="R380" s="1851">
        <f t="shared" si="739"/>
        <v>4.9925616277488372E-2</v>
      </c>
      <c r="S380" s="1852">
        <f t="shared" si="739"/>
        <v>0.16884306474889632</v>
      </c>
      <c r="T380" s="1852">
        <f t="shared" si="739"/>
        <v>-0.10292776180904206</v>
      </c>
      <c r="U380" s="1852">
        <f t="shared" si="739"/>
        <v>-1.3024745710088492E-4</v>
      </c>
      <c r="V380" s="1851">
        <f t="shared" si="739"/>
        <v>9.9871415175706524E-2</v>
      </c>
      <c r="W380" s="1852">
        <f t="shared" si="739"/>
        <v>0.15948559247685523</v>
      </c>
      <c r="X380" s="1852">
        <f t="shared" si="739"/>
        <v>-3.668302851527061E-2</v>
      </c>
      <c r="Y380" s="1852">
        <f t="shared" si="739"/>
        <v>2.225417906706495E-2</v>
      </c>
      <c r="Z380" s="1851">
        <f t="shared" si="739"/>
        <v>7.3947608884263216E-2</v>
      </c>
      <c r="AA380" s="1852">
        <f t="shared" si="739"/>
        <v>0.10611144498413516</v>
      </c>
      <c r="AB380" s="1852">
        <f t="shared" si="739"/>
        <v>1.0476140580033544E-2</v>
      </c>
      <c r="AC380" s="1852">
        <f t="shared" si="739"/>
        <v>-3.8315465842584273E-2</v>
      </c>
      <c r="AD380" s="1851">
        <f t="shared" si="739"/>
        <v>0.16441714129293206</v>
      </c>
      <c r="AE380" s="1852">
        <f t="shared" si="739"/>
        <v>0.1297241529990083</v>
      </c>
      <c r="AF380" s="1852">
        <f t="shared" si="739"/>
        <v>-1.2563455763278997E-2</v>
      </c>
      <c r="AG380" s="1852">
        <f t="shared" si="739"/>
        <v>-3.0724173296654556E-2</v>
      </c>
      <c r="AH380" s="1851">
        <f t="shared" si="739"/>
        <v>0.29214789416222398</v>
      </c>
      <c r="AI380" s="1852">
        <f t="shared" si="739"/>
        <v>0.24808486464393442</v>
      </c>
      <c r="AJ380" s="1852">
        <f t="shared" si="739"/>
        <v>-4.2228852709378928E-2</v>
      </c>
      <c r="AK380" s="1825">
        <f t="shared" si="739"/>
        <v>-5.5878930473551525E-2</v>
      </c>
      <c r="AL380" s="1852">
        <f t="shared" si="739"/>
        <v>5.8164106697331075E-2</v>
      </c>
      <c r="AM380" s="1852">
        <f t="shared" si="739"/>
        <v>-0.13570574902370047</v>
      </c>
      <c r="AN380" s="1852">
        <f t="shared" si="739"/>
        <v>-0.12667175399636077</v>
      </c>
      <c r="AO380" s="1825">
        <f t="shared" si="739"/>
        <v>0.21125463507805842</v>
      </c>
      <c r="AP380" s="1852">
        <f t="shared" si="739"/>
        <v>0.14511740312249577</v>
      </c>
      <c r="AQ380" s="1852">
        <f t="shared" si="739"/>
        <v>0.18614130434782616</v>
      </c>
      <c r="AR380" s="1852">
        <f t="shared" si="739"/>
        <v>8.4001527300496814E-3</v>
      </c>
      <c r="AS380" s="1852">
        <f t="shared" si="739"/>
        <v>-9.8068913290420334E-2</v>
      </c>
      <c r="AT380" s="1851">
        <f t="shared" si="739"/>
        <v>2.7287993282955503E-2</v>
      </c>
      <c r="AU380" s="1852">
        <f t="shared" si="739"/>
        <v>1.1442582754393138E-2</v>
      </c>
      <c r="AV380" s="1852">
        <f t="shared" ref="AV380:BD380" si="740">AV378/AU378-1</f>
        <v>-9.0101010101010126E-2</v>
      </c>
      <c r="AW380" s="1825">
        <f t="shared" si="740"/>
        <v>6.7051509769094242E-2</v>
      </c>
      <c r="AX380" s="1852">
        <f t="shared" si="740"/>
        <v>0.12109862671660432</v>
      </c>
      <c r="AY380" s="1852">
        <f t="shared" si="740"/>
        <v>-0.25946547884187088</v>
      </c>
      <c r="AZ380" s="1852">
        <f t="shared" si="740"/>
        <v>0.52130325814536338</v>
      </c>
      <c r="BA380" s="1825">
        <f t="shared" si="740"/>
        <v>0.5663920922570016</v>
      </c>
      <c r="BB380" s="1852">
        <f t="shared" si="740"/>
        <v>-0.15124106015986538</v>
      </c>
      <c r="BC380" s="1852">
        <f t="shared" si="740"/>
        <v>-5.2292441140024737E-2</v>
      </c>
      <c r="BD380" s="1852">
        <f t="shared" si="740"/>
        <v>-1.5690376569037712E-2</v>
      </c>
      <c r="BE380" s="1825">
        <f t="shared" ref="BE380:BQ380" si="741">BE378/BD378-1</f>
        <v>-9.5642933049946421E-3</v>
      </c>
      <c r="BF380" s="1852">
        <f t="shared" si="741"/>
        <v>2.0386266094420513E-2</v>
      </c>
      <c r="BG380" s="1852">
        <f t="shared" si="741"/>
        <v>4.4164037854889537E-2</v>
      </c>
      <c r="BH380" s="1852">
        <f t="shared" si="741"/>
        <v>-6.7724068479355526E-2</v>
      </c>
      <c r="BI380" s="1825">
        <f t="shared" si="741"/>
        <v>-1.4042668106940326E-2</v>
      </c>
      <c r="BJ380" s="1852">
        <f t="shared" si="741"/>
        <v>7.9978088195015173E-2</v>
      </c>
      <c r="BK380" s="1852">
        <f t="shared" si="741"/>
        <v>-1.3948769972102482E-2</v>
      </c>
      <c r="BL380" s="1852">
        <f t="shared" si="741"/>
        <v>-8.6934156378600802E-2</v>
      </c>
      <c r="BM380" s="1852">
        <f t="shared" si="741"/>
        <v>-0.10112676056338032</v>
      </c>
      <c r="BN380" s="1851">
        <f t="shared" si="741"/>
        <v>5.2961454089627047E-2</v>
      </c>
      <c r="BO380" s="1852">
        <f t="shared" si="741"/>
        <v>-1.2797619047619002E-2</v>
      </c>
      <c r="BP380" s="1852">
        <f>BP378/BO378-1</f>
        <v>-0.14923123304190533</v>
      </c>
      <c r="BQ380" s="1825">
        <f t="shared" si="741"/>
        <v>-2.4240754330270953E-2</v>
      </c>
      <c r="BR380" s="1852">
        <f>BR378/BQ378-1</f>
        <v>0.15018020474950888</v>
      </c>
      <c r="BS380" s="1852"/>
      <c r="BT380" s="1852"/>
      <c r="BU380" s="1825"/>
      <c r="BV380" s="1852"/>
      <c r="BW380" s="1852"/>
      <c r="BX380" s="1852"/>
      <c r="BY380" s="1825"/>
      <c r="BZ380" s="1852"/>
      <c r="CA380" s="1852"/>
      <c r="CB380" s="1852"/>
      <c r="CC380" s="1825"/>
      <c r="CD380" s="1853"/>
      <c r="CE380" s="1852"/>
      <c r="CF380" s="1852"/>
      <c r="CG380" s="1852"/>
      <c r="CH380" s="1852"/>
      <c r="CI380" s="1852"/>
      <c r="CJ380" s="1852"/>
      <c r="CK380" s="1854"/>
      <c r="CL380" s="1854"/>
      <c r="CM380" s="1852"/>
      <c r="CN380" s="1852"/>
      <c r="CO380" s="1852"/>
      <c r="CP380" s="1852"/>
      <c r="CQ380" s="1852"/>
      <c r="CR380" s="1852"/>
      <c r="CS380" s="1852"/>
      <c r="CT380" s="1852"/>
      <c r="CU380" s="1852"/>
      <c r="CV380" s="1852"/>
      <c r="CW380" s="1852"/>
      <c r="CX380" s="1852"/>
      <c r="CY380" s="1852"/>
      <c r="CZ380" s="1852"/>
      <c r="DA380" s="1852"/>
      <c r="DB380" s="1852"/>
      <c r="DC380" s="1852"/>
      <c r="DD380" s="1853"/>
      <c r="DE380" s="1854"/>
      <c r="DF380" s="1852"/>
      <c r="DG380" s="1855"/>
      <c r="DH380" s="1848"/>
      <c r="DI380" s="1848"/>
      <c r="DJ380" s="1848"/>
      <c r="DK380" s="1848"/>
      <c r="DL380" s="1848"/>
      <c r="DM380" s="1848"/>
      <c r="DN380" s="1848"/>
      <c r="DO380" s="1848"/>
      <c r="DP380" s="1848"/>
      <c r="DQ380" s="1848"/>
      <c r="DR380" s="1848"/>
      <c r="DS380" s="1855"/>
      <c r="DT380" s="1852"/>
      <c r="DU380" s="1852"/>
      <c r="DV380" s="1852"/>
      <c r="DW380" s="1825"/>
      <c r="DX380" s="1852"/>
      <c r="DY380" s="1852"/>
      <c r="DZ380" s="1852"/>
      <c r="EA380"/>
      <c r="EB380"/>
      <c r="EC380"/>
      <c r="ED380"/>
      <c r="EE380"/>
      <c r="EF380"/>
    </row>
    <row r="381" spans="1:136" s="1785" customFormat="1" ht="11.25" hidden="1" customHeight="1" outlineLevel="1">
      <c r="A381" s="1826"/>
      <c r="B381" s="1856"/>
      <c r="BN381" s="2129"/>
      <c r="BO381" s="1857"/>
      <c r="BQ381" s="2128"/>
      <c r="BS381" s="1829"/>
      <c r="BT381" s="1858"/>
      <c r="BU381" s="1823"/>
      <c r="BV381" s="1858"/>
      <c r="BW381" s="1829"/>
      <c r="BX381" s="1858"/>
      <c r="BY381" s="1823"/>
      <c r="BZ381" s="1858"/>
      <c r="CA381" s="1829"/>
      <c r="CB381" s="1858"/>
      <c r="CC381" s="1823"/>
      <c r="CN381" s="1857"/>
      <c r="CQ381" s="2129"/>
      <c r="CR381" s="1857"/>
      <c r="CS381" s="1829"/>
      <c r="CT381" s="1829"/>
      <c r="CU381" s="1858"/>
      <c r="CV381" s="1858"/>
      <c r="CW381" s="1858"/>
      <c r="CX381" s="1858"/>
      <c r="CY381" s="1858"/>
      <c r="CZ381" s="1858"/>
      <c r="DA381" s="1858"/>
      <c r="DB381" s="1858"/>
      <c r="DC381" s="1858"/>
      <c r="DD381" s="2128"/>
      <c r="DE381" s="1857"/>
      <c r="DR381" s="1857"/>
      <c r="DT381" s="1857"/>
      <c r="DU381" s="1857"/>
      <c r="DV381" s="1857"/>
      <c r="DW381" s="1857"/>
      <c r="DX381" s="1857"/>
      <c r="DY381" s="1857"/>
      <c r="EA381"/>
      <c r="EB381"/>
      <c r="EC381"/>
      <c r="ED381"/>
      <c r="EE381"/>
      <c r="EF381"/>
    </row>
    <row r="382" spans="1:136" s="1785" customFormat="1" ht="11.25" hidden="1" customHeight="1" outlineLevel="1">
      <c r="A382" s="1823"/>
      <c r="B382" s="1859" t="s">
        <v>397</v>
      </c>
      <c r="C382" s="1830"/>
      <c r="D382" s="1860"/>
      <c r="E382" s="1861"/>
      <c r="F382" s="1862">
        <v>0</v>
      </c>
      <c r="G382" s="1862">
        <v>0</v>
      </c>
      <c r="H382" s="1862">
        <v>0</v>
      </c>
      <c r="I382" s="1863">
        <v>0</v>
      </c>
      <c r="J382" s="1862">
        <v>0</v>
      </c>
      <c r="K382" s="1862">
        <v>0</v>
      </c>
      <c r="L382" s="1862">
        <v>0</v>
      </c>
      <c r="M382" s="1863">
        <v>0</v>
      </c>
      <c r="N382" s="1862">
        <v>0</v>
      </c>
      <c r="O382" s="1862">
        <v>0</v>
      </c>
      <c r="P382" s="1862">
        <v>0</v>
      </c>
      <c r="Q382" s="1863">
        <v>0</v>
      </c>
      <c r="R382" s="1862">
        <v>0</v>
      </c>
      <c r="S382" s="1862">
        <v>0</v>
      </c>
      <c r="T382" s="1862">
        <v>0</v>
      </c>
      <c r="U382" s="1863">
        <v>0</v>
      </c>
      <c r="V382" s="1862">
        <v>0</v>
      </c>
      <c r="W382" s="1862">
        <v>0</v>
      </c>
      <c r="X382" s="1862">
        <v>0</v>
      </c>
      <c r="Y382" s="1863">
        <v>0</v>
      </c>
      <c r="Z382" s="1862">
        <v>0</v>
      </c>
      <c r="AA382" s="1862">
        <v>0</v>
      </c>
      <c r="AB382" s="1862">
        <v>0</v>
      </c>
      <c r="AC382" s="1863">
        <v>0</v>
      </c>
      <c r="AD382" s="1864">
        <v>0</v>
      </c>
      <c r="AE382" s="1864">
        <v>0</v>
      </c>
      <c r="AF382" s="1864">
        <v>0</v>
      </c>
      <c r="AG382" s="1865">
        <v>0</v>
      </c>
      <c r="AH382" s="1866">
        <v>40</v>
      </c>
      <c r="AI382" s="1866">
        <v>120</v>
      </c>
      <c r="AJ382" s="1866">
        <v>89</v>
      </c>
      <c r="AK382" s="1867">
        <v>0</v>
      </c>
      <c r="AL382" s="1866">
        <v>0</v>
      </c>
      <c r="AM382" s="1866">
        <v>0</v>
      </c>
      <c r="AN382" s="1866">
        <v>0</v>
      </c>
      <c r="AO382" s="1867">
        <v>0</v>
      </c>
      <c r="AP382" s="1868">
        <f>2208-AP395</f>
        <v>48.438200000000052</v>
      </c>
      <c r="AQ382" s="1868">
        <f>2619-AQ395</f>
        <v>43.30199999999968</v>
      </c>
      <c r="AR382" s="1868">
        <f>2641-AR395</f>
        <v>34.240999999999985</v>
      </c>
      <c r="AS382" s="1869">
        <f>2382-AS395</f>
        <v>47.383499999999913</v>
      </c>
      <c r="AT382" s="1868">
        <f>2396-AT395+51</f>
        <v>115.27873</v>
      </c>
      <c r="AU382" s="1868">
        <f>2475-AU395</f>
        <v>19.1550000000002</v>
      </c>
      <c r="AV382" s="1868">
        <f>2252-AV395</f>
        <v>10.729770250000456</v>
      </c>
      <c r="AW382" s="1868">
        <f>2403-AW395</f>
        <v>33.820508062500267</v>
      </c>
      <c r="AX382" s="1870">
        <f>2694-AX395</f>
        <v>32.860469903750072</v>
      </c>
      <c r="AY382" s="1868">
        <f>1995-AY395</f>
        <v>30.434710013962786</v>
      </c>
      <c r="AZ382" s="1868">
        <f>3035-AZ395</f>
        <v>26.9633757825668</v>
      </c>
      <c r="BA382" s="1869">
        <f>4754-BA395</f>
        <v>136.18808295873987</v>
      </c>
      <c r="BB382" s="1870">
        <f>4035-BB395</f>
        <v>161.37924625921096</v>
      </c>
      <c r="BC382" s="1868">
        <f>3824-BC395</f>
        <v>150.80279135177716</v>
      </c>
      <c r="BD382" s="1868">
        <f>3764-BD395</f>
        <v>93.489379550004287</v>
      </c>
      <c r="BE382" s="1869">
        <f>3728-BE395</f>
        <v>134.52133014458013</v>
      </c>
      <c r="BF382" s="1870">
        <f>3804-BF395</f>
        <v>172.47589725574107</v>
      </c>
      <c r="BG382" s="1868">
        <f>3972-BG395</f>
        <v>186.89624462826487</v>
      </c>
      <c r="BH382" s="1868">
        <f>3703-BH395</f>
        <v>198.59069497806377</v>
      </c>
      <c r="BI382" s="1869">
        <f>3651-BI395</f>
        <v>117.69745924889139</v>
      </c>
      <c r="BJ382" s="1870">
        <f>3943-BJ395</f>
        <v>187.84799999999996</v>
      </c>
      <c r="BK382" s="1868">
        <f>3888-BK395</f>
        <v>225.5825110902565</v>
      </c>
      <c r="BL382" s="1868">
        <f>3550-BL395</f>
        <v>212.04849707549965</v>
      </c>
      <c r="BM382" s="1868">
        <f>3191-BM395</f>
        <v>279.73141672331349</v>
      </c>
      <c r="BN382" s="1870">
        <f>3360-BN395</f>
        <v>299.35155542683788</v>
      </c>
      <c r="BO382" s="1868">
        <f>3317-BO395</f>
        <v>309.57862300813167</v>
      </c>
      <c r="BP382" s="1868">
        <f>2822-BP395</f>
        <v>254.1975074843931</v>
      </c>
      <c r="BQ382" s="1869">
        <f>3495-BQ395-BQ38</f>
        <v>239.11740195563743</v>
      </c>
      <c r="BR382" s="1870">
        <f>4714-BR395-BR38</f>
        <v>244.59488705866033</v>
      </c>
      <c r="BS382" s="1871"/>
      <c r="BT382" s="1871"/>
      <c r="BU382" s="1872"/>
      <c r="BV382" s="1871"/>
      <c r="BW382" s="1871"/>
      <c r="BX382" s="1871"/>
      <c r="BY382" s="1872"/>
      <c r="BZ382" s="1871"/>
      <c r="CA382" s="1871"/>
      <c r="CB382" s="1871"/>
      <c r="CC382" s="1872"/>
      <c r="CD382" s="1837"/>
      <c r="CE382" s="1871">
        <f>SUM(F382:I382)</f>
        <v>0</v>
      </c>
      <c r="CF382" s="1871">
        <f>SUM(M382:P382)</f>
        <v>0</v>
      </c>
      <c r="CG382" s="1871">
        <f>SUM(N382:Q382)</f>
        <v>0</v>
      </c>
      <c r="CH382" s="1871">
        <f>SUM(R382:U382)</f>
        <v>0</v>
      </c>
      <c r="CI382" s="1871">
        <f>SUM(V382:Y382)</f>
        <v>0</v>
      </c>
      <c r="CJ382" s="1871">
        <f>SUM(Z382:AC382)</f>
        <v>0</v>
      </c>
      <c r="CK382" s="1871">
        <f>SUM(AD382:AG382)</f>
        <v>0</v>
      </c>
      <c r="CL382" s="1871">
        <f>SUM(AH382:AK382)</f>
        <v>249</v>
      </c>
      <c r="CM382" s="1871">
        <f>SUM(AL382:AO382)</f>
        <v>0</v>
      </c>
      <c r="CN382" s="1871">
        <f>SUM(AP382:AS382)</f>
        <v>173.36469999999963</v>
      </c>
      <c r="CO382" s="1871">
        <f>SUM(AT382:AW382)</f>
        <v>178.98400831250092</v>
      </c>
      <c r="CP382" s="1871">
        <f>SUM(AX382:BA382)</f>
        <v>226.44663865901953</v>
      </c>
      <c r="CQ382" s="1871">
        <f>SUM(BB382:BE382)</f>
        <v>540.19274730557254</v>
      </c>
      <c r="CR382" s="1871">
        <f>SUM(BF382:BI382)</f>
        <v>675.6602961109611</v>
      </c>
      <c r="CS382" s="1871">
        <f>SUM(BJ382:BM382)</f>
        <v>905.2104248890696</v>
      </c>
      <c r="CT382" s="1831">
        <f>SUM(BN382:BQ382)</f>
        <v>1102.2450878750001</v>
      </c>
      <c r="CU382" s="1871">
        <f>SUM(BR382:BU382)</f>
        <v>244.59488705866033</v>
      </c>
      <c r="CV382" s="1871"/>
      <c r="CW382" s="1871"/>
      <c r="CX382" s="1871"/>
      <c r="CY382" s="1871"/>
      <c r="CZ382" s="1871"/>
      <c r="DA382" s="1871"/>
      <c r="DB382" s="1871"/>
      <c r="DC382" s="1871"/>
      <c r="DD382" s="1837"/>
      <c r="DE382" s="1839"/>
      <c r="DF382" s="1829"/>
      <c r="DG382" s="1873"/>
      <c r="DH382" s="1829"/>
      <c r="DI382" s="1829"/>
      <c r="DJ382" s="1829"/>
      <c r="DK382" s="1829"/>
      <c r="DL382" s="1838"/>
      <c r="DM382" s="1874"/>
      <c r="DN382" s="1874">
        <f>SUM(AJ382:AM382)</f>
        <v>89</v>
      </c>
      <c r="DO382" s="1874">
        <f>SUM(AN382:AQ382)</f>
        <v>91.740199999999732</v>
      </c>
      <c r="DP382" s="1803">
        <f>SUM(AR382:AU382)</f>
        <v>216.05823000000009</v>
      </c>
      <c r="DQ382" s="1803">
        <f>SUM(AV382:AY382)</f>
        <v>107.84545823021358</v>
      </c>
      <c r="DR382" s="1803">
        <f>SUM(AZ382:BC382)</f>
        <v>475.33349635229479</v>
      </c>
      <c r="DS382" s="1804">
        <f>SUM(BD382:BG382)</f>
        <v>587.38285157859036</v>
      </c>
      <c r="DT382" s="1803">
        <f>SUM(BH382:BK382)</f>
        <v>729.71866531721162</v>
      </c>
      <c r="DU382" s="1803">
        <f>SUM(BL382:BO382)</f>
        <v>1100.7100922337827</v>
      </c>
      <c r="DV382" s="1803">
        <f>SUM(BP382:BS382)</f>
        <v>737.90979649869087</v>
      </c>
      <c r="DW382" s="1805"/>
      <c r="DX382" s="1803"/>
      <c r="DY382" s="1803"/>
      <c r="DZ382" s="1829"/>
      <c r="EA382"/>
      <c r="EB382"/>
      <c r="EC382"/>
      <c r="ED382"/>
      <c r="EE382"/>
      <c r="EF382"/>
    </row>
    <row r="383" spans="1:136" s="1785" customFormat="1" ht="11.25" hidden="1" customHeight="1" outlineLevel="1">
      <c r="A383" s="1827"/>
      <c r="B383" s="1855"/>
      <c r="C383" s="1849" t="s">
        <v>76</v>
      </c>
      <c r="D383" s="1875"/>
      <c r="E383" s="1876"/>
      <c r="F383" s="1851"/>
      <c r="G383" s="1852"/>
      <c r="H383" s="1852"/>
      <c r="I383" s="1825"/>
      <c r="J383" s="1852"/>
      <c r="K383" s="1852"/>
      <c r="L383" s="1852"/>
      <c r="M383" s="1825"/>
      <c r="N383" s="1852"/>
      <c r="O383" s="1852"/>
      <c r="P383" s="1852"/>
      <c r="Q383" s="1825"/>
      <c r="R383" s="1852"/>
      <c r="S383" s="1852"/>
      <c r="T383" s="1852"/>
      <c r="U383" s="1825"/>
      <c r="V383" s="1852"/>
      <c r="W383" s="1852"/>
      <c r="X383" s="1852"/>
      <c r="Y383" s="1825"/>
      <c r="Z383" s="1852"/>
      <c r="AA383" s="1852"/>
      <c r="AB383" s="1852"/>
      <c r="AC383" s="1825"/>
      <c r="AD383" s="1852"/>
      <c r="AE383" s="1852"/>
      <c r="AF383" s="1852"/>
      <c r="AG383" s="1852"/>
      <c r="AH383" s="1851"/>
      <c r="AI383" s="1852"/>
      <c r="AJ383" s="1852"/>
      <c r="AK383" s="1825"/>
      <c r="AL383" s="1852"/>
      <c r="AM383" s="1852"/>
      <c r="AN383" s="1852"/>
      <c r="AO383" s="1825"/>
      <c r="AP383" s="1852"/>
      <c r="AQ383" s="1852"/>
      <c r="AR383" s="1852"/>
      <c r="AS383" s="1852"/>
      <c r="AT383" s="1851">
        <f t="shared" ref="AT383:BA383" si="742">AT382/AP382-1</f>
        <v>1.3799135806037359</v>
      </c>
      <c r="AU383" s="1852">
        <f t="shared" si="742"/>
        <v>-0.55764167936815068</v>
      </c>
      <c r="AV383" s="1852">
        <f t="shared" si="742"/>
        <v>-0.68663969364211153</v>
      </c>
      <c r="AW383" s="1825">
        <f t="shared" si="742"/>
        <v>-0.2862387104688271</v>
      </c>
      <c r="AX383" s="1852">
        <f t="shared" si="742"/>
        <v>-0.7149476759177511</v>
      </c>
      <c r="AY383" s="1852">
        <f t="shared" si="742"/>
        <v>0.58886504901918379</v>
      </c>
      <c r="AZ383" s="1852">
        <f t="shared" si="742"/>
        <v>1.5129499657800829</v>
      </c>
      <c r="BA383" s="1825">
        <f t="shared" si="742"/>
        <v>3.0267899792358062</v>
      </c>
      <c r="BB383" s="1852">
        <f t="shared" ref="BB383:BO383" si="743">BB382/AX382-1</f>
        <v>3.9110449951537118</v>
      </c>
      <c r="BC383" s="1852">
        <f t="shared" si="743"/>
        <v>3.9549606775484998</v>
      </c>
      <c r="BD383" s="1852">
        <f t="shared" si="743"/>
        <v>2.4672728038174636</v>
      </c>
      <c r="BE383" s="1825">
        <f t="shared" si="743"/>
        <v>-1.2238609854466453E-2</v>
      </c>
      <c r="BF383" s="1852">
        <f t="shared" si="743"/>
        <v>6.8761326216051577E-2</v>
      </c>
      <c r="BG383" s="1852">
        <f t="shared" si="743"/>
        <v>0.23934207684718922</v>
      </c>
      <c r="BH383" s="1852">
        <f t="shared" si="743"/>
        <v>1.1242059358394219</v>
      </c>
      <c r="BI383" s="1825">
        <f t="shared" si="743"/>
        <v>-0.12506470815897275</v>
      </c>
      <c r="BJ383" s="1852">
        <f t="shared" si="743"/>
        <v>8.9126092334314233E-2</v>
      </c>
      <c r="BK383" s="1852">
        <f t="shared" si="743"/>
        <v>0.20699327875173901</v>
      </c>
      <c r="BL383" s="1852">
        <f t="shared" si="743"/>
        <v>6.7766529035624856E-2</v>
      </c>
      <c r="BM383" s="1852">
        <f t="shared" si="743"/>
        <v>1.3766988557652176</v>
      </c>
      <c r="BN383" s="1851">
        <f t="shared" si="743"/>
        <v>0.59358393715577451</v>
      </c>
      <c r="BO383" s="1852">
        <f t="shared" si="743"/>
        <v>0.37235205651322834</v>
      </c>
      <c r="BP383" s="1852">
        <f>BP382/BL382-1</f>
        <v>0.19877061610998514</v>
      </c>
      <c r="BQ383" s="1825">
        <f>BQ382/BM382-1</f>
        <v>-0.14518932211267488</v>
      </c>
      <c r="BR383" s="1852">
        <f>BR382/BN382-1</f>
        <v>-0.18291760097956189</v>
      </c>
      <c r="BS383" s="1852"/>
      <c r="BT383" s="1852"/>
      <c r="BU383" s="1825"/>
      <c r="BV383" s="1852"/>
      <c r="BW383" s="1852"/>
      <c r="BX383" s="1852"/>
      <c r="BY383" s="1825"/>
      <c r="BZ383" s="1852"/>
      <c r="CA383" s="1852"/>
      <c r="CB383" s="1852"/>
      <c r="CC383" s="1825"/>
      <c r="CD383" s="1853"/>
      <c r="CE383" s="1852"/>
      <c r="CF383" s="1852"/>
      <c r="CG383" s="1852"/>
      <c r="CH383" s="1852"/>
      <c r="CI383" s="1852"/>
      <c r="CJ383" s="1852"/>
      <c r="CK383" s="1852"/>
      <c r="CL383" s="1852"/>
      <c r="CM383" s="1852"/>
      <c r="CN383" s="1852"/>
      <c r="CO383" s="1852">
        <f t="shared" ref="CO383:CU383" si="744">CO382/CN382-1</f>
        <v>3.241322087196119E-2</v>
      </c>
      <c r="CP383" s="1852">
        <f t="shared" si="744"/>
        <v>0.26517805022921492</v>
      </c>
      <c r="CQ383" s="1852">
        <f t="shared" si="744"/>
        <v>1.3855189483248984</v>
      </c>
      <c r="CR383" s="1852">
        <f t="shared" si="744"/>
        <v>0.25077631915846177</v>
      </c>
      <c r="CS383" s="1852">
        <f t="shared" si="744"/>
        <v>0.33974192371429557</v>
      </c>
      <c r="CT383" s="1852">
        <f t="shared" si="744"/>
        <v>0.21766724903778734</v>
      </c>
      <c r="CU383" s="1852">
        <f t="shared" si="744"/>
        <v>-0.77809391962888153</v>
      </c>
      <c r="CV383" s="1852"/>
      <c r="CW383" s="1852"/>
      <c r="CX383" s="1877"/>
      <c r="CY383" s="1877"/>
      <c r="CZ383" s="1877"/>
      <c r="DA383" s="1877"/>
      <c r="DB383" s="1877"/>
      <c r="DC383" s="1877"/>
      <c r="DD383" s="1853"/>
      <c r="DE383" s="1854"/>
      <c r="DF383" s="1852"/>
      <c r="DG383" s="1855"/>
      <c r="DH383" s="1848"/>
      <c r="DI383" s="1848"/>
      <c r="DJ383" s="1848"/>
      <c r="DK383" s="1848"/>
      <c r="DL383" s="1848"/>
      <c r="DM383" s="1852"/>
      <c r="DN383" s="1852"/>
      <c r="DO383" s="1852"/>
      <c r="DP383" s="1852"/>
      <c r="DQ383" s="1852"/>
      <c r="DR383" s="1852"/>
      <c r="DS383" s="1851"/>
      <c r="DT383" s="1852"/>
      <c r="DU383" s="1852"/>
      <c r="DV383" s="1852"/>
      <c r="DW383" s="1825"/>
      <c r="DX383" s="1852"/>
      <c r="DY383" s="1852"/>
      <c r="DZ383" s="1827"/>
      <c r="EA383"/>
      <c r="EB383"/>
      <c r="EC383"/>
      <c r="ED383"/>
      <c r="EE383"/>
      <c r="EF383"/>
    </row>
    <row r="384" spans="1:136" s="1785" customFormat="1" ht="11.25" hidden="1" customHeight="1" outlineLevel="1">
      <c r="A384" s="1828"/>
      <c r="B384" s="1833"/>
      <c r="C384" s="1826" t="s">
        <v>77</v>
      </c>
      <c r="D384" s="1878"/>
      <c r="E384" s="1879"/>
      <c r="F384" s="1880"/>
      <c r="G384" s="1880"/>
      <c r="H384" s="1880"/>
      <c r="I384" s="1881"/>
      <c r="J384" s="1880"/>
      <c r="K384" s="1880"/>
      <c r="L384" s="1880"/>
      <c r="M384" s="1881"/>
      <c r="N384" s="1880"/>
      <c r="O384" s="1880"/>
      <c r="P384" s="1880"/>
      <c r="Q384" s="1881"/>
      <c r="R384" s="1880"/>
      <c r="S384" s="1880"/>
      <c r="T384" s="1880"/>
      <c r="U384" s="1881"/>
      <c r="V384" s="1880"/>
      <c r="W384" s="1880"/>
      <c r="X384" s="1880"/>
      <c r="Y384" s="1881"/>
      <c r="Z384" s="1880"/>
      <c r="AA384" s="1880"/>
      <c r="AB384" s="1880"/>
      <c r="AC384" s="1881"/>
      <c r="AD384" s="1880"/>
      <c r="AE384" s="1880"/>
      <c r="AF384" s="1880"/>
      <c r="AG384" s="1880"/>
      <c r="AH384" s="1882"/>
      <c r="AI384" s="1880"/>
      <c r="AJ384" s="1880"/>
      <c r="AK384" s="1881"/>
      <c r="AL384" s="1880"/>
      <c r="AM384" s="1880"/>
      <c r="AN384" s="1880"/>
      <c r="AO384" s="1881"/>
      <c r="AP384" s="1883"/>
      <c r="AQ384" s="1835">
        <f t="shared" ref="AQ384:BD384" si="745">AQ382/AP382-1</f>
        <v>-0.10603614502604075</v>
      </c>
      <c r="AR384" s="1835">
        <f t="shared" si="745"/>
        <v>-0.20925130478961163</v>
      </c>
      <c r="AS384" s="1835">
        <f t="shared" si="745"/>
        <v>0.38382348646359432</v>
      </c>
      <c r="AT384" s="1883">
        <f t="shared" si="745"/>
        <v>1.4328876085557254</v>
      </c>
      <c r="AU384" s="1835">
        <f t="shared" si="745"/>
        <v>-0.83383751712045928</v>
      </c>
      <c r="AV384" s="1835">
        <f t="shared" si="745"/>
        <v>-0.43984493604801123</v>
      </c>
      <c r="AW384" s="1835">
        <f t="shared" si="745"/>
        <v>2.1520253718851836</v>
      </c>
      <c r="AX384" s="1883">
        <f t="shared" si="745"/>
        <v>-2.8386272523642897E-2</v>
      </c>
      <c r="AY384" s="1835">
        <f t="shared" si="745"/>
        <v>-7.3820000045417999E-2</v>
      </c>
      <c r="AZ384" s="1835">
        <f t="shared" si="745"/>
        <v>-0.11405839680428731</v>
      </c>
      <c r="BA384" s="1836">
        <f>BA382/AZ382-1</f>
        <v>4.0508543164981745</v>
      </c>
      <c r="BB384" s="1883">
        <f t="shared" si="745"/>
        <v>0.18497333065553989</v>
      </c>
      <c r="BC384" s="1835">
        <f t="shared" si="745"/>
        <v>-6.5537887631756941E-2</v>
      </c>
      <c r="BD384" s="1835">
        <f t="shared" si="745"/>
        <v>-0.38005537754323171</v>
      </c>
      <c r="BE384" s="1836">
        <f t="shared" ref="BE384:BO384" si="746">BE382/BD382-1</f>
        <v>0.43889424437381419</v>
      </c>
      <c r="BF384" s="1883">
        <f t="shared" si="746"/>
        <v>0.28214534505693867</v>
      </c>
      <c r="BG384" s="1835">
        <f t="shared" si="746"/>
        <v>8.3607898854074714E-2</v>
      </c>
      <c r="BH384" s="1835">
        <f t="shared" si="746"/>
        <v>6.2571885128345217E-2</v>
      </c>
      <c r="BI384" s="1836">
        <f t="shared" si="746"/>
        <v>-0.40733648541845224</v>
      </c>
      <c r="BJ384" s="1883">
        <f t="shared" si="746"/>
        <v>0.59602425743756515</v>
      </c>
      <c r="BK384" s="1835">
        <f t="shared" si="746"/>
        <v>0.20087789643891107</v>
      </c>
      <c r="BL384" s="1835">
        <f t="shared" si="746"/>
        <v>-5.9995847857823636E-2</v>
      </c>
      <c r="BM384" s="1835">
        <f t="shared" si="746"/>
        <v>0.31918603801146195</v>
      </c>
      <c r="BN384" s="1883">
        <f t="shared" si="746"/>
        <v>7.0139203287741481E-2</v>
      </c>
      <c r="BO384" s="1835">
        <f t="shared" si="746"/>
        <v>3.4164070290903625E-2</v>
      </c>
      <c r="BP384" s="1835">
        <f>BP382/BO382-1</f>
        <v>-0.17889192407927945</v>
      </c>
      <c r="BQ384" s="1836">
        <f>BQ382/BP382-1</f>
        <v>-5.9324364263019125E-2</v>
      </c>
      <c r="BR384" s="1835">
        <f>BR382/BQ382-1</f>
        <v>2.2907095252060028E-2</v>
      </c>
      <c r="BS384" s="1835"/>
      <c r="BT384" s="1835"/>
      <c r="BU384" s="1836"/>
      <c r="BV384" s="1835"/>
      <c r="BW384" s="1835"/>
      <c r="BX384" s="1835"/>
      <c r="BY384" s="1836"/>
      <c r="BZ384" s="1835"/>
      <c r="CA384" s="1835"/>
      <c r="CB384" s="1835"/>
      <c r="CC384" s="1836"/>
      <c r="CD384" s="1884"/>
      <c r="CE384" s="1885"/>
      <c r="CF384" s="1880"/>
      <c r="CG384" s="1880"/>
      <c r="CH384" s="1880"/>
      <c r="CI384" s="1880"/>
      <c r="CJ384" s="1880"/>
      <c r="CK384" s="1880"/>
      <c r="CL384" s="1880"/>
      <c r="CM384" s="1880"/>
      <c r="CN384" s="1880"/>
      <c r="CO384" s="1880"/>
      <c r="CP384" s="1880"/>
      <c r="CQ384" s="1880"/>
      <c r="CR384" s="1880"/>
      <c r="CS384" s="1829"/>
      <c r="CT384" s="1829"/>
      <c r="CU384" s="1829"/>
      <c r="CV384" s="1829"/>
      <c r="CW384" s="1829"/>
      <c r="CX384" s="1829"/>
      <c r="CY384" s="1829"/>
      <c r="CZ384" s="1829"/>
      <c r="DA384" s="1829"/>
      <c r="DB384" s="1829"/>
      <c r="DC384" s="1829"/>
      <c r="DD384" s="1884"/>
      <c r="DE384" s="1886"/>
      <c r="DF384" s="1826"/>
      <c r="DG384" s="1887"/>
      <c r="DH384" s="1826"/>
      <c r="DI384" s="1826"/>
      <c r="DJ384" s="1826"/>
      <c r="DK384" s="1826"/>
      <c r="DL384" s="1833"/>
      <c r="DM384" s="1826"/>
      <c r="DN384" s="1826"/>
      <c r="DO384" s="1826"/>
      <c r="DP384" s="1826"/>
      <c r="DQ384" s="1826"/>
      <c r="DR384" s="1826"/>
      <c r="DS384" s="1887"/>
      <c r="DT384" s="1826"/>
      <c r="DU384" s="1826"/>
      <c r="DV384" s="1826"/>
      <c r="DW384" s="1828"/>
      <c r="DX384" s="1826"/>
      <c r="DY384" s="1826"/>
      <c r="DZ384" s="1826"/>
      <c r="EA384"/>
      <c r="EB384"/>
      <c r="EC384"/>
      <c r="ED384"/>
      <c r="EE384"/>
      <c r="EF384"/>
    </row>
    <row r="385" spans="1:136" s="1785" customFormat="1" ht="11.25" hidden="1" customHeight="1" outlineLevel="1">
      <c r="A385" s="1826"/>
      <c r="B385" s="1856"/>
      <c r="C385" s="1826"/>
      <c r="D385" s="1878"/>
      <c r="E385" s="1879"/>
      <c r="F385" s="1880"/>
      <c r="G385" s="1880"/>
      <c r="H385" s="1880"/>
      <c r="I385" s="1881"/>
      <c r="J385" s="1880"/>
      <c r="K385" s="1880"/>
      <c r="L385" s="1880"/>
      <c r="M385" s="1881"/>
      <c r="N385" s="1880"/>
      <c r="O385" s="1880"/>
      <c r="P385" s="1880"/>
      <c r="Q385" s="1880"/>
      <c r="R385" s="1880"/>
      <c r="S385" s="1880"/>
      <c r="T385" s="1880"/>
      <c r="U385" s="1880"/>
      <c r="V385" s="1880"/>
      <c r="W385" s="1880"/>
      <c r="X385" s="1880"/>
      <c r="Y385" s="1880"/>
      <c r="Z385" s="1880"/>
      <c r="AA385" s="1880"/>
      <c r="AB385" s="1880"/>
      <c r="AC385" s="1880"/>
      <c r="AD385" s="1880"/>
      <c r="AE385" s="1880"/>
      <c r="AF385" s="1880"/>
      <c r="AG385" s="1880"/>
      <c r="AH385" s="1882"/>
      <c r="AI385" s="1880"/>
      <c r="AJ385" s="1880"/>
      <c r="AK385" s="1881"/>
      <c r="AL385" s="1880"/>
      <c r="AM385" s="1880"/>
      <c r="AN385" s="1880"/>
      <c r="AO385" s="1881"/>
      <c r="AP385" s="1835"/>
      <c r="AQ385" s="1835"/>
      <c r="AR385" s="1835"/>
      <c r="AS385" s="1835"/>
      <c r="AT385" s="1883"/>
      <c r="AU385" s="1835"/>
      <c r="AV385" s="1835"/>
      <c r="AW385" s="1835"/>
      <c r="AX385" s="1883"/>
      <c r="AY385" s="1835"/>
      <c r="AZ385" s="1888"/>
      <c r="BA385" s="1889"/>
      <c r="BB385" s="1890"/>
      <c r="BC385" s="1888"/>
      <c r="BD385" s="1888"/>
      <c r="BE385" s="1889"/>
      <c r="BF385" s="1890"/>
      <c r="BG385" s="1888"/>
      <c r="BH385" s="1888"/>
      <c r="BI385" s="1889"/>
      <c r="BJ385" s="1890"/>
      <c r="BK385" s="1888"/>
      <c r="BL385" s="1888"/>
      <c r="BM385" s="1888"/>
      <c r="BN385" s="1890"/>
      <c r="BO385" s="1888"/>
      <c r="BP385" s="1888"/>
      <c r="BQ385" s="1889"/>
      <c r="BR385" s="1888"/>
      <c r="BS385" s="1888"/>
      <c r="BT385" s="1888"/>
      <c r="BU385" s="1889"/>
      <c r="BV385" s="1888"/>
      <c r="BW385" s="1888"/>
      <c r="BX385" s="1888"/>
      <c r="BY385" s="1889"/>
      <c r="BZ385" s="1888"/>
      <c r="CA385" s="1888"/>
      <c r="CB385" s="1888"/>
      <c r="CC385" s="1889"/>
      <c r="CD385" s="1884"/>
      <c r="CE385" s="1891"/>
      <c r="CF385" s="1880"/>
      <c r="CG385" s="1880"/>
      <c r="CH385" s="1880"/>
      <c r="CI385" s="1880"/>
      <c r="CJ385" s="1880"/>
      <c r="CK385" s="1880"/>
      <c r="CL385" s="1880"/>
      <c r="CM385" s="1880"/>
      <c r="CN385" s="1880"/>
      <c r="CO385" s="1880"/>
      <c r="CP385" s="1880"/>
      <c r="CQ385" s="1880"/>
      <c r="CR385" s="1880"/>
      <c r="CS385" s="1829"/>
      <c r="CT385" s="1829"/>
      <c r="CU385" s="1829"/>
      <c r="CV385" s="1829"/>
      <c r="CW385" s="1829"/>
      <c r="CX385" s="1829"/>
      <c r="CY385" s="1829"/>
      <c r="CZ385" s="1829"/>
      <c r="DA385" s="1829"/>
      <c r="DB385" s="1829"/>
      <c r="DC385" s="1829"/>
      <c r="DD385" s="1884"/>
      <c r="DE385" s="1886"/>
      <c r="DF385" s="1826"/>
      <c r="DG385" s="1887"/>
      <c r="DH385" s="1826"/>
      <c r="DI385" s="1826"/>
      <c r="DJ385" s="1826"/>
      <c r="DK385" s="1826"/>
      <c r="DL385" s="1833"/>
      <c r="DM385" s="1826"/>
      <c r="DN385" s="1826"/>
      <c r="DO385" s="1826"/>
      <c r="DP385" s="1826"/>
      <c r="DQ385" s="1826"/>
      <c r="DR385" s="1826"/>
      <c r="DS385" s="1887"/>
      <c r="DT385" s="1826"/>
      <c r="DU385" s="1826"/>
      <c r="DV385" s="1826"/>
      <c r="DW385" s="1828"/>
      <c r="DX385" s="1826"/>
      <c r="DY385" s="1826"/>
      <c r="DZ385" s="1826"/>
      <c r="EA385"/>
      <c r="EB385"/>
      <c r="EC385"/>
      <c r="ED385"/>
      <c r="EE385"/>
      <c r="EF385"/>
    </row>
    <row r="386" spans="1:136" s="1785" customFormat="1" ht="11.25" hidden="1" customHeight="1" outlineLevel="1">
      <c r="A386" s="1823"/>
      <c r="B386" s="1859" t="s">
        <v>812</v>
      </c>
      <c r="C386" s="1830"/>
      <c r="D386" s="1860"/>
      <c r="E386" s="1861"/>
      <c r="F386" s="1862">
        <v>0</v>
      </c>
      <c r="G386" s="1862">
        <v>0</v>
      </c>
      <c r="H386" s="1862">
        <v>0</v>
      </c>
      <c r="I386" s="1863">
        <v>0</v>
      </c>
      <c r="J386" s="1862">
        <v>0</v>
      </c>
      <c r="K386" s="1862">
        <v>0</v>
      </c>
      <c r="L386" s="1862">
        <v>0</v>
      </c>
      <c r="M386" s="1863">
        <v>0</v>
      </c>
      <c r="N386" s="1862">
        <v>0</v>
      </c>
      <c r="O386" s="1862">
        <v>0</v>
      </c>
      <c r="P386" s="1862">
        <v>0</v>
      </c>
      <c r="Q386" s="1863">
        <v>0</v>
      </c>
      <c r="R386" s="1862">
        <v>0</v>
      </c>
      <c r="S386" s="1862">
        <v>0</v>
      </c>
      <c r="T386" s="1862">
        <v>0</v>
      </c>
      <c r="U386" s="1863">
        <v>0</v>
      </c>
      <c r="V386" s="1862">
        <v>0</v>
      </c>
      <c r="W386" s="1862">
        <v>0</v>
      </c>
      <c r="X386" s="1862">
        <v>0</v>
      </c>
      <c r="Y386" s="1863">
        <v>0</v>
      </c>
      <c r="Z386" s="1862">
        <v>0</v>
      </c>
      <c r="AA386" s="1862">
        <v>0</v>
      </c>
      <c r="AB386" s="1862">
        <v>0</v>
      </c>
      <c r="AC386" s="1863">
        <v>0</v>
      </c>
      <c r="AD386" s="1864">
        <v>0</v>
      </c>
      <c r="AE386" s="1864">
        <v>0</v>
      </c>
      <c r="AF386" s="1864">
        <v>0</v>
      </c>
      <c r="AG386" s="1865">
        <v>0</v>
      </c>
      <c r="AH386" s="1892"/>
      <c r="AI386" s="1892"/>
      <c r="AJ386" s="1892"/>
      <c r="AK386" s="1893"/>
      <c r="AL386" s="1892"/>
      <c r="AM386" s="1892"/>
      <c r="AN386" s="1892"/>
      <c r="AO386" s="1893"/>
      <c r="AP386" s="1894"/>
      <c r="AQ386" s="1894"/>
      <c r="AR386" s="1894"/>
      <c r="AS386" s="1895"/>
      <c r="AT386" s="1894"/>
      <c r="AU386" s="1894"/>
      <c r="AV386" s="1894"/>
      <c r="AW386" s="1894"/>
      <c r="AX386" s="1896">
        <v>0</v>
      </c>
      <c r="AY386" s="1894">
        <v>0</v>
      </c>
      <c r="AZ386" s="1894">
        <v>11</v>
      </c>
      <c r="BA386" s="1895">
        <v>54</v>
      </c>
      <c r="BB386" s="1896">
        <v>70</v>
      </c>
      <c r="BC386" s="1894">
        <v>89</v>
      </c>
      <c r="BD386" s="1894">
        <v>92</v>
      </c>
      <c r="BE386" s="1895">
        <v>104</v>
      </c>
      <c r="BF386" s="1897">
        <v>106</v>
      </c>
      <c r="BG386" s="1871">
        <v>155</v>
      </c>
      <c r="BH386" s="1871">
        <v>134</v>
      </c>
      <c r="BI386" s="1872">
        <v>113</v>
      </c>
      <c r="BJ386" s="1897">
        <v>156</v>
      </c>
      <c r="BK386" s="1871">
        <v>187</v>
      </c>
      <c r="BL386" s="1871">
        <v>224</v>
      </c>
      <c r="BM386" s="1871">
        <v>244</v>
      </c>
      <c r="BN386" s="1897">
        <v>233</v>
      </c>
      <c r="BO386" s="1871">
        <v>270</v>
      </c>
      <c r="BP386" s="1871">
        <v>200</v>
      </c>
      <c r="BQ386" s="1869">
        <v>212</v>
      </c>
      <c r="BR386" s="1868">
        <v>212</v>
      </c>
      <c r="BS386" s="1871"/>
      <c r="BT386" s="1871"/>
      <c r="BU386" s="1872"/>
      <c r="BV386" s="1871"/>
      <c r="BW386" s="1871"/>
      <c r="BX386" s="1871"/>
      <c r="BY386" s="1872"/>
      <c r="BZ386" s="1871"/>
      <c r="CA386" s="1871"/>
      <c r="CB386" s="1871"/>
      <c r="CC386" s="1872"/>
      <c r="CD386" s="1837"/>
      <c r="CE386" s="1871"/>
      <c r="CF386" s="1871"/>
      <c r="CG386" s="1871"/>
      <c r="CH386" s="1871"/>
      <c r="CI386" s="1871"/>
      <c r="CJ386" s="1871"/>
      <c r="CK386" s="1871"/>
      <c r="CL386" s="1871"/>
      <c r="CM386" s="1871"/>
      <c r="CN386" s="1871"/>
      <c r="CO386" s="1871"/>
      <c r="CP386" s="1871">
        <f>SUM(AX386:BA386)</f>
        <v>65</v>
      </c>
      <c r="CQ386" s="1871">
        <f>SUM(BB386:BE386)</f>
        <v>355</v>
      </c>
      <c r="CR386" s="1871">
        <f>SUM(BF386:BI386)</f>
        <v>508</v>
      </c>
      <c r="CS386" s="1871">
        <f>SUM(BJ386:BM386)</f>
        <v>811</v>
      </c>
      <c r="CT386" s="1831">
        <f>SUM(BN386:BQ386)</f>
        <v>915</v>
      </c>
      <c r="CU386" s="1871">
        <f>SUM(BR386:BU386)</f>
        <v>212</v>
      </c>
      <c r="CV386" s="1871"/>
      <c r="CW386" s="1871"/>
      <c r="CX386" s="1871"/>
      <c r="CY386" s="1871"/>
      <c r="CZ386" s="1871"/>
      <c r="DA386" s="1871"/>
      <c r="DB386" s="1871"/>
      <c r="DC386" s="1871"/>
      <c r="DD386" s="1837"/>
      <c r="DE386" s="1839"/>
      <c r="DF386" s="1829"/>
      <c r="DG386" s="1873"/>
      <c r="DH386" s="1829"/>
      <c r="DI386" s="1829"/>
      <c r="DJ386" s="1829"/>
      <c r="DK386" s="1829"/>
      <c r="DL386" s="1838"/>
      <c r="DM386" s="1874"/>
      <c r="DN386" s="1874">
        <f>SUM(AJ386:AM386)</f>
        <v>0</v>
      </c>
      <c r="DO386" s="1874">
        <f>SUM(AN386:AQ386)</f>
        <v>0</v>
      </c>
      <c r="DP386" s="1803">
        <f>SUM(AR386:AU386)</f>
        <v>0</v>
      </c>
      <c r="DQ386" s="1803">
        <f>SUM(AV386:AY386)</f>
        <v>0</v>
      </c>
      <c r="DR386" s="1803">
        <f>SUM(AZ386:BC386)</f>
        <v>224</v>
      </c>
      <c r="DS386" s="1804">
        <f>SUM(BD386:BG386)</f>
        <v>457</v>
      </c>
      <c r="DT386" s="1803">
        <f>SUM(BH386:BK386)</f>
        <v>590</v>
      </c>
      <c r="DU386" s="1803">
        <f>SUM(BL386:BO386)</f>
        <v>971</v>
      </c>
      <c r="DV386" s="1803">
        <f>SUM(BP386:BS386)</f>
        <v>624</v>
      </c>
      <c r="DW386" s="1805"/>
      <c r="DX386" s="1803"/>
      <c r="DY386" s="1803"/>
      <c r="DZ386" s="1829"/>
      <c r="EA386"/>
      <c r="EB386"/>
      <c r="EC386"/>
      <c r="ED386"/>
      <c r="EE386"/>
      <c r="EF386"/>
    </row>
    <row r="387" spans="1:136" s="1785" customFormat="1" ht="11.25" hidden="1" customHeight="1" outlineLevel="1">
      <c r="A387" s="1827"/>
      <c r="B387" s="1855"/>
      <c r="C387" s="1849" t="s">
        <v>76</v>
      </c>
      <c r="D387" s="1875"/>
      <c r="E387" s="1876"/>
      <c r="F387" s="1851"/>
      <c r="G387" s="1852"/>
      <c r="H387" s="1852"/>
      <c r="I387" s="1825"/>
      <c r="J387" s="1852"/>
      <c r="K387" s="1852"/>
      <c r="L387" s="1852"/>
      <c r="M387" s="1825"/>
      <c r="N387" s="1852"/>
      <c r="O387" s="1852"/>
      <c r="P387" s="1852"/>
      <c r="Q387" s="1825"/>
      <c r="R387" s="1852"/>
      <c r="S387" s="1852"/>
      <c r="T387" s="1852"/>
      <c r="U387" s="1825"/>
      <c r="V387" s="1852"/>
      <c r="W387" s="1852"/>
      <c r="X387" s="1852"/>
      <c r="Y387" s="1825"/>
      <c r="Z387" s="1852"/>
      <c r="AA387" s="1852"/>
      <c r="AB387" s="1852"/>
      <c r="AC387" s="1825"/>
      <c r="AD387" s="1852"/>
      <c r="AE387" s="1852"/>
      <c r="AF387" s="1852"/>
      <c r="AG387" s="1852"/>
      <c r="AH387" s="1898"/>
      <c r="AI387" s="1854"/>
      <c r="AJ387" s="1854"/>
      <c r="AK387" s="1853"/>
      <c r="AL387" s="1854"/>
      <c r="AM387" s="1854"/>
      <c r="AN387" s="1854"/>
      <c r="AO387" s="1853"/>
      <c r="AP387" s="1854"/>
      <c r="AQ387" s="1854"/>
      <c r="AR387" s="1854"/>
      <c r="AS387" s="1854"/>
      <c r="AT387" s="1898"/>
      <c r="AU387" s="1854"/>
      <c r="AV387" s="1854"/>
      <c r="AW387" s="1853"/>
      <c r="AX387" s="1852"/>
      <c r="AY387" s="1852"/>
      <c r="AZ387" s="1852"/>
      <c r="BA387" s="1825"/>
      <c r="BB387" s="1852"/>
      <c r="BC387" s="1852"/>
      <c r="BD387" s="1852">
        <f t="shared" ref="BD387:BQ387" si="747">BD386/AZ386-1</f>
        <v>7.3636363636363633</v>
      </c>
      <c r="BE387" s="1825">
        <f t="shared" si="747"/>
        <v>0.92592592592592582</v>
      </c>
      <c r="BF387" s="1852">
        <f t="shared" si="747"/>
        <v>0.51428571428571423</v>
      </c>
      <c r="BG387" s="1852">
        <f t="shared" si="747"/>
        <v>0.7415730337078652</v>
      </c>
      <c r="BH387" s="1852">
        <f t="shared" si="747"/>
        <v>0.45652173913043481</v>
      </c>
      <c r="BI387" s="1825">
        <f t="shared" si="747"/>
        <v>8.6538461538461453E-2</v>
      </c>
      <c r="BJ387" s="1852">
        <f t="shared" si="747"/>
        <v>0.47169811320754707</v>
      </c>
      <c r="BK387" s="1852">
        <f t="shared" si="747"/>
        <v>0.20645161290322589</v>
      </c>
      <c r="BL387" s="1852">
        <f t="shared" si="747"/>
        <v>0.67164179104477606</v>
      </c>
      <c r="BM387" s="1852">
        <f t="shared" si="747"/>
        <v>1.1592920353982299</v>
      </c>
      <c r="BN387" s="1851">
        <f t="shared" si="747"/>
        <v>0.49358974358974361</v>
      </c>
      <c r="BO387" s="1852">
        <f t="shared" si="747"/>
        <v>0.44385026737967914</v>
      </c>
      <c r="BP387" s="1852">
        <f t="shared" si="747"/>
        <v>-0.1071428571428571</v>
      </c>
      <c r="BQ387" s="1825">
        <f t="shared" si="747"/>
        <v>-0.13114754098360659</v>
      </c>
      <c r="BR387" s="1852">
        <f>BR386/BN386-1</f>
        <v>-9.0128755364806912E-2</v>
      </c>
      <c r="BS387" s="1852"/>
      <c r="BT387" s="1852"/>
      <c r="BU387" s="1825"/>
      <c r="BV387" s="1852"/>
      <c r="BW387" s="1852"/>
      <c r="BX387" s="1852"/>
      <c r="BY387" s="1825"/>
      <c r="BZ387" s="1852"/>
      <c r="CA387" s="1852"/>
      <c r="CB387" s="1852"/>
      <c r="CC387" s="1825"/>
      <c r="CD387" s="1853"/>
      <c r="CE387" s="1852"/>
      <c r="CF387" s="1852"/>
      <c r="CG387" s="1852"/>
      <c r="CH387" s="1852"/>
      <c r="CI387" s="1852"/>
      <c r="CJ387" s="1852"/>
      <c r="CK387" s="1852"/>
      <c r="CL387" s="1852"/>
      <c r="CM387" s="1852"/>
      <c r="CN387" s="1852"/>
      <c r="CO387" s="1852"/>
      <c r="CP387" s="1852"/>
      <c r="CQ387" s="1852">
        <f>CQ386/CP386-1</f>
        <v>4.4615384615384617</v>
      </c>
      <c r="CR387" s="1852">
        <f>CR386/CQ386-1</f>
        <v>0.43098591549295784</v>
      </c>
      <c r="CS387" s="1852">
        <f>CS386/CR386-1</f>
        <v>0.59645669291338588</v>
      </c>
      <c r="CT387" s="1852">
        <f>CT386/CS386-1</f>
        <v>0.12823674475955604</v>
      </c>
      <c r="CU387" s="1852">
        <f>CU386/CT386-1</f>
        <v>-0.76830601092896178</v>
      </c>
      <c r="CV387" s="1852"/>
      <c r="CW387" s="1852"/>
      <c r="CX387" s="1877"/>
      <c r="CY387" s="1877"/>
      <c r="CZ387" s="1877"/>
      <c r="DA387" s="1877"/>
      <c r="DB387" s="1877"/>
      <c r="DC387" s="1877"/>
      <c r="DD387" s="1853"/>
      <c r="DE387" s="1854"/>
      <c r="DF387" s="1852"/>
      <c r="DG387" s="1855"/>
      <c r="DH387" s="1848"/>
      <c r="DI387" s="1848"/>
      <c r="DJ387" s="1848"/>
      <c r="DK387" s="1848"/>
      <c r="DL387" s="1848"/>
      <c r="DM387" s="1852"/>
      <c r="DN387" s="1852"/>
      <c r="DO387" s="1852"/>
      <c r="DP387" s="1852"/>
      <c r="DQ387" s="1852"/>
      <c r="DR387" s="1852"/>
      <c r="DS387" s="1851"/>
      <c r="DT387" s="1827"/>
      <c r="DU387" s="1827"/>
      <c r="DV387" s="1827"/>
      <c r="DW387" s="1899"/>
      <c r="DX387" s="1827"/>
      <c r="DY387" s="1827"/>
      <c r="DZ387" s="1827"/>
      <c r="EA387"/>
      <c r="EB387"/>
      <c r="EC387"/>
      <c r="ED387"/>
      <c r="EE387"/>
      <c r="EF387"/>
    </row>
    <row r="388" spans="1:136" s="1785" customFormat="1" ht="11.25" hidden="1" customHeight="1" outlineLevel="1">
      <c r="A388" s="1828"/>
      <c r="B388" s="1833"/>
      <c r="C388" s="1826" t="s">
        <v>77</v>
      </c>
      <c r="D388" s="1878"/>
      <c r="E388" s="1879"/>
      <c r="F388" s="1880"/>
      <c r="G388" s="1880"/>
      <c r="H388" s="1880"/>
      <c r="I388" s="1881"/>
      <c r="J388" s="1880"/>
      <c r="K388" s="1880"/>
      <c r="L388" s="1880"/>
      <c r="M388" s="1881"/>
      <c r="N388" s="1880"/>
      <c r="O388" s="1880"/>
      <c r="P388" s="1880"/>
      <c r="Q388" s="1881"/>
      <c r="R388" s="1880"/>
      <c r="S388" s="1880"/>
      <c r="T388" s="1880"/>
      <c r="U388" s="1881"/>
      <c r="V388" s="1880"/>
      <c r="W388" s="1880"/>
      <c r="X388" s="1880"/>
      <c r="Y388" s="1881"/>
      <c r="Z388" s="1880"/>
      <c r="AA388" s="1880"/>
      <c r="AB388" s="1880"/>
      <c r="AC388" s="1881"/>
      <c r="AD388" s="1880"/>
      <c r="AE388" s="1880"/>
      <c r="AF388" s="1880"/>
      <c r="AG388" s="1880"/>
      <c r="AH388" s="1900"/>
      <c r="AI388" s="1886"/>
      <c r="AJ388" s="1886"/>
      <c r="AK388" s="1884"/>
      <c r="AL388" s="1886"/>
      <c r="AM388" s="1886"/>
      <c r="AN388" s="1886"/>
      <c r="AO388" s="1884"/>
      <c r="AP388" s="1901"/>
      <c r="AQ388" s="1902"/>
      <c r="AR388" s="1902"/>
      <c r="AS388" s="1902"/>
      <c r="AT388" s="1901"/>
      <c r="AU388" s="1902"/>
      <c r="AV388" s="1902"/>
      <c r="AW388" s="1902"/>
      <c r="AX388" s="1883"/>
      <c r="AY388" s="1835"/>
      <c r="AZ388" s="1835"/>
      <c r="BA388" s="1836">
        <f t="shared" ref="BA388:BF388" si="748">BA386/AZ386-1</f>
        <v>3.9090909090909092</v>
      </c>
      <c r="BB388" s="1883">
        <f t="shared" si="748"/>
        <v>0.29629629629629628</v>
      </c>
      <c r="BC388" s="1835">
        <f t="shared" si="748"/>
        <v>0.27142857142857135</v>
      </c>
      <c r="BD388" s="1835">
        <f t="shared" si="748"/>
        <v>3.3707865168539408E-2</v>
      </c>
      <c r="BE388" s="1836">
        <f t="shared" si="748"/>
        <v>0.13043478260869557</v>
      </c>
      <c r="BF388" s="1835">
        <f t="shared" si="748"/>
        <v>1.9230769230769162E-2</v>
      </c>
      <c r="BG388" s="1835">
        <f t="shared" ref="BG388:BQ388" si="749">BG386/BF386-1</f>
        <v>0.46226415094339623</v>
      </c>
      <c r="BH388" s="1835">
        <f t="shared" si="749"/>
        <v>-0.13548387096774195</v>
      </c>
      <c r="BI388" s="1836">
        <f t="shared" si="749"/>
        <v>-0.15671641791044777</v>
      </c>
      <c r="BJ388" s="1835">
        <f t="shared" si="749"/>
        <v>0.38053097345132736</v>
      </c>
      <c r="BK388" s="1835">
        <f t="shared" si="749"/>
        <v>0.19871794871794868</v>
      </c>
      <c r="BL388" s="1835">
        <f t="shared" si="749"/>
        <v>0.19786096256684482</v>
      </c>
      <c r="BM388" s="1835">
        <f t="shared" si="749"/>
        <v>8.9285714285714191E-2</v>
      </c>
      <c r="BN388" s="1883">
        <f t="shared" si="749"/>
        <v>-4.5081967213114749E-2</v>
      </c>
      <c r="BO388" s="1835">
        <f t="shared" si="749"/>
        <v>0.15879828326180268</v>
      </c>
      <c r="BP388" s="1835">
        <f t="shared" si="749"/>
        <v>-0.2592592592592593</v>
      </c>
      <c r="BQ388" s="1836">
        <f t="shared" si="749"/>
        <v>6.0000000000000053E-2</v>
      </c>
      <c r="BR388" s="1877">
        <v>0</v>
      </c>
      <c r="BS388" s="1835"/>
      <c r="BT388" s="1835"/>
      <c r="BU388" s="1836"/>
      <c r="BV388" s="1835"/>
      <c r="BW388" s="1835"/>
      <c r="BX388" s="1835"/>
      <c r="BY388" s="1836"/>
      <c r="BZ388" s="1835"/>
      <c r="CA388" s="1835"/>
      <c r="CB388" s="1835"/>
      <c r="CC388" s="1836"/>
      <c r="CD388" s="1884"/>
      <c r="CE388" s="1885"/>
      <c r="CF388" s="1880"/>
      <c r="CG388" s="1880"/>
      <c r="CH388" s="1880"/>
      <c r="CI388" s="1880"/>
      <c r="CJ388" s="1880"/>
      <c r="CK388" s="1880"/>
      <c r="CL388" s="1880"/>
      <c r="CM388" s="1880"/>
      <c r="CN388" s="1880"/>
      <c r="CO388" s="1880"/>
      <c r="CP388" s="1880"/>
      <c r="CQ388" s="1880"/>
      <c r="CR388" s="1880"/>
      <c r="CS388" s="1829"/>
      <c r="CT388" s="1829"/>
      <c r="CU388" s="1829"/>
      <c r="CV388" s="1829"/>
      <c r="CW388" s="1829"/>
      <c r="CX388" s="1829"/>
      <c r="CY388" s="1829"/>
      <c r="CZ388" s="1829"/>
      <c r="DA388" s="1829"/>
      <c r="DB388" s="1829"/>
      <c r="DC388" s="1829"/>
      <c r="DD388" s="1884"/>
      <c r="DE388" s="1886"/>
      <c r="DF388" s="1826"/>
      <c r="DG388" s="1887"/>
      <c r="DH388" s="1826"/>
      <c r="DI388" s="1826"/>
      <c r="DJ388" s="1826"/>
      <c r="DK388" s="1826"/>
      <c r="DL388" s="1833"/>
      <c r="DM388" s="1826"/>
      <c r="DN388" s="1826"/>
      <c r="DO388" s="1826"/>
      <c r="DP388" s="1826"/>
      <c r="DQ388" s="1826"/>
      <c r="DR388" s="1826"/>
      <c r="DS388" s="1887"/>
      <c r="DT388" s="1826"/>
      <c r="DU388" s="1826"/>
      <c r="DV388" s="1826"/>
      <c r="DW388" s="1828"/>
      <c r="DX388" s="1826"/>
      <c r="DY388" s="1826"/>
      <c r="DZ388" s="1826"/>
      <c r="EA388"/>
      <c r="EB388"/>
      <c r="EC388"/>
      <c r="ED388"/>
      <c r="EE388"/>
      <c r="EF388"/>
    </row>
    <row r="389" spans="1:136" s="1912" customFormat="1" ht="11.25" hidden="1" customHeight="1" outlineLevel="1">
      <c r="A389" s="1826"/>
      <c r="B389" s="1903"/>
      <c r="C389" s="1886"/>
      <c r="D389" s="1904"/>
      <c r="E389" s="1905"/>
      <c r="F389" s="1886"/>
      <c r="G389" s="1886"/>
      <c r="H389" s="1886"/>
      <c r="I389" s="1884"/>
      <c r="J389" s="1886"/>
      <c r="K389" s="1886"/>
      <c r="L389" s="1886"/>
      <c r="M389" s="1884"/>
      <c r="N389" s="1886"/>
      <c r="O389" s="1886"/>
      <c r="P389" s="1886"/>
      <c r="Q389" s="1886"/>
      <c r="R389" s="1886"/>
      <c r="S389" s="1886"/>
      <c r="T389" s="1886"/>
      <c r="U389" s="1886"/>
      <c r="V389" s="1886"/>
      <c r="W389" s="1886"/>
      <c r="X389" s="1886"/>
      <c r="Y389" s="1886"/>
      <c r="Z389" s="1886"/>
      <c r="AA389" s="1886"/>
      <c r="AB389" s="1886"/>
      <c r="AC389" s="1886"/>
      <c r="AD389" s="1886"/>
      <c r="AE389" s="1886"/>
      <c r="AF389" s="1886"/>
      <c r="AG389" s="1886"/>
      <c r="AH389" s="1900"/>
      <c r="AI389" s="1886"/>
      <c r="AJ389" s="1886"/>
      <c r="AK389" s="1884"/>
      <c r="AL389" s="1886"/>
      <c r="AM389" s="1886"/>
      <c r="AN389" s="1886"/>
      <c r="AO389" s="1884"/>
      <c r="AP389" s="1902"/>
      <c r="AQ389" s="1902"/>
      <c r="AR389" s="1902"/>
      <c r="AS389" s="1902"/>
      <c r="AT389" s="1901"/>
      <c r="AU389" s="1902"/>
      <c r="AV389" s="1902"/>
      <c r="AW389" s="1902"/>
      <c r="AX389" s="1901"/>
      <c r="AY389" s="1902"/>
      <c r="AZ389" s="1906"/>
      <c r="BA389" s="1907"/>
      <c r="BB389" s="1908"/>
      <c r="BC389" s="1906"/>
      <c r="BD389" s="1906"/>
      <c r="BE389" s="1907"/>
      <c r="BF389" s="1909"/>
      <c r="BG389" s="1902"/>
      <c r="BH389" s="1902"/>
      <c r="BI389" s="1910"/>
      <c r="BJ389" s="1901"/>
      <c r="BK389" s="1902"/>
      <c r="BL389" s="1902"/>
      <c r="BM389" s="1902"/>
      <c r="BN389" s="1901"/>
      <c r="BO389" s="1902"/>
      <c r="BP389" s="1902"/>
      <c r="BQ389" s="1910"/>
      <c r="BR389" s="1902"/>
      <c r="BS389" s="1835"/>
      <c r="BT389" s="1835"/>
      <c r="BU389" s="1836"/>
      <c r="BV389" s="1835"/>
      <c r="BW389" s="1835"/>
      <c r="BX389" s="1835"/>
      <c r="BY389" s="1836"/>
      <c r="BZ389" s="1835"/>
      <c r="CA389" s="1835"/>
      <c r="CB389" s="1835"/>
      <c r="CC389" s="1836"/>
      <c r="CD389" s="1884"/>
      <c r="CE389" s="1911"/>
      <c r="CF389" s="1886"/>
      <c r="CG389" s="1886"/>
      <c r="CH389" s="1886"/>
      <c r="CI389" s="1886"/>
      <c r="CJ389" s="1886"/>
      <c r="CK389" s="1886"/>
      <c r="CL389" s="1886"/>
      <c r="CM389" s="1886"/>
      <c r="CN389" s="1886"/>
      <c r="CO389" s="1886"/>
      <c r="CP389" s="1886"/>
      <c r="CQ389" s="1886"/>
      <c r="CR389" s="1886"/>
      <c r="CS389" s="1839"/>
      <c r="CT389" s="1839"/>
      <c r="CU389" s="1839"/>
      <c r="CV389" s="1839"/>
      <c r="CW389" s="1839"/>
      <c r="CX389" s="1839"/>
      <c r="CY389" s="1839"/>
      <c r="CZ389" s="1839"/>
      <c r="DA389" s="1839"/>
      <c r="DB389" s="1839"/>
      <c r="DC389" s="1839"/>
      <c r="DD389" s="1884"/>
      <c r="DE389" s="1886"/>
      <c r="DF389" s="1886"/>
      <c r="DG389" s="1900"/>
      <c r="DH389" s="1886"/>
      <c r="DI389" s="1886"/>
      <c r="DJ389" s="1886"/>
      <c r="DK389" s="1886"/>
      <c r="DL389" s="1904"/>
      <c r="DM389" s="1886"/>
      <c r="DN389" s="1886"/>
      <c r="DO389" s="1886"/>
      <c r="DP389" s="1886"/>
      <c r="DQ389" s="1886"/>
      <c r="DR389" s="1886"/>
      <c r="DS389" s="1900"/>
      <c r="DT389" s="1886"/>
      <c r="DU389" s="1886"/>
      <c r="DV389" s="1886"/>
      <c r="DW389" s="1884"/>
      <c r="DX389" s="1886"/>
      <c r="DY389" s="1886"/>
      <c r="DZ389" s="1886"/>
      <c r="EA389"/>
      <c r="EB389"/>
      <c r="EC389"/>
      <c r="ED389"/>
      <c r="EE389"/>
      <c r="EF389"/>
    </row>
    <row r="390" spans="1:136" s="1785" customFormat="1" ht="11.25" hidden="1" customHeight="1" outlineLevel="1">
      <c r="A390" s="1823"/>
      <c r="B390" s="1859" t="s">
        <v>52</v>
      </c>
      <c r="C390" s="1830"/>
      <c r="D390" s="1860"/>
      <c r="E390" s="1861"/>
      <c r="F390" s="1862">
        <v>0</v>
      </c>
      <c r="G390" s="1862">
        <v>0</v>
      </c>
      <c r="H390" s="1862">
        <v>0</v>
      </c>
      <c r="I390" s="1863">
        <v>0</v>
      </c>
      <c r="J390" s="1862">
        <v>0</v>
      </c>
      <c r="K390" s="1862">
        <v>0</v>
      </c>
      <c r="L390" s="1862">
        <v>0</v>
      </c>
      <c r="M390" s="1863">
        <v>0</v>
      </c>
      <c r="N390" s="1862">
        <v>0</v>
      </c>
      <c r="O390" s="1862">
        <v>0</v>
      </c>
      <c r="P390" s="1862">
        <v>0</v>
      </c>
      <c r="Q390" s="1863">
        <v>0</v>
      </c>
      <c r="R390" s="1862">
        <v>0</v>
      </c>
      <c r="S390" s="1862">
        <v>0</v>
      </c>
      <c r="T390" s="1862">
        <v>0</v>
      </c>
      <c r="U390" s="1863">
        <v>0</v>
      </c>
      <c r="V390" s="1862">
        <v>0</v>
      </c>
      <c r="W390" s="1862">
        <v>0</v>
      </c>
      <c r="X390" s="1862">
        <v>0</v>
      </c>
      <c r="Y390" s="1863">
        <v>0</v>
      </c>
      <c r="Z390" s="1862">
        <v>0</v>
      </c>
      <c r="AA390" s="1862">
        <v>0</v>
      </c>
      <c r="AB390" s="1862">
        <v>0</v>
      </c>
      <c r="AC390" s="1863">
        <v>0</v>
      </c>
      <c r="AD390" s="1864">
        <v>0</v>
      </c>
      <c r="AE390" s="1864">
        <v>0</v>
      </c>
      <c r="AF390" s="1864">
        <v>0</v>
      </c>
      <c r="AG390" s="1865">
        <v>0</v>
      </c>
      <c r="AH390" s="1892"/>
      <c r="AI390" s="1892"/>
      <c r="AJ390" s="1892"/>
      <c r="AK390" s="1893"/>
      <c r="AL390" s="1892"/>
      <c r="AM390" s="1892"/>
      <c r="AN390" s="1892"/>
      <c r="AO390" s="1893"/>
      <c r="AP390" s="1894"/>
      <c r="AQ390" s="1894"/>
      <c r="AR390" s="1894"/>
      <c r="AS390" s="1895"/>
      <c r="AT390" s="1894"/>
      <c r="AU390" s="1894"/>
      <c r="AV390" s="1894"/>
      <c r="AW390" s="1894"/>
      <c r="AX390" s="1896">
        <f>AX382-AX386</f>
        <v>32.860469903750072</v>
      </c>
      <c r="AY390" s="1894">
        <f t="shared" ref="AY390:BE390" si="750">AY382-AY386</f>
        <v>30.434710013962786</v>
      </c>
      <c r="AZ390" s="1894">
        <f t="shared" si="750"/>
        <v>15.9633757825668</v>
      </c>
      <c r="BA390" s="1895">
        <f t="shared" si="750"/>
        <v>82.188082958739869</v>
      </c>
      <c r="BB390" s="1896">
        <f t="shared" si="750"/>
        <v>91.379246259210959</v>
      </c>
      <c r="BC390" s="1894">
        <f t="shared" si="750"/>
        <v>61.802791351777159</v>
      </c>
      <c r="BD390" s="1894">
        <f t="shared" si="750"/>
        <v>1.489379550004287</v>
      </c>
      <c r="BE390" s="1895">
        <f t="shared" si="750"/>
        <v>30.521330144580133</v>
      </c>
      <c r="BF390" s="1897">
        <f t="shared" ref="BF390:BK390" si="751">BF382-BF386</f>
        <v>66.475897255741074</v>
      </c>
      <c r="BG390" s="1871">
        <f t="shared" si="751"/>
        <v>31.896244628264867</v>
      </c>
      <c r="BH390" s="1871">
        <f t="shared" si="751"/>
        <v>64.590694978063766</v>
      </c>
      <c r="BI390" s="1895">
        <f t="shared" si="751"/>
        <v>4.6974592488913913</v>
      </c>
      <c r="BJ390" s="1897">
        <f t="shared" si="751"/>
        <v>31.847999999999956</v>
      </c>
      <c r="BK390" s="1871">
        <f t="shared" si="751"/>
        <v>38.582511090256503</v>
      </c>
      <c r="BL390" s="1871">
        <f t="shared" ref="BL390:BQ390" si="752">BL382-BL386</f>
        <v>-11.951502924500346</v>
      </c>
      <c r="BM390" s="1894">
        <f t="shared" si="752"/>
        <v>35.731416723313487</v>
      </c>
      <c r="BN390" s="1897">
        <f t="shared" si="752"/>
        <v>66.351555426837876</v>
      </c>
      <c r="BO390" s="1871">
        <f t="shared" si="752"/>
        <v>39.578623008131672</v>
      </c>
      <c r="BP390" s="1871">
        <f t="shared" si="752"/>
        <v>54.1975074843931</v>
      </c>
      <c r="BQ390" s="1895">
        <f t="shared" si="752"/>
        <v>27.117401955637433</v>
      </c>
      <c r="BR390" s="1897">
        <f>BR382-BR386</f>
        <v>32.594887058660333</v>
      </c>
      <c r="BS390" s="1871"/>
      <c r="BT390" s="1871"/>
      <c r="BU390" s="1872"/>
      <c r="BV390" s="1871"/>
      <c r="BW390" s="1871"/>
      <c r="BX390" s="1871"/>
      <c r="BY390" s="1872"/>
      <c r="BZ390" s="1871"/>
      <c r="CA390" s="1871"/>
      <c r="CB390" s="1871"/>
      <c r="CC390" s="1872"/>
      <c r="CD390" s="1837"/>
      <c r="CE390" s="1871"/>
      <c r="CF390" s="1871"/>
      <c r="CG390" s="1871"/>
      <c r="CH390" s="1871"/>
      <c r="CI390" s="1871"/>
      <c r="CJ390" s="1871"/>
      <c r="CK390" s="1871"/>
      <c r="CL390" s="1871"/>
      <c r="CM390" s="1871"/>
      <c r="CN390" s="1871"/>
      <c r="CO390" s="1871"/>
      <c r="CP390" s="1871">
        <f>SUM(AX390:BA390)</f>
        <v>161.44663865901953</v>
      </c>
      <c r="CQ390" s="1871">
        <f>SUM(BB390:BE390)</f>
        <v>185.19274730557254</v>
      </c>
      <c r="CR390" s="1871">
        <f>SUM(BF390:BI390)</f>
        <v>167.6602961109611</v>
      </c>
      <c r="CS390" s="1871">
        <f>SUM(BJ390:BM390)</f>
        <v>94.2104248890696</v>
      </c>
      <c r="CT390" s="1831">
        <f>SUM(BN390:BQ390)</f>
        <v>187.24508787500008</v>
      </c>
      <c r="CU390" s="1871">
        <f>SUM(BR390:BU390)</f>
        <v>32.594887058660333</v>
      </c>
      <c r="CV390" s="1871"/>
      <c r="CW390" s="1871"/>
      <c r="CX390" s="1871"/>
      <c r="CY390" s="1871"/>
      <c r="CZ390" s="1871"/>
      <c r="DA390" s="1871"/>
      <c r="DB390" s="1871"/>
      <c r="DC390" s="1871"/>
      <c r="DD390" s="1837"/>
      <c r="DE390" s="1839"/>
      <c r="DF390" s="1829"/>
      <c r="DG390" s="1873"/>
      <c r="DH390" s="1829"/>
      <c r="DI390" s="1829"/>
      <c r="DJ390" s="1829"/>
      <c r="DK390" s="1829"/>
      <c r="DL390" s="1838"/>
      <c r="DM390" s="1874"/>
      <c r="DN390" s="1874">
        <f>SUM(AJ390:AM390)</f>
        <v>0</v>
      </c>
      <c r="DO390" s="1874">
        <f>SUM(AN390:AQ390)</f>
        <v>0</v>
      </c>
      <c r="DP390" s="1803">
        <f>SUM(AR390:AU390)</f>
        <v>0</v>
      </c>
      <c r="DQ390" s="1803">
        <f>SUM(AV390:AY390)</f>
        <v>63.295179917712858</v>
      </c>
      <c r="DR390" s="1803">
        <f>SUM(AZ390:BC390)</f>
        <v>251.33349635229479</v>
      </c>
      <c r="DS390" s="1804">
        <f>SUM(BD390:BG390)</f>
        <v>130.38285157859036</v>
      </c>
      <c r="DT390" s="1803">
        <f>SUM(BH390:BK390)</f>
        <v>139.71866531721162</v>
      </c>
      <c r="DU390" s="1803">
        <f>SUM(BL390:BO390)</f>
        <v>129.71009223378269</v>
      </c>
      <c r="DV390" s="1803">
        <f>SUM(BP390:BS390)</f>
        <v>113.90979649869087</v>
      </c>
      <c r="DW390" s="1805"/>
      <c r="DX390" s="1803"/>
      <c r="DY390" s="1803"/>
      <c r="DZ390" s="1829"/>
      <c r="EA390"/>
      <c r="EB390"/>
      <c r="EC390"/>
      <c r="ED390"/>
      <c r="EE390"/>
      <c r="EF390"/>
    </row>
    <row r="391" spans="1:136" s="1785" customFormat="1" ht="11.25" hidden="1" customHeight="1" outlineLevel="1">
      <c r="A391" s="1827"/>
      <c r="B391" s="1855"/>
      <c r="C391" s="1849" t="s">
        <v>76</v>
      </c>
      <c r="D391" s="1875"/>
      <c r="E391" s="1876"/>
      <c r="F391" s="1851"/>
      <c r="G391" s="1852"/>
      <c r="H391" s="1852"/>
      <c r="I391" s="1825"/>
      <c r="J391" s="1852"/>
      <c r="K391" s="1852"/>
      <c r="L391" s="1852"/>
      <c r="M391" s="1825"/>
      <c r="N391" s="1852"/>
      <c r="O391" s="1852"/>
      <c r="P391" s="1852"/>
      <c r="Q391" s="1825"/>
      <c r="R391" s="1852"/>
      <c r="S391" s="1852"/>
      <c r="T391" s="1852"/>
      <c r="U391" s="1825"/>
      <c r="V391" s="1852"/>
      <c r="W391" s="1852"/>
      <c r="X391" s="1852"/>
      <c r="Y391" s="1825"/>
      <c r="Z391" s="1852"/>
      <c r="AA391" s="1852"/>
      <c r="AB391" s="1852"/>
      <c r="AC391" s="1825"/>
      <c r="AD391" s="1852"/>
      <c r="AE391" s="1852"/>
      <c r="AF391" s="1852"/>
      <c r="AG391" s="1852"/>
      <c r="AH391" s="1898"/>
      <c r="AI391" s="1854"/>
      <c r="AJ391" s="1854"/>
      <c r="AK391" s="1853"/>
      <c r="AL391" s="1854"/>
      <c r="AM391" s="1854"/>
      <c r="AN391" s="1854"/>
      <c r="AO391" s="1853"/>
      <c r="AP391" s="1854"/>
      <c r="AQ391" s="1854"/>
      <c r="AR391" s="1854"/>
      <c r="AS391" s="1854"/>
      <c r="AT391" s="1898"/>
      <c r="AU391" s="1854"/>
      <c r="AV391" s="1854"/>
      <c r="AW391" s="1853"/>
      <c r="AX391" s="1852"/>
      <c r="AY391" s="1852"/>
      <c r="AZ391" s="1852"/>
      <c r="BA391" s="1825"/>
      <c r="BB391" s="1852"/>
      <c r="BC391" s="1852"/>
      <c r="BD391" s="1852">
        <f t="shared" ref="BD391:BR391" si="753">BD390/AZ390-1</f>
        <v>-0.90670021364586295</v>
      </c>
      <c r="BE391" s="1825">
        <f t="shared" si="753"/>
        <v>-0.62864044219278759</v>
      </c>
      <c r="BF391" s="1852">
        <f t="shared" si="753"/>
        <v>-0.27252740663703656</v>
      </c>
      <c r="BG391" s="1852">
        <f t="shared" si="753"/>
        <v>-0.48390284757991464</v>
      </c>
      <c r="BH391" s="1852">
        <f t="shared" si="753"/>
        <v>42.367518358821194</v>
      </c>
      <c r="BI391" s="1825">
        <f t="shared" si="753"/>
        <v>-0.84609257766160795</v>
      </c>
      <c r="BJ391" s="1852">
        <f t="shared" si="753"/>
        <v>-0.52090906155840622</v>
      </c>
      <c r="BK391" s="1852">
        <f t="shared" si="753"/>
        <v>0.20962550732591878</v>
      </c>
      <c r="BL391" s="1852">
        <f t="shared" si="753"/>
        <v>-1.1850344376780479</v>
      </c>
      <c r="BM391" s="1852">
        <f t="shared" si="753"/>
        <v>6.6065410746769464</v>
      </c>
      <c r="BN391" s="1851">
        <f t="shared" si="753"/>
        <v>1.0833821724076227</v>
      </c>
      <c r="BO391" s="1852">
        <f t="shared" si="753"/>
        <v>2.5817705735766028E-2</v>
      </c>
      <c r="BP391" s="1852">
        <f t="shared" si="753"/>
        <v>-5.5347859450621293</v>
      </c>
      <c r="BQ391" s="1825">
        <f t="shared" si="753"/>
        <v>-0.24107677661870353</v>
      </c>
      <c r="BR391" s="1852">
        <f t="shared" si="753"/>
        <v>-0.50875474057875136</v>
      </c>
      <c r="BS391" s="1852"/>
      <c r="BT391" s="1852"/>
      <c r="BU391" s="1825"/>
      <c r="BV391" s="1852"/>
      <c r="BW391" s="1852"/>
      <c r="BX391" s="1852"/>
      <c r="BY391" s="1825"/>
      <c r="BZ391" s="1852"/>
      <c r="CA391" s="1852"/>
      <c r="CB391" s="1852"/>
      <c r="CC391" s="1825"/>
      <c r="CD391" s="1853"/>
      <c r="CE391" s="1852"/>
      <c r="CF391" s="1852"/>
      <c r="CG391" s="1852"/>
      <c r="CH391" s="1852"/>
      <c r="CI391" s="1852"/>
      <c r="CJ391" s="1852"/>
      <c r="CK391" s="1852"/>
      <c r="CL391" s="1852"/>
      <c r="CM391" s="1852"/>
      <c r="CN391" s="1852"/>
      <c r="CO391" s="1852"/>
      <c r="CP391" s="1852"/>
      <c r="CQ391" s="1852">
        <f>CQ390/CP390-1</f>
        <v>0.14708332637823163</v>
      </c>
      <c r="CR391" s="1852">
        <f>CR390/CQ390-1</f>
        <v>-9.467137050287644E-2</v>
      </c>
      <c r="CS391" s="1852">
        <f>CS390/CR390-1</f>
        <v>-0.43808744780744535</v>
      </c>
      <c r="CT391" s="1852">
        <f>CT390/CS390-1</f>
        <v>0.98751983228476514</v>
      </c>
      <c r="CU391" s="1852">
        <f>CU390/CT390-1</f>
        <v>-0.8259239404965335</v>
      </c>
      <c r="CV391" s="1852"/>
      <c r="CW391" s="1852"/>
      <c r="CX391" s="1877"/>
      <c r="CY391" s="1877"/>
      <c r="CZ391" s="1877"/>
      <c r="DA391" s="1877"/>
      <c r="DB391" s="1877"/>
      <c r="DC391" s="1877"/>
      <c r="DD391" s="1853"/>
      <c r="DE391" s="1854"/>
      <c r="DF391" s="1852"/>
      <c r="DG391" s="1855"/>
      <c r="DH391" s="1848"/>
      <c r="DI391" s="1848"/>
      <c r="DJ391" s="1848"/>
      <c r="DK391" s="1848"/>
      <c r="DL391" s="1848"/>
      <c r="DM391" s="1852"/>
      <c r="DN391" s="1852"/>
      <c r="DO391" s="1852"/>
      <c r="DP391" s="1852"/>
      <c r="DQ391" s="1852"/>
      <c r="DR391" s="1852"/>
      <c r="DS391" s="1851"/>
      <c r="DT391" s="1827"/>
      <c r="DU391" s="1827"/>
      <c r="DV391" s="1827"/>
      <c r="DW391" s="1899"/>
      <c r="DX391" s="1827"/>
      <c r="DY391" s="1827"/>
      <c r="DZ391" s="1827"/>
      <c r="EA391"/>
      <c r="EB391"/>
      <c r="EC391"/>
      <c r="ED391"/>
      <c r="EE391"/>
      <c r="EF391"/>
    </row>
    <row r="392" spans="1:136" s="1785" customFormat="1" ht="11.25" hidden="1" customHeight="1" outlineLevel="1">
      <c r="A392" s="1828"/>
      <c r="B392" s="1833"/>
      <c r="C392" s="1826" t="s">
        <v>77</v>
      </c>
      <c r="D392" s="1878"/>
      <c r="E392" s="1879"/>
      <c r="F392" s="1880"/>
      <c r="G392" s="1880"/>
      <c r="H392" s="1880"/>
      <c r="I392" s="1881"/>
      <c r="J392" s="1880"/>
      <c r="K392" s="1880"/>
      <c r="L392" s="1880"/>
      <c r="M392" s="1881"/>
      <c r="N392" s="1880"/>
      <c r="O392" s="1880"/>
      <c r="P392" s="1880"/>
      <c r="Q392" s="1881"/>
      <c r="R392" s="1880"/>
      <c r="S392" s="1880"/>
      <c r="T392" s="1880"/>
      <c r="U392" s="1881"/>
      <c r="V392" s="1880"/>
      <c r="W392" s="1880"/>
      <c r="X392" s="1880"/>
      <c r="Y392" s="1881"/>
      <c r="Z392" s="1880"/>
      <c r="AA392" s="1880"/>
      <c r="AB392" s="1880"/>
      <c r="AC392" s="1881"/>
      <c r="AD392" s="1880"/>
      <c r="AE392" s="1880"/>
      <c r="AF392" s="1880"/>
      <c r="AG392" s="1880"/>
      <c r="AH392" s="1900"/>
      <c r="AI392" s="1886"/>
      <c r="AJ392" s="1886"/>
      <c r="AK392" s="1884"/>
      <c r="AL392" s="1886"/>
      <c r="AM392" s="1886"/>
      <c r="AN392" s="1886"/>
      <c r="AO392" s="1884"/>
      <c r="AP392" s="1901"/>
      <c r="AQ392" s="1902"/>
      <c r="AR392" s="1902"/>
      <c r="AS392" s="1902"/>
      <c r="AT392" s="1901"/>
      <c r="AU392" s="1902"/>
      <c r="AV392" s="1902"/>
      <c r="AW392" s="1902"/>
      <c r="AX392" s="1883"/>
      <c r="AY392" s="1835"/>
      <c r="AZ392" s="1835"/>
      <c r="BA392" s="1836">
        <f t="shared" ref="BA392:BR392" si="754">BA390/AZ390-1</f>
        <v>4.1485402635509843</v>
      </c>
      <c r="BB392" s="1883">
        <f t="shared" si="754"/>
        <v>0.11183085150051797</v>
      </c>
      <c r="BC392" s="1835">
        <f t="shared" si="754"/>
        <v>-0.32366709201710575</v>
      </c>
      <c r="BD392" s="1835">
        <f t="shared" si="754"/>
        <v>-0.97590109576884898</v>
      </c>
      <c r="BE392" s="1836">
        <f t="shared" si="754"/>
        <v>19.492647521910907</v>
      </c>
      <c r="BF392" s="1835">
        <f t="shared" si="754"/>
        <v>1.1780144227280873</v>
      </c>
      <c r="BG392" s="1835">
        <f t="shared" si="754"/>
        <v>-0.52018331538187401</v>
      </c>
      <c r="BH392" s="1835">
        <f t="shared" si="754"/>
        <v>1.0250250689645983</v>
      </c>
      <c r="BI392" s="1836">
        <f t="shared" si="754"/>
        <v>-0.92727343697901476</v>
      </c>
      <c r="BJ392" s="1835">
        <f t="shared" si="754"/>
        <v>5.7798352923479088</v>
      </c>
      <c r="BK392" s="1835">
        <f t="shared" si="754"/>
        <v>0.21145789657926883</v>
      </c>
      <c r="BL392" s="1835">
        <f t="shared" si="754"/>
        <v>-1.3097647764952898</v>
      </c>
      <c r="BM392" s="1835">
        <f t="shared" si="754"/>
        <v>-3.989700705345165</v>
      </c>
      <c r="BN392" s="1883">
        <f t="shared" si="754"/>
        <v>0.85695283063170091</v>
      </c>
      <c r="BO392" s="1835">
        <f t="shared" si="754"/>
        <v>-0.40350120274463208</v>
      </c>
      <c r="BP392" s="1835">
        <f t="shared" si="754"/>
        <v>0.36936314012889948</v>
      </c>
      <c r="BQ392" s="1836">
        <f t="shared" si="754"/>
        <v>-0.49965592119810576</v>
      </c>
      <c r="BR392" s="1835">
        <f t="shared" si="754"/>
        <v>0.20199151496827628</v>
      </c>
      <c r="BS392" s="1835"/>
      <c r="BT392" s="1835"/>
      <c r="BU392" s="1836"/>
      <c r="BV392" s="1835"/>
      <c r="BW392" s="1835"/>
      <c r="BX392" s="1835"/>
      <c r="BY392" s="1836"/>
      <c r="BZ392" s="1835"/>
      <c r="CA392" s="1835"/>
      <c r="CB392" s="1835"/>
      <c r="CC392" s="1836"/>
      <c r="CD392" s="1884"/>
      <c r="CE392" s="1885"/>
      <c r="CF392" s="1880"/>
      <c r="CG392" s="1880"/>
      <c r="CH392" s="1880"/>
      <c r="CI392" s="1880"/>
      <c r="CJ392" s="1880"/>
      <c r="CK392" s="1880"/>
      <c r="CL392" s="1880"/>
      <c r="CM392" s="1880"/>
      <c r="CN392" s="1880"/>
      <c r="CO392" s="1880"/>
      <c r="CP392" s="1880"/>
      <c r="CQ392" s="1880"/>
      <c r="CR392" s="1880"/>
      <c r="CS392" s="1829"/>
      <c r="CT392" s="1829"/>
      <c r="CU392" s="1829"/>
      <c r="CV392" s="1829"/>
      <c r="CW392" s="1829"/>
      <c r="CX392" s="1829"/>
      <c r="CY392" s="1829"/>
      <c r="CZ392" s="1829"/>
      <c r="DA392" s="1829"/>
      <c r="DB392" s="1829"/>
      <c r="DC392" s="1829"/>
      <c r="DD392" s="1884"/>
      <c r="DE392" s="1886"/>
      <c r="DF392" s="1826"/>
      <c r="DG392" s="1887"/>
      <c r="DH392" s="1826"/>
      <c r="DI392" s="1826"/>
      <c r="DJ392" s="1826"/>
      <c r="DK392" s="1826"/>
      <c r="DL392" s="1833"/>
      <c r="DM392" s="1826"/>
      <c r="DN392" s="1826"/>
      <c r="DO392" s="1826"/>
      <c r="DP392" s="1826"/>
      <c r="DQ392" s="1826"/>
      <c r="DR392" s="1826"/>
      <c r="DS392" s="1887"/>
      <c r="DT392" s="1826"/>
      <c r="DU392" s="1826"/>
      <c r="DV392" s="1826"/>
      <c r="DW392" s="1828"/>
      <c r="DX392" s="1826"/>
      <c r="DY392" s="1826"/>
      <c r="DZ392" s="1826"/>
      <c r="EA392"/>
      <c r="EB392"/>
      <c r="EC392"/>
      <c r="ED392"/>
      <c r="EE392"/>
      <c r="EF392"/>
    </row>
    <row r="393" spans="1:136" s="1785" customFormat="1" ht="5.25" hidden="1" customHeight="1" outlineLevel="1">
      <c r="A393" s="1829"/>
      <c r="B393" s="1913"/>
      <c r="C393" s="1914"/>
      <c r="D393" s="1915"/>
      <c r="E393" s="1916"/>
      <c r="F393" s="1917"/>
      <c r="G393" s="1918"/>
      <c r="H393" s="1918"/>
      <c r="I393" s="1919"/>
      <c r="J393" s="1920"/>
      <c r="K393" s="1921"/>
      <c r="L393" s="1921"/>
      <c r="M393" s="1922"/>
      <c r="N393" s="1921"/>
      <c r="O393" s="1921"/>
      <c r="P393" s="1921"/>
      <c r="Q393" s="1921"/>
      <c r="R393" s="1920"/>
      <c r="S393" s="1921"/>
      <c r="T393" s="1921"/>
      <c r="U393" s="1921"/>
      <c r="V393" s="1920"/>
      <c r="W393" s="1921"/>
      <c r="X393" s="1921"/>
      <c r="Y393" s="1921"/>
      <c r="Z393" s="1920"/>
      <c r="AA393" s="1921"/>
      <c r="AB393" s="1921"/>
      <c r="AC393" s="1921"/>
      <c r="AD393" s="1920"/>
      <c r="AE393" s="1921"/>
      <c r="AF393" s="1921"/>
      <c r="AG393" s="1921"/>
      <c r="AH393" s="1920"/>
      <c r="AI393" s="1921"/>
      <c r="AJ393" s="1921"/>
      <c r="AK393" s="1922"/>
      <c r="AL393" s="1921"/>
      <c r="AM393" s="1921"/>
      <c r="AN393" s="1921"/>
      <c r="AO393" s="1922"/>
      <c r="AP393" s="1921"/>
      <c r="AQ393" s="1921"/>
      <c r="AR393" s="1921"/>
      <c r="AS393" s="1921"/>
      <c r="AT393" s="1920"/>
      <c r="AU393" s="1921"/>
      <c r="AV393" s="1921"/>
      <c r="AW393" s="1922"/>
      <c r="AX393" s="1921"/>
      <c r="AY393" s="1921"/>
      <c r="AZ393" s="1921"/>
      <c r="BA393" s="1922"/>
      <c r="BB393" s="1920"/>
      <c r="BC393" s="1921"/>
      <c r="BD393" s="1921"/>
      <c r="BE393" s="1922"/>
      <c r="BF393" s="1920"/>
      <c r="BG393" s="1921"/>
      <c r="BH393" s="1921"/>
      <c r="BI393" s="1922"/>
      <c r="BJ393" s="1920"/>
      <c r="BK393" s="1921"/>
      <c r="BL393" s="1921"/>
      <c r="BM393" s="1921"/>
      <c r="BN393" s="1920"/>
      <c r="BO393" s="1921"/>
      <c r="BP393" s="1921"/>
      <c r="BQ393" s="1922"/>
      <c r="BR393" s="1921"/>
      <c r="BS393" s="1921"/>
      <c r="BT393" s="1921"/>
      <c r="BU393" s="1922"/>
      <c r="BV393" s="1921"/>
      <c r="BW393" s="1921"/>
      <c r="BX393" s="1921"/>
      <c r="BY393" s="1922"/>
      <c r="BZ393" s="1921"/>
      <c r="CA393" s="1921"/>
      <c r="CB393" s="1921"/>
      <c r="CC393" s="1922"/>
      <c r="CD393" s="1837"/>
      <c r="CE393" s="1921"/>
      <c r="CF393" s="1921"/>
      <c r="CG393" s="1921"/>
      <c r="CH393" s="1921"/>
      <c r="CI393" s="1921"/>
      <c r="CJ393" s="1921"/>
      <c r="CK393" s="1923"/>
      <c r="CL393" s="1923"/>
      <c r="CM393" s="1921"/>
      <c r="CN393" s="1921"/>
      <c r="CO393" s="1924"/>
      <c r="CP393" s="1924"/>
      <c r="CQ393" s="1924"/>
      <c r="CR393" s="1921"/>
      <c r="CS393" s="1921"/>
      <c r="CT393" s="1921"/>
      <c r="CU393" s="1921"/>
      <c r="CV393" s="1921"/>
      <c r="CW393" s="1921"/>
      <c r="CX393" s="1921"/>
      <c r="CY393" s="1921"/>
      <c r="CZ393" s="1921"/>
      <c r="DA393" s="1921"/>
      <c r="DB393" s="1921"/>
      <c r="DC393" s="1921"/>
      <c r="DD393" s="1925"/>
      <c r="DE393" s="1839"/>
      <c r="DF393" s="1829"/>
      <c r="DG393" s="1926"/>
      <c r="DH393" s="1927"/>
      <c r="DI393" s="1927"/>
      <c r="DJ393" s="1927"/>
      <c r="DK393" s="1927"/>
      <c r="DL393" s="1927"/>
      <c r="DM393" s="1927"/>
      <c r="DN393" s="1927"/>
      <c r="DO393" s="1927"/>
      <c r="DP393" s="1927"/>
      <c r="DQ393" s="1927"/>
      <c r="DR393" s="1927"/>
      <c r="DS393" s="1926"/>
      <c r="DT393" s="1928"/>
      <c r="DU393" s="1928"/>
      <c r="DV393" s="1928"/>
      <c r="DW393" s="1929"/>
      <c r="DX393" s="1874"/>
      <c r="DY393" s="1874"/>
      <c r="DZ393" s="1829"/>
      <c r="EA393"/>
      <c r="EB393"/>
      <c r="EC393"/>
      <c r="ED393"/>
      <c r="EE393"/>
      <c r="EF393"/>
    </row>
    <row r="394" spans="1:136" s="1785" customFormat="1" ht="3.75" hidden="1" customHeight="1" outlineLevel="1">
      <c r="A394" s="1829"/>
      <c r="B394" s="1930"/>
      <c r="C394" s="1860"/>
      <c r="D394" s="1931"/>
      <c r="E394" s="1932"/>
      <c r="F394" s="1780"/>
      <c r="G394" s="1781"/>
      <c r="H394" s="1781"/>
      <c r="I394" s="1933"/>
      <c r="J394" s="1934"/>
      <c r="K394" s="1934"/>
      <c r="L394" s="1934"/>
      <c r="M394" s="1935"/>
      <c r="N394" s="1934"/>
      <c r="O394" s="1934"/>
      <c r="P394" s="1934"/>
      <c r="Q394" s="1934"/>
      <c r="R394" s="1934"/>
      <c r="S394" s="1934"/>
      <c r="T394" s="1934"/>
      <c r="U394" s="1934"/>
      <c r="V394" s="1934"/>
      <c r="W394" s="1934"/>
      <c r="X394" s="1934"/>
      <c r="Y394" s="1934"/>
      <c r="Z394" s="1934"/>
      <c r="AA394" s="1934"/>
      <c r="AB394" s="1934"/>
      <c r="AC394" s="1934"/>
      <c r="AD394" s="1934"/>
      <c r="AE394" s="1934"/>
      <c r="AF394" s="1934"/>
      <c r="AG394" s="1934"/>
      <c r="AH394" s="1936"/>
      <c r="AI394" s="1934"/>
      <c r="AJ394" s="1934"/>
      <c r="AK394" s="1935"/>
      <c r="AL394" s="1934"/>
      <c r="AM394" s="1934"/>
      <c r="AN394" s="1934"/>
      <c r="AO394" s="1935"/>
      <c r="AP394" s="1934"/>
      <c r="AQ394" s="1934"/>
      <c r="AR394" s="1934"/>
      <c r="AS394" s="1934"/>
      <c r="AT394" s="1936"/>
      <c r="AU394" s="1934"/>
      <c r="AV394" s="1934"/>
      <c r="AW394" s="1935"/>
      <c r="AX394" s="1934"/>
      <c r="AY394" s="1934"/>
      <c r="AZ394" s="1934"/>
      <c r="BA394" s="1935"/>
      <c r="BB394" s="1936"/>
      <c r="BC394" s="1934"/>
      <c r="BD394" s="1934"/>
      <c r="BE394" s="1935"/>
      <c r="BF394" s="1936"/>
      <c r="BG394" s="1934"/>
      <c r="BH394" s="1934"/>
      <c r="BI394" s="1935"/>
      <c r="BJ394" s="1936"/>
      <c r="BK394" s="1934"/>
      <c r="BL394" s="1934"/>
      <c r="BM394" s="1934"/>
      <c r="BN394" s="1936"/>
      <c r="BO394" s="1934"/>
      <c r="BP394" s="1934"/>
      <c r="BQ394" s="1935"/>
      <c r="BR394" s="1934"/>
      <c r="BS394" s="1934"/>
      <c r="BT394" s="1934"/>
      <c r="BU394" s="1935"/>
      <c r="BV394" s="1934"/>
      <c r="BW394" s="1934"/>
      <c r="BX394" s="1934"/>
      <c r="BY394" s="1935"/>
      <c r="BZ394" s="1934"/>
      <c r="CA394" s="1934"/>
      <c r="CB394" s="1934"/>
      <c r="CC394" s="1935"/>
      <c r="CD394" s="1837"/>
      <c r="CE394" s="1934"/>
      <c r="CF394" s="1934"/>
      <c r="CG394" s="1934"/>
      <c r="CH394" s="1934"/>
      <c r="CI394" s="1934"/>
      <c r="CJ394" s="1934"/>
      <c r="CK394" s="1937"/>
      <c r="CL394" s="1937"/>
      <c r="CM394" s="1934"/>
      <c r="CN394" s="1934"/>
      <c r="CO394" s="1938"/>
      <c r="CP394" s="1938"/>
      <c r="CQ394" s="1938"/>
      <c r="CR394" s="1934"/>
      <c r="CS394" s="1934"/>
      <c r="CT394" s="1934"/>
      <c r="CU394" s="1934"/>
      <c r="CV394" s="1934"/>
      <c r="CW394" s="1934"/>
      <c r="CX394" s="1934"/>
      <c r="CY394" s="1934"/>
      <c r="CZ394" s="1934"/>
      <c r="DA394" s="1934"/>
      <c r="DB394" s="1934"/>
      <c r="DC394" s="1934"/>
      <c r="DD394" s="1837"/>
      <c r="DE394" s="1839"/>
      <c r="DF394" s="1829"/>
      <c r="DG394" s="1804"/>
      <c r="DH394" s="1803"/>
      <c r="DI394" s="1803"/>
      <c r="DJ394" s="1803"/>
      <c r="DK394" s="1803"/>
      <c r="DL394" s="1803"/>
      <c r="DM394" s="1939"/>
      <c r="DN394" s="1939"/>
      <c r="DO394" s="1939"/>
      <c r="DP394" s="1939"/>
      <c r="DQ394" s="1939"/>
      <c r="DR394" s="1939"/>
      <c r="DS394" s="1940"/>
      <c r="DT394" s="1941"/>
      <c r="DU394" s="1874"/>
      <c r="DV394" s="1874"/>
      <c r="DW394" s="1942"/>
      <c r="DX394" s="1874"/>
      <c r="DY394" s="1874"/>
      <c r="DZ394" s="1829"/>
      <c r="EA394"/>
      <c r="EB394"/>
      <c r="EC394"/>
      <c r="ED394"/>
      <c r="EE394"/>
      <c r="EF394"/>
    </row>
    <row r="395" spans="1:136" s="1785" customFormat="1" ht="11.25" hidden="1" customHeight="1" outlineLevel="1">
      <c r="A395" s="1830"/>
      <c r="B395" s="1943" t="s">
        <v>193</v>
      </c>
      <c r="C395" s="1944"/>
      <c r="D395" s="1830"/>
      <c r="E395" s="1841"/>
      <c r="F395" s="1945"/>
      <c r="G395" s="1946"/>
      <c r="H395" s="1946"/>
      <c r="I395" s="1947"/>
      <c r="J395" s="1946">
        <v>440.94299999999998</v>
      </c>
      <c r="K395" s="1946">
        <v>574.66999999999996</v>
      </c>
      <c r="L395" s="1946">
        <v>594.8667143407182</v>
      </c>
      <c r="M395" s="1947">
        <v>540.67200000000003</v>
      </c>
      <c r="N395" s="1946">
        <v>582.90927873704163</v>
      </c>
      <c r="O395" s="1946">
        <v>749.48840189176462</v>
      </c>
      <c r="P395" s="1946">
        <v>705.83853477611558</v>
      </c>
      <c r="Q395" s="1947">
        <v>680.26236561653354</v>
      </c>
      <c r="R395" s="1946">
        <v>714.22488345032104</v>
      </c>
      <c r="S395" s="1946">
        <v>834.81680169199649</v>
      </c>
      <c r="T395" s="1946">
        <v>748.8909767732564</v>
      </c>
      <c r="U395" s="1947">
        <v>748.79343562788586</v>
      </c>
      <c r="V395" s="1946">
        <v>823.57649571832212</v>
      </c>
      <c r="W395" s="1946">
        <v>954.92508108797097</v>
      </c>
      <c r="X395" s="1946">
        <v>919.89553710847383</v>
      </c>
      <c r="Y395" s="1947">
        <v>940.36705711427976</v>
      </c>
      <c r="Z395" s="1946">
        <v>1009.9049524614122</v>
      </c>
      <c r="AA395" s="1946">
        <v>1117.0674262637269</v>
      </c>
      <c r="AB395" s="1946">
        <v>1128.7699816586421</v>
      </c>
      <c r="AC395" s="1947">
        <v>1085.520633982266</v>
      </c>
      <c r="AD395" s="1946">
        <v>1263.9988334361215</v>
      </c>
      <c r="AE395" s="1946">
        <v>1427.9700114953569</v>
      </c>
      <c r="AF395" s="1946">
        <v>1410.029773424646</v>
      </c>
      <c r="AG395" s="1946">
        <v>1366.7077743125046</v>
      </c>
      <c r="AH395" s="1945">
        <v>1725.988572513043</v>
      </c>
      <c r="AI395" s="1946">
        <v>2084.1036084876764</v>
      </c>
      <c r="AJ395" s="1946">
        <v>2022.0268418486398</v>
      </c>
      <c r="AK395" s="1947">
        <v>1993.0649197251787</v>
      </c>
      <c r="AL395" s="1946">
        <v>2108.9897603707814</v>
      </c>
      <c r="AM395" s="1946">
        <v>1822.7877252563499</v>
      </c>
      <c r="AN395" s="1946">
        <v>1591.8920069350916</v>
      </c>
      <c r="AO395" s="1947">
        <v>1928.1865719438424</v>
      </c>
      <c r="AP395" s="1871">
        <f t="shared" ref="AP395:AV395" si="755">AP406+AP437+AP468</f>
        <v>2159.5617999999999</v>
      </c>
      <c r="AQ395" s="1871">
        <f t="shared" si="755"/>
        <v>2575.6980000000003</v>
      </c>
      <c r="AR395" s="1871">
        <f t="shared" si="755"/>
        <v>2606.759</v>
      </c>
      <c r="AS395" s="1871">
        <f t="shared" si="755"/>
        <v>2334.6165000000001</v>
      </c>
      <c r="AT395" s="1897">
        <f t="shared" si="755"/>
        <v>2331.72127</v>
      </c>
      <c r="AU395" s="1871">
        <f t="shared" si="755"/>
        <v>2455.8449999999998</v>
      </c>
      <c r="AV395" s="1948">
        <f t="shared" si="755"/>
        <v>2241.2702297499995</v>
      </c>
      <c r="AW395" s="1871">
        <f>AW406+AW437+AW468</f>
        <v>2369.1794919374997</v>
      </c>
      <c r="AX395" s="1897">
        <f t="shared" ref="AX395:BD395" si="756">AX406+AX437+AX468</f>
        <v>2661.1395300962499</v>
      </c>
      <c r="AY395" s="1871">
        <f t="shared" si="756"/>
        <v>1964.5652899860372</v>
      </c>
      <c r="AZ395" s="1871">
        <f t="shared" si="756"/>
        <v>3008.0366242174332</v>
      </c>
      <c r="BA395" s="1872">
        <f>BA406+BA437+BA468</f>
        <v>4617.8119170412601</v>
      </c>
      <c r="BB395" s="1897">
        <f t="shared" si="756"/>
        <v>3873.620753740789</v>
      </c>
      <c r="BC395" s="1871">
        <f t="shared" si="756"/>
        <v>3673.1972086482228</v>
      </c>
      <c r="BD395" s="1871">
        <f t="shared" si="756"/>
        <v>3670.5106204499957</v>
      </c>
      <c r="BE395" s="1872">
        <f>BE406+BE437+BE468</f>
        <v>3593.4786698554199</v>
      </c>
      <c r="BF395" s="1897">
        <f t="shared" ref="BF395:BL395" si="757">BF406+BF437+BF468</f>
        <v>3631.5241027442589</v>
      </c>
      <c r="BG395" s="1871">
        <f t="shared" si="757"/>
        <v>3785.1037553717351</v>
      </c>
      <c r="BH395" s="1871">
        <f t="shared" si="757"/>
        <v>3504.4093050219362</v>
      </c>
      <c r="BI395" s="1872">
        <f>BI406+BI437+BI468</f>
        <v>3533.3025407511086</v>
      </c>
      <c r="BJ395" s="1897">
        <f t="shared" si="757"/>
        <v>3755.152</v>
      </c>
      <c r="BK395" s="1871">
        <f>BK406+BK437+BK468</f>
        <v>3662.4174889097435</v>
      </c>
      <c r="BL395" s="1871">
        <f t="shared" si="757"/>
        <v>3337.9515029245003</v>
      </c>
      <c r="BM395" s="1871">
        <f t="shared" ref="BM395:BR395" si="758">BM406+BM437+BM468</f>
        <v>2911.2685832766865</v>
      </c>
      <c r="BN395" s="1897">
        <f t="shared" si="758"/>
        <v>3060.6484445731621</v>
      </c>
      <c r="BO395" s="1871">
        <f t="shared" si="758"/>
        <v>3007.4213769918683</v>
      </c>
      <c r="BP395" s="1871">
        <f t="shared" si="758"/>
        <v>2567.8024925156069</v>
      </c>
      <c r="BQ395" s="1872">
        <f t="shared" si="758"/>
        <v>2514.4751893243379</v>
      </c>
      <c r="BR395" s="1897">
        <f t="shared" si="758"/>
        <v>2922.5328033764722</v>
      </c>
      <c r="BS395" s="1871"/>
      <c r="BT395" s="1871"/>
      <c r="BU395" s="1872"/>
      <c r="BV395" s="1871"/>
      <c r="BW395" s="1871"/>
      <c r="BX395" s="1871"/>
      <c r="BY395" s="1872"/>
      <c r="BZ395" s="1871"/>
      <c r="CA395" s="1871"/>
      <c r="CB395" s="1871"/>
      <c r="CC395" s="1872"/>
      <c r="CD395" s="1949"/>
      <c r="CE395" s="1950"/>
      <c r="CF395" s="1950"/>
      <c r="CG395" s="1950"/>
      <c r="CH395" s="1950"/>
      <c r="CI395" s="1950"/>
      <c r="CJ395" s="1950">
        <f>SUM(Z395:AC395)</f>
        <v>4341.2629943660477</v>
      </c>
      <c r="CK395" s="1951">
        <f>SUM(AD395:AG395)</f>
        <v>5468.7063926686287</v>
      </c>
      <c r="CL395" s="1951">
        <f>SUM(AH395:AK395)</f>
        <v>7825.1839425745384</v>
      </c>
      <c r="CM395" s="1950">
        <f>SUM(AL395:AO395)</f>
        <v>7451.8560645060661</v>
      </c>
      <c r="CN395" s="1950">
        <f>SUM(AP395:AS395)</f>
        <v>9676.6352999999999</v>
      </c>
      <c r="CO395" s="1946">
        <f>SUM(AT395:AW395)</f>
        <v>9398.0159916874982</v>
      </c>
      <c r="CP395" s="1946">
        <f>SUM(AX395:BA395)</f>
        <v>12251.553361340981</v>
      </c>
      <c r="CQ395" s="1946">
        <f>SUM(BB395:BE395)</f>
        <v>14810.807252694427</v>
      </c>
      <c r="CR395" s="1946">
        <f>SUM(BF395:BI395)</f>
        <v>14454.33970388904</v>
      </c>
      <c r="CS395" s="1946">
        <f>SUM(BJ395:BM395)</f>
        <v>13666.789575110932</v>
      </c>
      <c r="CT395" s="1831">
        <f>SUM(BN395:BQ395)</f>
        <v>11150.347503404973</v>
      </c>
      <c r="CU395" s="1871">
        <f>SUM(BR395:BU395)</f>
        <v>2922.5328033764722</v>
      </c>
      <c r="CV395" s="1871"/>
      <c r="CW395" s="1871"/>
      <c r="CX395" s="1871"/>
      <c r="CY395" s="1871"/>
      <c r="CZ395" s="1871"/>
      <c r="DA395" s="1871"/>
      <c r="DB395" s="1871"/>
      <c r="DC395" s="1871"/>
      <c r="DD395" s="1949"/>
      <c r="DE395" s="1952"/>
      <c r="DF395" s="1953"/>
      <c r="DG395" s="1954"/>
      <c r="DH395" s="1955"/>
      <c r="DI395" s="1955"/>
      <c r="DJ395" s="1955"/>
      <c r="DK395" s="1955"/>
      <c r="DL395" s="1955"/>
      <c r="DM395" s="1955">
        <f>SUM(AF395:AI395)</f>
        <v>6586.82972873787</v>
      </c>
      <c r="DN395" s="1955">
        <f>SUM(AJ395:AM395)</f>
        <v>7946.8692472009498</v>
      </c>
      <c r="DO395" s="1955">
        <f>SUM(AN395:AQ395)</f>
        <v>8255.3383788789342</v>
      </c>
      <c r="DP395" s="1955">
        <f>SUM(AR395:AU395)</f>
        <v>9728.9417699999995</v>
      </c>
      <c r="DQ395" s="1955">
        <f>SUM(AV395:AY395)</f>
        <v>9236.1545417697871</v>
      </c>
      <c r="DR395" s="1955">
        <f>SUM(AZ395:BC395)</f>
        <v>15172.666503647706</v>
      </c>
      <c r="DS395" s="1954">
        <f>SUM(BD395:BG395)</f>
        <v>14680.61714842141</v>
      </c>
      <c r="DT395" s="1955">
        <f>SUM(BH395:BK395)</f>
        <v>14455.281334682788</v>
      </c>
      <c r="DU395" s="1955">
        <f>SUM(BL395:BO395)</f>
        <v>12317.289907766217</v>
      </c>
      <c r="DV395" s="1955">
        <f>SUM(BP395:BS395)</f>
        <v>8004.8104852164179</v>
      </c>
      <c r="DW395" s="1956"/>
      <c r="DX395" s="1955"/>
      <c r="DY395" s="1955"/>
      <c r="DZ395" s="1830"/>
      <c r="EA395"/>
      <c r="EB395"/>
      <c r="EC395"/>
      <c r="ED395"/>
      <c r="EE395"/>
      <c r="EF395"/>
    </row>
    <row r="396" spans="1:136" s="1785" customFormat="1" ht="11.25" hidden="1" customHeight="1" outlineLevel="1">
      <c r="A396" s="1827"/>
      <c r="B396" s="1855"/>
      <c r="C396" s="1849" t="s">
        <v>76</v>
      </c>
      <c r="D396" s="1875"/>
      <c r="E396" s="1876"/>
      <c r="F396" s="1851"/>
      <c r="G396" s="1852"/>
      <c r="H396" s="1852"/>
      <c r="I396" s="1825"/>
      <c r="J396" s="1852"/>
      <c r="K396" s="1852"/>
      <c r="L396" s="1852"/>
      <c r="M396" s="1825"/>
      <c r="N396" s="1852">
        <f t="shared" ref="N396:AS396" si="759">N395/J395-1</f>
        <v>0.32196061336055148</v>
      </c>
      <c r="O396" s="1852">
        <f t="shared" si="759"/>
        <v>0.3042065914207539</v>
      </c>
      <c r="P396" s="1852">
        <f t="shared" si="759"/>
        <v>0.18654904999750377</v>
      </c>
      <c r="Q396" s="1825">
        <f t="shared" si="759"/>
        <v>0.25817938716362887</v>
      </c>
      <c r="R396" s="1852">
        <f t="shared" si="759"/>
        <v>0.22527622994403851</v>
      </c>
      <c r="S396" s="1852">
        <f t="shared" si="759"/>
        <v>0.11384885954853563</v>
      </c>
      <c r="T396" s="1852">
        <f t="shared" si="759"/>
        <v>6.099474578955455E-2</v>
      </c>
      <c r="U396" s="1825">
        <f t="shared" si="759"/>
        <v>0.10074211580004344</v>
      </c>
      <c r="V396" s="1852">
        <f t="shared" si="759"/>
        <v>0.15310529610749302</v>
      </c>
      <c r="W396" s="1852">
        <f t="shared" si="759"/>
        <v>0.14387381656974374</v>
      </c>
      <c r="X396" s="1852">
        <f t="shared" si="759"/>
        <v>0.22834373178326195</v>
      </c>
      <c r="Y396" s="1825">
        <f t="shared" si="759"/>
        <v>0.25584308351441898</v>
      </c>
      <c r="Z396" s="1852">
        <f t="shared" si="759"/>
        <v>0.22624304811002971</v>
      </c>
      <c r="AA396" s="1852">
        <f t="shared" si="759"/>
        <v>0.16979588073131668</v>
      </c>
      <c r="AB396" s="1852">
        <f t="shared" si="759"/>
        <v>0.22706322199010498</v>
      </c>
      <c r="AC396" s="1825">
        <f t="shared" si="759"/>
        <v>0.15435842394715671</v>
      </c>
      <c r="AD396" s="1852">
        <f t="shared" si="759"/>
        <v>0.25160177733103839</v>
      </c>
      <c r="AE396" s="1852">
        <f t="shared" si="759"/>
        <v>0.27832033941900058</v>
      </c>
      <c r="AF396" s="1852">
        <f t="shared" si="759"/>
        <v>0.24917369910272935</v>
      </c>
      <c r="AG396" s="1852">
        <f t="shared" si="759"/>
        <v>0.2590343578257881</v>
      </c>
      <c r="AH396" s="1851">
        <f t="shared" si="759"/>
        <v>0.36549854861892883</v>
      </c>
      <c r="AI396" s="1852">
        <f t="shared" si="759"/>
        <v>0.45948695820665209</v>
      </c>
      <c r="AJ396" s="1852">
        <f t="shared" si="759"/>
        <v>0.43403130909611232</v>
      </c>
      <c r="AK396" s="1825">
        <f t="shared" si="759"/>
        <v>0.45829632141205212</v>
      </c>
      <c r="AL396" s="1852">
        <f t="shared" si="759"/>
        <v>0.22190250500910791</v>
      </c>
      <c r="AM396" s="1852">
        <f t="shared" si="759"/>
        <v>-0.1253852649969498</v>
      </c>
      <c r="AN396" s="1852">
        <f t="shared" si="759"/>
        <v>-0.21272459198429683</v>
      </c>
      <c r="AO396" s="1825">
        <f t="shared" si="759"/>
        <v>-3.2552049428616892E-2</v>
      </c>
      <c r="AP396" s="1852">
        <f t="shared" si="759"/>
        <v>2.3979272246598127E-2</v>
      </c>
      <c r="AQ396" s="1852">
        <f t="shared" si="759"/>
        <v>0.41305428180769876</v>
      </c>
      <c r="AR396" s="1852">
        <f t="shared" si="759"/>
        <v>0.63752251323810372</v>
      </c>
      <c r="AS396" s="1852">
        <f t="shared" si="759"/>
        <v>0.21078350714081973</v>
      </c>
      <c r="AT396" s="1851">
        <f t="shared" ref="AT396:BD396" si="760">AT395/AP395-1</f>
        <v>7.9719631084417264E-2</v>
      </c>
      <c r="AU396" s="1852">
        <f t="shared" si="760"/>
        <v>-4.6532240969244243E-2</v>
      </c>
      <c r="AV396" s="1852">
        <f t="shared" si="760"/>
        <v>-0.14020811676491785</v>
      </c>
      <c r="AW396" s="1825">
        <f t="shared" si="760"/>
        <v>1.4804569374670118E-2</v>
      </c>
      <c r="AX396" s="1852">
        <f t="shared" si="760"/>
        <v>0.14127686028967346</v>
      </c>
      <c r="AY396" s="1852">
        <f t="shared" si="760"/>
        <v>-0.20004508021229461</v>
      </c>
      <c r="AZ396" s="1852">
        <f t="shared" si="760"/>
        <v>0.34211242548515086</v>
      </c>
      <c r="BA396" s="1825">
        <f t="shared" si="760"/>
        <v>0.94911864329234219</v>
      </c>
      <c r="BB396" s="1851">
        <f t="shared" si="760"/>
        <v>0.45562482159689144</v>
      </c>
      <c r="BC396" s="1852">
        <f t="shared" si="760"/>
        <v>0.86972518926786568</v>
      </c>
      <c r="BD396" s="1852">
        <f t="shared" si="760"/>
        <v>0.22023468427845727</v>
      </c>
      <c r="BE396" s="1825">
        <f t="shared" ref="BE396:BM396" si="761">BE395/BA395-1</f>
        <v>-0.22182221051613438</v>
      </c>
      <c r="BF396" s="1851">
        <f t="shared" si="761"/>
        <v>-6.249880057636914E-2</v>
      </c>
      <c r="BG396" s="1852">
        <f t="shared" si="761"/>
        <v>3.0465706131987069E-2</v>
      </c>
      <c r="BH396" s="1852">
        <f t="shared" si="761"/>
        <v>-4.525291781002827E-2</v>
      </c>
      <c r="BI396" s="1825">
        <f t="shared" si="761"/>
        <v>-1.6745926338483708E-2</v>
      </c>
      <c r="BJ396" s="1851">
        <f t="shared" si="761"/>
        <v>3.4042978583652683E-2</v>
      </c>
      <c r="BK396" s="1852">
        <f t="shared" si="761"/>
        <v>-3.2412920329562445E-2</v>
      </c>
      <c r="BL396" s="1852">
        <f t="shared" si="761"/>
        <v>-4.7499532049209092E-2</v>
      </c>
      <c r="BM396" s="1852">
        <f t="shared" si="761"/>
        <v>-0.17604888070020475</v>
      </c>
      <c r="BN396" s="1851">
        <f>BN395/BJ395-1</f>
        <v>-0.18494685579354386</v>
      </c>
      <c r="BO396" s="1852">
        <f>BO395/BK395-1</f>
        <v>-0.17884255792827686</v>
      </c>
      <c r="BP396" s="1852">
        <f>BP395/BL395-1</f>
        <v>-0.23072504490677526</v>
      </c>
      <c r="BQ396" s="1825">
        <f>BQ395/BM395-1</f>
        <v>-0.13629570154800019</v>
      </c>
      <c r="BR396" s="1851">
        <f>BR395/BN395-1</f>
        <v>-4.5126267749431626E-2</v>
      </c>
      <c r="BS396" s="1852"/>
      <c r="BT396" s="1852"/>
      <c r="BU396" s="1825"/>
      <c r="BV396" s="1852"/>
      <c r="BW396" s="1852"/>
      <c r="BX396" s="1852"/>
      <c r="BY396" s="1825"/>
      <c r="BZ396" s="1852"/>
      <c r="CA396" s="1852"/>
      <c r="CB396" s="1852"/>
      <c r="CC396" s="1825"/>
      <c r="CD396" s="1853"/>
      <c r="CE396" s="1852"/>
      <c r="CF396" s="1852"/>
      <c r="CG396" s="1852"/>
      <c r="CH396" s="1852"/>
      <c r="CI396" s="1852"/>
      <c r="CJ396" s="1852"/>
      <c r="CK396" s="1852">
        <f t="shared" ref="CK396:CP396" si="762">CK395/CJ395-1</f>
        <v>0.2597040077428483</v>
      </c>
      <c r="CL396" s="1852">
        <f t="shared" si="762"/>
        <v>0.43090218795893187</v>
      </c>
      <c r="CM396" s="1852">
        <f t="shared" si="762"/>
        <v>-4.7708511494190531E-2</v>
      </c>
      <c r="CN396" s="1852">
        <f t="shared" si="762"/>
        <v>0.29855370477306709</v>
      </c>
      <c r="CO396" s="1852">
        <f t="shared" si="762"/>
        <v>-2.8792994638591085E-2</v>
      </c>
      <c r="CP396" s="1852">
        <f t="shared" si="762"/>
        <v>0.30363189126060464</v>
      </c>
      <c r="CQ396" s="1852">
        <f>CQ395/CP395-1</f>
        <v>0.20889219643192458</v>
      </c>
      <c r="CR396" s="1852">
        <f>CR395/CQ395-1</f>
        <v>-2.4068070208700942E-2</v>
      </c>
      <c r="CS396" s="1852">
        <f>CS395/CR395-1</f>
        <v>-5.4485375666535107E-2</v>
      </c>
      <c r="CT396" s="1852">
        <f>CT395/CS395-1</f>
        <v>-0.18412825176504799</v>
      </c>
      <c r="CU396" s="1852">
        <f>CU395/CT395-1</f>
        <v>-0.737897603416932</v>
      </c>
      <c r="CV396" s="1852"/>
      <c r="CW396" s="1852"/>
      <c r="CX396" s="1852"/>
      <c r="CY396" s="1852"/>
      <c r="CZ396" s="1852"/>
      <c r="DA396" s="1852"/>
      <c r="DB396" s="1852"/>
      <c r="DC396" s="1852"/>
      <c r="DD396" s="1853"/>
      <c r="DE396" s="1854"/>
      <c r="DF396" s="1852"/>
      <c r="DG396" s="1855"/>
      <c r="DH396" s="1848"/>
      <c r="DI396" s="1848"/>
      <c r="DJ396" s="1848"/>
      <c r="DK396" s="1848"/>
      <c r="DL396" s="1848"/>
      <c r="DM396" s="1852"/>
      <c r="DN396" s="1852">
        <f t="shared" ref="DN396:DV396" si="763">DN395/DM395-1</f>
        <v>0.20647862089547031</v>
      </c>
      <c r="DO396" s="1852">
        <f t="shared" si="763"/>
        <v>3.8816434759717966E-2</v>
      </c>
      <c r="DP396" s="1852">
        <f t="shared" si="763"/>
        <v>0.178503087758491</v>
      </c>
      <c r="DQ396" s="1852">
        <f t="shared" si="763"/>
        <v>-5.0651678248271881E-2</v>
      </c>
      <c r="DR396" s="1852">
        <f t="shared" si="763"/>
        <v>0.64274714493250484</v>
      </c>
      <c r="DS396" s="1851">
        <f t="shared" si="763"/>
        <v>-3.2429985534052408E-2</v>
      </c>
      <c r="DT396" s="1852">
        <f t="shared" si="763"/>
        <v>-1.5349205790224696E-2</v>
      </c>
      <c r="DU396" s="1852">
        <f t="shared" si="763"/>
        <v>-0.14790382680320813</v>
      </c>
      <c r="DV396" s="1852">
        <f t="shared" si="763"/>
        <v>-0.35011593092655247</v>
      </c>
      <c r="DW396" s="1825"/>
      <c r="DX396" s="1852"/>
      <c r="DY396" s="1852"/>
      <c r="DZ396" s="1827"/>
      <c r="EA396"/>
      <c r="EB396"/>
      <c r="EC396"/>
      <c r="ED396"/>
      <c r="EE396"/>
      <c r="EF396"/>
    </row>
    <row r="397" spans="1:136" s="1785" customFormat="1" ht="11.25" hidden="1" customHeight="1" outlineLevel="1">
      <c r="A397" s="1827"/>
      <c r="B397" s="1855"/>
      <c r="C397" s="1848" t="s">
        <v>77</v>
      </c>
      <c r="D397" s="1875"/>
      <c r="E397" s="1876"/>
      <c r="F397" s="1851"/>
      <c r="G397" s="1852"/>
      <c r="H397" s="1852"/>
      <c r="I397" s="1825"/>
      <c r="J397" s="1852"/>
      <c r="K397" s="1852">
        <f t="shared" ref="K397:AS397" si="764">K395/J395-1</f>
        <v>0.30327502647734517</v>
      </c>
      <c r="L397" s="1852">
        <f t="shared" si="764"/>
        <v>3.5144890703739939E-2</v>
      </c>
      <c r="M397" s="1825">
        <f t="shared" si="764"/>
        <v>-9.1103961667751698E-2</v>
      </c>
      <c r="N397" s="1852">
        <f t="shared" si="764"/>
        <v>7.8119966887579828E-2</v>
      </c>
      <c r="O397" s="1852">
        <f t="shared" si="764"/>
        <v>0.28577195325427152</v>
      </c>
      <c r="P397" s="1852">
        <f t="shared" si="764"/>
        <v>-5.8239549812209912E-2</v>
      </c>
      <c r="Q397" s="1825">
        <f t="shared" si="764"/>
        <v>-3.6235155633284499E-2</v>
      </c>
      <c r="R397" s="1852">
        <f t="shared" si="764"/>
        <v>4.9925616277488372E-2</v>
      </c>
      <c r="S397" s="1852">
        <f t="shared" si="764"/>
        <v>0.16884306474889632</v>
      </c>
      <c r="T397" s="1852">
        <f t="shared" si="764"/>
        <v>-0.10292776180904206</v>
      </c>
      <c r="U397" s="1825">
        <f t="shared" si="764"/>
        <v>-1.3024745710088492E-4</v>
      </c>
      <c r="V397" s="1852">
        <f t="shared" si="764"/>
        <v>9.9871415175706524E-2</v>
      </c>
      <c r="W397" s="1852">
        <f t="shared" si="764"/>
        <v>0.15948559247685523</v>
      </c>
      <c r="X397" s="1852">
        <f t="shared" si="764"/>
        <v>-3.668302851527061E-2</v>
      </c>
      <c r="Y397" s="1825">
        <f t="shared" si="764"/>
        <v>2.225417906706495E-2</v>
      </c>
      <c r="Z397" s="1852">
        <f t="shared" si="764"/>
        <v>7.3947608884263216E-2</v>
      </c>
      <c r="AA397" s="1852">
        <f t="shared" si="764"/>
        <v>0.10611144498413516</v>
      </c>
      <c r="AB397" s="1852">
        <f t="shared" si="764"/>
        <v>1.0476140580033544E-2</v>
      </c>
      <c r="AC397" s="1825">
        <f t="shared" si="764"/>
        <v>-3.8315465842584273E-2</v>
      </c>
      <c r="AD397" s="1852">
        <f t="shared" si="764"/>
        <v>0.16441714129293206</v>
      </c>
      <c r="AE397" s="1852">
        <f t="shared" si="764"/>
        <v>0.1297241529990083</v>
      </c>
      <c r="AF397" s="1852">
        <f t="shared" si="764"/>
        <v>-1.2563455763278997E-2</v>
      </c>
      <c r="AG397" s="1852">
        <f t="shared" si="764"/>
        <v>-3.0724173296654556E-2</v>
      </c>
      <c r="AH397" s="1851">
        <f t="shared" si="764"/>
        <v>0.26288048180692281</v>
      </c>
      <c r="AI397" s="1852">
        <f t="shared" si="764"/>
        <v>0.20748401332299515</v>
      </c>
      <c r="AJ397" s="1852">
        <f t="shared" si="764"/>
        <v>-2.9785835208107736E-2</v>
      </c>
      <c r="AK397" s="1825">
        <f t="shared" si="764"/>
        <v>-1.4323213482657193E-2</v>
      </c>
      <c r="AL397" s="1852">
        <f t="shared" si="764"/>
        <v>5.8164106697331075E-2</v>
      </c>
      <c r="AM397" s="1852">
        <f t="shared" si="764"/>
        <v>-0.13570574902370047</v>
      </c>
      <c r="AN397" s="1852">
        <f t="shared" si="764"/>
        <v>-0.12667175399636077</v>
      </c>
      <c r="AO397" s="1825">
        <f t="shared" si="764"/>
        <v>0.21125463507805842</v>
      </c>
      <c r="AP397" s="1852">
        <f t="shared" si="764"/>
        <v>0.11999628636709336</v>
      </c>
      <c r="AQ397" s="1852">
        <f t="shared" si="764"/>
        <v>0.19269474020146138</v>
      </c>
      <c r="AR397" s="1852">
        <f t="shared" si="764"/>
        <v>1.2059255394071711E-2</v>
      </c>
      <c r="AS397" s="1852">
        <f t="shared" si="764"/>
        <v>-0.10439879559253462</v>
      </c>
      <c r="AT397" s="1851">
        <f t="shared" ref="AT397:BD397" si="765">AT395/AS395-1</f>
        <v>-1.2401308737430838E-3</v>
      </c>
      <c r="AU397" s="1852">
        <f t="shared" si="765"/>
        <v>5.3232661895304512E-2</v>
      </c>
      <c r="AV397" s="1852">
        <f t="shared" si="765"/>
        <v>-8.7373091644627476E-2</v>
      </c>
      <c r="AW397" s="1825">
        <f t="shared" si="765"/>
        <v>5.7069986693111918E-2</v>
      </c>
      <c r="AX397" s="1852">
        <f t="shared" si="765"/>
        <v>0.12323255335963901</v>
      </c>
      <c r="AY397" s="1852">
        <f t="shared" si="765"/>
        <v>-0.26175787937170603</v>
      </c>
      <c r="AZ397" s="1852">
        <f t="shared" si="765"/>
        <v>0.53114617241293738</v>
      </c>
      <c r="BA397" s="1825">
        <f t="shared" si="765"/>
        <v>0.53515814264483041</v>
      </c>
      <c r="BB397" s="1851">
        <f t="shared" si="765"/>
        <v>-0.16115666395033512</v>
      </c>
      <c r="BC397" s="1852">
        <f t="shared" si="765"/>
        <v>-5.1740621458364333E-2</v>
      </c>
      <c r="BD397" s="1852">
        <f t="shared" si="765"/>
        <v>-7.3140320152198512E-4</v>
      </c>
      <c r="BE397" s="1825">
        <f t="shared" ref="BE397:BM397" si="766">BE395/BD395-1</f>
        <v>-2.0986712356966808E-2</v>
      </c>
      <c r="BF397" s="1851">
        <f t="shared" si="766"/>
        <v>1.0587354589854714E-2</v>
      </c>
      <c r="BG397" s="1852">
        <f t="shared" si="766"/>
        <v>4.2290687954244843E-2</v>
      </c>
      <c r="BH397" s="1852">
        <f t="shared" si="766"/>
        <v>-7.4157663432988796E-2</v>
      </c>
      <c r="BI397" s="1825">
        <f t="shared" si="766"/>
        <v>8.2448233680258998E-3</v>
      </c>
      <c r="BJ397" s="1851">
        <f t="shared" si="766"/>
        <v>6.2788129997418896E-2</v>
      </c>
      <c r="BK397" s="1852">
        <f t="shared" si="766"/>
        <v>-2.4695274942334255E-2</v>
      </c>
      <c r="BL397" s="1852">
        <f t="shared" si="766"/>
        <v>-8.8593391378172126E-2</v>
      </c>
      <c r="BM397" s="1852">
        <f t="shared" si="766"/>
        <v>-0.12782777678884238</v>
      </c>
      <c r="BN397" s="1851">
        <f>BN395/BM395-1</f>
        <v>5.1310917225076524E-2</v>
      </c>
      <c r="BO397" s="1852">
        <f>BO395/BN395-1</f>
        <v>-1.7390781249532528E-2</v>
      </c>
      <c r="BP397" s="1852">
        <f>BP395/BO395-1</f>
        <v>-0.14617801410854647</v>
      </c>
      <c r="BQ397" s="1825">
        <f>BQ395/BP395-1</f>
        <v>-2.0767681060635534E-2</v>
      </c>
      <c r="BR397" s="1851">
        <f>BR395/BQ395-1</f>
        <v>0.16228341237353106</v>
      </c>
      <c r="BS397" s="1852"/>
      <c r="BT397" s="1852"/>
      <c r="BU397" s="1825"/>
      <c r="BV397" s="1852"/>
      <c r="BW397" s="1852"/>
      <c r="BX397" s="1852"/>
      <c r="BY397" s="1825"/>
      <c r="BZ397" s="1852"/>
      <c r="CA397" s="1852"/>
      <c r="CB397" s="1852"/>
      <c r="CC397" s="1825"/>
      <c r="CD397" s="1853"/>
      <c r="CE397" s="1852"/>
      <c r="CF397" s="1852"/>
      <c r="CG397" s="1852"/>
      <c r="CH397" s="1852"/>
      <c r="CI397" s="1852"/>
      <c r="CJ397" s="1852"/>
      <c r="CK397" s="1854"/>
      <c r="CL397" s="1854"/>
      <c r="CM397" s="1852"/>
      <c r="CN397" s="1852"/>
      <c r="CO397" s="1852"/>
      <c r="CP397" s="1852"/>
      <c r="CQ397" s="1852"/>
      <c r="CR397" s="1852"/>
      <c r="CS397" s="1852"/>
      <c r="CT397" s="1852"/>
      <c r="CU397" s="1852"/>
      <c r="CV397" s="1852"/>
      <c r="CW397" s="1852"/>
      <c r="CX397" s="1852"/>
      <c r="CY397" s="1852"/>
      <c r="CZ397" s="1852"/>
      <c r="DA397" s="1852"/>
      <c r="DB397" s="1852"/>
      <c r="DC397" s="1852"/>
      <c r="DD397" s="1853"/>
      <c r="DE397" s="1854"/>
      <c r="DF397" s="1852"/>
      <c r="DG397" s="1855"/>
      <c r="DH397" s="1848"/>
      <c r="DI397" s="1848"/>
      <c r="DJ397" s="1848"/>
      <c r="DK397" s="1848"/>
      <c r="DL397" s="1848"/>
      <c r="DM397" s="1848"/>
      <c r="DN397" s="1848"/>
      <c r="DO397" s="1848"/>
      <c r="DP397" s="1848"/>
      <c r="DQ397" s="1848"/>
      <c r="DR397" s="1848"/>
      <c r="DS397" s="1855"/>
      <c r="DT397" s="1848"/>
      <c r="DU397" s="1848"/>
      <c r="DV397" s="1848"/>
      <c r="DW397" s="1850"/>
      <c r="DX397" s="1848"/>
      <c r="DY397" s="1848"/>
      <c r="DZ397" s="1827"/>
      <c r="EA397"/>
      <c r="EB397"/>
      <c r="EC397"/>
      <c r="ED397"/>
      <c r="EE397"/>
      <c r="EF397"/>
    </row>
    <row r="398" spans="1:136" s="1785" customFormat="1" ht="11.25" hidden="1" customHeight="1" outlineLevel="1">
      <c r="A398" s="1830"/>
      <c r="B398" s="1943" t="s">
        <v>810</v>
      </c>
      <c r="C398" s="1957"/>
      <c r="D398" s="1859"/>
      <c r="E398" s="1841"/>
      <c r="F398" s="1958"/>
      <c r="G398" s="1959"/>
      <c r="H398" s="1959"/>
      <c r="I398" s="1960"/>
      <c r="J398" s="1959"/>
      <c r="K398" s="1959"/>
      <c r="L398" s="1831"/>
      <c r="M398" s="1844"/>
      <c r="N398" s="1831"/>
      <c r="O398" s="1831"/>
      <c r="P398" s="1831"/>
      <c r="Q398" s="1844"/>
      <c r="R398" s="1831"/>
      <c r="S398" s="1831"/>
      <c r="T398" s="1831"/>
      <c r="U398" s="1844"/>
      <c r="V398" s="1831"/>
      <c r="W398" s="1831"/>
      <c r="X398" s="1831"/>
      <c r="Y398" s="1844"/>
      <c r="Z398" s="1831"/>
      <c r="AA398" s="1831"/>
      <c r="AB398" s="1831"/>
      <c r="AC398" s="1844"/>
      <c r="AD398" s="1831">
        <f t="shared" ref="AD398:AV398" si="767">AD409+AD440+AD471</f>
        <v>22713</v>
      </c>
      <c r="AE398" s="1831">
        <f t="shared" si="767"/>
        <v>24462</v>
      </c>
      <c r="AF398" s="1831">
        <f t="shared" si="767"/>
        <v>24512</v>
      </c>
      <c r="AG398" s="1831">
        <f t="shared" si="767"/>
        <v>24853</v>
      </c>
      <c r="AH398" s="1843">
        <f t="shared" si="767"/>
        <v>29357</v>
      </c>
      <c r="AI398" s="1831">
        <f t="shared" si="767"/>
        <v>34212</v>
      </c>
      <c r="AJ398" s="1831">
        <f t="shared" si="767"/>
        <v>34542</v>
      </c>
      <c r="AK398" s="1844">
        <f t="shared" si="767"/>
        <v>35185</v>
      </c>
      <c r="AL398" s="1831">
        <f t="shared" si="767"/>
        <v>39407</v>
      </c>
      <c r="AM398" s="1831">
        <f t="shared" si="767"/>
        <v>35463</v>
      </c>
      <c r="AN398" s="1831">
        <f t="shared" si="767"/>
        <v>31563</v>
      </c>
      <c r="AO398" s="1844">
        <f t="shared" si="767"/>
        <v>39987</v>
      </c>
      <c r="AP398" s="1831">
        <f t="shared" si="767"/>
        <v>44082</v>
      </c>
      <c r="AQ398" s="1831">
        <f t="shared" si="767"/>
        <v>49497</v>
      </c>
      <c r="AR398" s="1831">
        <f t="shared" si="767"/>
        <v>51097</v>
      </c>
      <c r="AS398" s="1831">
        <f t="shared" si="767"/>
        <v>49741</v>
      </c>
      <c r="AT398" s="1843">
        <f t="shared" si="767"/>
        <v>50736</v>
      </c>
      <c r="AU398" s="1831">
        <f t="shared" si="767"/>
        <v>52216</v>
      </c>
      <c r="AV398" s="1831">
        <f t="shared" si="767"/>
        <v>49832</v>
      </c>
      <c r="AW398" s="1844">
        <f t="shared" ref="AW398:BD398" si="768">AW409+AW440+AW471</f>
        <v>53809</v>
      </c>
      <c r="AX398" s="1959">
        <f t="shared" si="768"/>
        <v>57827</v>
      </c>
      <c r="AY398" s="1959">
        <f t="shared" si="768"/>
        <v>28472</v>
      </c>
      <c r="AZ398" s="1959">
        <f t="shared" si="768"/>
        <v>44227</v>
      </c>
      <c r="BA398" s="1960">
        <f t="shared" si="768"/>
        <v>71038</v>
      </c>
      <c r="BB398" s="1958">
        <f>BB409+BB440+BB471</f>
        <v>62480</v>
      </c>
      <c r="BC398" s="1959">
        <f t="shared" si="768"/>
        <v>59241</v>
      </c>
      <c r="BD398" s="1959">
        <f t="shared" si="768"/>
        <v>60175</v>
      </c>
      <c r="BE398" s="1960">
        <f t="shared" ref="BE398:BL398" si="769">BE409+BE440+BE471</f>
        <v>59896</v>
      </c>
      <c r="BF398" s="1958">
        <f t="shared" si="769"/>
        <v>62610</v>
      </c>
      <c r="BG398" s="1959">
        <f t="shared" si="769"/>
        <v>63082</v>
      </c>
      <c r="BH398" s="1959">
        <f t="shared" si="769"/>
        <v>60423</v>
      </c>
      <c r="BI398" s="1960">
        <f>BI409+BI440+BI471</f>
        <v>63097</v>
      </c>
      <c r="BJ398" s="1958">
        <f t="shared" si="769"/>
        <v>64744</v>
      </c>
      <c r="BK398" s="1959">
        <f>BK409+BK440+BK471</f>
        <v>61045</v>
      </c>
      <c r="BL398" s="1959">
        <f t="shared" si="769"/>
        <v>54527</v>
      </c>
      <c r="BM398" s="1959">
        <f t="shared" ref="BM398:BR398" si="770">BM409+BM440+BM471</f>
        <v>48520</v>
      </c>
      <c r="BN398" s="1958">
        <f t="shared" si="770"/>
        <v>51731</v>
      </c>
      <c r="BO398" s="1959">
        <f t="shared" si="770"/>
        <v>49688</v>
      </c>
      <c r="BP398" s="1959">
        <f t="shared" si="770"/>
        <v>43123</v>
      </c>
      <c r="BQ398" s="1960">
        <f t="shared" si="770"/>
        <v>40114</v>
      </c>
      <c r="BR398" s="1958">
        <f t="shared" si="770"/>
        <v>47532.856462796175</v>
      </c>
      <c r="BS398" s="1959"/>
      <c r="BT398" s="1959"/>
      <c r="BU398" s="1960"/>
      <c r="BV398" s="1959"/>
      <c r="BW398" s="1959"/>
      <c r="BX398" s="1959"/>
      <c r="BY398" s="1960"/>
      <c r="BZ398" s="1959"/>
      <c r="CA398" s="1959"/>
      <c r="CB398" s="1959"/>
      <c r="CC398" s="1960"/>
      <c r="CD398" s="1845"/>
      <c r="CE398" s="1831"/>
      <c r="CF398" s="1831"/>
      <c r="CG398" s="1831"/>
      <c r="CH398" s="1831"/>
      <c r="CI398" s="1831"/>
      <c r="CJ398" s="1831">
        <f>SUM(Z398:AC398)</f>
        <v>0</v>
      </c>
      <c r="CK398" s="1822">
        <f>SUM(AD398:AG398)</f>
        <v>96540</v>
      </c>
      <c r="CL398" s="1822">
        <f>SUM(AH398:AK398)</f>
        <v>133296</v>
      </c>
      <c r="CM398" s="1831">
        <f>SUM(AL398:AO398)</f>
        <v>146420</v>
      </c>
      <c r="CN398" s="1831">
        <f>SUM(AP398:AS398)</f>
        <v>194417</v>
      </c>
      <c r="CO398" s="1831">
        <f>SUM(AT398:AW398)</f>
        <v>206593</v>
      </c>
      <c r="CP398" s="1831">
        <f>SUM(AX398:BA398)</f>
        <v>201564</v>
      </c>
      <c r="CQ398" s="1831">
        <f>SUM(BB398:BE398)</f>
        <v>241792</v>
      </c>
      <c r="CR398" s="1831">
        <f>SUM(BF398:BI398)</f>
        <v>249212</v>
      </c>
      <c r="CS398" s="1831">
        <f>SUM(BJ398:BM398)</f>
        <v>228836</v>
      </c>
      <c r="CT398" s="1831">
        <f>SUM(BN398:BQ398)</f>
        <v>184656</v>
      </c>
      <c r="CU398" s="1959">
        <f>SUM(BR398:BU398)</f>
        <v>47532.856462796175</v>
      </c>
      <c r="CV398" s="1959"/>
      <c r="CW398" s="1959"/>
      <c r="CX398" s="1959"/>
      <c r="CY398" s="1959"/>
      <c r="CZ398" s="1959"/>
      <c r="DA398" s="1959"/>
      <c r="DB398" s="1959"/>
      <c r="DC398" s="1959"/>
      <c r="DD398" s="1845"/>
      <c r="DE398" s="1961"/>
      <c r="DF398" s="1830"/>
      <c r="DG398" s="1783"/>
      <c r="DH398" s="1782"/>
      <c r="DI398" s="1782"/>
      <c r="DJ398" s="1782"/>
      <c r="DK398" s="1782"/>
      <c r="DL398" s="1782"/>
      <c r="DM398" s="1803">
        <f>SUM(AF398:AI398)</f>
        <v>112934</v>
      </c>
      <c r="DN398" s="1803">
        <f>SUM(AJ398:AM398)</f>
        <v>144597</v>
      </c>
      <c r="DO398" s="1803">
        <f>SUM(AN398:AQ398)</f>
        <v>165129</v>
      </c>
      <c r="DP398" s="1803">
        <f>SUM(AR398:AU398)</f>
        <v>203790</v>
      </c>
      <c r="DQ398" s="1803">
        <f>SUM(AV398:AY398)</f>
        <v>189940</v>
      </c>
      <c r="DR398" s="1803">
        <f>SUM(AZ398:BC398)</f>
        <v>236986</v>
      </c>
      <c r="DS398" s="1804">
        <f>SUM(BD398:BG398)</f>
        <v>245763</v>
      </c>
      <c r="DT398" s="1803">
        <f>SUM(BH398:BK398)</f>
        <v>249309</v>
      </c>
      <c r="DU398" s="1803">
        <f>SUM(BL398:BO398)</f>
        <v>204466</v>
      </c>
      <c r="DV398" s="1803">
        <f>SUM(BP398:BS398)</f>
        <v>130769.85646279618</v>
      </c>
      <c r="DW398" s="1805"/>
      <c r="DX398" s="1803"/>
      <c r="DY398" s="1803"/>
      <c r="DZ398" s="1830"/>
      <c r="EA398"/>
      <c r="EB398"/>
      <c r="EC398"/>
      <c r="ED398"/>
      <c r="EE398"/>
      <c r="EF398"/>
    </row>
    <row r="399" spans="1:136" s="1785" customFormat="1" ht="11.25" hidden="1" customHeight="1" outlineLevel="1">
      <c r="A399" s="1827"/>
      <c r="B399" s="1851"/>
      <c r="C399" s="1848" t="s">
        <v>76</v>
      </c>
      <c r="D399" s="1875"/>
      <c r="E399" s="1876"/>
      <c r="F399" s="1851"/>
      <c r="G399" s="1852"/>
      <c r="H399" s="1852"/>
      <c r="I399" s="1825"/>
      <c r="J399" s="1852"/>
      <c r="K399" s="1852"/>
      <c r="L399" s="1852"/>
      <c r="M399" s="1825"/>
      <c r="N399" s="1852"/>
      <c r="O399" s="1852"/>
      <c r="P399" s="1852"/>
      <c r="Q399" s="1825"/>
      <c r="R399" s="1852"/>
      <c r="S399" s="1852"/>
      <c r="T399" s="1852"/>
      <c r="U399" s="1825"/>
      <c r="V399" s="1852"/>
      <c r="W399" s="1852"/>
      <c r="X399" s="1852"/>
      <c r="Y399" s="1825"/>
      <c r="Z399" s="1852"/>
      <c r="AA399" s="1852"/>
      <c r="AB399" s="1852"/>
      <c r="AC399" s="1825"/>
      <c r="AD399" s="1852"/>
      <c r="AE399" s="1852"/>
      <c r="AF399" s="1852"/>
      <c r="AG399" s="1852"/>
      <c r="AH399" s="1851">
        <f t="shared" ref="AH399:AS399" si="771">AH398/AD398-1</f>
        <v>0.29251970237309033</v>
      </c>
      <c r="AI399" s="1852">
        <f t="shared" si="771"/>
        <v>0.39857738533235221</v>
      </c>
      <c r="AJ399" s="1852">
        <f t="shared" si="771"/>
        <v>0.40918733681462149</v>
      </c>
      <c r="AK399" s="1825">
        <f t="shared" si="771"/>
        <v>0.41572445982376371</v>
      </c>
      <c r="AL399" s="1852">
        <f t="shared" si="771"/>
        <v>0.34233743229894054</v>
      </c>
      <c r="AM399" s="1852">
        <f t="shared" si="771"/>
        <v>3.656611715187652E-2</v>
      </c>
      <c r="AN399" s="1852">
        <f t="shared" si="771"/>
        <v>-8.6242834809796776E-2</v>
      </c>
      <c r="AO399" s="1825">
        <f t="shared" si="771"/>
        <v>0.13647861304533171</v>
      </c>
      <c r="AP399" s="1852">
        <f t="shared" si="771"/>
        <v>0.11863374527368231</v>
      </c>
      <c r="AQ399" s="1852">
        <f t="shared" si="771"/>
        <v>0.39573640131968535</v>
      </c>
      <c r="AR399" s="1852">
        <f t="shared" si="771"/>
        <v>0.61888920571555306</v>
      </c>
      <c r="AS399" s="1852">
        <f t="shared" si="771"/>
        <v>0.24392927701502987</v>
      </c>
      <c r="AT399" s="1851">
        <f t="shared" ref="AT399:BD399" si="772">AT398/AP398-1</f>
        <v>0.15094596433918617</v>
      </c>
      <c r="AU399" s="1852">
        <f t="shared" si="772"/>
        <v>5.4932622179121982E-2</v>
      </c>
      <c r="AV399" s="1852">
        <f t="shared" si="772"/>
        <v>-2.4756835039239089E-2</v>
      </c>
      <c r="AW399" s="1825">
        <f t="shared" si="772"/>
        <v>8.1783639251321816E-2</v>
      </c>
      <c r="AX399" s="1852">
        <f t="shared" si="772"/>
        <v>0.13976269315673284</v>
      </c>
      <c r="AY399" s="1852">
        <f t="shared" si="772"/>
        <v>-0.45472652060671059</v>
      </c>
      <c r="AZ399" s="1852">
        <f t="shared" si="772"/>
        <v>-0.11247792583079141</v>
      </c>
      <c r="BA399" s="1825">
        <f t="shared" si="772"/>
        <v>0.32018807262725568</v>
      </c>
      <c r="BB399" s="1851">
        <f t="shared" si="772"/>
        <v>8.0464143047365377E-2</v>
      </c>
      <c r="BC399" s="1852">
        <f t="shared" si="772"/>
        <v>1.0806757516156225</v>
      </c>
      <c r="BD399" s="1852">
        <f t="shared" si="772"/>
        <v>0.36059420715852308</v>
      </c>
      <c r="BE399" s="1825">
        <f t="shared" ref="BE399:BM399" si="773">BE398/BA398-1</f>
        <v>-0.15684563191531298</v>
      </c>
      <c r="BF399" s="1851">
        <f t="shared" si="773"/>
        <v>2.0806658130601008E-3</v>
      </c>
      <c r="BG399" s="1852">
        <f t="shared" si="773"/>
        <v>6.4836852855286065E-2</v>
      </c>
      <c r="BH399" s="1852">
        <f t="shared" si="773"/>
        <v>4.1213128375572339E-3</v>
      </c>
      <c r="BI399" s="1825">
        <f t="shared" si="773"/>
        <v>5.3442633898757919E-2</v>
      </c>
      <c r="BJ399" s="1851">
        <f t="shared" si="773"/>
        <v>3.4084012138636099E-2</v>
      </c>
      <c r="BK399" s="1852">
        <f t="shared" si="773"/>
        <v>-3.2291303382898429E-2</v>
      </c>
      <c r="BL399" s="1852">
        <f t="shared" si="773"/>
        <v>-9.7578736573821212E-2</v>
      </c>
      <c r="BM399" s="1852">
        <f t="shared" si="773"/>
        <v>-0.23102524684216363</v>
      </c>
      <c r="BN399" s="1851">
        <f>BN398/BJ398-1</f>
        <v>-0.20099159767700481</v>
      </c>
      <c r="BO399" s="1852">
        <f>BO398/BK398-1</f>
        <v>-0.18604308297157834</v>
      </c>
      <c r="BP399" s="1852">
        <f>BP398/BL398-1</f>
        <v>-0.20914409375171938</v>
      </c>
      <c r="BQ399" s="1825">
        <f>BQ398/BM398-1</f>
        <v>-0.17324814509480624</v>
      </c>
      <c r="BR399" s="1851">
        <f>BR398/BN398-1</f>
        <v>-8.115334204256297E-2</v>
      </c>
      <c r="BS399" s="1852"/>
      <c r="BT399" s="1852"/>
      <c r="BU399" s="1825"/>
      <c r="BV399" s="1852"/>
      <c r="BW399" s="1852"/>
      <c r="BX399" s="1852"/>
      <c r="BY399" s="1825"/>
      <c r="BZ399" s="1852"/>
      <c r="CA399" s="1852"/>
      <c r="CB399" s="1852"/>
      <c r="CC399" s="1825"/>
      <c r="CD399" s="1853"/>
      <c r="CE399" s="1852"/>
      <c r="CF399" s="1852"/>
      <c r="CG399" s="1852"/>
      <c r="CH399" s="1852"/>
      <c r="CI399" s="1852"/>
      <c r="CJ399" s="1852"/>
      <c r="CK399" s="1852"/>
      <c r="CL399" s="1852">
        <f t="shared" ref="CL399:CR399" si="774">CL398/CK398-1</f>
        <v>0.38073337476693592</v>
      </c>
      <c r="CM399" s="1852">
        <f t="shared" si="774"/>
        <v>9.8457568119073358E-2</v>
      </c>
      <c r="CN399" s="1852">
        <f t="shared" si="774"/>
        <v>0.32780357874607291</v>
      </c>
      <c r="CO399" s="1852">
        <f t="shared" si="774"/>
        <v>6.2628268104126805E-2</v>
      </c>
      <c r="CP399" s="1852">
        <f t="shared" si="774"/>
        <v>-2.4342547908206003E-2</v>
      </c>
      <c r="CQ399" s="1852">
        <f t="shared" si="774"/>
        <v>0.19957928995257079</v>
      </c>
      <c r="CR399" s="1852">
        <f t="shared" si="774"/>
        <v>3.0687533086289021E-2</v>
      </c>
      <c r="CS399" s="1852">
        <f>CS398/CR398-1</f>
        <v>-8.1761712919121043E-2</v>
      </c>
      <c r="CT399" s="1852">
        <f>CT398/CS398-1</f>
        <v>-0.19306402838714187</v>
      </c>
      <c r="CU399" s="1852">
        <f>CU398/CT398-1</f>
        <v>-0.7425869916883493</v>
      </c>
      <c r="CV399" s="1852"/>
      <c r="CW399" s="1852"/>
      <c r="CX399" s="1852"/>
      <c r="CY399" s="1852"/>
      <c r="CZ399" s="1852"/>
      <c r="DA399" s="1852"/>
      <c r="DB399" s="1852"/>
      <c r="DC399" s="1852"/>
      <c r="DD399" s="1853"/>
      <c r="DE399" s="1854"/>
      <c r="DF399" s="1852"/>
      <c r="DG399" s="1855"/>
      <c r="DH399" s="1848"/>
      <c r="DI399" s="1848"/>
      <c r="DJ399" s="1848"/>
      <c r="DK399" s="1848"/>
      <c r="DL399" s="1848"/>
      <c r="DM399" s="1852"/>
      <c r="DN399" s="1852">
        <f t="shared" ref="DN399:DV399" si="775">DN398/DM398-1</f>
        <v>0.28036729417181716</v>
      </c>
      <c r="DO399" s="1852">
        <f t="shared" si="775"/>
        <v>0.14199464719185051</v>
      </c>
      <c r="DP399" s="1852">
        <f t="shared" si="775"/>
        <v>0.23412604690878047</v>
      </c>
      <c r="DQ399" s="1852">
        <f t="shared" si="775"/>
        <v>-6.7962117866431138E-2</v>
      </c>
      <c r="DR399" s="1852">
        <f t="shared" si="775"/>
        <v>0.24768874381383599</v>
      </c>
      <c r="DS399" s="1851">
        <f t="shared" si="775"/>
        <v>3.7035943051488163E-2</v>
      </c>
      <c r="DT399" s="1852">
        <f t="shared" si="775"/>
        <v>1.442853480792472E-2</v>
      </c>
      <c r="DU399" s="1852">
        <f t="shared" si="775"/>
        <v>-0.17986915835368955</v>
      </c>
      <c r="DV399" s="1852">
        <f t="shared" si="775"/>
        <v>-0.3604322652040135</v>
      </c>
      <c r="DW399" s="1825"/>
      <c r="DX399" s="1852"/>
      <c r="DY399" s="1852"/>
      <c r="DZ399" s="1827"/>
      <c r="EA399"/>
      <c r="EB399"/>
      <c r="EC399"/>
      <c r="ED399"/>
      <c r="EE399"/>
      <c r="EF399"/>
    </row>
    <row r="400" spans="1:136" s="1785" customFormat="1" ht="11.25" hidden="1" customHeight="1" outlineLevel="1">
      <c r="A400" s="1827"/>
      <c r="B400" s="1851"/>
      <c r="C400" s="1848" t="s">
        <v>77</v>
      </c>
      <c r="D400" s="1875"/>
      <c r="E400" s="1876"/>
      <c r="F400" s="1851"/>
      <c r="G400" s="1852"/>
      <c r="H400" s="1852"/>
      <c r="I400" s="1825"/>
      <c r="J400" s="1852"/>
      <c r="K400" s="1852"/>
      <c r="L400" s="1852"/>
      <c r="M400" s="1825"/>
      <c r="N400" s="1852"/>
      <c r="O400" s="1852"/>
      <c r="P400" s="1852"/>
      <c r="Q400" s="1825"/>
      <c r="R400" s="1852"/>
      <c r="S400" s="1852"/>
      <c r="T400" s="1852"/>
      <c r="U400" s="1825"/>
      <c r="V400" s="1852"/>
      <c r="W400" s="1852"/>
      <c r="X400" s="1852"/>
      <c r="Y400" s="1825"/>
      <c r="Z400" s="1852"/>
      <c r="AA400" s="1852"/>
      <c r="AB400" s="1852"/>
      <c r="AC400" s="1825"/>
      <c r="AD400" s="1852"/>
      <c r="AE400" s="1852">
        <f t="shared" ref="AE400:AS400" si="776">AE398/AD398-1</f>
        <v>7.700435873728706E-2</v>
      </c>
      <c r="AF400" s="1852">
        <f t="shared" si="776"/>
        <v>2.0439865914478883E-3</v>
      </c>
      <c r="AG400" s="1852">
        <f t="shared" si="776"/>
        <v>1.3911553524804221E-2</v>
      </c>
      <c r="AH400" s="1851">
        <f t="shared" si="776"/>
        <v>0.18122560656661157</v>
      </c>
      <c r="AI400" s="1852">
        <f t="shared" si="776"/>
        <v>0.1653779337125727</v>
      </c>
      <c r="AJ400" s="1852">
        <f t="shared" si="776"/>
        <v>9.6457383374255468E-3</v>
      </c>
      <c r="AK400" s="1825">
        <f t="shared" si="776"/>
        <v>1.8615019396676535E-2</v>
      </c>
      <c r="AL400" s="1852">
        <f t="shared" si="776"/>
        <v>0.11999431575955666</v>
      </c>
      <c r="AM400" s="1852">
        <f t="shared" si="776"/>
        <v>-0.10008374146725196</v>
      </c>
      <c r="AN400" s="1852">
        <f t="shared" si="776"/>
        <v>-0.10997377548430753</v>
      </c>
      <c r="AO400" s="1825">
        <f t="shared" si="776"/>
        <v>0.26689478186484172</v>
      </c>
      <c r="AP400" s="1852">
        <f t="shared" si="776"/>
        <v>0.10240828269187485</v>
      </c>
      <c r="AQ400" s="1852">
        <f t="shared" si="776"/>
        <v>0.12283925411732688</v>
      </c>
      <c r="AR400" s="1852">
        <f t="shared" si="776"/>
        <v>3.2325191425742972E-2</v>
      </c>
      <c r="AS400" s="1852">
        <f t="shared" si="776"/>
        <v>-2.6537761512417601E-2</v>
      </c>
      <c r="AT400" s="1851">
        <f t="shared" ref="AT400:BD400" si="777">AT398/AS398-1</f>
        <v>2.0003618745099594E-2</v>
      </c>
      <c r="AU400" s="1852">
        <f t="shared" si="777"/>
        <v>2.9170608640807227E-2</v>
      </c>
      <c r="AV400" s="1852">
        <f t="shared" si="777"/>
        <v>-4.5656503753638722E-2</v>
      </c>
      <c r="AW400" s="1825">
        <f t="shared" si="777"/>
        <v>7.9808155402151248E-2</v>
      </c>
      <c r="AX400" s="1852">
        <f t="shared" si="777"/>
        <v>7.4671523351112157E-2</v>
      </c>
      <c r="AY400" s="1852">
        <f t="shared" si="777"/>
        <v>-0.50763484185588048</v>
      </c>
      <c r="AZ400" s="1852">
        <f t="shared" si="777"/>
        <v>0.55335066029783642</v>
      </c>
      <c r="BA400" s="1825">
        <f t="shared" si="777"/>
        <v>0.60621339905487592</v>
      </c>
      <c r="BB400" s="1851">
        <f t="shared" si="777"/>
        <v>-0.12047073397336638</v>
      </c>
      <c r="BC400" s="1852">
        <f t="shared" si="777"/>
        <v>-5.1840588988476322E-2</v>
      </c>
      <c r="BD400" s="1852">
        <f t="shared" si="777"/>
        <v>1.5766107932006612E-2</v>
      </c>
      <c r="BE400" s="1825">
        <f t="shared" ref="BE400:BM400" si="778">BE398/BD398-1</f>
        <v>-4.6364769422517771E-3</v>
      </c>
      <c r="BF400" s="1851">
        <f t="shared" si="778"/>
        <v>4.5311873914785528E-2</v>
      </c>
      <c r="BG400" s="1852">
        <f t="shared" si="778"/>
        <v>7.5387318319757313E-3</v>
      </c>
      <c r="BH400" s="1852">
        <f t="shared" si="778"/>
        <v>-4.2151485368250863E-2</v>
      </c>
      <c r="BI400" s="1825">
        <f t="shared" si="778"/>
        <v>4.4254671234463805E-2</v>
      </c>
      <c r="BJ400" s="1851">
        <f t="shared" si="778"/>
        <v>2.6102667321742823E-2</v>
      </c>
      <c r="BK400" s="1852">
        <f t="shared" si="778"/>
        <v>-5.7132707277894434E-2</v>
      </c>
      <c r="BL400" s="1852">
        <f t="shared" si="778"/>
        <v>-0.1067736915390286</v>
      </c>
      <c r="BM400" s="1852">
        <f t="shared" si="778"/>
        <v>-0.11016560603004011</v>
      </c>
      <c r="BN400" s="1851">
        <f>BN398/BM398-1</f>
        <v>6.6178895300906815E-2</v>
      </c>
      <c r="BO400" s="1852">
        <f>BO398/BN398-1</f>
        <v>-3.9492760627090173E-2</v>
      </c>
      <c r="BP400" s="1852">
        <f>BP398/BO398-1</f>
        <v>-0.13212445660924166</v>
      </c>
      <c r="BQ400" s="1825">
        <f>BQ398/BP398-1</f>
        <v>-6.9777149085174961E-2</v>
      </c>
      <c r="BR400" s="1851">
        <f>BR398/BQ398-1</f>
        <v>0.18494432025717145</v>
      </c>
      <c r="BS400" s="1852"/>
      <c r="BT400" s="1852"/>
      <c r="BU400" s="1825"/>
      <c r="BV400" s="1852"/>
      <c r="BW400" s="1852"/>
      <c r="BX400" s="1852"/>
      <c r="BY400" s="1825"/>
      <c r="BZ400" s="1852"/>
      <c r="CA400" s="1852"/>
      <c r="CB400" s="1852"/>
      <c r="CC400" s="1825"/>
      <c r="CD400" s="1853"/>
      <c r="CE400" s="1852"/>
      <c r="CF400" s="1852"/>
      <c r="CG400" s="1852"/>
      <c r="CH400" s="1852"/>
      <c r="CI400" s="1852"/>
      <c r="CJ400" s="1852"/>
      <c r="CK400" s="1854"/>
      <c r="CL400" s="1854"/>
      <c r="CM400" s="1852"/>
      <c r="CN400" s="1852"/>
      <c r="CO400" s="1852"/>
      <c r="CP400" s="1852"/>
      <c r="CQ400" s="1852"/>
      <c r="CR400" s="1852"/>
      <c r="CS400" s="1852"/>
      <c r="CT400" s="1852"/>
      <c r="CU400" s="1852"/>
      <c r="CV400" s="1852"/>
      <c r="CW400" s="1852"/>
      <c r="CX400" s="1852"/>
      <c r="CY400" s="1852"/>
      <c r="CZ400" s="1852"/>
      <c r="DA400" s="1852"/>
      <c r="DB400" s="1852"/>
      <c r="DC400" s="1852"/>
      <c r="DD400" s="1853"/>
      <c r="DE400" s="1854"/>
      <c r="DF400" s="1852"/>
      <c r="DG400" s="1855"/>
      <c r="DH400" s="1848"/>
      <c r="DI400" s="1848"/>
      <c r="DJ400" s="1848"/>
      <c r="DK400" s="1848"/>
      <c r="DL400" s="1848"/>
      <c r="DM400" s="1848"/>
      <c r="DN400" s="1848"/>
      <c r="DO400" s="1848"/>
      <c r="DP400" s="1848"/>
      <c r="DQ400" s="1848"/>
      <c r="DR400" s="1848"/>
      <c r="DS400" s="1855"/>
      <c r="DT400" s="1848"/>
      <c r="DU400" s="1848"/>
      <c r="DV400" s="1848"/>
      <c r="DW400" s="1850"/>
      <c r="DX400" s="1848"/>
      <c r="DY400" s="1848"/>
      <c r="DZ400" s="1827"/>
      <c r="EA400"/>
      <c r="EB400"/>
      <c r="EC400"/>
      <c r="ED400"/>
      <c r="EE400"/>
      <c r="EF400"/>
    </row>
    <row r="401" spans="1:136" s="1785" customFormat="1" ht="11.25" hidden="1" customHeight="1" outlineLevel="1">
      <c r="A401" s="1830"/>
      <c r="B401" s="1943" t="s">
        <v>811</v>
      </c>
      <c r="C401" s="1957"/>
      <c r="D401" s="1859"/>
      <c r="E401" s="1841"/>
      <c r="F401" s="1958"/>
      <c r="G401" s="1959"/>
      <c r="H401" s="1959"/>
      <c r="I401" s="1960"/>
      <c r="J401" s="1959"/>
      <c r="K401" s="1959"/>
      <c r="L401" s="1959"/>
      <c r="M401" s="1960"/>
      <c r="N401" s="1959"/>
      <c r="O401" s="1959"/>
      <c r="P401" s="1959"/>
      <c r="Q401" s="1960"/>
      <c r="R401" s="1959"/>
      <c r="S401" s="1959"/>
      <c r="T401" s="1959"/>
      <c r="U401" s="1960"/>
      <c r="V401" s="1959"/>
      <c r="W401" s="1959"/>
      <c r="X401" s="1959"/>
      <c r="Y401" s="1960"/>
      <c r="Z401" s="1959"/>
      <c r="AA401" s="1959"/>
      <c r="AB401" s="1959"/>
      <c r="AC401" s="1960"/>
      <c r="AD401" s="1959">
        <f t="shared" ref="AD401:BQ401" si="779">AD395*1000/AD398</f>
        <v>55.650897434778386</v>
      </c>
      <c r="AE401" s="1959">
        <f t="shared" si="779"/>
        <v>58.375031129725983</v>
      </c>
      <c r="AF401" s="1959">
        <f t="shared" si="779"/>
        <v>57.524060599895812</v>
      </c>
      <c r="AG401" s="1959">
        <f t="shared" si="779"/>
        <v>54.991661944735228</v>
      </c>
      <c r="AH401" s="1958">
        <f t="shared" si="779"/>
        <v>58.793084188201895</v>
      </c>
      <c r="AI401" s="1959">
        <f t="shared" si="779"/>
        <v>60.917327501685854</v>
      </c>
      <c r="AJ401" s="1959">
        <f t="shared" si="779"/>
        <v>58.538209769227024</v>
      </c>
      <c r="AK401" s="1960">
        <f t="shared" si="779"/>
        <v>56.645301114826736</v>
      </c>
      <c r="AL401" s="1958">
        <f t="shared" si="779"/>
        <v>53.51815059179286</v>
      </c>
      <c r="AM401" s="1959">
        <f t="shared" si="779"/>
        <v>51.39970462894707</v>
      </c>
      <c r="AN401" s="1959">
        <f t="shared" si="779"/>
        <v>50.43538342157246</v>
      </c>
      <c r="AO401" s="1960">
        <f t="shared" si="779"/>
        <v>48.220335907766085</v>
      </c>
      <c r="AP401" s="1958">
        <f t="shared" si="779"/>
        <v>48.989651104759311</v>
      </c>
      <c r="AQ401" s="1959">
        <f t="shared" si="779"/>
        <v>52.037456815564589</v>
      </c>
      <c r="AR401" s="1959">
        <f t="shared" si="779"/>
        <v>51.015891343914518</v>
      </c>
      <c r="AS401" s="1960">
        <f t="shared" si="779"/>
        <v>46.935455660320457</v>
      </c>
      <c r="AT401" s="1958">
        <f t="shared" si="779"/>
        <v>45.957924747713655</v>
      </c>
      <c r="AU401" s="1959">
        <f t="shared" si="779"/>
        <v>47.032423012103571</v>
      </c>
      <c r="AV401" s="1959">
        <f t="shared" si="779"/>
        <v>44.976525721423975</v>
      </c>
      <c r="AW401" s="1960">
        <f t="shared" si="779"/>
        <v>44.029428012739501</v>
      </c>
      <c r="AX401" s="1958">
        <f t="shared" si="779"/>
        <v>46.01897954409273</v>
      </c>
      <c r="AY401" s="1959">
        <f t="shared" si="779"/>
        <v>68.999904818278907</v>
      </c>
      <c r="AZ401" s="1959">
        <f t="shared" si="779"/>
        <v>68.013580487426992</v>
      </c>
      <c r="BA401" s="1960">
        <f t="shared" si="779"/>
        <v>65.004813156919681</v>
      </c>
      <c r="BB401" s="1958">
        <f t="shared" si="779"/>
        <v>61.997771346683564</v>
      </c>
      <c r="BC401" s="1959">
        <f t="shared" si="779"/>
        <v>62.004307973333049</v>
      </c>
      <c r="BD401" s="1959">
        <f t="shared" si="779"/>
        <v>60.997268308267479</v>
      </c>
      <c r="BE401" s="1960">
        <f t="shared" si="779"/>
        <v>59.995303022829908</v>
      </c>
      <c r="BF401" s="1958">
        <f t="shared" si="779"/>
        <v>58.002301593104278</v>
      </c>
      <c r="BG401" s="1959">
        <f t="shared" si="779"/>
        <v>60.002912960459959</v>
      </c>
      <c r="BH401" s="1959">
        <f t="shared" si="779"/>
        <v>57.997936299454445</v>
      </c>
      <c r="BI401" s="1960">
        <f t="shared" si="779"/>
        <v>55.99794825033058</v>
      </c>
      <c r="BJ401" s="1958">
        <f t="shared" si="779"/>
        <v>58</v>
      </c>
      <c r="BK401" s="1959">
        <f t="shared" si="779"/>
        <v>59.995372084687425</v>
      </c>
      <c r="BL401" s="1959">
        <f t="shared" si="779"/>
        <v>61.216489132438987</v>
      </c>
      <c r="BM401" s="1959">
        <f t="shared" si="779"/>
        <v>60.00141350529033</v>
      </c>
      <c r="BN401" s="1958">
        <f t="shared" si="779"/>
        <v>59.164687413217649</v>
      </c>
      <c r="BO401" s="1959">
        <f t="shared" si="779"/>
        <v>60.526110469164962</v>
      </c>
      <c r="BP401" s="1959">
        <f t="shared" si="779"/>
        <v>59.546007757243395</v>
      </c>
      <c r="BQ401" s="1960">
        <f t="shared" si="779"/>
        <v>62.683232520425236</v>
      </c>
      <c r="BR401" s="1958">
        <f>BR395*1000/BR398</f>
        <v>61.484476651722581</v>
      </c>
      <c r="BS401" s="1959"/>
      <c r="BT401" s="1959"/>
      <c r="BU401" s="1960"/>
      <c r="BV401" s="1958"/>
      <c r="BW401" s="1959"/>
      <c r="BX401" s="1959"/>
      <c r="BY401" s="1960"/>
      <c r="BZ401" s="1958"/>
      <c r="CA401" s="1959"/>
      <c r="CB401" s="1959"/>
      <c r="CC401" s="1960"/>
      <c r="CD401" s="1845"/>
      <c r="CE401" s="1831"/>
      <c r="CF401" s="1831"/>
      <c r="CG401" s="1831"/>
      <c r="CH401" s="1831"/>
      <c r="CI401" s="1831"/>
      <c r="CJ401" s="1831"/>
      <c r="CK401" s="1822">
        <f t="shared" ref="CK401:CR401" si="780">CK395/CK398*1000</f>
        <v>56.647051923230045</v>
      </c>
      <c r="CL401" s="1822">
        <f t="shared" si="780"/>
        <v>58.705317058085299</v>
      </c>
      <c r="CM401" s="1822">
        <f t="shared" si="780"/>
        <v>50.893703486586986</v>
      </c>
      <c r="CN401" s="1822">
        <f t="shared" si="780"/>
        <v>49.772578015297022</v>
      </c>
      <c r="CO401" s="1822">
        <f t="shared" si="780"/>
        <v>45.49048608465678</v>
      </c>
      <c r="CP401" s="1822">
        <f t="shared" si="780"/>
        <v>60.782448062853391</v>
      </c>
      <c r="CQ401" s="1822">
        <f t="shared" si="780"/>
        <v>61.254331213168456</v>
      </c>
      <c r="CR401" s="1822">
        <f t="shared" si="780"/>
        <v>58.000175368317095</v>
      </c>
      <c r="CS401" s="1822">
        <f>CS395/CS398*1000</f>
        <v>59.723074931876681</v>
      </c>
      <c r="CT401" s="1822">
        <f>CT395/CT398*1000</f>
        <v>60.384431068608507</v>
      </c>
      <c r="CU401" s="1959">
        <f>CU395*1000/CU398</f>
        <v>61.484476651722581</v>
      </c>
      <c r="CV401" s="1959"/>
      <c r="CW401" s="1962"/>
      <c r="CX401" s="1962"/>
      <c r="CY401" s="1962"/>
      <c r="CZ401" s="1962"/>
      <c r="DA401" s="1962"/>
      <c r="DB401" s="1962"/>
      <c r="DC401" s="1962"/>
      <c r="DD401" s="1845"/>
      <c r="DE401" s="1961"/>
      <c r="DF401" s="1830"/>
      <c r="DG401" s="1783"/>
      <c r="DH401" s="1782"/>
      <c r="DI401" s="1782"/>
      <c r="DJ401" s="1782"/>
      <c r="DK401" s="1782"/>
      <c r="DL401" s="1782"/>
      <c r="DM401" s="1963">
        <f t="shared" ref="DM401:DR401" si="781">DM395/DM398*1000</f>
        <v>58.324594265127153</v>
      </c>
      <c r="DN401" s="1963">
        <f t="shared" si="781"/>
        <v>54.958742209042718</v>
      </c>
      <c r="DO401" s="1963">
        <f t="shared" si="781"/>
        <v>49.993268165367283</v>
      </c>
      <c r="DP401" s="1963">
        <f t="shared" si="781"/>
        <v>47.740035183276902</v>
      </c>
      <c r="DQ401" s="1963">
        <f t="shared" si="781"/>
        <v>48.626695492101646</v>
      </c>
      <c r="DR401" s="1963">
        <f t="shared" si="781"/>
        <v>64.023471866049931</v>
      </c>
      <c r="DS401" s="1964">
        <f>DS395/DS398*1000</f>
        <v>59.734854914781351</v>
      </c>
      <c r="DT401" s="1963">
        <f>DT395/DT398*1000</f>
        <v>57.98138588932926</v>
      </c>
      <c r="DU401" s="1963">
        <f>DU395/DU398*1000</f>
        <v>60.241262154911901</v>
      </c>
      <c r="DV401" s="1963">
        <f>DV395/DV398*1000</f>
        <v>61.212963765038424</v>
      </c>
      <c r="DW401" s="1965"/>
      <c r="DX401" s="1963"/>
      <c r="DY401" s="1963"/>
      <c r="DZ401" s="1830"/>
      <c r="EA401"/>
      <c r="EB401"/>
      <c r="EC401"/>
      <c r="ED401"/>
      <c r="EE401"/>
      <c r="EF401"/>
    </row>
    <row r="402" spans="1:136" s="1785" customFormat="1" ht="11.25" hidden="1" customHeight="1" outlineLevel="1">
      <c r="A402" s="1827"/>
      <c r="B402" s="1855"/>
      <c r="C402" s="1849" t="s">
        <v>76</v>
      </c>
      <c r="D402" s="1875"/>
      <c r="E402" s="1876"/>
      <c r="F402" s="1851"/>
      <c r="G402" s="1852"/>
      <c r="H402" s="1852"/>
      <c r="I402" s="1825"/>
      <c r="J402" s="1852"/>
      <c r="K402" s="1852"/>
      <c r="L402" s="1852"/>
      <c r="M402" s="1825"/>
      <c r="N402" s="1852"/>
      <c r="O402" s="1852"/>
      <c r="P402" s="1852"/>
      <c r="Q402" s="1825"/>
      <c r="R402" s="1852"/>
      <c r="S402" s="1852"/>
      <c r="T402" s="1852"/>
      <c r="U402" s="1825"/>
      <c r="V402" s="1852"/>
      <c r="W402" s="1852"/>
      <c r="X402" s="1852"/>
      <c r="Y402" s="1825"/>
      <c r="Z402" s="1852"/>
      <c r="AA402" s="1852"/>
      <c r="AB402" s="1852"/>
      <c r="AC402" s="1825"/>
      <c r="AD402" s="1852"/>
      <c r="AE402" s="1852"/>
      <c r="AF402" s="1852"/>
      <c r="AG402" s="1852"/>
      <c r="AH402" s="1851">
        <f t="shared" ref="AH402:AS402" si="782">AH401/AD401-1</f>
        <v>5.6462463289223441E-2</v>
      </c>
      <c r="AI402" s="1852">
        <f t="shared" si="782"/>
        <v>4.3551092355054388E-2</v>
      </c>
      <c r="AJ402" s="1852">
        <f t="shared" si="782"/>
        <v>1.7629999668921981E-2</v>
      </c>
      <c r="AK402" s="1825">
        <f t="shared" si="782"/>
        <v>3.0070725481134986E-2</v>
      </c>
      <c r="AL402" s="1852">
        <f t="shared" si="782"/>
        <v>-8.9720307570929636E-2</v>
      </c>
      <c r="AM402" s="1852">
        <f t="shared" si="782"/>
        <v>-0.15623835225659544</v>
      </c>
      <c r="AN402" s="1852">
        <f t="shared" si="782"/>
        <v>-0.13841944226852909</v>
      </c>
      <c r="AO402" s="1825">
        <f t="shared" si="782"/>
        <v>-0.14873193435731324</v>
      </c>
      <c r="AP402" s="1852">
        <f t="shared" si="782"/>
        <v>-8.4616143064704552E-2</v>
      </c>
      <c r="AQ402" s="1852">
        <f t="shared" si="782"/>
        <v>1.2407701390921178E-2</v>
      </c>
      <c r="AR402" s="1852">
        <f t="shared" si="782"/>
        <v>1.1509933759991098E-2</v>
      </c>
      <c r="AS402" s="1852">
        <f t="shared" si="782"/>
        <v>-2.6646024405622026E-2</v>
      </c>
      <c r="AT402" s="1851">
        <f t="shared" ref="AT402:BD402" si="783">AT401/AP401-1</f>
        <v>-6.1885036710357944E-2</v>
      </c>
      <c r="AU402" s="1852">
        <f t="shared" si="783"/>
        <v>-9.6181368378555954E-2</v>
      </c>
      <c r="AV402" s="1852">
        <f t="shared" si="783"/>
        <v>-0.11838204652305762</v>
      </c>
      <c r="AW402" s="1825">
        <f t="shared" si="783"/>
        <v>-6.1915402901643324E-2</v>
      </c>
      <c r="AX402" s="1852">
        <f t="shared" si="783"/>
        <v>1.3284933276302979E-3</v>
      </c>
      <c r="AY402" s="1852">
        <f t="shared" si="783"/>
        <v>0.46707102035806458</v>
      </c>
      <c r="AZ402" s="1852">
        <f t="shared" si="783"/>
        <v>0.51220174071892832</v>
      </c>
      <c r="BA402" s="1825">
        <f t="shared" si="783"/>
        <v>0.47639467717162143</v>
      </c>
      <c r="BB402" s="1851">
        <f t="shared" si="783"/>
        <v>0.34722177590402414</v>
      </c>
      <c r="BC402" s="1852">
        <f t="shared" si="783"/>
        <v>-0.10138560137683905</v>
      </c>
      <c r="BD402" s="1852">
        <f t="shared" si="783"/>
        <v>-0.10316045896828718</v>
      </c>
      <c r="BE402" s="1825">
        <f t="shared" ref="BE402:BM402" si="784">BE401/BA401-1</f>
        <v>-7.7063680223139253E-2</v>
      </c>
      <c r="BF402" s="1851">
        <f t="shared" si="784"/>
        <v>-6.4445377096494894E-2</v>
      </c>
      <c r="BG402" s="1852">
        <f t="shared" si="784"/>
        <v>-3.2278321914887775E-2</v>
      </c>
      <c r="BH402" s="1852">
        <f t="shared" si="784"/>
        <v>-4.9171579187038961E-2</v>
      </c>
      <c r="BI402" s="1825">
        <f t="shared" si="784"/>
        <v>-6.6627795362217301E-2</v>
      </c>
      <c r="BJ402" s="1851">
        <f t="shared" si="784"/>
        <v>-3.968106507956648E-5</v>
      </c>
      <c r="BK402" s="1852">
        <f t="shared" si="784"/>
        <v>-1.2567516142925061E-4</v>
      </c>
      <c r="BL402" s="1852">
        <f t="shared" si="784"/>
        <v>5.5494264767741663E-2</v>
      </c>
      <c r="BM402" s="1852">
        <f t="shared" si="784"/>
        <v>7.1493070372200984E-2</v>
      </c>
      <c r="BN402" s="1851">
        <f>BN401/BJ401-1</f>
        <v>2.0080817469269707E-2</v>
      </c>
      <c r="BO402" s="1852">
        <f>BO401/BK401-1</f>
        <v>8.8463220751153759E-3</v>
      </c>
      <c r="BP402" s="1852">
        <f>BP401/BL401-1</f>
        <v>-2.7288095068333407E-2</v>
      </c>
      <c r="BQ402" s="1825">
        <f>BQ401/BM401-1</f>
        <v>4.4695930620008539E-2</v>
      </c>
      <c r="BR402" s="1851">
        <f>BR401/BN401-1</f>
        <v>3.9209017066262453E-2</v>
      </c>
      <c r="BS402" s="1852"/>
      <c r="BT402" s="1852"/>
      <c r="BU402" s="1825"/>
      <c r="BV402" s="1852"/>
      <c r="BW402" s="1852"/>
      <c r="BX402" s="1852"/>
      <c r="BY402" s="1825"/>
      <c r="BZ402" s="1852"/>
      <c r="CA402" s="1852"/>
      <c r="CB402" s="1852"/>
      <c r="CC402" s="1825"/>
      <c r="CD402" s="1853"/>
      <c r="CE402" s="1852"/>
      <c r="CF402" s="1852"/>
      <c r="CG402" s="1852"/>
      <c r="CH402" s="1852"/>
      <c r="CI402" s="1852"/>
      <c r="CJ402" s="1852"/>
      <c r="CK402" s="1854"/>
      <c r="CL402" s="1852">
        <f t="shared" ref="CL402:CT402" si="785">CL401/CK401-1</f>
        <v>3.6334902964494598E-2</v>
      </c>
      <c r="CM402" s="1852">
        <f t="shared" si="785"/>
        <v>-0.13306483914854261</v>
      </c>
      <c r="CN402" s="1852">
        <f t="shared" si="785"/>
        <v>-2.2028765731018862E-2</v>
      </c>
      <c r="CO402" s="1852">
        <f t="shared" si="785"/>
        <v>-8.603315523106303E-2</v>
      </c>
      <c r="CP402" s="1852">
        <f t="shared" si="785"/>
        <v>0.33615736595424828</v>
      </c>
      <c r="CQ402" s="1852">
        <f t="shared" si="785"/>
        <v>7.7634772101824456E-3</v>
      </c>
      <c r="CR402" s="1852">
        <f t="shared" si="785"/>
        <v>-5.3125318330988214E-2</v>
      </c>
      <c r="CS402" s="1852">
        <f t="shared" si="785"/>
        <v>2.9705075072940623E-2</v>
      </c>
      <c r="CT402" s="1852">
        <f t="shared" si="785"/>
        <v>1.1073712086763887E-2</v>
      </c>
      <c r="CU402" s="1852">
        <f>CU401/CT401-1</f>
        <v>1.8217370995252224E-2</v>
      </c>
      <c r="CV402" s="1852"/>
      <c r="CW402" s="1852"/>
      <c r="CX402" s="1852"/>
      <c r="CY402" s="1852"/>
      <c r="CZ402" s="1852"/>
      <c r="DA402" s="1852"/>
      <c r="DB402" s="1852"/>
      <c r="DC402" s="1852"/>
      <c r="DD402" s="1853"/>
      <c r="DE402" s="1854"/>
      <c r="DF402" s="1852"/>
      <c r="DG402" s="1855"/>
      <c r="DH402" s="1848"/>
      <c r="DI402" s="1848"/>
      <c r="DJ402" s="1848"/>
      <c r="DK402" s="1848"/>
      <c r="DL402" s="1848"/>
      <c r="DM402" s="1852"/>
      <c r="DN402" s="1852">
        <f t="shared" ref="DN402:DV402" si="786">DN401/DM401-1</f>
        <v>-5.7708966491635039E-2</v>
      </c>
      <c r="DO402" s="1852">
        <f t="shared" si="786"/>
        <v>-9.0349120887603496E-2</v>
      </c>
      <c r="DP402" s="1852">
        <f t="shared" si="786"/>
        <v>-4.5070727815536227E-2</v>
      </c>
      <c r="DQ402" s="1852">
        <f t="shared" si="786"/>
        <v>1.8572678160390987E-2</v>
      </c>
      <c r="DR402" s="1852">
        <f t="shared" si="786"/>
        <v>0.31663217535415611</v>
      </c>
      <c r="DS402" s="1851">
        <f t="shared" si="786"/>
        <v>-6.6985073228162828E-2</v>
      </c>
      <c r="DT402" s="1852">
        <f t="shared" si="786"/>
        <v>-2.9354202466108203E-2</v>
      </c>
      <c r="DU402" s="1852">
        <f t="shared" si="786"/>
        <v>3.8975892537238321E-2</v>
      </c>
      <c r="DV402" s="1852">
        <f t="shared" si="786"/>
        <v>1.6130166855199191E-2</v>
      </c>
      <c r="DW402" s="1825"/>
      <c r="DX402" s="1852"/>
      <c r="DY402" s="1852"/>
      <c r="DZ402" s="1827"/>
      <c r="EA402"/>
      <c r="EB402"/>
      <c r="EC402"/>
      <c r="ED402"/>
      <c r="EE402"/>
      <c r="EF402"/>
    </row>
    <row r="403" spans="1:136" s="1785" customFormat="1" ht="11.25" hidden="1" customHeight="1" outlineLevel="1">
      <c r="A403" s="1827"/>
      <c r="B403" s="1855"/>
      <c r="C403" s="1848" t="s">
        <v>77</v>
      </c>
      <c r="D403" s="1875"/>
      <c r="E403" s="1876"/>
      <c r="F403" s="1851"/>
      <c r="G403" s="1852"/>
      <c r="H403" s="1852"/>
      <c r="I403" s="1825"/>
      <c r="J403" s="1852"/>
      <c r="K403" s="1852"/>
      <c r="L403" s="1852"/>
      <c r="M403" s="1825"/>
      <c r="N403" s="1852"/>
      <c r="O403" s="1852"/>
      <c r="P403" s="1852"/>
      <c r="Q403" s="1825"/>
      <c r="R403" s="1852"/>
      <c r="S403" s="1852"/>
      <c r="T403" s="1852"/>
      <c r="U403" s="1825"/>
      <c r="V403" s="1852"/>
      <c r="W403" s="1852"/>
      <c r="X403" s="1852"/>
      <c r="Y403" s="1825"/>
      <c r="Z403" s="1852"/>
      <c r="AA403" s="1852"/>
      <c r="AB403" s="1852"/>
      <c r="AC403" s="1825"/>
      <c r="AD403" s="1852"/>
      <c r="AE403" s="1852">
        <f t="shared" ref="AE403:AS403" si="787">AE401/AD401-1</f>
        <v>4.8950400092653057E-2</v>
      </c>
      <c r="AF403" s="1852">
        <f t="shared" si="787"/>
        <v>-1.4577645842090758E-2</v>
      </c>
      <c r="AG403" s="1852">
        <f t="shared" si="787"/>
        <v>-4.4023294405005409E-2</v>
      </c>
      <c r="AH403" s="1851">
        <f t="shared" si="787"/>
        <v>6.9127247823260296E-2</v>
      </c>
      <c r="AI403" s="1852">
        <f t="shared" si="787"/>
        <v>3.6130836522950016E-2</v>
      </c>
      <c r="AJ403" s="1852">
        <f t="shared" si="787"/>
        <v>-3.9054860579577966E-2</v>
      </c>
      <c r="AK403" s="1825">
        <f t="shared" si="787"/>
        <v>-3.233629217331091E-2</v>
      </c>
      <c r="AL403" s="1852">
        <f t="shared" si="787"/>
        <v>-5.5205823986967051E-2</v>
      </c>
      <c r="AM403" s="1852">
        <f t="shared" si="787"/>
        <v>-3.9583691503171203E-2</v>
      </c>
      <c r="AN403" s="1852">
        <f t="shared" si="787"/>
        <v>-1.8761220795644906E-2</v>
      </c>
      <c r="AO403" s="1825">
        <f t="shared" si="787"/>
        <v>-4.3918522345543276E-2</v>
      </c>
      <c r="AP403" s="1852">
        <f t="shared" si="787"/>
        <v>1.5954165032461498E-2</v>
      </c>
      <c r="AQ403" s="1852">
        <f t="shared" si="787"/>
        <v>6.2213256107659598E-2</v>
      </c>
      <c r="AR403" s="1852">
        <f t="shared" si="787"/>
        <v>-1.9631348919890268E-2</v>
      </c>
      <c r="AS403" s="1852">
        <f t="shared" si="787"/>
        <v>-7.9983620321098292E-2</v>
      </c>
      <c r="AT403" s="1851">
        <f t="shared" ref="AT403:BD403" si="788">AT401/AS401-1</f>
        <v>-2.0827131618394223E-2</v>
      </c>
      <c r="AU403" s="1852">
        <f t="shared" si="788"/>
        <v>2.3380043165316611E-2</v>
      </c>
      <c r="AV403" s="1852">
        <f t="shared" si="788"/>
        <v>-4.3712340530499993E-2</v>
      </c>
      <c r="AW403" s="1825">
        <f t="shared" si="788"/>
        <v>-2.1057600459195469E-2</v>
      </c>
      <c r="AX403" s="1852">
        <f t="shared" si="788"/>
        <v>4.5186858452432643E-2</v>
      </c>
      <c r="AY403" s="1852">
        <f t="shared" si="788"/>
        <v>0.49937928875991666</v>
      </c>
      <c r="AZ403" s="1852">
        <f t="shared" si="788"/>
        <v>-1.4294575238176677E-2</v>
      </c>
      <c r="BA403" s="1825">
        <f t="shared" si="788"/>
        <v>-4.4237743535109342E-2</v>
      </c>
      <c r="BB403" s="1851">
        <f t="shared" si="788"/>
        <v>-4.6258756301278958E-2</v>
      </c>
      <c r="BC403" s="1852">
        <f t="shared" si="788"/>
        <v>1.0543325199430242E-4</v>
      </c>
      <c r="BD403" s="1852">
        <f t="shared" si="788"/>
        <v>-1.6241446731389719E-2</v>
      </c>
      <c r="BE403" s="1825">
        <f t="shared" ref="BE403:BM403" si="789">BE401/BD401-1</f>
        <v>-1.6426396021111067E-2</v>
      </c>
      <c r="BF403" s="1851">
        <f t="shared" si="789"/>
        <v>-3.3219290999617734E-2</v>
      </c>
      <c r="BG403" s="1852">
        <f t="shared" si="789"/>
        <v>3.4491930706307183E-2</v>
      </c>
      <c r="BH403" s="1852">
        <f t="shared" si="789"/>
        <v>-3.3414655423924744E-2</v>
      </c>
      <c r="BI403" s="1825">
        <f t="shared" si="789"/>
        <v>-3.4483779539974391E-2</v>
      </c>
      <c r="BJ403" s="1851">
        <f t="shared" si="789"/>
        <v>3.5752234005423489E-2</v>
      </c>
      <c r="BK403" s="1852">
        <f t="shared" si="789"/>
        <v>3.4402966977369331E-2</v>
      </c>
      <c r="BL403" s="1852">
        <f t="shared" si="789"/>
        <v>2.0353520702028005E-2</v>
      </c>
      <c r="BM403" s="1852">
        <f t="shared" si="789"/>
        <v>-1.984882903885421E-2</v>
      </c>
      <c r="BN403" s="1851">
        <f>BN401/BM401-1</f>
        <v>-1.3945106343184799E-2</v>
      </c>
      <c r="BO403" s="1852">
        <f>BO401/BN401-1</f>
        <v>2.3010736901876383E-2</v>
      </c>
      <c r="BP403" s="1852">
        <f>BP401/BO401-1</f>
        <v>-1.6193056258271943E-2</v>
      </c>
      <c r="BQ403" s="1825">
        <f>BQ401/BP401-1</f>
        <v>5.2685727915994907E-2</v>
      </c>
      <c r="BR403" s="1851">
        <f>BR401/BQ401-1</f>
        <v>-1.9124027598800719E-2</v>
      </c>
      <c r="BS403" s="1852"/>
      <c r="BT403" s="1852"/>
      <c r="BU403" s="1825"/>
      <c r="BV403" s="1852"/>
      <c r="BW403" s="1852"/>
      <c r="BX403" s="1852"/>
      <c r="BY403" s="1825"/>
      <c r="BZ403" s="1852"/>
      <c r="CA403" s="1852"/>
      <c r="CB403" s="1852"/>
      <c r="CC403" s="1825"/>
      <c r="CD403" s="1853"/>
      <c r="CE403" s="1852"/>
      <c r="CF403" s="1852"/>
      <c r="CG403" s="1852"/>
      <c r="CH403" s="1852"/>
      <c r="CI403" s="1852"/>
      <c r="CJ403" s="1852"/>
      <c r="CK403" s="1854"/>
      <c r="CL403" s="1854"/>
      <c r="CM403" s="1852"/>
      <c r="CN403" s="1852"/>
      <c r="CO403" s="1852"/>
      <c r="CP403" s="1852"/>
      <c r="CQ403" s="1852"/>
      <c r="CR403" s="1852"/>
      <c r="CS403" s="1852"/>
      <c r="CT403" s="1852"/>
      <c r="CU403" s="1852"/>
      <c r="CV403" s="1852"/>
      <c r="CW403" s="1852"/>
      <c r="CX403" s="1852"/>
      <c r="CY403" s="1852"/>
      <c r="CZ403" s="1852"/>
      <c r="DA403" s="1852"/>
      <c r="DB403" s="1852"/>
      <c r="DC403" s="1852"/>
      <c r="DD403" s="1853"/>
      <c r="DE403" s="1854"/>
      <c r="DF403" s="1852"/>
      <c r="DG403" s="1855"/>
      <c r="DH403" s="1848"/>
      <c r="DI403" s="1848"/>
      <c r="DJ403" s="1848"/>
      <c r="DK403" s="1848"/>
      <c r="DL403" s="1848"/>
      <c r="DM403" s="1848"/>
      <c r="DN403" s="1848"/>
      <c r="DO403" s="1848"/>
      <c r="DP403" s="1848"/>
      <c r="DQ403" s="1848"/>
      <c r="DR403" s="1848"/>
      <c r="DS403" s="1855"/>
      <c r="DT403" s="1827"/>
      <c r="DU403" s="1827"/>
      <c r="DV403" s="1827"/>
      <c r="DW403" s="1899"/>
      <c r="DX403" s="1827"/>
      <c r="DY403" s="1827"/>
      <c r="DZ403" s="1827"/>
      <c r="EA403"/>
      <c r="EB403"/>
      <c r="EC403"/>
      <c r="ED403"/>
      <c r="EE403"/>
      <c r="EF403"/>
    </row>
    <row r="404" spans="1:136" s="1785" customFormat="1" ht="5.25" hidden="1" customHeight="1" outlineLevel="1">
      <c r="A404" s="1829"/>
      <c r="B404" s="1913"/>
      <c r="C404" s="1914"/>
      <c r="D404" s="1915"/>
      <c r="E404" s="1916"/>
      <c r="F404" s="1917"/>
      <c r="G404" s="1918"/>
      <c r="H404" s="1918"/>
      <c r="I404" s="1919"/>
      <c r="J404" s="1920"/>
      <c r="K404" s="1921"/>
      <c r="L404" s="1921"/>
      <c r="M404" s="1922"/>
      <c r="N404" s="1921"/>
      <c r="O404" s="1921"/>
      <c r="P404" s="1921"/>
      <c r="Q404" s="1921"/>
      <c r="R404" s="1920"/>
      <c r="S404" s="1921"/>
      <c r="T404" s="1921"/>
      <c r="U404" s="1921"/>
      <c r="V404" s="1920"/>
      <c r="W404" s="1921"/>
      <c r="X404" s="1921"/>
      <c r="Y404" s="1921"/>
      <c r="Z404" s="1920"/>
      <c r="AA404" s="1921"/>
      <c r="AB404" s="1921"/>
      <c r="AC404" s="1921"/>
      <c r="AD404" s="1920"/>
      <c r="AE404" s="1921"/>
      <c r="AF404" s="1921"/>
      <c r="AG404" s="1921"/>
      <c r="AH404" s="1920"/>
      <c r="AI404" s="1921"/>
      <c r="AJ404" s="1921"/>
      <c r="AK404" s="1922"/>
      <c r="AL404" s="1921"/>
      <c r="AM404" s="1921"/>
      <c r="AN404" s="1921"/>
      <c r="AO404" s="1922"/>
      <c r="AP404" s="1921"/>
      <c r="AQ404" s="1921"/>
      <c r="AR404" s="1921"/>
      <c r="AS404" s="1922"/>
      <c r="AT404" s="1921"/>
      <c r="AU404" s="1921"/>
      <c r="AV404" s="1921"/>
      <c r="AW404" s="1922"/>
      <c r="AX404" s="1921"/>
      <c r="AY404" s="1921"/>
      <c r="AZ404" s="1921"/>
      <c r="BA404" s="1922"/>
      <c r="BB404" s="1920"/>
      <c r="BC404" s="1921"/>
      <c r="BD404" s="1921"/>
      <c r="BE404" s="1922"/>
      <c r="BF404" s="1920"/>
      <c r="BG404" s="1921"/>
      <c r="BH404" s="1921"/>
      <c r="BI404" s="1922"/>
      <c r="BJ404" s="1920"/>
      <c r="BK404" s="1921"/>
      <c r="BL404" s="1921"/>
      <c r="BM404" s="1921"/>
      <c r="BN404" s="1920"/>
      <c r="BO404" s="1921"/>
      <c r="BP404" s="1921"/>
      <c r="BQ404" s="1922"/>
      <c r="BR404" s="1921"/>
      <c r="BS404" s="1921"/>
      <c r="BT404" s="1921"/>
      <c r="BU404" s="1922"/>
      <c r="BV404" s="1921"/>
      <c r="BW404" s="1921"/>
      <c r="BX404" s="1921"/>
      <c r="BY404" s="1922"/>
      <c r="BZ404" s="1921"/>
      <c r="CA404" s="1921"/>
      <c r="CB404" s="1921"/>
      <c r="CC404" s="1922"/>
      <c r="CD404" s="1837"/>
      <c r="CE404" s="1921"/>
      <c r="CF404" s="1921"/>
      <c r="CG404" s="1921"/>
      <c r="CH404" s="1921"/>
      <c r="CI404" s="1921"/>
      <c r="CJ404" s="1921"/>
      <c r="CK404" s="1923"/>
      <c r="CL404" s="1923"/>
      <c r="CM404" s="1921"/>
      <c r="CN404" s="1921"/>
      <c r="CO404" s="1924"/>
      <c r="CP404" s="1924"/>
      <c r="CQ404" s="1924"/>
      <c r="CR404" s="1921"/>
      <c r="CS404" s="1921"/>
      <c r="CT404" s="1921"/>
      <c r="CU404" s="1921"/>
      <c r="CV404" s="1921"/>
      <c r="CW404" s="1921"/>
      <c r="CX404" s="1921"/>
      <c r="CY404" s="1921"/>
      <c r="CZ404" s="1921"/>
      <c r="DA404" s="1921"/>
      <c r="DB404" s="1921"/>
      <c r="DC404" s="1921"/>
      <c r="DD404" s="1925"/>
      <c r="DE404" s="1839"/>
      <c r="DF404" s="1829"/>
      <c r="DG404" s="1926"/>
      <c r="DH404" s="1927"/>
      <c r="DI404" s="1927"/>
      <c r="DJ404" s="1927"/>
      <c r="DK404" s="1927"/>
      <c r="DL404" s="1927"/>
      <c r="DM404" s="1927"/>
      <c r="DN404" s="1927"/>
      <c r="DO404" s="1927"/>
      <c r="DP404" s="1927"/>
      <c r="DQ404" s="1927"/>
      <c r="DR404" s="1927"/>
      <c r="DS404" s="1926"/>
      <c r="DT404" s="1928"/>
      <c r="DU404" s="1928"/>
      <c r="DV404" s="1928"/>
      <c r="DW404" s="1929"/>
      <c r="DX404" s="1874"/>
      <c r="DY404" s="1874"/>
      <c r="DZ404" s="1829"/>
      <c r="EA404"/>
      <c r="EB404"/>
      <c r="EC404"/>
      <c r="ED404"/>
      <c r="EE404"/>
      <c r="EF404"/>
    </row>
    <row r="405" spans="1:136" s="1785" customFormat="1" ht="3.75" hidden="1" customHeight="1" outlineLevel="1">
      <c r="A405" s="1829"/>
      <c r="B405" s="1930"/>
      <c r="C405" s="1860"/>
      <c r="D405" s="1931"/>
      <c r="E405" s="1932"/>
      <c r="F405" s="1780"/>
      <c r="G405" s="1781"/>
      <c r="H405" s="1781"/>
      <c r="I405" s="1933"/>
      <c r="J405" s="1934"/>
      <c r="K405" s="1934"/>
      <c r="L405" s="1934"/>
      <c r="M405" s="1935"/>
      <c r="N405" s="1934"/>
      <c r="O405" s="1934"/>
      <c r="P405" s="1934"/>
      <c r="Q405" s="1934"/>
      <c r="R405" s="1934"/>
      <c r="S405" s="1934"/>
      <c r="T405" s="1934"/>
      <c r="U405" s="1934"/>
      <c r="V405" s="1934"/>
      <c r="W405" s="1934"/>
      <c r="X405" s="1934"/>
      <c r="Y405" s="1934"/>
      <c r="Z405" s="1934"/>
      <c r="AA405" s="1934"/>
      <c r="AB405" s="1934"/>
      <c r="AC405" s="1934"/>
      <c r="AD405" s="1934"/>
      <c r="AE405" s="1934"/>
      <c r="AF405" s="1934"/>
      <c r="AG405" s="1934"/>
      <c r="AH405" s="1936"/>
      <c r="AI405" s="1934"/>
      <c r="AJ405" s="1934"/>
      <c r="AK405" s="1935"/>
      <c r="AL405" s="1934"/>
      <c r="AM405" s="1934"/>
      <c r="AN405" s="1934"/>
      <c r="AO405" s="1935"/>
      <c r="AP405" s="1934"/>
      <c r="AQ405" s="1934"/>
      <c r="AR405" s="1934"/>
      <c r="AS405" s="1934"/>
      <c r="AT405" s="1966"/>
      <c r="AU405" s="1934"/>
      <c r="AV405" s="1934"/>
      <c r="AW405" s="1935"/>
      <c r="AX405" s="1934"/>
      <c r="AY405" s="1934"/>
      <c r="AZ405" s="1934"/>
      <c r="BA405" s="1935"/>
      <c r="BB405" s="1936"/>
      <c r="BC405" s="1934"/>
      <c r="BD405" s="1934"/>
      <c r="BE405" s="1935"/>
      <c r="BF405" s="1936"/>
      <c r="BG405" s="1934"/>
      <c r="BH405" s="1934"/>
      <c r="BI405" s="1935"/>
      <c r="BJ405" s="1936"/>
      <c r="BK405" s="1934"/>
      <c r="BL405" s="1934"/>
      <c r="BM405" s="1934"/>
      <c r="BN405" s="1936"/>
      <c r="BO405" s="1934"/>
      <c r="BP405" s="1934"/>
      <c r="BQ405" s="1935"/>
      <c r="BR405" s="1934"/>
      <c r="BS405" s="1934"/>
      <c r="BT405" s="1934"/>
      <c r="BU405" s="1935"/>
      <c r="BV405" s="1934"/>
      <c r="BW405" s="1934"/>
      <c r="BX405" s="1934"/>
      <c r="BY405" s="1935"/>
      <c r="BZ405" s="1934"/>
      <c r="CA405" s="1934"/>
      <c r="CB405" s="1934"/>
      <c r="CC405" s="1935"/>
      <c r="CD405" s="1837"/>
      <c r="CE405" s="1934"/>
      <c r="CF405" s="1934"/>
      <c r="CG405" s="1934"/>
      <c r="CH405" s="1934"/>
      <c r="CI405" s="1934"/>
      <c r="CJ405" s="1934"/>
      <c r="CK405" s="1937"/>
      <c r="CL405" s="1937"/>
      <c r="CM405" s="1934"/>
      <c r="CN405" s="1934"/>
      <c r="CO405" s="1938"/>
      <c r="CP405" s="1938"/>
      <c r="CQ405" s="1938"/>
      <c r="CR405" s="1934"/>
      <c r="CS405" s="1934"/>
      <c r="CT405" s="1934"/>
      <c r="CU405" s="1934"/>
      <c r="CV405" s="1934"/>
      <c r="CW405" s="1934"/>
      <c r="CX405" s="1934"/>
      <c r="CY405" s="1934"/>
      <c r="CZ405" s="1934"/>
      <c r="DA405" s="1934"/>
      <c r="DB405" s="1934"/>
      <c r="DC405" s="1934"/>
      <c r="DD405" s="1837"/>
      <c r="DE405" s="1839"/>
      <c r="DF405" s="1829"/>
      <c r="DG405" s="1804"/>
      <c r="DH405" s="1803"/>
      <c r="DI405" s="1803"/>
      <c r="DJ405" s="1803"/>
      <c r="DK405" s="1803"/>
      <c r="DL405" s="1803"/>
      <c r="DM405" s="1803"/>
      <c r="DN405" s="1803"/>
      <c r="DO405" s="1803"/>
      <c r="DP405" s="1803"/>
      <c r="DQ405" s="1803"/>
      <c r="DR405" s="1803"/>
      <c r="DS405" s="1804"/>
      <c r="DT405" s="1874"/>
      <c r="DU405" s="1874"/>
      <c r="DV405" s="1874"/>
      <c r="DW405" s="1942"/>
      <c r="DX405" s="1874"/>
      <c r="DY405" s="1874"/>
      <c r="DZ405" s="1829"/>
      <c r="EA405"/>
      <c r="EB405"/>
      <c r="EC405"/>
      <c r="ED405"/>
      <c r="EE405"/>
      <c r="EF405"/>
    </row>
    <row r="406" spans="1:136" s="1785" customFormat="1" ht="11.25" hidden="1" customHeight="1" outlineLevel="1">
      <c r="A406" s="1830"/>
      <c r="B406" s="1943"/>
      <c r="C406" s="1944" t="s">
        <v>575</v>
      </c>
      <c r="D406" s="1830"/>
      <c r="E406" s="1841"/>
      <c r="F406" s="1945"/>
      <c r="G406" s="1946"/>
      <c r="H406" s="1946"/>
      <c r="I406" s="1947"/>
      <c r="J406" s="1946"/>
      <c r="K406" s="1946"/>
      <c r="L406" s="1946"/>
      <c r="M406" s="1947"/>
      <c r="N406" s="1946"/>
      <c r="O406" s="1946"/>
      <c r="P406" s="1946"/>
      <c r="Q406" s="1947"/>
      <c r="R406" s="1946"/>
      <c r="S406" s="1946"/>
      <c r="T406" s="1946"/>
      <c r="U406" s="1947"/>
      <c r="V406" s="1946"/>
      <c r="W406" s="1946"/>
      <c r="X406" s="1946"/>
      <c r="Y406" s="1947"/>
      <c r="Z406" s="1946"/>
      <c r="AA406" s="1946"/>
      <c r="AB406" s="1946"/>
      <c r="AC406" s="1947"/>
      <c r="AD406" s="1946"/>
      <c r="AE406" s="1946"/>
      <c r="AF406" s="1946"/>
      <c r="AG406" s="1946"/>
      <c r="AH406" s="1945"/>
      <c r="AI406" s="1946"/>
      <c r="AJ406" s="1946"/>
      <c r="AK406" s="1947"/>
      <c r="AL406" s="1946"/>
      <c r="AM406" s="1946"/>
      <c r="AN406" s="1946"/>
      <c r="AO406" s="1947"/>
      <c r="AP406" s="1871">
        <f t="shared" ref="AP406:AU406" si="790">AP416+AP426</f>
        <v>155.21700000000001</v>
      </c>
      <c r="AQ406" s="1871">
        <f t="shared" si="790"/>
        <v>206.15</v>
      </c>
      <c r="AR406" s="1871">
        <f t="shared" si="790"/>
        <v>223.82</v>
      </c>
      <c r="AS406" s="1871">
        <f t="shared" si="790"/>
        <v>215.83199999999999</v>
      </c>
      <c r="AT406" s="1897">
        <f t="shared" si="790"/>
        <v>211.029</v>
      </c>
      <c r="AU406" s="1871">
        <f t="shared" si="790"/>
        <v>203.27600000000001</v>
      </c>
      <c r="AV406" s="1948">
        <f>AV416+AV426</f>
        <v>197.01840999999996</v>
      </c>
      <c r="AW406" s="1871">
        <f t="shared" ref="AW406:BD406" si="791">AW416+AW426</f>
        <v>209.34268499999996</v>
      </c>
      <c r="AX406" s="1897">
        <f t="shared" si="791"/>
        <v>210.41404697499993</v>
      </c>
      <c r="AY406" s="1871">
        <f t="shared" si="791"/>
        <v>223.56292646599994</v>
      </c>
      <c r="AZ406" s="1871">
        <f>AZ416+AZ426</f>
        <v>495.21122693143997</v>
      </c>
      <c r="BA406" s="1872">
        <f>BA416+BA426</f>
        <v>1117.5251239838656</v>
      </c>
      <c r="BB406" s="1897">
        <f t="shared" si="791"/>
        <v>818.43209218483946</v>
      </c>
      <c r="BC406" s="1871">
        <f t="shared" si="791"/>
        <v>871.18724536114428</v>
      </c>
      <c r="BD406" s="1871">
        <f t="shared" si="791"/>
        <v>924.37072672540705</v>
      </c>
      <c r="BE406" s="1872">
        <f t="shared" ref="BE406:BM406" si="792">BE416+BE426</f>
        <v>996.48889821057742</v>
      </c>
      <c r="BF406" s="1897">
        <f t="shared" si="792"/>
        <v>962.74514412893404</v>
      </c>
      <c r="BG406" s="1871">
        <f t="shared" si="792"/>
        <v>987.0385368073396</v>
      </c>
      <c r="BH406" s="1871">
        <f t="shared" si="792"/>
        <v>868.65150302208099</v>
      </c>
      <c r="BI406" s="1872">
        <f>BI416+BI426</f>
        <v>844.92336296391181</v>
      </c>
      <c r="BJ406" s="1897">
        <f>BJ416+BJ426</f>
        <v>938.89566112580587</v>
      </c>
      <c r="BK406" s="1871">
        <f t="shared" si="792"/>
        <v>981.29621894719617</v>
      </c>
      <c r="BL406" s="1871">
        <f>BL416+BL426</f>
        <v>938.62888073442741</v>
      </c>
      <c r="BM406" s="1871">
        <f t="shared" si="792"/>
        <v>878.77112596532857</v>
      </c>
      <c r="BN406" s="1897">
        <f>BN416+BN426</f>
        <v>869.76242527314491</v>
      </c>
      <c r="BO406" s="1871">
        <f>BO416+BO426</f>
        <v>845.95831990734951</v>
      </c>
      <c r="BP406" s="1871">
        <f>BP416+BP426</f>
        <v>738.43084013123678</v>
      </c>
      <c r="BQ406" s="1872">
        <f>BQ416+BQ426</f>
        <v>719.92650041110107</v>
      </c>
      <c r="BR406" s="1871">
        <f>BR416+BR426</f>
        <v>770.31642187364412</v>
      </c>
      <c r="BS406" s="1871"/>
      <c r="BT406" s="1871"/>
      <c r="BU406" s="1872"/>
      <c r="BV406" s="1871"/>
      <c r="BW406" s="1871"/>
      <c r="BX406" s="1871"/>
      <c r="BY406" s="1872"/>
      <c r="BZ406" s="1871"/>
      <c r="CA406" s="1871"/>
      <c r="CB406" s="1871"/>
      <c r="CC406" s="1872"/>
      <c r="CD406" s="1949"/>
      <c r="CE406" s="1950"/>
      <c r="CF406" s="1950"/>
      <c r="CG406" s="1950"/>
      <c r="CH406" s="1950"/>
      <c r="CI406" s="1950"/>
      <c r="CJ406" s="1950"/>
      <c r="CK406" s="1951"/>
      <c r="CL406" s="1951"/>
      <c r="CM406" s="1950"/>
      <c r="CN406" s="1950">
        <f>SUM(AP406:AS406)</f>
        <v>801.01900000000001</v>
      </c>
      <c r="CO406" s="1946">
        <f>SUM(AT406:AW406)</f>
        <v>820.66609499999993</v>
      </c>
      <c r="CP406" s="1946">
        <f>SUM(AX406:BA406)</f>
        <v>2046.7133243563053</v>
      </c>
      <c r="CQ406" s="1946">
        <f>SUM(BB406:BE406)</f>
        <v>3610.4789624819687</v>
      </c>
      <c r="CR406" s="1946">
        <f>SUM(BF406:BI406)</f>
        <v>3663.3585469222662</v>
      </c>
      <c r="CS406" s="1946">
        <f>SUM(BJ406:BM406)</f>
        <v>3737.5918867727578</v>
      </c>
      <c r="CT406" s="1946">
        <f>SUM(BN406:BQ406)</f>
        <v>3174.0780857228324</v>
      </c>
      <c r="CU406" s="1871">
        <f>SUM(BR406:BU406)</f>
        <v>770.31642187364412</v>
      </c>
      <c r="CV406" s="1871"/>
      <c r="CW406" s="1871"/>
      <c r="CX406" s="1871"/>
      <c r="CY406" s="1871"/>
      <c r="CZ406" s="1871"/>
      <c r="DA406" s="1871"/>
      <c r="DB406" s="1871"/>
      <c r="DC406" s="1871"/>
      <c r="DD406" s="1949"/>
      <c r="DE406" s="1952"/>
      <c r="DF406" s="1953"/>
      <c r="DG406" s="1954"/>
      <c r="DH406" s="1955"/>
      <c r="DI406" s="1955"/>
      <c r="DJ406" s="1955"/>
      <c r="DK406" s="1955"/>
      <c r="DL406" s="1955"/>
      <c r="DM406" s="1955"/>
      <c r="DN406" s="1955"/>
      <c r="DO406" s="1955"/>
      <c r="DP406" s="1955">
        <f>SUM(AR406:AU406)</f>
        <v>853.95700000000011</v>
      </c>
      <c r="DQ406" s="1955">
        <f>SUM(AV406:AY406)</f>
        <v>840.33806844099979</v>
      </c>
      <c r="DR406" s="1955">
        <f>SUM(AZ406:BC406)</f>
        <v>3302.355688461289</v>
      </c>
      <c r="DS406" s="1954">
        <f>SUM(BD406:BG406)</f>
        <v>3870.6433058722578</v>
      </c>
      <c r="DT406" s="1955">
        <f>SUM(BH406:BK406)</f>
        <v>3633.7667460589946</v>
      </c>
      <c r="DU406" s="1955">
        <f>SUM(BL406:BO406)</f>
        <v>3533.1207518802503</v>
      </c>
      <c r="DV406" s="1955">
        <f>SUM(BP406:BS406)</f>
        <v>2228.6737624159819</v>
      </c>
      <c r="DW406" s="1956"/>
      <c r="DX406" s="1955"/>
      <c r="DY406" s="1955"/>
      <c r="DZ406" s="1830"/>
      <c r="EA406"/>
      <c r="EB406"/>
      <c r="EC406"/>
      <c r="ED406"/>
      <c r="EE406"/>
      <c r="EF406"/>
    </row>
    <row r="407" spans="1:136" s="1785" customFormat="1" ht="11.25" hidden="1" customHeight="1" outlineLevel="1">
      <c r="A407" s="1830"/>
      <c r="B407" s="1943"/>
      <c r="C407" s="1829"/>
      <c r="D407" s="1967" t="s">
        <v>76</v>
      </c>
      <c r="E407" s="1841"/>
      <c r="F407" s="1968"/>
      <c r="G407" s="1938"/>
      <c r="H407" s="1938"/>
      <c r="I407" s="1969"/>
      <c r="J407" s="1938"/>
      <c r="K407" s="1938"/>
      <c r="L407" s="1938"/>
      <c r="M407" s="1969"/>
      <c r="N407" s="1938"/>
      <c r="O407" s="1938"/>
      <c r="P407" s="1938"/>
      <c r="Q407" s="1969"/>
      <c r="R407" s="1938"/>
      <c r="S407" s="1938"/>
      <c r="T407" s="1938"/>
      <c r="U407" s="1969"/>
      <c r="V407" s="1938"/>
      <c r="W407" s="1938"/>
      <c r="X407" s="1938"/>
      <c r="Y407" s="1969"/>
      <c r="Z407" s="1938"/>
      <c r="AA407" s="1938"/>
      <c r="AB407" s="1938"/>
      <c r="AC407" s="1969"/>
      <c r="AD407" s="1938"/>
      <c r="AE407" s="1938"/>
      <c r="AF407" s="1938"/>
      <c r="AG407" s="1938"/>
      <c r="AH407" s="1968"/>
      <c r="AI407" s="1938"/>
      <c r="AJ407" s="1938"/>
      <c r="AK407" s="1969"/>
      <c r="AL407" s="1938"/>
      <c r="AM407" s="1938"/>
      <c r="AN407" s="1938"/>
      <c r="AO407" s="1969"/>
      <c r="AP407" s="1852"/>
      <c r="AQ407" s="1852"/>
      <c r="AR407" s="1852"/>
      <c r="AS407" s="1852"/>
      <c r="AT407" s="1851">
        <f>AT406/AP406-1</f>
        <v>0.35957401573281267</v>
      </c>
      <c r="AU407" s="1852">
        <f>AU406/AQ406-1</f>
        <v>-1.3941304875090932E-2</v>
      </c>
      <c r="AV407" s="1852">
        <f>AV406/AR406-1</f>
        <v>-0.11974617996604431</v>
      </c>
      <c r="AW407" s="1852">
        <f t="shared" ref="AW407:BD407" si="793">AW406/AS406-1</f>
        <v>-3.006651006338279E-2</v>
      </c>
      <c r="AX407" s="1851">
        <f t="shared" si="793"/>
        <v>-2.9140688009707816E-3</v>
      </c>
      <c r="AY407" s="1852">
        <f t="shared" si="793"/>
        <v>9.9799909807355203E-2</v>
      </c>
      <c r="AZ407" s="1852">
        <f t="shared" si="793"/>
        <v>1.5135276796287211</v>
      </c>
      <c r="BA407" s="1825">
        <f t="shared" si="793"/>
        <v>4.3382573362134238</v>
      </c>
      <c r="BB407" s="1851">
        <f t="shared" si="793"/>
        <v>2.8896266858176078</v>
      </c>
      <c r="BC407" s="1852">
        <f t="shared" si="793"/>
        <v>2.8968323555812678</v>
      </c>
      <c r="BD407" s="1852">
        <f t="shared" si="793"/>
        <v>0.86661908384678554</v>
      </c>
      <c r="BE407" s="1825">
        <f t="shared" ref="BE407:BR407" si="794">BE406/BA406-1</f>
        <v>-0.10830738672058315</v>
      </c>
      <c r="BF407" s="1851">
        <f t="shared" si="794"/>
        <v>0.17632868178329208</v>
      </c>
      <c r="BG407" s="1852">
        <f t="shared" si="794"/>
        <v>0.13298093155412305</v>
      </c>
      <c r="BH407" s="1852">
        <f t="shared" si="794"/>
        <v>-6.0278005449947547E-2</v>
      </c>
      <c r="BI407" s="1825">
        <f t="shared" si="794"/>
        <v>-0.15209957232723414</v>
      </c>
      <c r="BJ407" s="1851">
        <f t="shared" si="794"/>
        <v>-2.4772374234830918E-2</v>
      </c>
      <c r="BK407" s="1852">
        <f t="shared" si="794"/>
        <v>-5.8177240766277283E-3</v>
      </c>
      <c r="BL407" s="1852">
        <f t="shared" si="794"/>
        <v>8.0558633086907472E-2</v>
      </c>
      <c r="BM407" s="1852">
        <f t="shared" si="794"/>
        <v>4.0060157506690341E-2</v>
      </c>
      <c r="BN407" s="1851">
        <f t="shared" si="794"/>
        <v>-7.3632501155415975E-2</v>
      </c>
      <c r="BO407" s="1852">
        <f t="shared" si="794"/>
        <v>-0.137917477339357</v>
      </c>
      <c r="BP407" s="1852">
        <f t="shared" si="794"/>
        <v>-0.21328774845127951</v>
      </c>
      <c r="BQ407" s="1825">
        <f>BQ406/BM406-1</f>
        <v>-0.18075767496313322</v>
      </c>
      <c r="BR407" s="1852">
        <f t="shared" si="794"/>
        <v>-0.11433697353420413</v>
      </c>
      <c r="BS407" s="1852"/>
      <c r="BT407" s="1852"/>
      <c r="BU407" s="1825"/>
      <c r="BV407" s="1852"/>
      <c r="BW407" s="1852"/>
      <c r="BX407" s="1852"/>
      <c r="BY407" s="1825"/>
      <c r="BZ407" s="1852"/>
      <c r="CA407" s="1852"/>
      <c r="CB407" s="1852"/>
      <c r="CC407" s="1825"/>
      <c r="CD407" s="1837"/>
      <c r="CE407" s="1934"/>
      <c r="CF407" s="1934"/>
      <c r="CG407" s="1934"/>
      <c r="CH407" s="1934"/>
      <c r="CI407" s="1934"/>
      <c r="CJ407" s="1934"/>
      <c r="CK407" s="1937"/>
      <c r="CL407" s="1852"/>
      <c r="CM407" s="1852"/>
      <c r="CN407" s="1852"/>
      <c r="CO407" s="1852">
        <f t="shared" ref="CO407:CU407" si="795">CO406/CN406-1</f>
        <v>2.452762668550923E-2</v>
      </c>
      <c r="CP407" s="1852">
        <f t="shared" si="795"/>
        <v>1.4939659830302912</v>
      </c>
      <c r="CQ407" s="1852">
        <f t="shared" si="795"/>
        <v>0.76403745435012027</v>
      </c>
      <c r="CR407" s="1852">
        <f t="shared" si="795"/>
        <v>1.4646141132462542E-2</v>
      </c>
      <c r="CS407" s="1852">
        <f t="shared" si="795"/>
        <v>2.0263738561123956E-2</v>
      </c>
      <c r="CT407" s="1852">
        <f t="shared" si="795"/>
        <v>-0.15076921668312326</v>
      </c>
      <c r="CU407" s="1852">
        <f t="shared" si="795"/>
        <v>-0.75731018548706563</v>
      </c>
      <c r="CV407" s="1852"/>
      <c r="CW407" s="1852"/>
      <c r="CX407" s="1852"/>
      <c r="CY407" s="1852"/>
      <c r="CZ407" s="1852"/>
      <c r="DA407" s="1852"/>
      <c r="DB407" s="1852"/>
      <c r="DC407" s="1852"/>
      <c r="DD407" s="1837"/>
      <c r="DE407" s="1839"/>
      <c r="DF407" s="1829"/>
      <c r="DG407" s="1804"/>
      <c r="DH407" s="1803"/>
      <c r="DI407" s="1803"/>
      <c r="DJ407" s="1803"/>
      <c r="DK407" s="1803"/>
      <c r="DL407" s="1803"/>
      <c r="DM407" s="1852"/>
      <c r="DN407" s="1852"/>
      <c r="DO407" s="1852"/>
      <c r="DP407" s="1852"/>
      <c r="DQ407" s="1852">
        <f t="shared" ref="DQ407:DV407" si="796">DQ406/DP406-1</f>
        <v>-1.5948029653718332E-2</v>
      </c>
      <c r="DR407" s="1852">
        <f t="shared" si="796"/>
        <v>2.9297942250644899</v>
      </c>
      <c r="DS407" s="1851">
        <f t="shared" si="796"/>
        <v>0.17208552652175357</v>
      </c>
      <c r="DT407" s="1852">
        <f t="shared" si="796"/>
        <v>-6.1198240471781906E-2</v>
      </c>
      <c r="DU407" s="1852">
        <f t="shared" si="796"/>
        <v>-2.7697428374537258E-2</v>
      </c>
      <c r="DV407" s="1852">
        <f t="shared" si="796"/>
        <v>-0.36920532330237232</v>
      </c>
      <c r="DW407" s="1825"/>
      <c r="DX407" s="1852"/>
      <c r="DY407" s="1852"/>
      <c r="DZ407" s="1830"/>
      <c r="EA407"/>
      <c r="EB407"/>
      <c r="EC407"/>
      <c r="ED407"/>
      <c r="EE407"/>
      <c r="EF407"/>
    </row>
    <row r="408" spans="1:136" s="1785" customFormat="1" ht="11.25" hidden="1" customHeight="1" outlineLevel="1">
      <c r="A408" s="1830"/>
      <c r="B408" s="1943"/>
      <c r="C408" s="1829"/>
      <c r="D408" s="1970" t="s">
        <v>77</v>
      </c>
      <c r="E408" s="1841"/>
      <c r="F408" s="1968"/>
      <c r="G408" s="1938"/>
      <c r="H408" s="1938"/>
      <c r="I408" s="1969"/>
      <c r="J408" s="1938"/>
      <c r="K408" s="1938"/>
      <c r="L408" s="1938"/>
      <c r="M408" s="1969"/>
      <c r="N408" s="1938"/>
      <c r="O408" s="1938"/>
      <c r="P408" s="1938"/>
      <c r="Q408" s="1969"/>
      <c r="R408" s="1938"/>
      <c r="S408" s="1938"/>
      <c r="T408" s="1938"/>
      <c r="U408" s="1969"/>
      <c r="V408" s="1938"/>
      <c r="W408" s="1938"/>
      <c r="X408" s="1938"/>
      <c r="Y408" s="1969"/>
      <c r="Z408" s="1938"/>
      <c r="AA408" s="1938"/>
      <c r="AB408" s="1938"/>
      <c r="AC408" s="1969"/>
      <c r="AD408" s="1938"/>
      <c r="AE408" s="1938"/>
      <c r="AF408" s="1938"/>
      <c r="AG408" s="1938"/>
      <c r="AH408" s="1968"/>
      <c r="AI408" s="1938"/>
      <c r="AJ408" s="1938"/>
      <c r="AK408" s="1969"/>
      <c r="AL408" s="1938"/>
      <c r="AM408" s="1938"/>
      <c r="AN408" s="1938"/>
      <c r="AO408" s="1969"/>
      <c r="AP408" s="1852"/>
      <c r="AQ408" s="1852">
        <f>AQ406/AP406-1</f>
        <v>0.32814060315558202</v>
      </c>
      <c r="AR408" s="1852">
        <f>AR406/AQ406-1</f>
        <v>8.5714285714285632E-2</v>
      </c>
      <c r="AS408" s="1852">
        <f>AS406/AR406-1</f>
        <v>-3.5689393262443025E-2</v>
      </c>
      <c r="AT408" s="1851">
        <f>AT406/AS406-1</f>
        <v>-2.2253419326142554E-2</v>
      </c>
      <c r="AU408" s="1852">
        <f>AU406/AT406-1</f>
        <v>-3.6739026389737806E-2</v>
      </c>
      <c r="AV408" s="1852">
        <f t="shared" ref="AV408:BD408" si="797">AV406/AU406-1</f>
        <v>-3.078371278458869E-2</v>
      </c>
      <c r="AW408" s="1852">
        <f t="shared" si="797"/>
        <v>6.2553925798101817E-2</v>
      </c>
      <c r="AX408" s="1851">
        <f t="shared" si="797"/>
        <v>5.1177425903368157E-3</v>
      </c>
      <c r="AY408" s="1852">
        <f t="shared" si="797"/>
        <v>6.2490502321654651E-2</v>
      </c>
      <c r="AZ408" s="1852">
        <f t="shared" si="797"/>
        <v>1.2150865295939535</v>
      </c>
      <c r="BA408" s="1825">
        <f t="shared" si="797"/>
        <v>1.2566635472070637</v>
      </c>
      <c r="BB408" s="1851">
        <f t="shared" si="797"/>
        <v>-0.26763875404678983</v>
      </c>
      <c r="BC408" s="1852">
        <f t="shared" si="797"/>
        <v>6.445880321661468E-2</v>
      </c>
      <c r="BD408" s="1852">
        <f t="shared" si="797"/>
        <v>6.104713039297982E-2</v>
      </c>
      <c r="BE408" s="1825">
        <f t="shared" ref="BE408:BR408" si="798">BE406/BD406-1</f>
        <v>7.8018666537234216E-2</v>
      </c>
      <c r="BF408" s="1851">
        <f t="shared" si="798"/>
        <v>-3.3862649290160696E-2</v>
      </c>
      <c r="BG408" s="1852">
        <f t="shared" si="798"/>
        <v>2.5233461655509659E-2</v>
      </c>
      <c r="BH408" s="1852">
        <f t="shared" si="798"/>
        <v>-0.11994165310727545</v>
      </c>
      <c r="BI408" s="1825">
        <f t="shared" si="798"/>
        <v>-2.7316064009119678E-2</v>
      </c>
      <c r="BJ408" s="1851">
        <f t="shared" si="798"/>
        <v>0.1112199073679867</v>
      </c>
      <c r="BK408" s="1852">
        <f t="shared" si="798"/>
        <v>4.5160031702083714E-2</v>
      </c>
      <c r="BL408" s="1852">
        <f t="shared" si="798"/>
        <v>-4.3480589641469614E-2</v>
      </c>
      <c r="BM408" s="1852">
        <f t="shared" si="798"/>
        <v>-6.3771481996445001E-2</v>
      </c>
      <c r="BN408" s="1851">
        <f t="shared" si="798"/>
        <v>-1.0251475527586984E-2</v>
      </c>
      <c r="BO408" s="1852">
        <f t="shared" si="798"/>
        <v>-2.7368514290922463E-2</v>
      </c>
      <c r="BP408" s="1852">
        <f t="shared" si="798"/>
        <v>-0.12710730215158739</v>
      </c>
      <c r="BQ408" s="1825">
        <f>BQ406/BP406-1</f>
        <v>-2.5059001756815857E-2</v>
      </c>
      <c r="BR408" s="1852">
        <f t="shared" si="798"/>
        <v>6.9993147125114508E-2</v>
      </c>
      <c r="BS408" s="1852"/>
      <c r="BT408" s="1852"/>
      <c r="BU408" s="1825"/>
      <c r="BV408" s="1852"/>
      <c r="BW408" s="1852"/>
      <c r="BX408" s="1852"/>
      <c r="BY408" s="1825"/>
      <c r="BZ408" s="1852"/>
      <c r="CA408" s="1852"/>
      <c r="CB408" s="1852"/>
      <c r="CC408" s="1825"/>
      <c r="CD408" s="1837"/>
      <c r="CE408" s="1934"/>
      <c r="CF408" s="1934"/>
      <c r="CG408" s="1934"/>
      <c r="CH408" s="1934"/>
      <c r="CI408" s="1934"/>
      <c r="CJ408" s="1934"/>
      <c r="CK408" s="1937"/>
      <c r="CL408" s="1937"/>
      <c r="CM408" s="1934"/>
      <c r="CN408" s="1934"/>
      <c r="CO408" s="1938"/>
      <c r="CP408" s="1938"/>
      <c r="CQ408" s="1938"/>
      <c r="CR408" s="1938"/>
      <c r="CS408" s="1852"/>
      <c r="CT408" s="1852"/>
      <c r="CU408" s="1852"/>
      <c r="CV408" s="1852"/>
      <c r="CW408" s="1852"/>
      <c r="CX408" s="1852"/>
      <c r="CY408" s="1852"/>
      <c r="CZ408" s="1852"/>
      <c r="DA408" s="1852"/>
      <c r="DB408" s="1852"/>
      <c r="DC408" s="1852"/>
      <c r="DD408" s="1837"/>
      <c r="DE408" s="1839"/>
      <c r="DF408" s="1829"/>
      <c r="DG408" s="1804"/>
      <c r="DH408" s="1803"/>
      <c r="DI408" s="1803"/>
      <c r="DJ408" s="1803"/>
      <c r="DK408" s="1803"/>
      <c r="DL408" s="1803"/>
      <c r="DM408" s="1848"/>
      <c r="DN408" s="1848"/>
      <c r="DO408" s="1848"/>
      <c r="DP408" s="1848"/>
      <c r="DQ408" s="1848"/>
      <c r="DR408" s="1848"/>
      <c r="DS408" s="1855"/>
      <c r="DT408" s="1848"/>
      <c r="DU408" s="1782"/>
      <c r="DV408" s="1782"/>
      <c r="DW408" s="1784"/>
      <c r="DX408" s="1782"/>
      <c r="DY408" s="1782"/>
      <c r="DZ408" s="1830"/>
      <c r="EA408"/>
      <c r="EB408"/>
      <c r="EC408"/>
      <c r="ED408"/>
      <c r="EE408"/>
      <c r="EF408"/>
    </row>
    <row r="409" spans="1:136" s="1858" customFormat="1" ht="11.25" hidden="1" customHeight="1" outlineLevel="1">
      <c r="A409" s="1830"/>
      <c r="B409" s="1943"/>
      <c r="C409" s="1957" t="s">
        <v>805</v>
      </c>
      <c r="D409" s="1830"/>
      <c r="E409" s="1841"/>
      <c r="F409" s="1958"/>
      <c r="G409" s="1959"/>
      <c r="H409" s="1959"/>
      <c r="I409" s="1960"/>
      <c r="J409" s="1959"/>
      <c r="K409" s="1959"/>
      <c r="L409" s="1959"/>
      <c r="M409" s="1960"/>
      <c r="N409" s="1959"/>
      <c r="O409" s="1959"/>
      <c r="P409" s="1959"/>
      <c r="Q409" s="1960"/>
      <c r="R409" s="1959"/>
      <c r="S409" s="1959"/>
      <c r="T409" s="1959"/>
      <c r="U409" s="1960"/>
      <c r="V409" s="1959"/>
      <c r="W409" s="1959"/>
      <c r="X409" s="1959"/>
      <c r="Y409" s="1960"/>
      <c r="Z409" s="1959"/>
      <c r="AA409" s="1959"/>
      <c r="AB409" s="1959"/>
      <c r="AC409" s="1960"/>
      <c r="AD409" s="1831">
        <f t="shared" ref="AD409:AX409" si="799">AD429</f>
        <v>688</v>
      </c>
      <c r="AE409" s="1831">
        <f t="shared" si="799"/>
        <v>943</v>
      </c>
      <c r="AF409" s="1831">
        <f t="shared" si="799"/>
        <v>978</v>
      </c>
      <c r="AG409" s="1831">
        <f t="shared" si="799"/>
        <v>1127</v>
      </c>
      <c r="AH409" s="1843">
        <f t="shared" si="799"/>
        <v>1281</v>
      </c>
      <c r="AI409" s="1831">
        <f t="shared" si="799"/>
        <v>1280</v>
      </c>
      <c r="AJ409" s="1831">
        <f t="shared" si="799"/>
        <v>1324</v>
      </c>
      <c r="AK409" s="1844">
        <f t="shared" si="799"/>
        <v>1266</v>
      </c>
      <c r="AL409" s="1831">
        <f t="shared" si="799"/>
        <v>1203</v>
      </c>
      <c r="AM409" s="1831">
        <f t="shared" si="799"/>
        <v>1005</v>
      </c>
      <c r="AN409" s="1831">
        <f t="shared" si="799"/>
        <v>973</v>
      </c>
      <c r="AO409" s="1844">
        <f t="shared" si="799"/>
        <v>1308</v>
      </c>
      <c r="AP409" s="1831">
        <f t="shared" si="799"/>
        <v>1669</v>
      </c>
      <c r="AQ409" s="1831">
        <f t="shared" si="799"/>
        <v>2170</v>
      </c>
      <c r="AR409" s="1831">
        <f t="shared" si="799"/>
        <v>2356</v>
      </c>
      <c r="AS409" s="1831">
        <f t="shared" si="799"/>
        <v>2346</v>
      </c>
      <c r="AT409" s="1842">
        <f t="shared" si="799"/>
        <v>2319</v>
      </c>
      <c r="AU409" s="1831">
        <f t="shared" si="799"/>
        <v>2284</v>
      </c>
      <c r="AV409" s="1831">
        <f t="shared" si="799"/>
        <v>2318</v>
      </c>
      <c r="AW409" s="1844">
        <f t="shared" si="799"/>
        <v>2463</v>
      </c>
      <c r="AX409" s="1831">
        <f t="shared" si="799"/>
        <v>2369</v>
      </c>
      <c r="AY409" s="1831">
        <f>AY429</f>
        <v>1724</v>
      </c>
      <c r="AZ409" s="1831">
        <f>AZ419+AZ429</f>
        <v>3616</v>
      </c>
      <c r="BA409" s="1844">
        <f t="shared" ref="BA409:BH409" si="800">BA419+BA429</f>
        <v>7913</v>
      </c>
      <c r="BB409" s="1843">
        <f>BB419+BB429</f>
        <v>5988</v>
      </c>
      <c r="BC409" s="1831">
        <f t="shared" si="800"/>
        <v>6633</v>
      </c>
      <c r="BD409" s="1831">
        <f t="shared" si="800"/>
        <v>7211</v>
      </c>
      <c r="BE409" s="1844">
        <f t="shared" si="800"/>
        <v>7897</v>
      </c>
      <c r="BF409" s="1843">
        <f t="shared" si="800"/>
        <v>7771</v>
      </c>
      <c r="BG409" s="1831">
        <f t="shared" si="800"/>
        <v>7783</v>
      </c>
      <c r="BH409" s="1831">
        <f t="shared" si="800"/>
        <v>7129</v>
      </c>
      <c r="BI409" s="1844">
        <f>BI419+BI429</f>
        <v>7098</v>
      </c>
      <c r="BJ409" s="1843">
        <f t="shared" ref="BJ409:BQ409" si="801">BJ419+BJ429</f>
        <v>7763</v>
      </c>
      <c r="BK409" s="1831">
        <f t="shared" si="801"/>
        <v>8041</v>
      </c>
      <c r="BL409" s="1831">
        <f t="shared" si="801"/>
        <v>7519</v>
      </c>
      <c r="BM409" s="1831">
        <f>BM419+BM429</f>
        <v>7199</v>
      </c>
      <c r="BN409" s="1843">
        <f t="shared" si="801"/>
        <v>7185</v>
      </c>
      <c r="BO409" s="1831">
        <f>BO419+BO429</f>
        <v>7008</v>
      </c>
      <c r="BP409" s="1831">
        <f>BP419+BP429</f>
        <v>6390</v>
      </c>
      <c r="BQ409" s="1844">
        <f t="shared" si="801"/>
        <v>5994</v>
      </c>
      <c r="BR409" s="1843">
        <f>BR419+BR429</f>
        <v>6474.856462796175</v>
      </c>
      <c r="BS409" s="1831"/>
      <c r="BT409" s="1831"/>
      <c r="BU409" s="1844"/>
      <c r="BV409" s="1831"/>
      <c r="BW409" s="1831"/>
      <c r="BX409" s="1831"/>
      <c r="BY409" s="1844"/>
      <c r="BZ409" s="1831"/>
      <c r="CA409" s="1831"/>
      <c r="CB409" s="1831"/>
      <c r="CC409" s="1844"/>
      <c r="CD409" s="1824"/>
      <c r="CE409" s="1831"/>
      <c r="CF409" s="1831"/>
      <c r="CG409" s="1831"/>
      <c r="CH409" s="1831"/>
      <c r="CI409" s="1831"/>
      <c r="CJ409" s="1831"/>
      <c r="CK409" s="1831">
        <f>SUM(AD409:AG409)</f>
        <v>3736</v>
      </c>
      <c r="CL409" s="1831">
        <f>SUM(AH409:AK409)</f>
        <v>5151</v>
      </c>
      <c r="CM409" s="1831">
        <f>SUM(AL409:AO409)</f>
        <v>4489</v>
      </c>
      <c r="CN409" s="1831">
        <f>SUM(AP409:AS409)</f>
        <v>8541</v>
      </c>
      <c r="CO409" s="1831">
        <f>SUM(AT409:AW409)</f>
        <v>9384</v>
      </c>
      <c r="CP409" s="1831">
        <f>SUM(AX409:BA409)</f>
        <v>15622</v>
      </c>
      <c r="CQ409" s="1831">
        <f>SUM(BB409:BE409)</f>
        <v>27729</v>
      </c>
      <c r="CR409" s="1831">
        <f>SUM(BF409:BI409)</f>
        <v>29781</v>
      </c>
      <c r="CS409" s="1831">
        <f>SUM(BJ409:BM409)</f>
        <v>30522</v>
      </c>
      <c r="CT409" s="1831">
        <f>SUM(BN409:BQ409)</f>
        <v>26577</v>
      </c>
      <c r="CU409" s="1831">
        <f>SUM(BR409:BU409)</f>
        <v>6474.856462796175</v>
      </c>
      <c r="CV409" s="1831"/>
      <c r="CW409" s="1831"/>
      <c r="CX409" s="1831"/>
      <c r="CY409" s="1831"/>
      <c r="CZ409" s="1831"/>
      <c r="DA409" s="1831"/>
      <c r="DB409" s="1831"/>
      <c r="DC409" s="1831"/>
      <c r="DD409" s="1824"/>
      <c r="DE409" s="1830"/>
      <c r="DF409" s="1830"/>
      <c r="DG409" s="1783"/>
      <c r="DH409" s="1782"/>
      <c r="DI409" s="1782"/>
      <c r="DJ409" s="1782"/>
      <c r="DK409" s="1782"/>
      <c r="DL409" s="1782"/>
      <c r="DM409" s="1803">
        <f>SUM(AF409:AI409)</f>
        <v>4666</v>
      </c>
      <c r="DN409" s="1803">
        <f>SUM(AJ409:AM409)</f>
        <v>4798</v>
      </c>
      <c r="DO409" s="1803">
        <f>SUM(AN409:AQ409)</f>
        <v>6120</v>
      </c>
      <c r="DP409" s="1803">
        <f>SUM(AR409:AU409)</f>
        <v>9305</v>
      </c>
      <c r="DQ409" s="1803">
        <f>SUM(AV409:AY409)</f>
        <v>8874</v>
      </c>
      <c r="DR409" s="1803">
        <f>SUM(AZ409:BC409)</f>
        <v>24150</v>
      </c>
      <c r="DS409" s="1804">
        <f>SUM(BD409:BG409)</f>
        <v>30662</v>
      </c>
      <c r="DT409" s="1803">
        <f>SUM(BH409:BK409)</f>
        <v>30031</v>
      </c>
      <c r="DU409" s="1803">
        <f>SUM(BL409:BO409)</f>
        <v>28911</v>
      </c>
      <c r="DV409" s="1803">
        <f>SUM(BP409:BS409)</f>
        <v>18858.856462796175</v>
      </c>
      <c r="DW409" s="1805"/>
      <c r="DX409" s="1803"/>
      <c r="DY409" s="1803"/>
      <c r="DZ409" s="1830"/>
      <c r="EA409"/>
      <c r="EB409"/>
      <c r="EC409"/>
      <c r="ED409"/>
      <c r="EE409"/>
      <c r="EF409"/>
    </row>
    <row r="410" spans="1:136" s="1785" customFormat="1" ht="11.25" hidden="1" customHeight="1" outlineLevel="1">
      <c r="A410" s="1830"/>
      <c r="B410" s="1943"/>
      <c r="C410" s="1829"/>
      <c r="D410" s="1860" t="s">
        <v>76</v>
      </c>
      <c r="E410" s="1841"/>
      <c r="F410" s="1968"/>
      <c r="G410" s="1938"/>
      <c r="H410" s="1938"/>
      <c r="I410" s="1969"/>
      <c r="J410" s="1938"/>
      <c r="K410" s="1938"/>
      <c r="L410" s="1938"/>
      <c r="M410" s="1969"/>
      <c r="N410" s="1938"/>
      <c r="O410" s="1938"/>
      <c r="P410" s="1938"/>
      <c r="Q410" s="1969"/>
      <c r="R410" s="1938"/>
      <c r="S410" s="1938"/>
      <c r="T410" s="1938"/>
      <c r="U410" s="1969"/>
      <c r="V410" s="1938"/>
      <c r="W410" s="1938"/>
      <c r="X410" s="1938"/>
      <c r="Y410" s="1969"/>
      <c r="Z410" s="1938"/>
      <c r="AA410" s="1938"/>
      <c r="AB410" s="1938"/>
      <c r="AC410" s="1969"/>
      <c r="AD410" s="1826"/>
      <c r="AE410" s="1826"/>
      <c r="AF410" s="1826"/>
      <c r="AG410" s="1828"/>
      <c r="AH410" s="1826">
        <f t="shared" ref="AH410:BD410" si="802">AH409/AD409-1</f>
        <v>0.86191860465116288</v>
      </c>
      <c r="AI410" s="1826">
        <f t="shared" si="802"/>
        <v>0.35737009544008491</v>
      </c>
      <c r="AJ410" s="1826">
        <f t="shared" si="802"/>
        <v>0.35378323108384468</v>
      </c>
      <c r="AK410" s="1828">
        <f t="shared" si="802"/>
        <v>0.12333629103815436</v>
      </c>
      <c r="AL410" s="1826">
        <f t="shared" si="802"/>
        <v>-6.0889929742388715E-2</v>
      </c>
      <c r="AM410" s="1826">
        <f t="shared" si="802"/>
        <v>-0.21484375</v>
      </c>
      <c r="AN410" s="1826">
        <f t="shared" si="802"/>
        <v>-0.26510574018126887</v>
      </c>
      <c r="AO410" s="1828">
        <f t="shared" si="802"/>
        <v>3.3175355450236976E-2</v>
      </c>
      <c r="AP410" s="1826">
        <f t="shared" si="802"/>
        <v>0.38736492103075637</v>
      </c>
      <c r="AQ410" s="1826">
        <f t="shared" si="802"/>
        <v>1.1592039800995027</v>
      </c>
      <c r="AR410" s="1826">
        <f t="shared" si="802"/>
        <v>1.4213771839671119</v>
      </c>
      <c r="AS410" s="1826">
        <f t="shared" si="802"/>
        <v>0.79357798165137616</v>
      </c>
      <c r="AT410" s="1887">
        <f t="shared" si="802"/>
        <v>0.38945476333133611</v>
      </c>
      <c r="AU410" s="1826">
        <f t="shared" si="802"/>
        <v>5.2534562211981495E-2</v>
      </c>
      <c r="AV410" s="1826">
        <f t="shared" si="802"/>
        <v>-1.6129032258064502E-2</v>
      </c>
      <c r="AW410" s="1828">
        <f t="shared" si="802"/>
        <v>4.9872122762148363E-2</v>
      </c>
      <c r="AX410" s="1826">
        <f t="shared" si="802"/>
        <v>2.1561017680034489E-2</v>
      </c>
      <c r="AY410" s="1826">
        <f t="shared" si="802"/>
        <v>-0.24518388791593693</v>
      </c>
      <c r="AZ410" s="1826">
        <f t="shared" si="802"/>
        <v>0.55996548748921482</v>
      </c>
      <c r="BA410" s="1828">
        <f t="shared" si="802"/>
        <v>2.2127486804709702</v>
      </c>
      <c r="BB410" s="1887">
        <f t="shared" si="802"/>
        <v>1.5276487969607428</v>
      </c>
      <c r="BC410" s="1826">
        <f t="shared" si="802"/>
        <v>2.8474477958236659</v>
      </c>
      <c r="BD410" s="1826">
        <f t="shared" si="802"/>
        <v>0.99419247787610621</v>
      </c>
      <c r="BE410" s="1828">
        <f t="shared" ref="BE410:BN410" si="803">BE409/BA409-1</f>
        <v>-2.0219891318083993E-3</v>
      </c>
      <c r="BF410" s="1887">
        <f t="shared" si="803"/>
        <v>0.29776219104876422</v>
      </c>
      <c r="BG410" s="1826">
        <f t="shared" si="803"/>
        <v>0.17337554650987497</v>
      </c>
      <c r="BH410" s="1826">
        <f t="shared" si="803"/>
        <v>-1.1371515739841853E-2</v>
      </c>
      <c r="BI410" s="1828">
        <f t="shared" si="803"/>
        <v>-0.10117766240344439</v>
      </c>
      <c r="BJ410" s="1887">
        <f t="shared" si="803"/>
        <v>-1.0294685368678058E-3</v>
      </c>
      <c r="BK410" s="1826">
        <f t="shared" si="803"/>
        <v>3.3149171270718147E-2</v>
      </c>
      <c r="BL410" s="1826">
        <f t="shared" si="803"/>
        <v>5.4706129891990418E-2</v>
      </c>
      <c r="BM410" s="1826">
        <f t="shared" si="803"/>
        <v>1.4229360383206435E-2</v>
      </c>
      <c r="BN410" s="1887">
        <f t="shared" si="803"/>
        <v>-7.4455751642406254E-2</v>
      </c>
      <c r="BO410" s="1826">
        <f>BO409/BK409-1</f>
        <v>-0.12846660863076731</v>
      </c>
      <c r="BP410" s="1826">
        <f>BP409/BL409-1</f>
        <v>-0.15015294587046146</v>
      </c>
      <c r="BQ410" s="1828">
        <f>BQ409/BM409-1</f>
        <v>-0.16738435893874148</v>
      </c>
      <c r="BR410" s="1826">
        <f>BR409/BN409-1</f>
        <v>-9.8836957161283934E-2</v>
      </c>
      <c r="BS410" s="1826"/>
      <c r="BT410" s="1826"/>
      <c r="BU410" s="1828"/>
      <c r="BV410" s="1826"/>
      <c r="BW410" s="1826"/>
      <c r="BX410" s="1826"/>
      <c r="BY410" s="1828"/>
      <c r="BZ410" s="1826"/>
      <c r="CA410" s="1826"/>
      <c r="CB410" s="1826"/>
      <c r="CC410" s="1828"/>
      <c r="CD410" s="1837"/>
      <c r="CE410" s="1934"/>
      <c r="CF410" s="1934"/>
      <c r="CG410" s="1934"/>
      <c r="CH410" s="1934"/>
      <c r="CI410" s="1934"/>
      <c r="CJ410" s="1934"/>
      <c r="CK410" s="1852"/>
      <c r="CL410" s="1852">
        <f t="shared" ref="CL410:CR410" si="804">CL409/CK409-1</f>
        <v>0.37874732334047101</v>
      </c>
      <c r="CM410" s="1852">
        <f t="shared" si="804"/>
        <v>-0.12851873422636384</v>
      </c>
      <c r="CN410" s="1852">
        <f t="shared" si="804"/>
        <v>0.9026509244820673</v>
      </c>
      <c r="CO410" s="1852">
        <f t="shared" si="804"/>
        <v>9.8700386371619153E-2</v>
      </c>
      <c r="CP410" s="1852">
        <f t="shared" si="804"/>
        <v>0.66474850809889174</v>
      </c>
      <c r="CQ410" s="1852">
        <f t="shared" si="804"/>
        <v>0.77499679938548205</v>
      </c>
      <c r="CR410" s="1852">
        <f t="shared" si="804"/>
        <v>7.4001947419668923E-2</v>
      </c>
      <c r="CS410" s="1826">
        <f>CS409/CR409-1</f>
        <v>2.4881635942379354E-2</v>
      </c>
      <c r="CT410" s="1826">
        <f>CT409/CS409-1</f>
        <v>-0.12925103204246113</v>
      </c>
      <c r="CU410" s="1826">
        <f>CU409/CT409-1</f>
        <v>-0.75637368917499437</v>
      </c>
      <c r="CV410" s="1826"/>
      <c r="CW410" s="1826"/>
      <c r="CX410" s="1826"/>
      <c r="CY410" s="1826"/>
      <c r="CZ410" s="1826"/>
      <c r="DA410" s="1826"/>
      <c r="DB410" s="1826"/>
      <c r="DC410" s="1826"/>
      <c r="DD410" s="1837"/>
      <c r="DE410" s="1839"/>
      <c r="DF410" s="1829"/>
      <c r="DG410" s="1804"/>
      <c r="DH410" s="1803"/>
      <c r="DI410" s="1803"/>
      <c r="DJ410" s="1803"/>
      <c r="DK410" s="1803"/>
      <c r="DL410" s="1803"/>
      <c r="DM410" s="1852"/>
      <c r="DN410" s="1852">
        <f t="shared" ref="DN410:DU410" si="805">DN409/DM409-1</f>
        <v>2.8289755679382855E-2</v>
      </c>
      <c r="DO410" s="1852">
        <f t="shared" si="805"/>
        <v>0.27553147144643608</v>
      </c>
      <c r="DP410" s="1852">
        <f t="shared" si="805"/>
        <v>0.52042483660130712</v>
      </c>
      <c r="DQ410" s="1852">
        <f t="shared" si="805"/>
        <v>-4.6319183234819983E-2</v>
      </c>
      <c r="DR410" s="1852">
        <f t="shared" si="805"/>
        <v>1.7214334009465855</v>
      </c>
      <c r="DS410" s="1851">
        <f t="shared" si="805"/>
        <v>0.26964803312629404</v>
      </c>
      <c r="DT410" s="1852">
        <f t="shared" si="805"/>
        <v>-2.0579218576739944E-2</v>
      </c>
      <c r="DU410" s="1852">
        <f t="shared" si="805"/>
        <v>-3.7294795378109313E-2</v>
      </c>
      <c r="DV410" s="1852">
        <f>DV409/DU409-1</f>
        <v>-0.34769269610887987</v>
      </c>
      <c r="DW410" s="1825"/>
      <c r="DX410" s="1852"/>
      <c r="DY410" s="1852"/>
      <c r="DZ410" s="1830"/>
      <c r="EA410"/>
      <c r="EB410"/>
      <c r="EC410"/>
      <c r="ED410"/>
      <c r="EE410"/>
      <c r="EF410"/>
    </row>
    <row r="411" spans="1:136" s="1785" customFormat="1" ht="11.25" hidden="1" customHeight="1" outlineLevel="1">
      <c r="A411" s="1830"/>
      <c r="B411" s="1943"/>
      <c r="C411" s="1829"/>
      <c r="D411" s="1779" t="s">
        <v>77</v>
      </c>
      <c r="E411" s="1841"/>
      <c r="F411" s="1968"/>
      <c r="G411" s="1938"/>
      <c r="H411" s="1938"/>
      <c r="I411" s="1969"/>
      <c r="J411" s="1938"/>
      <c r="K411" s="1938"/>
      <c r="L411" s="1938"/>
      <c r="M411" s="1969"/>
      <c r="N411" s="1938"/>
      <c r="O411" s="1938"/>
      <c r="P411" s="1938"/>
      <c r="Q411" s="1969"/>
      <c r="R411" s="1938"/>
      <c r="S411" s="1938"/>
      <c r="T411" s="1938"/>
      <c r="U411" s="1969"/>
      <c r="V411" s="1938"/>
      <c r="W411" s="1938"/>
      <c r="X411" s="1938"/>
      <c r="Y411" s="1969"/>
      <c r="Z411" s="1938"/>
      <c r="AA411" s="1938"/>
      <c r="AB411" s="1938"/>
      <c r="AC411" s="1969"/>
      <c r="AD411" s="1826"/>
      <c r="AE411" s="1826">
        <f t="shared" ref="AE411:AT411" si="806">AE409/AD409-1</f>
        <v>0.37063953488372103</v>
      </c>
      <c r="AF411" s="1826">
        <f t="shared" si="806"/>
        <v>3.7115588547189882E-2</v>
      </c>
      <c r="AG411" s="1828">
        <f t="shared" si="806"/>
        <v>0.15235173824130888</v>
      </c>
      <c r="AH411" s="1826">
        <f t="shared" si="806"/>
        <v>0.13664596273291929</v>
      </c>
      <c r="AI411" s="1826">
        <f t="shared" si="806"/>
        <v>-7.8064012490242085E-4</v>
      </c>
      <c r="AJ411" s="1826">
        <f t="shared" si="806"/>
        <v>3.4375000000000044E-2</v>
      </c>
      <c r="AK411" s="1828">
        <f t="shared" si="806"/>
        <v>-4.3806646525679782E-2</v>
      </c>
      <c r="AL411" s="1826">
        <f t="shared" si="806"/>
        <v>-4.9763033175355464E-2</v>
      </c>
      <c r="AM411" s="1826">
        <f t="shared" si="806"/>
        <v>-0.1645885286783042</v>
      </c>
      <c r="AN411" s="1826">
        <f t="shared" si="806"/>
        <v>-3.184079601990053E-2</v>
      </c>
      <c r="AO411" s="1828">
        <f t="shared" si="806"/>
        <v>0.34429599177800618</v>
      </c>
      <c r="AP411" s="1826">
        <f t="shared" si="806"/>
        <v>0.27599388379204903</v>
      </c>
      <c r="AQ411" s="1826">
        <f t="shared" si="806"/>
        <v>0.30017974835230676</v>
      </c>
      <c r="AR411" s="1826">
        <f t="shared" si="806"/>
        <v>8.5714285714285632E-2</v>
      </c>
      <c r="AS411" s="1826">
        <f t="shared" si="806"/>
        <v>-4.2444821731748572E-3</v>
      </c>
      <c r="AT411" s="1887">
        <f t="shared" si="806"/>
        <v>-1.1508951406649648E-2</v>
      </c>
      <c r="AU411" s="1826">
        <f t="shared" ref="AU411:BD411" si="807">AU409/AT409-1</f>
        <v>-1.5092712376024164E-2</v>
      </c>
      <c r="AV411" s="1826">
        <f t="shared" si="807"/>
        <v>1.4886164623467701E-2</v>
      </c>
      <c r="AW411" s="1828">
        <f t="shared" si="807"/>
        <v>6.2553925798101817E-2</v>
      </c>
      <c r="AX411" s="1826">
        <f t="shared" si="807"/>
        <v>-3.8164839626471769E-2</v>
      </c>
      <c r="AY411" s="1826">
        <f t="shared" si="807"/>
        <v>-0.27226677923174336</v>
      </c>
      <c r="AZ411" s="1826">
        <f t="shared" si="807"/>
        <v>1.0974477958236659</v>
      </c>
      <c r="BA411" s="1828">
        <f t="shared" si="807"/>
        <v>1.1883296460176993</v>
      </c>
      <c r="BB411" s="1887">
        <f t="shared" si="807"/>
        <v>-0.24327056742070008</v>
      </c>
      <c r="BC411" s="1826">
        <f t="shared" si="807"/>
        <v>0.10771543086172342</v>
      </c>
      <c r="BD411" s="1826">
        <f t="shared" si="807"/>
        <v>8.7140057289311068E-2</v>
      </c>
      <c r="BE411" s="1828">
        <f t="shared" ref="BE411:BN411" si="808">BE409/BD409-1</f>
        <v>9.5132436555262823E-2</v>
      </c>
      <c r="BF411" s="1887">
        <f t="shared" si="808"/>
        <v>-1.5955426111181503E-2</v>
      </c>
      <c r="BG411" s="1826">
        <f t="shared" si="808"/>
        <v>1.5442028053016532E-3</v>
      </c>
      <c r="BH411" s="1826">
        <f t="shared" si="808"/>
        <v>-8.4029294616471795E-2</v>
      </c>
      <c r="BI411" s="1828">
        <f t="shared" si="808"/>
        <v>-4.3484359657736116E-3</v>
      </c>
      <c r="BJ411" s="1887">
        <f t="shared" si="808"/>
        <v>9.3688362919132073E-2</v>
      </c>
      <c r="BK411" s="1826">
        <f t="shared" si="808"/>
        <v>3.5810897848769896E-2</v>
      </c>
      <c r="BL411" s="1826">
        <f t="shared" si="808"/>
        <v>-6.4917298843427451E-2</v>
      </c>
      <c r="BM411" s="1826">
        <f t="shared" si="808"/>
        <v>-4.2558850911025403E-2</v>
      </c>
      <c r="BN411" s="1887">
        <f t="shared" si="808"/>
        <v>-1.9447145436866098E-3</v>
      </c>
      <c r="BO411" s="1826">
        <f>BO409/BN409-1</f>
        <v>-2.4634655532359107E-2</v>
      </c>
      <c r="BP411" s="1826">
        <f>BP409/BO409-1</f>
        <v>-8.8184931506849362E-2</v>
      </c>
      <c r="BQ411" s="1828">
        <f>BQ409/BP409-1</f>
        <v>-6.1971830985915521E-2</v>
      </c>
      <c r="BR411" s="1826">
        <f>BR409/BQ409-1</f>
        <v>8.0222966766128723E-2</v>
      </c>
      <c r="BS411" s="1826"/>
      <c r="BT411" s="1826"/>
      <c r="BU411" s="1828"/>
      <c r="BV411" s="1826"/>
      <c r="BW411" s="1826"/>
      <c r="BX411" s="1826"/>
      <c r="BY411" s="1828"/>
      <c r="BZ411" s="1826"/>
      <c r="CA411" s="1826"/>
      <c r="CB411" s="1826"/>
      <c r="CC411" s="1828"/>
      <c r="CD411" s="1837"/>
      <c r="CE411" s="1934"/>
      <c r="CF411" s="1934"/>
      <c r="CG411" s="1934"/>
      <c r="CH411" s="1934"/>
      <c r="CI411" s="1934"/>
      <c r="CJ411" s="1934"/>
      <c r="CK411" s="1937"/>
      <c r="CL411" s="1937"/>
      <c r="CM411" s="1934"/>
      <c r="CN411" s="1934"/>
      <c r="CO411" s="1938"/>
      <c r="CP411" s="1938"/>
      <c r="CQ411" s="1938"/>
      <c r="CR411" s="1938"/>
      <c r="CS411" s="1826"/>
      <c r="CT411" s="1826"/>
      <c r="CU411" s="1826"/>
      <c r="CV411" s="1826"/>
      <c r="CW411" s="1826"/>
      <c r="CX411" s="1826"/>
      <c r="CY411" s="1826"/>
      <c r="CZ411" s="1826"/>
      <c r="DA411" s="1826"/>
      <c r="DB411" s="1826"/>
      <c r="DC411" s="1826"/>
      <c r="DD411" s="1837"/>
      <c r="DE411" s="1839"/>
      <c r="DF411" s="1829"/>
      <c r="DG411" s="1804"/>
      <c r="DH411" s="1803"/>
      <c r="DI411" s="1803"/>
      <c r="DJ411" s="1803"/>
      <c r="DK411" s="1803"/>
      <c r="DL411" s="1803"/>
      <c r="DM411" s="1848"/>
      <c r="DN411" s="1848"/>
      <c r="DO411" s="1848"/>
      <c r="DP411" s="1848"/>
      <c r="DQ411" s="1848"/>
      <c r="DR411" s="1848"/>
      <c r="DS411" s="1855"/>
      <c r="DT411" s="1848"/>
      <c r="DU411" s="1848"/>
      <c r="DV411" s="1848"/>
      <c r="DW411" s="1850"/>
      <c r="DX411" s="1848"/>
      <c r="DY411" s="1848"/>
      <c r="DZ411" s="1830"/>
      <c r="EA411"/>
      <c r="EB411"/>
      <c r="EC411"/>
      <c r="ED411"/>
      <c r="EE411"/>
      <c r="EF411"/>
    </row>
    <row r="412" spans="1:136" s="1785" customFormat="1" ht="11.25" hidden="1" customHeight="1" outlineLevel="1">
      <c r="A412" s="1830"/>
      <c r="B412" s="1943"/>
      <c r="C412" s="1840" t="s">
        <v>806</v>
      </c>
      <c r="D412" s="1830"/>
      <c r="E412" s="1841"/>
      <c r="F412" s="1958"/>
      <c r="G412" s="1959"/>
      <c r="H412" s="1959"/>
      <c r="I412" s="1960"/>
      <c r="J412" s="1959"/>
      <c r="K412" s="1959"/>
      <c r="L412" s="1959"/>
      <c r="M412" s="1960"/>
      <c r="N412" s="1959"/>
      <c r="O412" s="1959"/>
      <c r="P412" s="1959"/>
      <c r="Q412" s="1960"/>
      <c r="R412" s="1959"/>
      <c r="S412" s="1959"/>
      <c r="T412" s="1959"/>
      <c r="U412" s="1960"/>
      <c r="V412" s="1959"/>
      <c r="W412" s="1959"/>
      <c r="X412" s="1959"/>
      <c r="Y412" s="1960"/>
      <c r="Z412" s="1959"/>
      <c r="AA412" s="1959"/>
      <c r="AB412" s="1959"/>
      <c r="AC412" s="1960"/>
      <c r="AD412" s="1959"/>
      <c r="AE412" s="1959"/>
      <c r="AF412" s="1959"/>
      <c r="AG412" s="1959"/>
      <c r="AH412" s="1958"/>
      <c r="AI412" s="1959"/>
      <c r="AJ412" s="1959"/>
      <c r="AK412" s="1960"/>
      <c r="AL412" s="1959"/>
      <c r="AM412" s="1959"/>
      <c r="AN412" s="1959"/>
      <c r="AO412" s="1960"/>
      <c r="AP412" s="1971">
        <f t="shared" ref="AP412:AU412" si="809">AP406*1000/AP409</f>
        <v>93</v>
      </c>
      <c r="AQ412" s="1972">
        <f t="shared" si="809"/>
        <v>95</v>
      </c>
      <c r="AR412" s="1972">
        <f t="shared" si="809"/>
        <v>95</v>
      </c>
      <c r="AS412" s="1972">
        <f t="shared" si="809"/>
        <v>92</v>
      </c>
      <c r="AT412" s="1971">
        <f t="shared" si="809"/>
        <v>91</v>
      </c>
      <c r="AU412" s="1972">
        <f t="shared" si="809"/>
        <v>89</v>
      </c>
      <c r="AV412" s="1972">
        <f t="shared" ref="AV412:BD412" si="810">AV406*1000/AV409</f>
        <v>84.99499999999999</v>
      </c>
      <c r="AW412" s="1972">
        <f t="shared" si="810"/>
        <v>84.99499999999999</v>
      </c>
      <c r="AX412" s="1971">
        <f t="shared" si="810"/>
        <v>88.819774999999979</v>
      </c>
      <c r="AY412" s="1972">
        <f t="shared" si="810"/>
        <v>129.67687149999998</v>
      </c>
      <c r="AZ412" s="1972">
        <f>AZ406*1000/AZ409</f>
        <v>136.95000744785398</v>
      </c>
      <c r="BA412" s="1973">
        <f t="shared" si="810"/>
        <v>141.22647845113934</v>
      </c>
      <c r="BB412" s="1971">
        <f t="shared" si="810"/>
        <v>136.67870610969263</v>
      </c>
      <c r="BC412" s="1972">
        <f t="shared" si="810"/>
        <v>131.34136067558333</v>
      </c>
      <c r="BD412" s="1972">
        <f t="shared" si="810"/>
        <v>128.18897888301305</v>
      </c>
      <c r="BE412" s="1973">
        <f t="shared" ref="BE412:BM412" si="811">BE406*1000/BE409</f>
        <v>126.18575385723406</v>
      </c>
      <c r="BF412" s="1971">
        <f t="shared" si="811"/>
        <v>123.88947936287917</v>
      </c>
      <c r="BG412" s="1972">
        <f t="shared" si="811"/>
        <v>126.81980429234737</v>
      </c>
      <c r="BH412" s="1972">
        <f t="shared" si="811"/>
        <v>121.84759475691976</v>
      </c>
      <c r="BI412" s="1973">
        <f>BI406*1000/BI409</f>
        <v>119.03682205746856</v>
      </c>
      <c r="BJ412" s="1971">
        <f t="shared" si="811"/>
        <v>120.94495183895478</v>
      </c>
      <c r="BK412" s="1972">
        <f t="shared" si="811"/>
        <v>122.03658984544163</v>
      </c>
      <c r="BL412" s="1972">
        <f>BL406*1000/BL409</f>
        <v>124.83427061237231</v>
      </c>
      <c r="BM412" s="1972">
        <f t="shared" si="811"/>
        <v>122.06849923118885</v>
      </c>
      <c r="BN412" s="1971">
        <f>BN406*1000/BN409</f>
        <v>121.05252961352052</v>
      </c>
      <c r="BO412" s="1972">
        <f>BO406*1000/BO409</f>
        <v>120.71323058038664</v>
      </c>
      <c r="BP412" s="1972">
        <f>BP406*1000/BP409</f>
        <v>115.56038186717321</v>
      </c>
      <c r="BQ412" s="1973">
        <f>BQ406*1000/BQ409</f>
        <v>120.10785792644329</v>
      </c>
      <c r="BR412" s="1972">
        <f>BR406*1000/BR409</f>
        <v>118.97042448736879</v>
      </c>
      <c r="BS412" s="1972"/>
      <c r="BT412" s="1972"/>
      <c r="BU412" s="1973"/>
      <c r="BV412" s="1972"/>
      <c r="BW412" s="1972"/>
      <c r="BX412" s="1972"/>
      <c r="BY412" s="1973"/>
      <c r="BZ412" s="1972"/>
      <c r="CA412" s="1972"/>
      <c r="CB412" s="1972"/>
      <c r="CC412" s="1973"/>
      <c r="CD412" s="1845"/>
      <c r="CE412" s="1831"/>
      <c r="CF412" s="1831"/>
      <c r="CG412" s="1831"/>
      <c r="CH412" s="1831"/>
      <c r="CI412" s="1831"/>
      <c r="CJ412" s="1831"/>
      <c r="CK412" s="1822"/>
      <c r="CL412" s="1822"/>
      <c r="CM412" s="1831"/>
      <c r="CN412" s="1972">
        <f t="shared" ref="CN412:CU412" si="812">CN406*1000/CN409</f>
        <v>93.785153963236155</v>
      </c>
      <c r="CO412" s="1972">
        <f t="shared" si="812"/>
        <v>87.453761189258316</v>
      </c>
      <c r="CP412" s="1972">
        <f t="shared" si="812"/>
        <v>131.01480760186308</v>
      </c>
      <c r="CQ412" s="1972">
        <f t="shared" si="812"/>
        <v>130.20588418197443</v>
      </c>
      <c r="CR412" s="1972">
        <f t="shared" si="812"/>
        <v>123.00992400934375</v>
      </c>
      <c r="CS412" s="1972">
        <f t="shared" si="812"/>
        <v>122.4556676093558</v>
      </c>
      <c r="CT412" s="1972">
        <f>CT406*1000/CT409</f>
        <v>119.42950994178547</v>
      </c>
      <c r="CU412" s="1972">
        <f t="shared" si="812"/>
        <v>118.97042448736879</v>
      </c>
      <c r="CV412" s="1972"/>
      <c r="CW412" s="1972"/>
      <c r="CX412" s="1972"/>
      <c r="CY412" s="1972"/>
      <c r="CZ412" s="1972"/>
      <c r="DA412" s="1972"/>
      <c r="DB412" s="1972"/>
      <c r="DC412" s="1972"/>
      <c r="DD412" s="1845"/>
      <c r="DE412" s="1961"/>
      <c r="DF412" s="1830"/>
      <c r="DG412" s="1783"/>
      <c r="DH412" s="1782"/>
      <c r="DI412" s="1782"/>
      <c r="DJ412" s="1782"/>
      <c r="DK412" s="1782"/>
      <c r="DL412" s="1782"/>
      <c r="DM412" s="1963"/>
      <c r="DN412" s="1963"/>
      <c r="DO412" s="1963"/>
      <c r="DP412" s="1963">
        <f t="shared" ref="DP412:DU412" si="813">DP406/DP409*1000</f>
        <v>91.773992477162821</v>
      </c>
      <c r="DQ412" s="1963">
        <f t="shared" si="813"/>
        <v>94.696649587671828</v>
      </c>
      <c r="DR412" s="1963">
        <f t="shared" si="813"/>
        <v>136.74350676858342</v>
      </c>
      <c r="DS412" s="1964">
        <f t="shared" si="813"/>
        <v>126.23583934095159</v>
      </c>
      <c r="DT412" s="1963">
        <f t="shared" si="813"/>
        <v>121.00052432682877</v>
      </c>
      <c r="DU412" s="1963">
        <f t="shared" si="813"/>
        <v>122.2067985154526</v>
      </c>
      <c r="DV412" s="1963">
        <f>DV406/DV409*1000</f>
        <v>118.17650591978362</v>
      </c>
      <c r="DW412" s="1965"/>
      <c r="DX412" s="1963"/>
      <c r="DY412" s="1963"/>
      <c r="DZ412" s="1830"/>
      <c r="EA412"/>
      <c r="EB412"/>
      <c r="EC412"/>
      <c r="ED412"/>
      <c r="EE412"/>
      <c r="EF412"/>
    </row>
    <row r="413" spans="1:136" s="1785" customFormat="1" ht="11.25" hidden="1" customHeight="1" outlineLevel="1">
      <c r="A413" s="1830"/>
      <c r="B413" s="1943"/>
      <c r="C413" s="1829"/>
      <c r="D413" s="1860" t="s">
        <v>76</v>
      </c>
      <c r="E413" s="1841"/>
      <c r="F413" s="1968"/>
      <c r="G413" s="1938"/>
      <c r="H413" s="1938"/>
      <c r="I413" s="1969"/>
      <c r="J413" s="1938"/>
      <c r="K413" s="1938"/>
      <c r="L413" s="1938"/>
      <c r="M413" s="1969"/>
      <c r="N413" s="1938"/>
      <c r="O413" s="1938"/>
      <c r="P413" s="1938"/>
      <c r="Q413" s="1969"/>
      <c r="R413" s="1938"/>
      <c r="S413" s="1938"/>
      <c r="T413" s="1938"/>
      <c r="U413" s="1969"/>
      <c r="V413" s="1938"/>
      <c r="W413" s="1938"/>
      <c r="X413" s="1938"/>
      <c r="Y413" s="1969"/>
      <c r="Z413" s="1938"/>
      <c r="AA413" s="1938"/>
      <c r="AB413" s="1938"/>
      <c r="AC413" s="1969"/>
      <c r="AD413" s="1938"/>
      <c r="AE413" s="1938"/>
      <c r="AF413" s="1938"/>
      <c r="AG413" s="1938"/>
      <c r="AH413" s="1968"/>
      <c r="AI413" s="1938"/>
      <c r="AJ413" s="1938"/>
      <c r="AK413" s="1969"/>
      <c r="AL413" s="1938"/>
      <c r="AM413" s="1938"/>
      <c r="AN413" s="1938"/>
      <c r="AO413" s="1969"/>
      <c r="AP413" s="1851"/>
      <c r="AQ413" s="1852"/>
      <c r="AR413" s="1852"/>
      <c r="AS413" s="1852"/>
      <c r="AT413" s="1851">
        <f>AT412/AP412-1</f>
        <v>-2.1505376344086002E-2</v>
      </c>
      <c r="AU413" s="1852">
        <f>AU412/AQ412-1</f>
        <v>-6.315789473684208E-2</v>
      </c>
      <c r="AV413" s="1852">
        <f t="shared" ref="AV413:BD413" si="814">AV412/AR412-1</f>
        <v>-0.10531578947368436</v>
      </c>
      <c r="AW413" s="1852">
        <f t="shared" si="814"/>
        <v>-7.6141304347826178E-2</v>
      </c>
      <c r="AX413" s="1851">
        <f t="shared" si="814"/>
        <v>-2.3958516483516767E-2</v>
      </c>
      <c r="AY413" s="1852">
        <f t="shared" si="814"/>
        <v>0.45704349999999971</v>
      </c>
      <c r="AZ413" s="1852">
        <f t="shared" si="814"/>
        <v>0.61127133887703966</v>
      </c>
      <c r="BA413" s="1825">
        <f t="shared" si="814"/>
        <v>0.66158572211470501</v>
      </c>
      <c r="BB413" s="1851">
        <f t="shared" si="814"/>
        <v>0.53883193365095394</v>
      </c>
      <c r="BC413" s="1852">
        <f t="shared" si="814"/>
        <v>1.2835667273044526E-2</v>
      </c>
      <c r="BD413" s="1852">
        <f t="shared" si="814"/>
        <v>-6.3972457746501621E-2</v>
      </c>
      <c r="BE413" s="1825">
        <f t="shared" ref="BE413:BR413" si="815">BE412/BA412-1</f>
        <v>-0.10650074092946371</v>
      </c>
      <c r="BF413" s="1851">
        <f t="shared" si="815"/>
        <v>-9.357146486702439E-2</v>
      </c>
      <c r="BG413" s="1852">
        <f t="shared" si="815"/>
        <v>-3.4425990106835669E-2</v>
      </c>
      <c r="BH413" s="1852">
        <f t="shared" si="815"/>
        <v>-4.9469027535358756E-2</v>
      </c>
      <c r="BI413" s="1825">
        <f t="shared" si="815"/>
        <v>-5.6654032497628681E-2</v>
      </c>
      <c r="BJ413" s="1851">
        <f t="shared" si="815"/>
        <v>-2.3767373461145214E-2</v>
      </c>
      <c r="BK413" s="1852">
        <f t="shared" si="815"/>
        <v>-3.7716620630318776E-2</v>
      </c>
      <c r="BL413" s="1852">
        <f t="shared" si="815"/>
        <v>2.4511570059391197E-2</v>
      </c>
      <c r="BM413" s="1852">
        <f t="shared" si="815"/>
        <v>2.5468398108416057E-2</v>
      </c>
      <c r="BN413" s="1851">
        <f t="shared" si="815"/>
        <v>8.8947717891518785E-4</v>
      </c>
      <c r="BO413" s="1852">
        <f t="shared" si="815"/>
        <v>-1.0843954806759259E-2</v>
      </c>
      <c r="BP413" s="1852">
        <f t="shared" si="815"/>
        <v>-7.4289605728508734E-2</v>
      </c>
      <c r="BQ413" s="1825">
        <f>BQ412/BM412-1</f>
        <v>-1.6061812155421462E-2</v>
      </c>
      <c r="BR413" s="1852">
        <f t="shared" si="815"/>
        <v>-1.7200013356178379E-2</v>
      </c>
      <c r="BS413" s="1852"/>
      <c r="BT413" s="1852"/>
      <c r="BU413" s="1825"/>
      <c r="BV413" s="1852"/>
      <c r="BW413" s="1852"/>
      <c r="BX413" s="1852"/>
      <c r="BY413" s="1825"/>
      <c r="BZ413" s="1852"/>
      <c r="CA413" s="1852"/>
      <c r="CB413" s="1852"/>
      <c r="CC413" s="1825"/>
      <c r="CD413" s="1837"/>
      <c r="CE413" s="1934"/>
      <c r="CF413" s="1934"/>
      <c r="CG413" s="1934"/>
      <c r="CH413" s="1934"/>
      <c r="CI413" s="1934"/>
      <c r="CJ413" s="1934"/>
      <c r="CK413" s="1937"/>
      <c r="CL413" s="1937"/>
      <c r="CM413" s="1934"/>
      <c r="CN413" s="1852"/>
      <c r="CO413" s="1852">
        <f t="shared" ref="CO413:CU413" si="816">CO412/CN412-1</f>
        <v>-6.750954182428226E-2</v>
      </c>
      <c r="CP413" s="1852">
        <f t="shared" si="816"/>
        <v>0.49810375014442765</v>
      </c>
      <c r="CQ413" s="1852">
        <f t="shared" si="816"/>
        <v>-6.1742900264134537E-3</v>
      </c>
      <c r="CR413" s="1852">
        <f t="shared" si="816"/>
        <v>-5.5266013650916657E-2</v>
      </c>
      <c r="CS413" s="1852">
        <f t="shared" si="816"/>
        <v>-4.5057860530492988E-3</v>
      </c>
      <c r="CT413" s="1852">
        <f t="shared" si="816"/>
        <v>-2.4712271196985602E-2</v>
      </c>
      <c r="CU413" s="1852">
        <f t="shared" si="816"/>
        <v>-3.8439867553710094E-3</v>
      </c>
      <c r="CV413" s="1852"/>
      <c r="CW413" s="1852"/>
      <c r="CX413" s="1852"/>
      <c r="CY413" s="1852"/>
      <c r="CZ413" s="1852"/>
      <c r="DA413" s="1852"/>
      <c r="DB413" s="1852"/>
      <c r="DC413" s="1852"/>
      <c r="DD413" s="1837"/>
      <c r="DE413" s="1839"/>
      <c r="DF413" s="1829"/>
      <c r="DG413" s="1804"/>
      <c r="DH413" s="1803"/>
      <c r="DI413" s="1803"/>
      <c r="DJ413" s="1803"/>
      <c r="DK413" s="1803"/>
      <c r="DL413" s="1803"/>
      <c r="DM413" s="1852"/>
      <c r="DN413" s="1852"/>
      <c r="DO413" s="1852"/>
      <c r="DP413" s="1852"/>
      <c r="DQ413" s="1852">
        <f t="shared" ref="DQ413:DV413" si="817">DQ412/DP412-1</f>
        <v>3.1846245669613804E-2</v>
      </c>
      <c r="DR413" s="1852">
        <f t="shared" si="817"/>
        <v>0.4440163127628276</v>
      </c>
      <c r="DS413" s="1851">
        <f t="shared" si="817"/>
        <v>-7.684216732436433E-2</v>
      </c>
      <c r="DT413" s="1852">
        <f t="shared" si="817"/>
        <v>-4.1472493401677357E-2</v>
      </c>
      <c r="DU413" s="1852">
        <f t="shared" si="817"/>
        <v>9.9691649712658759E-3</v>
      </c>
      <c r="DV413" s="1852">
        <f t="shared" si="817"/>
        <v>-3.2979283023762074E-2</v>
      </c>
      <c r="DW413" s="1825"/>
      <c r="DX413" s="1852"/>
      <c r="DY413" s="1852"/>
      <c r="DZ413" s="1830"/>
      <c r="EA413"/>
      <c r="EB413"/>
      <c r="EC413"/>
      <c r="ED413"/>
      <c r="EE413"/>
      <c r="EF413"/>
    </row>
    <row r="414" spans="1:136" s="1785" customFormat="1" ht="11.25" hidden="1" customHeight="1" outlineLevel="1">
      <c r="A414" s="1830"/>
      <c r="B414" s="1943"/>
      <c r="C414" s="1829"/>
      <c r="D414" s="1779" t="s">
        <v>77</v>
      </c>
      <c r="E414" s="1841"/>
      <c r="F414" s="1968"/>
      <c r="G414" s="1938"/>
      <c r="H414" s="1938"/>
      <c r="I414" s="1969"/>
      <c r="J414" s="1938"/>
      <c r="K414" s="1938"/>
      <c r="L414" s="1938"/>
      <c r="M414" s="1969"/>
      <c r="N414" s="1938"/>
      <c r="O414" s="1938"/>
      <c r="P414" s="1938"/>
      <c r="Q414" s="1969"/>
      <c r="R414" s="1938"/>
      <c r="S414" s="1938"/>
      <c r="T414" s="1938"/>
      <c r="U414" s="1969"/>
      <c r="V414" s="1938"/>
      <c r="W414" s="1938"/>
      <c r="X414" s="1938"/>
      <c r="Y414" s="1969"/>
      <c r="Z414" s="1938"/>
      <c r="AA414" s="1938"/>
      <c r="AB414" s="1938"/>
      <c r="AC414" s="1969"/>
      <c r="AD414" s="1938"/>
      <c r="AE414" s="1938"/>
      <c r="AF414" s="1938"/>
      <c r="AG414" s="1938"/>
      <c r="AH414" s="1968"/>
      <c r="AI414" s="1938"/>
      <c r="AJ414" s="1938"/>
      <c r="AK414" s="1969"/>
      <c r="AL414" s="1938"/>
      <c r="AM414" s="1938"/>
      <c r="AN414" s="1938"/>
      <c r="AO414" s="1969"/>
      <c r="AP414" s="1851"/>
      <c r="AQ414" s="1852">
        <f>AQ412/AP412-1</f>
        <v>2.1505376344086002E-2</v>
      </c>
      <c r="AR414" s="1852">
        <f>AR412/AQ412-1</f>
        <v>0</v>
      </c>
      <c r="AS414" s="1852">
        <f>AS412/AR412-1</f>
        <v>-3.157894736842104E-2</v>
      </c>
      <c r="AT414" s="1851">
        <f>AT412/AS412-1</f>
        <v>-1.0869565217391353E-2</v>
      </c>
      <c r="AU414" s="1852">
        <f>AU412/AT412-1</f>
        <v>-2.1978021978022011E-2</v>
      </c>
      <c r="AV414" s="1852">
        <f t="shared" ref="AV414:BD414" si="818">AV412/AU412-1</f>
        <v>-4.5000000000000151E-2</v>
      </c>
      <c r="AW414" s="1852">
        <f t="shared" si="818"/>
        <v>0</v>
      </c>
      <c r="AX414" s="1851">
        <f t="shared" si="818"/>
        <v>4.4999999999999929E-2</v>
      </c>
      <c r="AY414" s="1852">
        <f t="shared" si="818"/>
        <v>0.46000000000000019</v>
      </c>
      <c r="AZ414" s="1852">
        <f t="shared" si="818"/>
        <v>5.6086608689152495E-2</v>
      </c>
      <c r="BA414" s="1825">
        <f t="shared" si="818"/>
        <v>3.1226511651806232E-2</v>
      </c>
      <c r="BB414" s="1851">
        <f t="shared" si="818"/>
        <v>-3.2201980756888515E-2</v>
      </c>
      <c r="BC414" s="1852">
        <f t="shared" si="818"/>
        <v>-3.9050307001192719E-2</v>
      </c>
      <c r="BD414" s="1852">
        <f t="shared" si="818"/>
        <v>-2.4001440036522492E-2</v>
      </c>
      <c r="BE414" s="1825">
        <f t="shared" ref="BE414:BR414" si="819">BE412/BD412-1</f>
        <v>-1.562712366721597E-2</v>
      </c>
      <c r="BF414" s="1851">
        <f t="shared" si="819"/>
        <v>-1.8197573213794671E-2</v>
      </c>
      <c r="BG414" s="1852">
        <f t="shared" si="819"/>
        <v>2.3652734231654371E-2</v>
      </c>
      <c r="BH414" s="1852">
        <f t="shared" si="819"/>
        <v>-3.9206885416457338E-2</v>
      </c>
      <c r="BI414" s="1825">
        <f t="shared" si="819"/>
        <v>-2.3067937492394219E-2</v>
      </c>
      <c r="BJ414" s="1851">
        <f t="shared" si="819"/>
        <v>1.6029743977582056E-2</v>
      </c>
      <c r="BK414" s="1852">
        <f t="shared" si="819"/>
        <v>9.02590798448899E-3</v>
      </c>
      <c r="BL414" s="1852">
        <f t="shared" si="819"/>
        <v>2.2924933992943597E-2</v>
      </c>
      <c r="BM414" s="1852">
        <f t="shared" si="819"/>
        <v>-2.2155545649572117E-2</v>
      </c>
      <c r="BN414" s="1851">
        <f t="shared" si="819"/>
        <v>-8.3229467394709822E-3</v>
      </c>
      <c r="BO414" s="1852">
        <f t="shared" si="819"/>
        <v>-2.8029074172770674E-3</v>
      </c>
      <c r="BP414" s="1852">
        <f t="shared" si="819"/>
        <v>-4.2686693815074284E-2</v>
      </c>
      <c r="BQ414" s="1825">
        <f>BQ412/BP412-1</f>
        <v>3.9351514643634733E-2</v>
      </c>
      <c r="BR414" s="1852">
        <f t="shared" si="819"/>
        <v>-9.4701001142747376E-3</v>
      </c>
      <c r="BS414" s="1852"/>
      <c r="BT414" s="1852"/>
      <c r="BU414" s="1825"/>
      <c r="BV414" s="1852"/>
      <c r="BW414" s="1852"/>
      <c r="BX414" s="1852"/>
      <c r="BY414" s="1825"/>
      <c r="BZ414" s="1852"/>
      <c r="CA414" s="1852"/>
      <c r="CB414" s="1852"/>
      <c r="CC414" s="1825"/>
      <c r="CD414" s="1837"/>
      <c r="CE414" s="1934"/>
      <c r="CF414" s="1934"/>
      <c r="CG414" s="1934"/>
      <c r="CH414" s="1934"/>
      <c r="CI414" s="1934"/>
      <c r="CJ414" s="1934"/>
      <c r="CK414" s="1937"/>
      <c r="CL414" s="1937"/>
      <c r="CM414" s="1934"/>
      <c r="CN414" s="1934"/>
      <c r="CO414" s="1938"/>
      <c r="CP414" s="1938"/>
      <c r="CQ414" s="1938"/>
      <c r="CR414" s="1938"/>
      <c r="CS414" s="1852"/>
      <c r="CT414" s="1852"/>
      <c r="CU414" s="1852"/>
      <c r="CV414" s="1852"/>
      <c r="CW414" s="1852"/>
      <c r="CX414" s="1852"/>
      <c r="CY414" s="1852"/>
      <c r="CZ414" s="1852"/>
      <c r="DA414" s="1852"/>
      <c r="DB414" s="1852"/>
      <c r="DC414" s="1852"/>
      <c r="DD414" s="1837"/>
      <c r="DE414" s="1839"/>
      <c r="DF414" s="1829"/>
      <c r="DG414" s="1804"/>
      <c r="DH414" s="1803"/>
      <c r="DI414" s="1803"/>
      <c r="DJ414" s="1803"/>
      <c r="DK414" s="1803"/>
      <c r="DL414" s="1803"/>
      <c r="DM414" s="1803"/>
      <c r="DN414" s="1803"/>
      <c r="DO414" s="1803"/>
      <c r="DP414" s="1803"/>
      <c r="DQ414" s="1803"/>
      <c r="DR414" s="1803"/>
      <c r="DS414" s="1804"/>
      <c r="DT414" s="1974"/>
      <c r="DU414" s="1974"/>
      <c r="DV414" s="1974"/>
      <c r="DW414" s="1975"/>
      <c r="DX414" s="1974"/>
      <c r="DY414" s="1974"/>
      <c r="DZ414" s="1830"/>
      <c r="EA414"/>
      <c r="EB414"/>
      <c r="EC414"/>
      <c r="ED414"/>
      <c r="EE414"/>
      <c r="EF414"/>
    </row>
    <row r="415" spans="1:136" s="1785" customFormat="1" ht="11.25" hidden="1" customHeight="1" outlineLevel="1">
      <c r="A415" s="1830"/>
      <c r="B415" s="1943"/>
      <c r="C415" s="1829"/>
      <c r="D415" s="1779"/>
      <c r="E415" s="1841"/>
      <c r="F415" s="1968"/>
      <c r="G415" s="1938"/>
      <c r="H415" s="1938"/>
      <c r="I415" s="1969"/>
      <c r="J415" s="1938"/>
      <c r="K415" s="1938"/>
      <c r="L415" s="1938"/>
      <c r="M415" s="1969"/>
      <c r="N415" s="1938"/>
      <c r="O415" s="1938"/>
      <c r="P415" s="1938"/>
      <c r="Q415" s="1969"/>
      <c r="R415" s="1938"/>
      <c r="S415" s="1938"/>
      <c r="T415" s="1938"/>
      <c r="U415" s="1969"/>
      <c r="V415" s="1938"/>
      <c r="W415" s="1938"/>
      <c r="X415" s="1938"/>
      <c r="Y415" s="1969"/>
      <c r="Z415" s="1938"/>
      <c r="AA415" s="1938"/>
      <c r="AB415" s="1938"/>
      <c r="AC415" s="1969"/>
      <c r="AD415" s="1938"/>
      <c r="AE415" s="1938"/>
      <c r="AF415" s="1938"/>
      <c r="AG415" s="1938"/>
      <c r="AH415" s="1968"/>
      <c r="AI415" s="1938"/>
      <c r="AJ415" s="1938"/>
      <c r="AK415" s="1969"/>
      <c r="AL415" s="1938"/>
      <c r="AM415" s="1938"/>
      <c r="AN415" s="1938"/>
      <c r="AO415" s="1969"/>
      <c r="AP415" s="1829"/>
      <c r="AQ415" s="1829"/>
      <c r="AR415" s="1829"/>
      <c r="AS415" s="1829"/>
      <c r="AT415" s="1873"/>
      <c r="AU415" s="1938"/>
      <c r="AV415" s="1938"/>
      <c r="AW415" s="1969"/>
      <c r="AX415" s="1938"/>
      <c r="AY415" s="1938"/>
      <c r="AZ415" s="1938"/>
      <c r="BA415" s="1969"/>
      <c r="BB415" s="1968"/>
      <c r="BC415" s="1938"/>
      <c r="BD415" s="1959"/>
      <c r="BE415" s="1969"/>
      <c r="BF415" s="1968"/>
      <c r="BG415" s="1938"/>
      <c r="BH415" s="1938"/>
      <c r="BI415" s="1969"/>
      <c r="BJ415" s="1968"/>
      <c r="BK415" s="1938"/>
      <c r="BL415" s="1938"/>
      <c r="BM415" s="1938"/>
      <c r="BN415" s="2056"/>
      <c r="BO415" s="1977"/>
      <c r="BP415" s="1977"/>
      <c r="BQ415" s="1978"/>
      <c r="BR415" s="1977"/>
      <c r="BS415" s="1977"/>
      <c r="BT415" s="1977"/>
      <c r="BU415" s="1978"/>
      <c r="BV415" s="1977"/>
      <c r="BW415" s="1977"/>
      <c r="BX415" s="1977"/>
      <c r="BY415" s="1978"/>
      <c r="BZ415" s="1977"/>
      <c r="CA415" s="1977"/>
      <c r="CB415" s="1977"/>
      <c r="CC415" s="1978"/>
      <c r="CD415" s="1837"/>
      <c r="CE415" s="1934"/>
      <c r="CF415" s="1934"/>
      <c r="CG415" s="1934"/>
      <c r="CH415" s="1934"/>
      <c r="CI415" s="1934"/>
      <c r="CJ415" s="1934"/>
      <c r="CK415" s="1937"/>
      <c r="CL415" s="1937"/>
      <c r="CM415" s="1934"/>
      <c r="CN415" s="1934"/>
      <c r="CO415" s="1938"/>
      <c r="CP415" s="1938"/>
      <c r="CQ415" s="1938"/>
      <c r="CR415" s="1938"/>
      <c r="CS415" s="1938"/>
      <c r="CT415" s="1938"/>
      <c r="CU415" s="1938"/>
      <c r="CV415" s="1938"/>
      <c r="CW415" s="1938"/>
      <c r="CX415" s="1938"/>
      <c r="CY415" s="1938"/>
      <c r="CZ415" s="1938"/>
      <c r="DA415" s="1938"/>
      <c r="DB415" s="1938"/>
      <c r="DC415" s="1938"/>
      <c r="DD415" s="1837"/>
      <c r="DE415" s="1839"/>
      <c r="DF415" s="1829"/>
      <c r="DG415" s="1804"/>
      <c r="DH415" s="1803"/>
      <c r="DI415" s="1803"/>
      <c r="DJ415" s="1803"/>
      <c r="DK415" s="1803"/>
      <c r="DL415" s="1803"/>
      <c r="DM415" s="1803"/>
      <c r="DN415" s="1803"/>
      <c r="DO415" s="1803"/>
      <c r="DP415" s="1803"/>
      <c r="DQ415" s="1803"/>
      <c r="DR415" s="1803"/>
      <c r="DS415" s="1804"/>
      <c r="DT415" s="1974"/>
      <c r="DU415" s="1974"/>
      <c r="DV415" s="1974"/>
      <c r="DW415" s="1975"/>
      <c r="DX415" s="1974"/>
      <c r="DY415" s="1974"/>
      <c r="DZ415" s="1830"/>
      <c r="EA415"/>
      <c r="EB415"/>
      <c r="EC415"/>
      <c r="ED415"/>
      <c r="EE415"/>
      <c r="EF415"/>
    </row>
    <row r="416" spans="1:136" s="1785" customFormat="1" ht="11.25" hidden="1" customHeight="1" outlineLevel="1">
      <c r="A416" s="1830"/>
      <c r="B416" s="1943"/>
      <c r="C416" s="1944"/>
      <c r="D416" s="1830"/>
      <c r="E416" s="1841" t="s">
        <v>182</v>
      </c>
      <c r="F416" s="1945"/>
      <c r="G416" s="1946"/>
      <c r="H416" s="1946"/>
      <c r="I416" s="1947"/>
      <c r="J416" s="1946"/>
      <c r="K416" s="1946"/>
      <c r="L416" s="1946"/>
      <c r="M416" s="1947"/>
      <c r="N416" s="1946"/>
      <c r="O416" s="1946"/>
      <c r="P416" s="1946"/>
      <c r="Q416" s="1947"/>
      <c r="R416" s="1946"/>
      <c r="S416" s="1946"/>
      <c r="T416" s="1946"/>
      <c r="U416" s="1947"/>
      <c r="V416" s="1946"/>
      <c r="W416" s="1946"/>
      <c r="X416" s="1946"/>
      <c r="Y416" s="1947"/>
      <c r="Z416" s="1946"/>
      <c r="AA416" s="1946"/>
      <c r="AB416" s="1946"/>
      <c r="AC416" s="1947"/>
      <c r="AD416" s="1946"/>
      <c r="AE416" s="1946"/>
      <c r="AF416" s="1946"/>
      <c r="AG416" s="1946"/>
      <c r="AH416" s="1945"/>
      <c r="AI416" s="1946"/>
      <c r="AJ416" s="1946"/>
      <c r="AK416" s="1947"/>
      <c r="AL416" s="1946"/>
      <c r="AM416" s="1946"/>
      <c r="AN416" s="1946"/>
      <c r="AO416" s="1947"/>
      <c r="AP416" s="1953"/>
      <c r="AQ416" s="1953"/>
      <c r="AR416" s="1953"/>
      <c r="AS416" s="1953"/>
      <c r="AT416" s="1979"/>
      <c r="AU416" s="1946"/>
      <c r="AV416" s="1946"/>
      <c r="AW416" s="1947"/>
      <c r="AX416" s="1946"/>
      <c r="AY416" s="1946"/>
      <c r="AZ416" s="1948">
        <f t="shared" ref="AZ416:BI416" si="820">AZ419*AZ422/1000</f>
        <v>74</v>
      </c>
      <c r="BA416" s="1980">
        <f t="shared" si="820"/>
        <v>632.70000000000005</v>
      </c>
      <c r="BB416" s="1981">
        <f t="shared" si="820"/>
        <v>470.12773499999992</v>
      </c>
      <c r="BC416" s="1948">
        <f t="shared" si="820"/>
        <v>489.96712541700003</v>
      </c>
      <c r="BD416" s="1948">
        <f t="shared" si="820"/>
        <v>492.76973737438522</v>
      </c>
      <c r="BE416" s="1980">
        <f t="shared" si="820"/>
        <v>500.11200646126349</v>
      </c>
      <c r="BF416" s="1981">
        <f t="shared" si="820"/>
        <v>503.47275914468327</v>
      </c>
      <c r="BG416" s="1948">
        <f t="shared" si="820"/>
        <v>503.47275914468327</v>
      </c>
      <c r="BH416" s="1948">
        <f t="shared" si="820"/>
        <v>451.5143704009518</v>
      </c>
      <c r="BI416" s="1980">
        <f t="shared" si="820"/>
        <v>438.05924216300343</v>
      </c>
      <c r="BJ416" s="1981">
        <f t="shared" ref="BJ416:BQ416" si="821">BJ419*BJ422/1000</f>
        <v>469.57827121505028</v>
      </c>
      <c r="BK416" s="1948">
        <f t="shared" si="821"/>
        <v>477.82523960326455</v>
      </c>
      <c r="BL416" s="1948">
        <f t="shared" si="821"/>
        <v>491.39452075751808</v>
      </c>
      <c r="BM416" s="1948">
        <f t="shared" si="821"/>
        <v>452.67263252182556</v>
      </c>
      <c r="BN416" s="1981">
        <f t="shared" si="821"/>
        <v>436.89699127843994</v>
      </c>
      <c r="BO416" s="1948">
        <f t="shared" si="821"/>
        <v>399.56414337369716</v>
      </c>
      <c r="BP416" s="1948">
        <f t="shared" si="821"/>
        <v>329.44063621161325</v>
      </c>
      <c r="BQ416" s="1980">
        <f t="shared" si="821"/>
        <v>295.04209218157763</v>
      </c>
      <c r="BR416" s="1948">
        <f>BR419*BR422/1000</f>
        <v>301.05283720454685</v>
      </c>
      <c r="BS416" s="1948"/>
      <c r="BT416" s="1948"/>
      <c r="BU416" s="1980"/>
      <c r="BV416" s="1948"/>
      <c r="BW416" s="1948"/>
      <c r="BX416" s="1948"/>
      <c r="BY416" s="1980"/>
      <c r="BZ416" s="1948"/>
      <c r="CA416" s="1948"/>
      <c r="CB416" s="1948"/>
      <c r="CC416" s="1980"/>
      <c r="CD416" s="1949"/>
      <c r="CE416" s="1950"/>
      <c r="CF416" s="1950"/>
      <c r="CG416" s="1950"/>
      <c r="CH416" s="1950"/>
      <c r="CI416" s="1950"/>
      <c r="CJ416" s="1950"/>
      <c r="CK416" s="1951">
        <f>SUM(AD416:AG416)</f>
        <v>0</v>
      </c>
      <c r="CL416" s="1951"/>
      <c r="CM416" s="1950"/>
      <c r="CN416" s="1950"/>
      <c r="CO416" s="1946"/>
      <c r="CP416" s="1946">
        <f>SUM(AZ416:BA416)</f>
        <v>706.7</v>
      </c>
      <c r="CQ416" s="1946">
        <f>SUM(BB416:BE416)</f>
        <v>1952.9766042526487</v>
      </c>
      <c r="CR416" s="1946">
        <f>SUM(BF416:BI416)</f>
        <v>1896.5191308533217</v>
      </c>
      <c r="CS416" s="1946">
        <f>SUM(BJ416:BM416)</f>
        <v>1891.4706640976583</v>
      </c>
      <c r="CT416" s="1946">
        <f>SUM(BN416:BQ416)</f>
        <v>1460.943863045328</v>
      </c>
      <c r="CU416" s="1948">
        <f>SUM(BR416:BU416)</f>
        <v>301.05283720454685</v>
      </c>
      <c r="CV416" s="1948"/>
      <c r="CW416" s="1948"/>
      <c r="CX416" s="1948"/>
      <c r="CY416" s="1948"/>
      <c r="CZ416" s="1948"/>
      <c r="DA416" s="1948"/>
      <c r="DB416" s="1948"/>
      <c r="DC416" s="1948"/>
      <c r="DD416" s="1949"/>
      <c r="DE416" s="1952"/>
      <c r="DF416" s="1953"/>
      <c r="DG416" s="1954"/>
      <c r="DH416" s="1955"/>
      <c r="DI416" s="1955"/>
      <c r="DJ416" s="1955"/>
      <c r="DK416" s="1955"/>
      <c r="DL416" s="1955"/>
      <c r="DM416" s="1955"/>
      <c r="DN416" s="1955"/>
      <c r="DO416" s="1955"/>
      <c r="DP416" s="1955"/>
      <c r="DQ416" s="1955"/>
      <c r="DR416" s="1955">
        <f>SUM(AZ416:BC416)</f>
        <v>1666.7948604169999</v>
      </c>
      <c r="DS416" s="1954">
        <f>SUM(BD416:BG416)</f>
        <v>1999.8272621250153</v>
      </c>
      <c r="DT416" s="1955">
        <f>SUM(BH416:BK416)</f>
        <v>1836.9771233822703</v>
      </c>
      <c r="DU416" s="1955">
        <f>SUM(BL416:BO416)</f>
        <v>1780.5282879314807</v>
      </c>
      <c r="DV416" s="1955">
        <f>SUM(BP416:BS416)</f>
        <v>925.53556559773779</v>
      </c>
      <c r="DW416" s="1956"/>
      <c r="DX416" s="1955"/>
      <c r="DY416" s="1955"/>
      <c r="DZ416" s="1830"/>
      <c r="EA416"/>
      <c r="EB416"/>
      <c r="EC416"/>
      <c r="ED416"/>
      <c r="EE416"/>
      <c r="EF416"/>
    </row>
    <row r="417" spans="1:136" s="1785" customFormat="1" ht="11.25" hidden="1" customHeight="1" outlineLevel="1">
      <c r="A417" s="1830"/>
      <c r="B417" s="1943"/>
      <c r="C417" s="1859"/>
      <c r="D417" s="1779"/>
      <c r="E417" s="1932" t="s">
        <v>183</v>
      </c>
      <c r="F417" s="1968"/>
      <c r="G417" s="1938"/>
      <c r="H417" s="1938"/>
      <c r="I417" s="1969"/>
      <c r="J417" s="1938"/>
      <c r="K417" s="1938"/>
      <c r="L417" s="1938"/>
      <c r="M417" s="1969"/>
      <c r="N417" s="1938"/>
      <c r="O417" s="1938"/>
      <c r="P417" s="1938"/>
      <c r="Q417" s="1969"/>
      <c r="R417" s="1938"/>
      <c r="S417" s="1938"/>
      <c r="T417" s="1938"/>
      <c r="U417" s="1969"/>
      <c r="V417" s="1938"/>
      <c r="W417" s="1938"/>
      <c r="X417" s="1938"/>
      <c r="Y417" s="1969"/>
      <c r="Z417" s="1938"/>
      <c r="AA417" s="1938"/>
      <c r="AB417" s="1938"/>
      <c r="AC417" s="1969"/>
      <c r="AD417" s="1938"/>
      <c r="AE417" s="1938"/>
      <c r="AF417" s="1938"/>
      <c r="AG417" s="1938"/>
      <c r="AH417" s="1968"/>
      <c r="AI417" s="1938"/>
      <c r="AJ417" s="1938"/>
      <c r="AK417" s="1969"/>
      <c r="AL417" s="1938"/>
      <c r="AM417" s="1938"/>
      <c r="AN417" s="1938"/>
      <c r="AO417" s="1969"/>
      <c r="AP417" s="1829"/>
      <c r="AQ417" s="1829"/>
      <c r="AR417" s="1829"/>
      <c r="AS417" s="1826"/>
      <c r="AT417" s="1887"/>
      <c r="AU417" s="1938"/>
      <c r="AV417" s="1938"/>
      <c r="AW417" s="1969"/>
      <c r="AX417" s="1938"/>
      <c r="AY417" s="1938"/>
      <c r="AZ417" s="1982"/>
      <c r="BA417" s="1983"/>
      <c r="BB417" s="1984"/>
      <c r="BC417" s="1982"/>
      <c r="BD417" s="1982">
        <f t="shared" ref="BD417:BI417" si="822">BD416/AZ416-1</f>
        <v>5.6590505050592599</v>
      </c>
      <c r="BE417" s="1983">
        <f t="shared" si="822"/>
        <v>-0.20955902250472036</v>
      </c>
      <c r="BF417" s="1984">
        <f t="shared" si="822"/>
        <v>7.0927583425137275E-2</v>
      </c>
      <c r="BG417" s="1982">
        <f t="shared" si="822"/>
        <v>2.7564367132159928E-2</v>
      </c>
      <c r="BH417" s="1982">
        <f t="shared" si="822"/>
        <v>-8.3721389209600261E-2</v>
      </c>
      <c r="BI417" s="1983">
        <f t="shared" si="822"/>
        <v>-0.12407773358080021</v>
      </c>
      <c r="BJ417" s="1984">
        <f t="shared" ref="BJ417:BQ417" si="823">BJ416/BF416-1</f>
        <v>-6.7321393886759839E-2</v>
      </c>
      <c r="BK417" s="1982">
        <f t="shared" si="823"/>
        <v>-5.09412258668962E-2</v>
      </c>
      <c r="BL417" s="1982">
        <f t="shared" si="823"/>
        <v>8.8325318020669119E-2</v>
      </c>
      <c r="BM417" s="1982">
        <f t="shared" si="823"/>
        <v>3.3359392868109961E-2</v>
      </c>
      <c r="BN417" s="1984">
        <f t="shared" si="823"/>
        <v>-6.9597087301434102E-2</v>
      </c>
      <c r="BO417" s="1982">
        <f t="shared" si="823"/>
        <v>-0.16378602414252352</v>
      </c>
      <c r="BP417" s="1982">
        <f t="shared" si="823"/>
        <v>-0.32958015953503494</v>
      </c>
      <c r="BQ417" s="1983">
        <f t="shared" si="823"/>
        <v>-0.34822193571122906</v>
      </c>
      <c r="BR417" s="1982">
        <f>BR416/BN416-1</f>
        <v>-0.31092947945553118</v>
      </c>
      <c r="BS417" s="1982"/>
      <c r="BT417" s="1982"/>
      <c r="BU417" s="1983"/>
      <c r="BV417" s="1982"/>
      <c r="BW417" s="1982"/>
      <c r="BX417" s="1982"/>
      <c r="BY417" s="1983"/>
      <c r="BZ417" s="1982"/>
      <c r="CA417" s="1982"/>
      <c r="CB417" s="1982"/>
      <c r="CC417" s="1983"/>
      <c r="CD417" s="1837"/>
      <c r="CE417" s="1934"/>
      <c r="CF417" s="1934"/>
      <c r="CG417" s="1934"/>
      <c r="CH417" s="1934"/>
      <c r="CI417" s="1934"/>
      <c r="CJ417" s="1934"/>
      <c r="CK417" s="1852"/>
      <c r="CL417" s="1852"/>
      <c r="CM417" s="1852"/>
      <c r="CN417" s="1852"/>
      <c r="CO417" s="1852"/>
      <c r="CP417" s="1852"/>
      <c r="CQ417" s="1852">
        <f>CQ416/CP416-1</f>
        <v>1.7635157835752775</v>
      </c>
      <c r="CR417" s="1852">
        <f>CR416/CQ416-1</f>
        <v>-2.8908422802602751E-2</v>
      </c>
      <c r="CS417" s="1852">
        <f>CS416/CR416-1</f>
        <v>-2.661964582129972E-3</v>
      </c>
      <c r="CT417" s="1852">
        <f>CT416/CS416-1</f>
        <v>-0.22761484448278058</v>
      </c>
      <c r="CU417" s="1852">
        <f>CU416/CT416-1</f>
        <v>-0.79393264531259666</v>
      </c>
      <c r="CV417" s="1852"/>
      <c r="CW417" s="1852"/>
      <c r="CX417" s="1852"/>
      <c r="CY417" s="1852"/>
      <c r="CZ417" s="1852"/>
      <c r="DA417" s="1852"/>
      <c r="DB417" s="1852"/>
      <c r="DC417" s="1852"/>
      <c r="DD417" s="1837"/>
      <c r="DE417" s="1839"/>
      <c r="DF417" s="1829"/>
      <c r="DG417" s="1804"/>
      <c r="DH417" s="1803"/>
      <c r="DI417" s="1803"/>
      <c r="DJ417" s="1803"/>
      <c r="DK417" s="1803"/>
      <c r="DL417" s="1803"/>
      <c r="DM417" s="1852"/>
      <c r="DN417" s="1852"/>
      <c r="DO417" s="1852"/>
      <c r="DP417" s="1852"/>
      <c r="DQ417" s="1852"/>
      <c r="DR417" s="1852"/>
      <c r="DS417" s="1851">
        <f>DS416/DR416-1</f>
        <v>0.19980407284475143</v>
      </c>
      <c r="DT417" s="1852">
        <f>DT416/DS416-1</f>
        <v>-8.143210257554967E-2</v>
      </c>
      <c r="DU417" s="1852">
        <f>DU416/DT416-1</f>
        <v>-3.0729198928103774E-2</v>
      </c>
      <c r="DV417" s="1852">
        <f>DV416/DU416-1</f>
        <v>-0.48019047387729297</v>
      </c>
      <c r="DW417" s="1825"/>
      <c r="DX417" s="1852"/>
      <c r="DY417" s="1852"/>
      <c r="DZ417" s="1830"/>
      <c r="EA417"/>
      <c r="EB417"/>
      <c r="EC417"/>
      <c r="ED417"/>
      <c r="EE417"/>
      <c r="EF417"/>
    </row>
    <row r="418" spans="1:136" s="1785" customFormat="1" ht="11.25" hidden="1" customHeight="1" outlineLevel="1">
      <c r="A418" s="1830"/>
      <c r="B418" s="1943"/>
      <c r="C418" s="1859"/>
      <c r="D418" s="1779"/>
      <c r="E418" s="1932" t="s">
        <v>184</v>
      </c>
      <c r="F418" s="1938"/>
      <c r="G418" s="1938"/>
      <c r="H418" s="1938"/>
      <c r="I418" s="1969"/>
      <c r="J418" s="1938"/>
      <c r="K418" s="1938"/>
      <c r="L418" s="1938"/>
      <c r="M418" s="1969"/>
      <c r="N418" s="1938"/>
      <c r="O418" s="1938"/>
      <c r="P418" s="1938"/>
      <c r="Q418" s="1969"/>
      <c r="R418" s="1938"/>
      <c r="S418" s="1938"/>
      <c r="T418" s="1938"/>
      <c r="U418" s="1969"/>
      <c r="V418" s="1938"/>
      <c r="W418" s="1938"/>
      <c r="X418" s="1938"/>
      <c r="Y418" s="1969"/>
      <c r="Z418" s="1938"/>
      <c r="AA418" s="1938"/>
      <c r="AB418" s="1938"/>
      <c r="AC418" s="1969"/>
      <c r="AD418" s="1938"/>
      <c r="AE418" s="1938"/>
      <c r="AF418" s="1938"/>
      <c r="AG418" s="1938"/>
      <c r="AH418" s="1968"/>
      <c r="AI418" s="1938"/>
      <c r="AJ418" s="1938"/>
      <c r="AK418" s="1969"/>
      <c r="AL418" s="1938"/>
      <c r="AM418" s="1938"/>
      <c r="AN418" s="1938"/>
      <c r="AO418" s="1969"/>
      <c r="AP418" s="1829"/>
      <c r="AQ418" s="1829"/>
      <c r="AR418" s="1829"/>
      <c r="AS418" s="1829"/>
      <c r="AT418" s="1887"/>
      <c r="AU418" s="1938"/>
      <c r="AV418" s="1938"/>
      <c r="AW418" s="1969"/>
      <c r="AX418" s="1938"/>
      <c r="AY418" s="1938"/>
      <c r="AZ418" s="1934"/>
      <c r="BA418" s="1983">
        <f t="shared" ref="BA418:BI418" si="824">BA416/AZ416-1</f>
        <v>7.5500000000000007</v>
      </c>
      <c r="BB418" s="1984">
        <f t="shared" si="824"/>
        <v>-0.25695000000000023</v>
      </c>
      <c r="BC418" s="1982">
        <f t="shared" si="824"/>
        <v>4.2200000000000237E-2</v>
      </c>
      <c r="BD418" s="1982">
        <f t="shared" si="824"/>
        <v>5.7199999999999473E-3</v>
      </c>
      <c r="BE418" s="1983">
        <f t="shared" si="824"/>
        <v>1.4899999999999913E-2</v>
      </c>
      <c r="BF418" s="1984">
        <f t="shared" si="824"/>
        <v>6.7200000000000593E-3</v>
      </c>
      <c r="BG418" s="1982">
        <f t="shared" si="824"/>
        <v>0</v>
      </c>
      <c r="BH418" s="1982">
        <f t="shared" si="824"/>
        <v>-0.10320000000000029</v>
      </c>
      <c r="BI418" s="1983">
        <f t="shared" si="824"/>
        <v>-2.9800000000000049E-2</v>
      </c>
      <c r="BJ418" s="1984">
        <f t="shared" ref="BJ418:BQ418" si="825">BJ416/BI416-1</f>
        <v>7.1951521662721785E-2</v>
      </c>
      <c r="BK418" s="1982">
        <f t="shared" si="825"/>
        <v>1.7562499999999925E-2</v>
      </c>
      <c r="BL418" s="1982">
        <f t="shared" si="825"/>
        <v>2.8398000000000145E-2</v>
      </c>
      <c r="BM418" s="1982">
        <f t="shared" si="825"/>
        <v>-7.8800000000000203E-2</v>
      </c>
      <c r="BN418" s="1984">
        <f t="shared" si="825"/>
        <v>-3.4850000000000048E-2</v>
      </c>
      <c r="BO418" s="1982">
        <f t="shared" si="825"/>
        <v>-8.5450000000000248E-2</v>
      </c>
      <c r="BP418" s="1982">
        <f t="shared" si="825"/>
        <v>-0.1755000000000001</v>
      </c>
      <c r="BQ418" s="1983">
        <f t="shared" si="825"/>
        <v>-0.10441500000000004</v>
      </c>
      <c r="BR418" s="1982">
        <f>BR416/BQ416-1</f>
        <v>2.0372500000000127E-2</v>
      </c>
      <c r="BS418" s="1982"/>
      <c r="BT418" s="1982"/>
      <c r="BU418" s="1983"/>
      <c r="BV418" s="1982"/>
      <c r="BW418" s="1982"/>
      <c r="BX418" s="1982"/>
      <c r="BY418" s="1983"/>
      <c r="BZ418" s="1982"/>
      <c r="CA418" s="1982"/>
      <c r="CB418" s="1982"/>
      <c r="CC418" s="1983"/>
      <c r="CD418" s="1837"/>
      <c r="CE418" s="1934"/>
      <c r="CF418" s="1934"/>
      <c r="CG418" s="1934"/>
      <c r="CH418" s="1934"/>
      <c r="CI418" s="1934"/>
      <c r="CJ418" s="1934"/>
      <c r="CK418" s="1937"/>
      <c r="CL418" s="1937"/>
      <c r="CM418" s="1934"/>
      <c r="CN418" s="1934"/>
      <c r="CO418" s="1938"/>
      <c r="CP418" s="1938"/>
      <c r="CQ418" s="1938"/>
      <c r="CR418" s="1938"/>
      <c r="CS418" s="1852"/>
      <c r="CT418" s="1852"/>
      <c r="CU418" s="1852"/>
      <c r="CV418" s="1852"/>
      <c r="CW418" s="1852"/>
      <c r="CX418" s="1852"/>
      <c r="CY418" s="1852"/>
      <c r="CZ418" s="1852"/>
      <c r="DA418" s="1852"/>
      <c r="DB418" s="1852"/>
      <c r="DC418" s="1852"/>
      <c r="DD418" s="1837"/>
      <c r="DE418" s="1839"/>
      <c r="DF418" s="1829"/>
      <c r="DG418" s="1804"/>
      <c r="DH418" s="1803"/>
      <c r="DI418" s="1803"/>
      <c r="DJ418" s="1803"/>
      <c r="DK418" s="1803"/>
      <c r="DL418" s="1803"/>
      <c r="DM418" s="1803"/>
      <c r="DN418" s="1803"/>
      <c r="DO418" s="1803"/>
      <c r="DP418" s="1803"/>
      <c r="DQ418" s="1803"/>
      <c r="DR418" s="1803"/>
      <c r="DS418" s="1804"/>
      <c r="DT418" s="1848"/>
      <c r="DU418" s="1848"/>
      <c r="DV418" s="1848"/>
      <c r="DW418" s="1850"/>
      <c r="DX418" s="1848"/>
      <c r="DY418" s="1848"/>
      <c r="DZ418" s="1830"/>
      <c r="EA418"/>
      <c r="EB418"/>
      <c r="EC418"/>
      <c r="ED418"/>
      <c r="EE418"/>
      <c r="EF418"/>
    </row>
    <row r="419" spans="1:136" s="1785" customFormat="1" ht="11.25" hidden="1" customHeight="1" outlineLevel="1">
      <c r="A419" s="1830"/>
      <c r="B419" s="1943"/>
      <c r="C419" s="1859"/>
      <c r="D419" s="1944"/>
      <c r="E419" s="1985" t="s">
        <v>805</v>
      </c>
      <c r="F419" s="1830"/>
      <c r="G419" s="1959"/>
      <c r="H419" s="1959"/>
      <c r="I419" s="1960"/>
      <c r="J419" s="1959"/>
      <c r="K419" s="1959"/>
      <c r="L419" s="1959"/>
      <c r="M419" s="1960"/>
      <c r="N419" s="1959"/>
      <c r="O419" s="1959"/>
      <c r="P419" s="1959"/>
      <c r="Q419" s="1960"/>
      <c r="R419" s="1959"/>
      <c r="S419" s="1959"/>
      <c r="T419" s="1959"/>
      <c r="U419" s="1960"/>
      <c r="V419" s="1959"/>
      <c r="W419" s="1959"/>
      <c r="X419" s="1959"/>
      <c r="Y419" s="1960"/>
      <c r="Z419" s="1959"/>
      <c r="AA419" s="1959"/>
      <c r="AB419" s="1959"/>
      <c r="AC419" s="1960"/>
      <c r="AD419" s="1959"/>
      <c r="AE419" s="1959"/>
      <c r="AF419" s="1959"/>
      <c r="AG419" s="1959"/>
      <c r="AH419" s="1958"/>
      <c r="AI419" s="1959"/>
      <c r="AJ419" s="1959"/>
      <c r="AK419" s="1960"/>
      <c r="AL419" s="1959"/>
      <c r="AM419" s="1959"/>
      <c r="AN419" s="1959"/>
      <c r="AO419" s="1960"/>
      <c r="AP419" s="1830"/>
      <c r="AQ419" s="1830"/>
      <c r="AR419" s="1986">
        <v>504</v>
      </c>
      <c r="AS419" s="1986">
        <v>850</v>
      </c>
      <c r="AT419" s="1987">
        <v>190</v>
      </c>
      <c r="AU419" s="1988">
        <v>1096</v>
      </c>
      <c r="AV419" s="1988">
        <v>1017.5</v>
      </c>
      <c r="AW419" s="1989">
        <v>905</v>
      </c>
      <c r="AX419" s="1988">
        <v>984</v>
      </c>
      <c r="AY419" s="1988">
        <v>1678</v>
      </c>
      <c r="AZ419" s="1959">
        <v>400</v>
      </c>
      <c r="BA419" s="1960">
        <v>3800</v>
      </c>
      <c r="BB419" s="1958">
        <f t="shared" ref="BB419:BI419" si="826">BA419*(1+BB421)</f>
        <v>2926</v>
      </c>
      <c r="BC419" s="1959">
        <f t="shared" si="826"/>
        <v>3160.0800000000004</v>
      </c>
      <c r="BD419" s="1959">
        <f>BC419*(1+BD421)</f>
        <v>3223.2816000000003</v>
      </c>
      <c r="BE419" s="1960">
        <f>BD419*(1+BE421)</f>
        <v>3287.7472320000002</v>
      </c>
      <c r="BF419" s="1990">
        <f t="shared" si="826"/>
        <v>3419.2571212800003</v>
      </c>
      <c r="BG419" s="1959">
        <f>BF419*(1+BG421)</f>
        <v>3419.2571212800003</v>
      </c>
      <c r="BH419" s="1959">
        <f>BG419*(1+BH421)</f>
        <v>3248.294265216</v>
      </c>
      <c r="BI419" s="1960">
        <f t="shared" si="826"/>
        <v>3215.8113225638399</v>
      </c>
      <c r="BJ419" s="1958">
        <f t="shared" ref="BJ419:BQ419" si="827">BI419*(1+BJ421)</f>
        <v>3376.6018886920319</v>
      </c>
      <c r="BK419" s="1959">
        <f t="shared" si="827"/>
        <v>3393.4848981354917</v>
      </c>
      <c r="BL419" s="1959">
        <f t="shared" si="827"/>
        <v>3444.3871716075237</v>
      </c>
      <c r="BM419" s="1959">
        <f t="shared" si="827"/>
        <v>3237.7239413110719</v>
      </c>
      <c r="BN419" s="1958">
        <f t="shared" si="827"/>
        <v>3140.5922230717397</v>
      </c>
      <c r="BO419" s="1959">
        <f t="shared" si="827"/>
        <v>2857.9389229952831</v>
      </c>
      <c r="BP419" s="1959">
        <f t="shared" si="827"/>
        <v>2429.2480845459904</v>
      </c>
      <c r="BQ419" s="1960">
        <f t="shared" si="827"/>
        <v>2112.2312095127386</v>
      </c>
      <c r="BR419" s="1959">
        <f>BQ419*(1+BR421)</f>
        <v>2166.0931053553136</v>
      </c>
      <c r="BS419" s="1959"/>
      <c r="BT419" s="1959"/>
      <c r="BU419" s="1960"/>
      <c r="BV419" s="1959"/>
      <c r="BW419" s="1959"/>
      <c r="BX419" s="1959"/>
      <c r="BY419" s="1960"/>
      <c r="BZ419" s="1959"/>
      <c r="CA419" s="1959"/>
      <c r="CB419" s="1959"/>
      <c r="CC419" s="1960"/>
      <c r="CD419" s="1845"/>
      <c r="CE419" s="1831"/>
      <c r="CF419" s="1831"/>
      <c r="CG419" s="1831"/>
      <c r="CH419" s="1831"/>
      <c r="CI419" s="1831"/>
      <c r="CJ419" s="1831"/>
      <c r="CK419" s="1822"/>
      <c r="CL419" s="1822"/>
      <c r="CM419" s="1831"/>
      <c r="CN419" s="1831"/>
      <c r="CO419" s="1959"/>
      <c r="CP419" s="1831">
        <f>SUM(AZ419:BA419)</f>
        <v>4200</v>
      </c>
      <c r="CQ419" s="1831">
        <f>SUM(BB419:BE419)</f>
        <v>12597.108832</v>
      </c>
      <c r="CR419" s="1959">
        <f>SUM(BF419:BI419)</f>
        <v>13302.619830339841</v>
      </c>
      <c r="CS419" s="1959">
        <f>SUM(BJ419:BM419)</f>
        <v>13452.197899746119</v>
      </c>
      <c r="CT419" s="1959">
        <f>SUM(BN419:BQ419)</f>
        <v>10540.010440125752</v>
      </c>
      <c r="CU419" s="1959">
        <f>SUM(BR419:BU419)</f>
        <v>2166.0931053553136</v>
      </c>
      <c r="CV419" s="1959"/>
      <c r="CW419" s="1959"/>
      <c r="CX419" s="1959"/>
      <c r="CY419" s="1959"/>
      <c r="CZ419" s="1959"/>
      <c r="DA419" s="1959"/>
      <c r="DB419" s="1959"/>
      <c r="DC419" s="1959"/>
      <c r="DD419" s="1845"/>
      <c r="DE419" s="1961"/>
      <c r="DF419" s="1830"/>
      <c r="DG419" s="1783"/>
      <c r="DH419" s="1782"/>
      <c r="DI419" s="1782"/>
      <c r="DJ419" s="1782"/>
      <c r="DK419" s="1782"/>
      <c r="DL419" s="1782"/>
      <c r="DM419" s="1782"/>
      <c r="DN419" s="1782"/>
      <c r="DO419" s="1782"/>
      <c r="DP419" s="1782"/>
      <c r="DQ419" s="1782"/>
      <c r="DR419" s="1803">
        <f>SUM(AZ419:BC419)</f>
        <v>10286.08</v>
      </c>
      <c r="DS419" s="1804">
        <f>SUM(BD419:BG419)</f>
        <v>13349.543074559999</v>
      </c>
      <c r="DT419" s="1782">
        <f>SUM(BH419:BK419)</f>
        <v>13234.192374607363</v>
      </c>
      <c r="DU419" s="1782">
        <f>SUM(BL419:BO419)</f>
        <v>12680.642258985619</v>
      </c>
      <c r="DV419" s="1782">
        <f>SUM(BP419:BS419)</f>
        <v>6707.5723994140426</v>
      </c>
      <c r="DW419" s="1784"/>
      <c r="DX419" s="1782"/>
      <c r="DY419" s="1782"/>
      <c r="DZ419" s="1830"/>
      <c r="EA419"/>
      <c r="EB419"/>
      <c r="EC419"/>
      <c r="ED419"/>
      <c r="EE419"/>
      <c r="EF419"/>
    </row>
    <row r="420" spans="1:136" s="1785" customFormat="1" ht="11.25" hidden="1" customHeight="1" outlineLevel="1">
      <c r="A420" s="1830"/>
      <c r="B420" s="1943"/>
      <c r="C420" s="1859"/>
      <c r="D420" s="1779"/>
      <c r="E420" s="1932" t="s">
        <v>183</v>
      </c>
      <c r="F420" s="1860"/>
      <c r="G420" s="1938"/>
      <c r="H420" s="1938"/>
      <c r="I420" s="1969"/>
      <c r="J420" s="1938"/>
      <c r="K420" s="1938"/>
      <c r="L420" s="1938"/>
      <c r="M420" s="1969"/>
      <c r="N420" s="1938"/>
      <c r="O420" s="1938"/>
      <c r="P420" s="1938"/>
      <c r="Q420" s="1969"/>
      <c r="R420" s="1938"/>
      <c r="S420" s="1938"/>
      <c r="T420" s="1938"/>
      <c r="U420" s="1969"/>
      <c r="V420" s="1938"/>
      <c r="W420" s="1938"/>
      <c r="X420" s="1938"/>
      <c r="Y420" s="1969"/>
      <c r="Z420" s="1938"/>
      <c r="AA420" s="1938"/>
      <c r="AB420" s="1938"/>
      <c r="AC420" s="1969"/>
      <c r="AD420" s="1938"/>
      <c r="AE420" s="1938"/>
      <c r="AF420" s="1938"/>
      <c r="AG420" s="1938"/>
      <c r="AH420" s="1968"/>
      <c r="AI420" s="1938"/>
      <c r="AJ420" s="1938"/>
      <c r="AK420" s="1969"/>
      <c r="AL420" s="1938"/>
      <c r="AM420" s="1938"/>
      <c r="AN420" s="1938"/>
      <c r="AO420" s="1969"/>
      <c r="AP420" s="1829"/>
      <c r="AQ420" s="1829"/>
      <c r="AR420" s="1829"/>
      <c r="AS420" s="1829"/>
      <c r="AT420" s="1887"/>
      <c r="AU420" s="1938"/>
      <c r="AV420" s="1938"/>
      <c r="AW420" s="1969"/>
      <c r="AX420" s="1938"/>
      <c r="AY420" s="1938"/>
      <c r="AZ420" s="1852">
        <f t="shared" ref="AZ420:BI420" si="828">AZ419/AV419-1</f>
        <v>-0.60687960687960696</v>
      </c>
      <c r="BA420" s="1825">
        <f t="shared" si="828"/>
        <v>3.1988950276243093</v>
      </c>
      <c r="BB420" s="1851">
        <f t="shared" si="828"/>
        <v>1.9735772357723578</v>
      </c>
      <c r="BC420" s="1852">
        <f t="shared" si="828"/>
        <v>0.88324195470798594</v>
      </c>
      <c r="BD420" s="1852">
        <f t="shared" si="828"/>
        <v>7.0582039999999999</v>
      </c>
      <c r="BE420" s="1825">
        <f t="shared" si="828"/>
        <v>-0.13480335999999993</v>
      </c>
      <c r="BF420" s="1898">
        <f t="shared" si="828"/>
        <v>0.16857728000000005</v>
      </c>
      <c r="BG420" s="1852">
        <f t="shared" si="828"/>
        <v>8.2015999999999867E-2</v>
      </c>
      <c r="BH420" s="1852">
        <f t="shared" si="828"/>
        <v>7.7599999999999891E-3</v>
      </c>
      <c r="BI420" s="1825">
        <f t="shared" si="828"/>
        <v>-2.1880000000000122E-2</v>
      </c>
      <c r="BJ420" s="1851">
        <f t="shared" ref="BJ420:BQ420" si="829">BJ419/BF419-1</f>
        <v>-1.2475000000000125E-2</v>
      </c>
      <c r="BK420" s="1852">
        <f t="shared" si="829"/>
        <v>-7.5373750000001793E-3</v>
      </c>
      <c r="BL420" s="1852">
        <f t="shared" si="829"/>
        <v>6.0367962499999761E-2</v>
      </c>
      <c r="BM420" s="1852">
        <f t="shared" si="829"/>
        <v>6.8140249999997238E-3</v>
      </c>
      <c r="BN420" s="1851">
        <f t="shared" si="829"/>
        <v>-6.98956150000003E-2</v>
      </c>
      <c r="BO420" s="1852">
        <f t="shared" si="829"/>
        <v>-0.15781593000000016</v>
      </c>
      <c r="BP420" s="1852">
        <f t="shared" si="829"/>
        <v>-0.29472270000000012</v>
      </c>
      <c r="BQ420" s="1825">
        <f t="shared" si="829"/>
        <v>-0.34761849750000007</v>
      </c>
      <c r="BR420" s="1852">
        <f>BR419/BN419-1</f>
        <v>-0.31029151462500004</v>
      </c>
      <c r="BS420" s="1852"/>
      <c r="BT420" s="1852"/>
      <c r="BU420" s="1825"/>
      <c r="BV420" s="1852"/>
      <c r="BW420" s="1852"/>
      <c r="BX420" s="1852"/>
      <c r="BY420" s="1825"/>
      <c r="BZ420" s="1852"/>
      <c r="CA420" s="1852"/>
      <c r="CB420" s="1852"/>
      <c r="CC420" s="1825"/>
      <c r="CD420" s="1837"/>
      <c r="CE420" s="1934"/>
      <c r="CF420" s="1934"/>
      <c r="CG420" s="1934"/>
      <c r="CH420" s="1934"/>
      <c r="CI420" s="1934"/>
      <c r="CJ420" s="1934"/>
      <c r="CK420" s="1937"/>
      <c r="CL420" s="1937"/>
      <c r="CM420" s="1934"/>
      <c r="CN420" s="1934"/>
      <c r="CO420" s="1938"/>
      <c r="CP420" s="1852"/>
      <c r="CQ420" s="1852">
        <f>CQ419/CP419-1</f>
        <v>1.9993116266666666</v>
      </c>
      <c r="CR420" s="1852">
        <f>CR419/CQ419-1</f>
        <v>5.6005787339683533E-2</v>
      </c>
      <c r="CS420" s="1852">
        <f>CS419/CR419-1</f>
        <v>1.1244256493381011E-2</v>
      </c>
      <c r="CT420" s="1852">
        <f>CT419/CS419-1</f>
        <v>-0.21648413748621165</v>
      </c>
      <c r="CU420" s="1852">
        <f>CU419/CT419-1</f>
        <v>-0.79448852373912171</v>
      </c>
      <c r="CV420" s="1852"/>
      <c r="CW420" s="1852"/>
      <c r="CX420" s="1991"/>
      <c r="CY420" s="1991"/>
      <c r="CZ420" s="1991"/>
      <c r="DA420" s="1991"/>
      <c r="DB420" s="1991"/>
      <c r="DC420" s="1991"/>
      <c r="DD420" s="1837"/>
      <c r="DE420" s="1839"/>
      <c r="DF420" s="1829"/>
      <c r="DG420" s="1804"/>
      <c r="DH420" s="1803"/>
      <c r="DI420" s="1803"/>
      <c r="DJ420" s="1803"/>
      <c r="DK420" s="1803"/>
      <c r="DL420" s="1803"/>
      <c r="DM420" s="1803"/>
      <c r="DN420" s="1803"/>
      <c r="DO420" s="1803"/>
      <c r="DP420" s="1803"/>
      <c r="DQ420" s="1803"/>
      <c r="DR420" s="1803"/>
      <c r="DS420" s="1804">
        <f>DS419/DR419-1</f>
        <v>0.29782609843205554</v>
      </c>
      <c r="DT420" s="1852">
        <f>DT419/DS419-1</f>
        <v>-8.640797614448581E-3</v>
      </c>
      <c r="DU420" s="1852">
        <f>DU419/DT419-1</f>
        <v>-4.1827268332886525E-2</v>
      </c>
      <c r="DV420" s="1852">
        <f>DV419/DU419-1</f>
        <v>-0.47103843303670245</v>
      </c>
      <c r="DW420" s="1825"/>
      <c r="DX420" s="1852"/>
      <c r="DY420" s="1852"/>
      <c r="DZ420" s="1830"/>
      <c r="EA420"/>
      <c r="EB420"/>
      <c r="EC420"/>
      <c r="ED420"/>
      <c r="EE420"/>
      <c r="EF420"/>
    </row>
    <row r="421" spans="1:136" s="1785" customFormat="1" ht="11.25" hidden="1" customHeight="1" outlineLevel="1">
      <c r="A421" s="1830"/>
      <c r="B421" s="1943"/>
      <c r="C421" s="1859"/>
      <c r="D421" s="1779"/>
      <c r="E421" s="1932" t="s">
        <v>184</v>
      </c>
      <c r="F421" s="1779"/>
      <c r="G421" s="1938"/>
      <c r="H421" s="1938"/>
      <c r="I421" s="1969"/>
      <c r="J421" s="1938"/>
      <c r="K421" s="1938"/>
      <c r="L421" s="1938"/>
      <c r="M421" s="1969"/>
      <c r="N421" s="1938"/>
      <c r="O421" s="1938"/>
      <c r="P421" s="1938"/>
      <c r="Q421" s="1969"/>
      <c r="R421" s="1938"/>
      <c r="S421" s="1938"/>
      <c r="T421" s="1938"/>
      <c r="U421" s="1969"/>
      <c r="V421" s="1938"/>
      <c r="W421" s="1938"/>
      <c r="X421" s="1938"/>
      <c r="Y421" s="1969"/>
      <c r="Z421" s="1938"/>
      <c r="AA421" s="1938"/>
      <c r="AB421" s="1938"/>
      <c r="AC421" s="1969"/>
      <c r="AD421" s="1938"/>
      <c r="AE421" s="1938"/>
      <c r="AF421" s="1938"/>
      <c r="AG421" s="1938"/>
      <c r="AH421" s="1968"/>
      <c r="AI421" s="1938"/>
      <c r="AJ421" s="1938"/>
      <c r="AK421" s="1969"/>
      <c r="AL421" s="1938"/>
      <c r="AM421" s="1938"/>
      <c r="AN421" s="1938"/>
      <c r="AO421" s="1969"/>
      <c r="AP421" s="1829"/>
      <c r="AQ421" s="1829"/>
      <c r="AR421" s="1829"/>
      <c r="AS421" s="1829"/>
      <c r="AT421" s="1887"/>
      <c r="AU421" s="1938"/>
      <c r="AV421" s="1938"/>
      <c r="AW421" s="1969"/>
      <c r="AX421" s="1938"/>
      <c r="AY421" s="1938"/>
      <c r="AZ421" s="1852"/>
      <c r="BA421" s="1825">
        <f>BA419/AZ419-1</f>
        <v>8.5</v>
      </c>
      <c r="BB421" s="1852">
        <v>-0.23</v>
      </c>
      <c r="BC421" s="1852">
        <v>0.08</v>
      </c>
      <c r="BD421" s="1852">
        <v>0.02</v>
      </c>
      <c r="BE421" s="1825">
        <v>0.02</v>
      </c>
      <c r="BF421" s="1898">
        <v>0.04</v>
      </c>
      <c r="BG421" s="1852">
        <v>0</v>
      </c>
      <c r="BH421" s="1852">
        <v>-0.05</v>
      </c>
      <c r="BI421" s="1825">
        <v>-0.01</v>
      </c>
      <c r="BJ421" s="1851">
        <v>0.05</v>
      </c>
      <c r="BK421" s="1852">
        <v>5.0000000000000001E-3</v>
      </c>
      <c r="BL421" s="1852">
        <v>1.4999999999999999E-2</v>
      </c>
      <c r="BM421" s="1852">
        <v>-0.06</v>
      </c>
      <c r="BN421" s="1851">
        <v>-0.03</v>
      </c>
      <c r="BO421" s="1852">
        <v>-0.09</v>
      </c>
      <c r="BP421" s="1852">
        <v>-0.15</v>
      </c>
      <c r="BQ421" s="1825">
        <v>-0.1305</v>
      </c>
      <c r="BR421" s="1852">
        <v>2.5499999999999998E-2</v>
      </c>
      <c r="BS421" s="1852"/>
      <c r="BT421" s="1852"/>
      <c r="BU421" s="1825"/>
      <c r="BV421" s="1852"/>
      <c r="BW421" s="1852"/>
      <c r="BX421" s="1852"/>
      <c r="BY421" s="1825"/>
      <c r="BZ421" s="1852"/>
      <c r="CA421" s="1852"/>
      <c r="CB421" s="1852"/>
      <c r="CC421" s="1825"/>
      <c r="CD421" s="1837"/>
      <c r="CE421" s="1934"/>
      <c r="CF421" s="1934"/>
      <c r="CG421" s="1934"/>
      <c r="CH421" s="1934"/>
      <c r="CI421" s="1934"/>
      <c r="CJ421" s="1934"/>
      <c r="CK421" s="1937"/>
      <c r="CL421" s="1937"/>
      <c r="CM421" s="1934"/>
      <c r="CN421" s="1934"/>
      <c r="CO421" s="1938"/>
      <c r="CP421" s="1938"/>
      <c r="CQ421" s="1938"/>
      <c r="CR421" s="1938"/>
      <c r="CS421" s="1852"/>
      <c r="CT421" s="1852"/>
      <c r="CU421" s="1852"/>
      <c r="CV421" s="1852"/>
      <c r="CW421" s="1852"/>
      <c r="CX421" s="1852"/>
      <c r="CY421" s="1852"/>
      <c r="CZ421" s="1852"/>
      <c r="DA421" s="1852"/>
      <c r="DB421" s="1852"/>
      <c r="DC421" s="1852"/>
      <c r="DD421" s="1837"/>
      <c r="DE421" s="1839"/>
      <c r="DF421" s="1829"/>
      <c r="DG421" s="1804"/>
      <c r="DH421" s="1803"/>
      <c r="DI421" s="1803"/>
      <c r="DJ421" s="1803"/>
      <c r="DK421" s="1803"/>
      <c r="DL421" s="1803"/>
      <c r="DM421" s="1803"/>
      <c r="DN421" s="1803"/>
      <c r="DO421" s="1803"/>
      <c r="DP421" s="1803"/>
      <c r="DQ421" s="1803"/>
      <c r="DR421" s="1803"/>
      <c r="DS421" s="1804"/>
      <c r="DT421" s="1848"/>
      <c r="DU421" s="1848"/>
      <c r="DV421" s="1848"/>
      <c r="DW421" s="1850"/>
      <c r="DX421" s="1848"/>
      <c r="DY421" s="1848"/>
      <c r="DZ421" s="1830"/>
      <c r="EA421"/>
      <c r="EB421"/>
      <c r="EC421"/>
      <c r="ED421"/>
      <c r="EE421"/>
      <c r="EF421"/>
    </row>
    <row r="422" spans="1:136" s="1785" customFormat="1" ht="11.25" hidden="1" customHeight="1" outlineLevel="1">
      <c r="A422" s="1830"/>
      <c r="B422" s="1943"/>
      <c r="C422" s="1859"/>
      <c r="D422" s="1944"/>
      <c r="E422" s="1985" t="s">
        <v>806</v>
      </c>
      <c r="F422" s="1830"/>
      <c r="G422" s="1959"/>
      <c r="H422" s="1959"/>
      <c r="I422" s="1960"/>
      <c r="J422" s="1959"/>
      <c r="K422" s="1959"/>
      <c r="L422" s="1959"/>
      <c r="M422" s="1960"/>
      <c r="N422" s="1959"/>
      <c r="O422" s="1959"/>
      <c r="P422" s="1959"/>
      <c r="Q422" s="1960"/>
      <c r="R422" s="1959"/>
      <c r="S422" s="1959"/>
      <c r="T422" s="1959"/>
      <c r="U422" s="1960"/>
      <c r="V422" s="1959"/>
      <c r="W422" s="1959"/>
      <c r="X422" s="1959"/>
      <c r="Y422" s="1960"/>
      <c r="Z422" s="1959"/>
      <c r="AA422" s="1959"/>
      <c r="AB422" s="1959"/>
      <c r="AC422" s="1960"/>
      <c r="AD422" s="1959"/>
      <c r="AE422" s="1959"/>
      <c r="AF422" s="1959"/>
      <c r="AG422" s="1959"/>
      <c r="AH422" s="1958"/>
      <c r="AI422" s="1959"/>
      <c r="AJ422" s="1959"/>
      <c r="AK422" s="1960"/>
      <c r="AL422" s="1959"/>
      <c r="AM422" s="1959"/>
      <c r="AN422" s="1959"/>
      <c r="AO422" s="1960"/>
      <c r="AP422" s="1830"/>
      <c r="AQ422" s="1830"/>
      <c r="AR422" s="1830"/>
      <c r="AS422" s="1830"/>
      <c r="AT422" s="1992"/>
      <c r="AU422" s="1959"/>
      <c r="AV422" s="1959"/>
      <c r="AW422" s="1960"/>
      <c r="AX422" s="1959"/>
      <c r="AY422" s="1993"/>
      <c r="AZ422" s="1994">
        <v>185</v>
      </c>
      <c r="BA422" s="1994">
        <f t="shared" ref="BA422:BJ422" si="830">AZ422*(1+BA424)</f>
        <v>166.5</v>
      </c>
      <c r="BB422" s="1995">
        <f t="shared" si="830"/>
        <v>160.67249999999999</v>
      </c>
      <c r="BC422" s="1994">
        <f t="shared" si="830"/>
        <v>155.04896249999999</v>
      </c>
      <c r="BD422" s="1994">
        <f t="shared" si="830"/>
        <v>152.87827702499999</v>
      </c>
      <c r="BE422" s="1996">
        <f t="shared" si="830"/>
        <v>152.11388563987498</v>
      </c>
      <c r="BF422" s="1997">
        <f t="shared" si="830"/>
        <v>147.24624129939897</v>
      </c>
      <c r="BG422" s="1998">
        <f t="shared" si="830"/>
        <v>147.24624129939897</v>
      </c>
      <c r="BH422" s="1998">
        <f t="shared" si="830"/>
        <v>139.00045178663262</v>
      </c>
      <c r="BI422" s="1999">
        <f t="shared" si="830"/>
        <v>136.22044275089996</v>
      </c>
      <c r="BJ422" s="2000">
        <f t="shared" si="830"/>
        <v>139.06829608418752</v>
      </c>
      <c r="BK422" s="1998">
        <f t="shared" ref="BK422:BQ422" si="831">BJ422*(1+BK424)</f>
        <v>140.80664978523987</v>
      </c>
      <c r="BL422" s="1998">
        <f t="shared" si="831"/>
        <v>142.66529756240504</v>
      </c>
      <c r="BM422" s="1998">
        <f t="shared" si="831"/>
        <v>139.81199161115694</v>
      </c>
      <c r="BN422" s="2000">
        <f t="shared" si="831"/>
        <v>139.11293165310116</v>
      </c>
      <c r="BO422" s="1998">
        <f t="shared" si="831"/>
        <v>139.80849631136664</v>
      </c>
      <c r="BP422" s="1998">
        <f t="shared" si="831"/>
        <v>135.61424142202563</v>
      </c>
      <c r="BQ422" s="1999">
        <f t="shared" si="831"/>
        <v>139.68266866468639</v>
      </c>
      <c r="BR422" s="1998">
        <f>BQ422*(1+BR424)</f>
        <v>138.98425532136295</v>
      </c>
      <c r="BS422" s="1998"/>
      <c r="BT422" s="1998"/>
      <c r="BU422" s="1999"/>
      <c r="BV422" s="1998"/>
      <c r="BW422" s="1998"/>
      <c r="BX422" s="1998"/>
      <c r="BY422" s="1999"/>
      <c r="BZ422" s="1998"/>
      <c r="CA422" s="1998"/>
      <c r="CB422" s="1998"/>
      <c r="CC422" s="1999"/>
      <c r="CD422" s="1845"/>
      <c r="CE422" s="1831"/>
      <c r="CF422" s="1831"/>
      <c r="CG422" s="1831"/>
      <c r="CH422" s="1831"/>
      <c r="CI422" s="1831"/>
      <c r="CJ422" s="1831"/>
      <c r="CK422" s="1822"/>
      <c r="CL422" s="1822"/>
      <c r="CM422" s="1831"/>
      <c r="CN422" s="1831"/>
      <c r="CO422" s="1959"/>
      <c r="CP422" s="1972">
        <f t="shared" ref="CP422:CU422" si="832">CP416*1000/CP419</f>
        <v>168.26190476190476</v>
      </c>
      <c r="CQ422" s="1972">
        <f t="shared" si="832"/>
        <v>155.03371688681213</v>
      </c>
      <c r="CR422" s="1972">
        <f t="shared" si="832"/>
        <v>142.56734049693364</v>
      </c>
      <c r="CS422" s="1972">
        <f t="shared" si="832"/>
        <v>140.60681222459237</v>
      </c>
      <c r="CT422" s="1972">
        <f t="shared" si="832"/>
        <v>138.60933737632024</v>
      </c>
      <c r="CU422" s="1972">
        <f t="shared" si="832"/>
        <v>138.98425532136295</v>
      </c>
      <c r="CV422" s="1972"/>
      <c r="CW422" s="1972"/>
      <c r="CX422" s="1972"/>
      <c r="CY422" s="1972"/>
      <c r="CZ422" s="1972"/>
      <c r="DA422" s="1972"/>
      <c r="DB422" s="1972"/>
      <c r="DC422" s="1972"/>
      <c r="DD422" s="1845"/>
      <c r="DE422" s="1961"/>
      <c r="DF422" s="1830"/>
      <c r="DG422" s="1783"/>
      <c r="DH422" s="1782"/>
      <c r="DI422" s="1782"/>
      <c r="DJ422" s="1782"/>
      <c r="DK422" s="1782"/>
      <c r="DL422" s="1782"/>
      <c r="DM422" s="1782"/>
      <c r="DN422" s="1782"/>
      <c r="DO422" s="1782"/>
      <c r="DP422" s="1782"/>
      <c r="DQ422" s="1782"/>
      <c r="DR422" s="1963">
        <f>DR416/DR419*1000</f>
        <v>162.04373876316342</v>
      </c>
      <c r="DS422" s="1964">
        <f>DS416/DS419*1000</f>
        <v>149.80492223258582</v>
      </c>
      <c r="DT422" s="1963">
        <f>DT416/DT419*1000</f>
        <v>138.80538164965057</v>
      </c>
      <c r="DU422" s="1963">
        <f>DU416/DU419*1000</f>
        <v>140.41309987037778</v>
      </c>
      <c r="DV422" s="1963">
        <f>DV416/DV419*1000</f>
        <v>137.98368627054856</v>
      </c>
      <c r="DW422" s="1965"/>
      <c r="DX422" s="1963"/>
      <c r="DY422" s="1963"/>
      <c r="DZ422" s="1830"/>
      <c r="EA422"/>
      <c r="EB422"/>
      <c r="EC422"/>
      <c r="ED422"/>
      <c r="EE422"/>
      <c r="EF422"/>
    </row>
    <row r="423" spans="1:136" s="1785" customFormat="1" ht="11.25" hidden="1" customHeight="1" outlineLevel="1">
      <c r="A423" s="1830"/>
      <c r="B423" s="1943"/>
      <c r="C423" s="1859"/>
      <c r="D423" s="1779"/>
      <c r="E423" s="1932" t="s">
        <v>183</v>
      </c>
      <c r="F423" s="1860"/>
      <c r="G423" s="1938"/>
      <c r="H423" s="1938"/>
      <c r="I423" s="1969"/>
      <c r="J423" s="1938"/>
      <c r="K423" s="1938"/>
      <c r="L423" s="1938"/>
      <c r="M423" s="1969"/>
      <c r="N423" s="1938"/>
      <c r="O423" s="1938"/>
      <c r="P423" s="1938"/>
      <c r="Q423" s="1969"/>
      <c r="R423" s="1938"/>
      <c r="S423" s="1938"/>
      <c r="T423" s="1938"/>
      <c r="U423" s="1969"/>
      <c r="V423" s="1938"/>
      <c r="W423" s="1938"/>
      <c r="X423" s="1938"/>
      <c r="Y423" s="1969"/>
      <c r="Z423" s="1938"/>
      <c r="AA423" s="1938"/>
      <c r="AB423" s="1938"/>
      <c r="AC423" s="1969"/>
      <c r="AD423" s="1938"/>
      <c r="AE423" s="1938"/>
      <c r="AF423" s="1938"/>
      <c r="AG423" s="1938"/>
      <c r="AH423" s="1968"/>
      <c r="AI423" s="1938"/>
      <c r="AJ423" s="1938"/>
      <c r="AK423" s="1969"/>
      <c r="AL423" s="1938"/>
      <c r="AM423" s="1938"/>
      <c r="AN423" s="1938"/>
      <c r="AO423" s="1969"/>
      <c r="AP423" s="1829"/>
      <c r="AQ423" s="1829"/>
      <c r="AR423" s="1829"/>
      <c r="AS423" s="1829"/>
      <c r="AT423" s="1887"/>
      <c r="AU423" s="1938"/>
      <c r="AV423" s="1938"/>
      <c r="AW423" s="1969"/>
      <c r="AX423" s="1938"/>
      <c r="AY423" s="1938"/>
      <c r="AZ423" s="1852"/>
      <c r="BA423" s="1825"/>
      <c r="BB423" s="1851"/>
      <c r="BC423" s="1852"/>
      <c r="BD423" s="1852">
        <f t="shared" ref="BD423:BJ423" si="833">BD422/AZ422-1</f>
        <v>-0.17363093500000004</v>
      </c>
      <c r="BE423" s="1825">
        <f t="shared" si="833"/>
        <v>-8.6403089250000176E-2</v>
      </c>
      <c r="BF423" s="1898">
        <f t="shared" si="833"/>
        <v>-8.3562891600000078E-2</v>
      </c>
      <c r="BG423" s="1852">
        <f t="shared" si="833"/>
        <v>-5.0324240000000131E-2</v>
      </c>
      <c r="BH423" s="1852">
        <f t="shared" si="833"/>
        <v>-9.0776960000000129E-2</v>
      </c>
      <c r="BI423" s="1825">
        <f t="shared" si="833"/>
        <v>-0.10448384000000011</v>
      </c>
      <c r="BJ423" s="1851">
        <f t="shared" si="833"/>
        <v>-5.5539245980364638E-2</v>
      </c>
      <c r="BK423" s="1852">
        <f t="shared" ref="BK423:BQ423" si="834">BK422/BG422-1</f>
        <v>-4.3733486555119216E-2</v>
      </c>
      <c r="BL423" s="1852">
        <f t="shared" si="834"/>
        <v>2.6365711252492874E-2</v>
      </c>
      <c r="BM423" s="1852">
        <f t="shared" si="834"/>
        <v>2.6365711252492874E-2</v>
      </c>
      <c r="BN423" s="1851">
        <f t="shared" si="834"/>
        <v>3.2096150000016088E-4</v>
      </c>
      <c r="BO423" s="1852">
        <f t="shared" si="834"/>
        <v>-7.088823400000166E-3</v>
      </c>
      <c r="BP423" s="1852">
        <f t="shared" si="834"/>
        <v>-4.942376500000023E-2</v>
      </c>
      <c r="BQ423" s="1825">
        <f t="shared" si="834"/>
        <v>-9.2497750000031242E-4</v>
      </c>
      <c r="BR423" s="1851">
        <f>BR422/BN422-1</f>
        <v>-9.2497750000031242E-4</v>
      </c>
      <c r="BS423" s="1852"/>
      <c r="BT423" s="1852"/>
      <c r="BU423" s="1825"/>
      <c r="BV423" s="1852"/>
      <c r="BW423" s="1852"/>
      <c r="BX423" s="1852"/>
      <c r="BY423" s="1825"/>
      <c r="BZ423" s="1852"/>
      <c r="CA423" s="1852"/>
      <c r="CB423" s="1852"/>
      <c r="CC423" s="1825"/>
      <c r="CD423" s="1837"/>
      <c r="CE423" s="1934"/>
      <c r="CF423" s="1934"/>
      <c r="CG423" s="1934"/>
      <c r="CH423" s="1934"/>
      <c r="CI423" s="1934"/>
      <c r="CJ423" s="1934"/>
      <c r="CK423" s="1937"/>
      <c r="CL423" s="1937"/>
      <c r="CM423" s="1934"/>
      <c r="CN423" s="1934"/>
      <c r="CO423" s="1938"/>
      <c r="CP423" s="1852"/>
      <c r="CQ423" s="1852">
        <f>CQ422/CP422-1</f>
        <v>-7.8616653566420003E-2</v>
      </c>
      <c r="CR423" s="1852">
        <f>CR422/CQ422-1</f>
        <v>-8.0410743160986176E-2</v>
      </c>
      <c r="CS423" s="1852">
        <f>CS422/CR422-1</f>
        <v>-1.3751594618428231E-2</v>
      </c>
      <c r="CT423" s="1852">
        <f>CT422/CS422-1</f>
        <v>-1.4206102938181586E-2</v>
      </c>
      <c r="CU423" s="1852">
        <f>CU422/CT422-1</f>
        <v>2.7048534546039171E-3</v>
      </c>
      <c r="CV423" s="1852"/>
      <c r="CW423" s="1852"/>
      <c r="CX423" s="1991"/>
      <c r="CY423" s="1991"/>
      <c r="CZ423" s="1991"/>
      <c r="DA423" s="1991"/>
      <c r="DB423" s="1991"/>
      <c r="DC423" s="1991"/>
      <c r="DD423" s="1837"/>
      <c r="DE423" s="1839"/>
      <c r="DF423" s="1829"/>
      <c r="DG423" s="1804"/>
      <c r="DH423" s="1803"/>
      <c r="DI423" s="1803"/>
      <c r="DJ423" s="1803"/>
      <c r="DK423" s="1803"/>
      <c r="DL423" s="1803"/>
      <c r="DM423" s="1803"/>
      <c r="DN423" s="1803"/>
      <c r="DO423" s="1803"/>
      <c r="DP423" s="1803"/>
      <c r="DQ423" s="1803"/>
      <c r="DR423" s="1803"/>
      <c r="DS423" s="1804">
        <f>DS422/DR422-1</f>
        <v>-7.552785824366437E-2</v>
      </c>
      <c r="DT423" s="1852">
        <f>DT422/DS422-1</f>
        <v>-7.3425762111190562E-2</v>
      </c>
      <c r="DU423" s="1852">
        <f>DU422/DT422-1</f>
        <v>1.1582535213116918E-2</v>
      </c>
      <c r="DV423" s="1852">
        <f>DV422/DU422-1</f>
        <v>-1.7301901333080183E-2</v>
      </c>
      <c r="DW423" s="1825"/>
      <c r="DX423" s="1852"/>
      <c r="DY423" s="1852"/>
      <c r="DZ423" s="1830"/>
      <c r="EA423"/>
      <c r="EB423"/>
      <c r="EC423"/>
      <c r="ED423"/>
      <c r="EE423"/>
      <c r="EF423"/>
    </row>
    <row r="424" spans="1:136" s="1785" customFormat="1" ht="11.25" hidden="1" customHeight="1" outlineLevel="1">
      <c r="A424" s="1830"/>
      <c r="B424" s="1943"/>
      <c r="C424" s="1859"/>
      <c r="D424" s="1779"/>
      <c r="E424" s="1932" t="s">
        <v>184</v>
      </c>
      <c r="F424" s="1779"/>
      <c r="G424" s="1938"/>
      <c r="H424" s="1938"/>
      <c r="I424" s="1969"/>
      <c r="J424" s="1938"/>
      <c r="K424" s="1938"/>
      <c r="L424" s="1938"/>
      <c r="M424" s="1969"/>
      <c r="N424" s="1938"/>
      <c r="O424" s="1938"/>
      <c r="P424" s="1938"/>
      <c r="Q424" s="1969"/>
      <c r="R424" s="1938"/>
      <c r="S424" s="1938"/>
      <c r="T424" s="1938"/>
      <c r="U424" s="1969"/>
      <c r="V424" s="1938"/>
      <c r="W424" s="1938"/>
      <c r="X424" s="1938"/>
      <c r="Y424" s="1969"/>
      <c r="Z424" s="1938"/>
      <c r="AA424" s="1938"/>
      <c r="AB424" s="1938"/>
      <c r="AC424" s="1969"/>
      <c r="AD424" s="1938"/>
      <c r="AE424" s="1938"/>
      <c r="AF424" s="1938"/>
      <c r="AG424" s="1938"/>
      <c r="AH424" s="1968"/>
      <c r="AI424" s="1938"/>
      <c r="AJ424" s="1938"/>
      <c r="AK424" s="1969"/>
      <c r="AL424" s="1938"/>
      <c r="AM424" s="1938"/>
      <c r="AN424" s="1938"/>
      <c r="AO424" s="1969"/>
      <c r="AP424" s="1829"/>
      <c r="AQ424" s="1829"/>
      <c r="AR424" s="1829"/>
      <c r="AS424" s="1829"/>
      <c r="AT424" s="1887"/>
      <c r="AU424" s="1938"/>
      <c r="AV424" s="1938"/>
      <c r="AW424" s="1969"/>
      <c r="AX424" s="1938"/>
      <c r="AY424" s="1938"/>
      <c r="AZ424" s="1852"/>
      <c r="BA424" s="1825">
        <v>-0.1</v>
      </c>
      <c r="BB424" s="1851">
        <v>-3.5000000000000003E-2</v>
      </c>
      <c r="BC424" s="1852">
        <v>-3.5000000000000003E-2</v>
      </c>
      <c r="BD424" s="1852">
        <v>-1.4E-2</v>
      </c>
      <c r="BE424" s="1825">
        <v>-5.0000000000000001E-3</v>
      </c>
      <c r="BF424" s="1898">
        <v>-3.2000000000000001E-2</v>
      </c>
      <c r="BG424" s="1854">
        <v>0</v>
      </c>
      <c r="BH424" s="1852">
        <v>-5.6000000000000001E-2</v>
      </c>
      <c r="BI424" s="1825">
        <v>-0.02</v>
      </c>
      <c r="BJ424" s="1851">
        <v>2.0906211107354095E-2</v>
      </c>
      <c r="BK424" s="1852">
        <v>1.2500000000000001E-2</v>
      </c>
      <c r="BL424" s="1852">
        <v>1.32E-2</v>
      </c>
      <c r="BM424" s="1852">
        <v>-0.02</v>
      </c>
      <c r="BN424" s="1851">
        <v>-5.0000000000000001E-3</v>
      </c>
      <c r="BO424" s="1852">
        <v>5.0000000000000001E-3</v>
      </c>
      <c r="BP424" s="1852">
        <v>-0.03</v>
      </c>
      <c r="BQ424" s="1825">
        <v>0.03</v>
      </c>
      <c r="BR424" s="1851">
        <v>-5.0000000000000001E-3</v>
      </c>
      <c r="BS424" s="1852"/>
      <c r="BT424" s="1852"/>
      <c r="BU424" s="1825"/>
      <c r="BV424" s="1852"/>
      <c r="BW424" s="1852"/>
      <c r="BX424" s="1852"/>
      <c r="BY424" s="1825"/>
      <c r="BZ424" s="1852"/>
      <c r="CA424" s="1852"/>
      <c r="CB424" s="1852"/>
      <c r="CC424" s="1825"/>
      <c r="CD424" s="1837"/>
      <c r="CE424" s="1934"/>
      <c r="CF424" s="1934"/>
      <c r="CG424" s="1934"/>
      <c r="CH424" s="1934"/>
      <c r="CI424" s="1934"/>
      <c r="CJ424" s="1934"/>
      <c r="CK424" s="1937"/>
      <c r="CL424" s="1937"/>
      <c r="CM424" s="1934"/>
      <c r="CN424" s="1934"/>
      <c r="CO424" s="1938"/>
      <c r="CP424" s="1938"/>
      <c r="CQ424" s="1938"/>
      <c r="CR424" s="1938"/>
      <c r="CS424" s="1852"/>
      <c r="CT424" s="1852"/>
      <c r="CU424" s="1852"/>
      <c r="CV424" s="1852"/>
      <c r="CW424" s="1852"/>
      <c r="CX424" s="1852"/>
      <c r="CY424" s="1852"/>
      <c r="CZ424" s="1852"/>
      <c r="DA424" s="1852"/>
      <c r="DB424" s="1852"/>
      <c r="DC424" s="1852"/>
      <c r="DD424" s="1837"/>
      <c r="DE424" s="1839"/>
      <c r="DF424" s="1829"/>
      <c r="DG424" s="1804"/>
      <c r="DH424" s="1803"/>
      <c r="DI424" s="1803"/>
      <c r="DJ424" s="1803"/>
      <c r="DK424" s="1803"/>
      <c r="DL424" s="1803"/>
      <c r="DM424" s="1803"/>
      <c r="DN424" s="1803"/>
      <c r="DO424" s="1803"/>
      <c r="DP424" s="1803"/>
      <c r="DQ424" s="1803"/>
      <c r="DR424" s="1803"/>
      <c r="DS424" s="1804"/>
      <c r="DT424" s="1974"/>
      <c r="DU424" s="1974"/>
      <c r="DV424" s="1974"/>
      <c r="DW424" s="1975"/>
      <c r="DX424" s="1974"/>
      <c r="DY424" s="1974"/>
      <c r="DZ424" s="1830"/>
      <c r="EA424"/>
      <c r="EB424"/>
      <c r="EC424"/>
      <c r="ED424"/>
      <c r="EE424"/>
      <c r="EF424"/>
    </row>
    <row r="425" spans="1:136" s="1785" customFormat="1" ht="11.25" hidden="1" customHeight="1" outlineLevel="1">
      <c r="A425" s="1830"/>
      <c r="B425" s="1943"/>
      <c r="C425" s="1859"/>
      <c r="D425" s="1779"/>
      <c r="E425" s="1841"/>
      <c r="F425" s="1968"/>
      <c r="G425" s="1938"/>
      <c r="H425" s="1938"/>
      <c r="I425" s="1969"/>
      <c r="J425" s="1938"/>
      <c r="K425" s="1938"/>
      <c r="L425" s="1938"/>
      <c r="M425" s="1969"/>
      <c r="N425" s="1938"/>
      <c r="O425" s="1938"/>
      <c r="P425" s="1938"/>
      <c r="Q425" s="1969"/>
      <c r="R425" s="1938"/>
      <c r="S425" s="1938"/>
      <c r="T425" s="1938"/>
      <c r="U425" s="1969"/>
      <c r="V425" s="1938"/>
      <c r="W425" s="1938"/>
      <c r="X425" s="1938"/>
      <c r="Y425" s="1969"/>
      <c r="Z425" s="1938"/>
      <c r="AA425" s="1938"/>
      <c r="AB425" s="1938"/>
      <c r="AC425" s="1969"/>
      <c r="AD425" s="1938"/>
      <c r="AE425" s="1938"/>
      <c r="AF425" s="1938"/>
      <c r="AG425" s="1938"/>
      <c r="AH425" s="1968"/>
      <c r="AI425" s="1938"/>
      <c r="AJ425" s="1938"/>
      <c r="AK425" s="1969"/>
      <c r="AL425" s="1938"/>
      <c r="AM425" s="1938"/>
      <c r="AN425" s="1938"/>
      <c r="AO425" s="1969"/>
      <c r="AP425" s="1829"/>
      <c r="AQ425" s="1829"/>
      <c r="AR425" s="1829"/>
      <c r="AS425" s="1829"/>
      <c r="AT425" s="1887"/>
      <c r="AU425" s="1938"/>
      <c r="AV425" s="1938"/>
      <c r="AW425" s="1969"/>
      <c r="AX425" s="1938"/>
      <c r="AY425" s="1938"/>
      <c r="AZ425" s="1938"/>
      <c r="BA425" s="1969"/>
      <c r="BB425" s="1968"/>
      <c r="BC425" s="1938"/>
      <c r="BD425" s="1938"/>
      <c r="BE425" s="1969"/>
      <c r="BF425" s="2001"/>
      <c r="BG425" s="2002"/>
      <c r="BH425" s="1977"/>
      <c r="BI425" s="1969"/>
      <c r="BJ425" s="1968"/>
      <c r="BK425" s="1938"/>
      <c r="BL425" s="1977"/>
      <c r="BM425" s="1938"/>
      <c r="BN425" s="2056"/>
      <c r="BO425" s="1977"/>
      <c r="BP425" s="1977"/>
      <c r="BQ425" s="1978"/>
      <c r="BR425" s="1977"/>
      <c r="BS425" s="1977"/>
      <c r="BT425" s="1977"/>
      <c r="BU425" s="1978"/>
      <c r="BV425" s="1977"/>
      <c r="BW425" s="1977"/>
      <c r="BX425" s="1977"/>
      <c r="BY425" s="1978"/>
      <c r="BZ425" s="1977"/>
      <c r="CA425" s="1977"/>
      <c r="CB425" s="1977"/>
      <c r="CC425" s="1978"/>
      <c r="CD425" s="1837"/>
      <c r="CE425" s="1934"/>
      <c r="CF425" s="1934"/>
      <c r="CG425" s="1934"/>
      <c r="CH425" s="1934"/>
      <c r="CI425" s="1934"/>
      <c r="CJ425" s="1934"/>
      <c r="CK425" s="1937"/>
      <c r="CL425" s="1937"/>
      <c r="CM425" s="1934"/>
      <c r="CN425" s="1934"/>
      <c r="CO425" s="1938"/>
      <c r="CP425" s="1938"/>
      <c r="CQ425" s="1938"/>
      <c r="CR425" s="1938"/>
      <c r="CS425" s="1938"/>
      <c r="CT425" s="1938"/>
      <c r="CU425" s="1938"/>
      <c r="CV425" s="1938"/>
      <c r="CW425" s="1938"/>
      <c r="CX425" s="1938"/>
      <c r="CY425" s="1938"/>
      <c r="CZ425" s="1938"/>
      <c r="DA425" s="1938"/>
      <c r="DB425" s="1938"/>
      <c r="DC425" s="1938"/>
      <c r="DD425" s="1837"/>
      <c r="DE425" s="1839"/>
      <c r="DF425" s="1829"/>
      <c r="DG425" s="1804"/>
      <c r="DH425" s="1803"/>
      <c r="DI425" s="1803"/>
      <c r="DJ425" s="1803"/>
      <c r="DK425" s="1803"/>
      <c r="DL425" s="1803"/>
      <c r="DM425" s="1803"/>
      <c r="DN425" s="1803"/>
      <c r="DO425" s="1803"/>
      <c r="DP425" s="1803"/>
      <c r="DQ425" s="1803"/>
      <c r="DR425" s="1803"/>
      <c r="DS425" s="1804"/>
      <c r="DT425" s="1974"/>
      <c r="DU425" s="1974"/>
      <c r="DV425" s="1974"/>
      <c r="DW425" s="1975"/>
      <c r="DX425" s="1974"/>
      <c r="DY425" s="1974"/>
      <c r="DZ425" s="1830"/>
      <c r="EA425"/>
      <c r="EB425"/>
      <c r="EC425"/>
      <c r="ED425"/>
      <c r="EE425"/>
      <c r="EF425"/>
    </row>
    <row r="426" spans="1:136" s="1785" customFormat="1" ht="11.25" hidden="1" customHeight="1" outlineLevel="1">
      <c r="A426" s="1830"/>
      <c r="B426" s="1943"/>
      <c r="C426" s="1944"/>
      <c r="D426" s="1830"/>
      <c r="E426" s="1841" t="s">
        <v>185</v>
      </c>
      <c r="F426" s="1945"/>
      <c r="G426" s="1946"/>
      <c r="H426" s="1946"/>
      <c r="I426" s="1947"/>
      <c r="J426" s="1946"/>
      <c r="K426" s="1946"/>
      <c r="L426" s="1946"/>
      <c r="M426" s="1947"/>
      <c r="N426" s="1946"/>
      <c r="O426" s="1946"/>
      <c r="P426" s="1946"/>
      <c r="Q426" s="1947"/>
      <c r="R426" s="1946"/>
      <c r="S426" s="1946"/>
      <c r="T426" s="1946"/>
      <c r="U426" s="1947"/>
      <c r="V426" s="1946"/>
      <c r="W426" s="1946"/>
      <c r="X426" s="1946"/>
      <c r="Y426" s="1947"/>
      <c r="Z426" s="1946"/>
      <c r="AA426" s="1946"/>
      <c r="AB426" s="1946"/>
      <c r="AC426" s="1947"/>
      <c r="AD426" s="1946"/>
      <c r="AE426" s="1946"/>
      <c r="AF426" s="1946"/>
      <c r="AG426" s="1946"/>
      <c r="AH426" s="1945"/>
      <c r="AI426" s="1946"/>
      <c r="AJ426" s="1946"/>
      <c r="AK426" s="1947"/>
      <c r="AL426" s="1946"/>
      <c r="AM426" s="1946"/>
      <c r="AN426" s="1946"/>
      <c r="AO426" s="1947"/>
      <c r="AP426" s="1981">
        <f t="shared" ref="AP426:AW426" si="835">AP429*AP432/1000</f>
        <v>155.21700000000001</v>
      </c>
      <c r="AQ426" s="1948">
        <f t="shared" si="835"/>
        <v>206.15</v>
      </c>
      <c r="AR426" s="1948">
        <f t="shared" si="835"/>
        <v>223.82</v>
      </c>
      <c r="AS426" s="1948">
        <f t="shared" si="835"/>
        <v>215.83199999999999</v>
      </c>
      <c r="AT426" s="1981">
        <f t="shared" si="835"/>
        <v>211.029</v>
      </c>
      <c r="AU426" s="1948">
        <f>AU429*AU432/1000</f>
        <v>203.27600000000001</v>
      </c>
      <c r="AV426" s="1948">
        <f t="shared" si="835"/>
        <v>197.01840999999996</v>
      </c>
      <c r="AW426" s="1948">
        <f t="shared" si="835"/>
        <v>209.34268499999996</v>
      </c>
      <c r="AX426" s="1981">
        <f t="shared" ref="AX426:BD426" si="836">AX429*AX432/1000</f>
        <v>210.41404697499993</v>
      </c>
      <c r="AY426" s="1948">
        <f t="shared" si="836"/>
        <v>223.56292646599994</v>
      </c>
      <c r="AZ426" s="1948">
        <f t="shared" si="836"/>
        <v>421.21122693143997</v>
      </c>
      <c r="BA426" s="1980">
        <f t="shared" si="836"/>
        <v>484.82512398386547</v>
      </c>
      <c r="BB426" s="1981">
        <f t="shared" si="836"/>
        <v>348.30435718483955</v>
      </c>
      <c r="BC426" s="1948">
        <f t="shared" si="836"/>
        <v>381.2201199441443</v>
      </c>
      <c r="BD426" s="1948">
        <f t="shared" si="836"/>
        <v>431.60098935102184</v>
      </c>
      <c r="BE426" s="1980">
        <f t="shared" ref="BE426:BM426" si="837">BE429*BE432/1000</f>
        <v>496.37689174931393</v>
      </c>
      <c r="BF426" s="2003">
        <f t="shared" si="837"/>
        <v>459.27238498425083</v>
      </c>
      <c r="BG426" s="2004">
        <f t="shared" si="837"/>
        <v>483.56577766265639</v>
      </c>
      <c r="BH426" s="1948">
        <f t="shared" si="837"/>
        <v>417.13713262112924</v>
      </c>
      <c r="BI426" s="1980">
        <f t="shared" si="837"/>
        <v>406.86412080090838</v>
      </c>
      <c r="BJ426" s="1981">
        <f t="shared" si="837"/>
        <v>469.31738991075565</v>
      </c>
      <c r="BK426" s="1948">
        <f t="shared" si="837"/>
        <v>503.47097934393156</v>
      </c>
      <c r="BL426" s="1948">
        <f t="shared" si="837"/>
        <v>447.23435997690933</v>
      </c>
      <c r="BM426" s="1948">
        <f t="shared" si="837"/>
        <v>426.098493443503</v>
      </c>
      <c r="BN426" s="1981">
        <f>BN429*BN432/1000</f>
        <v>432.86543399470497</v>
      </c>
      <c r="BO426" s="1948">
        <f>BO429*BO432/1000</f>
        <v>446.39417653365234</v>
      </c>
      <c r="BP426" s="1948">
        <f>BP429*BP432/1000</f>
        <v>408.99020391962353</v>
      </c>
      <c r="BQ426" s="1980">
        <f>BQ429*BQ432/1000</f>
        <v>424.88440822952344</v>
      </c>
      <c r="BR426" s="1948">
        <f>BR429*BR432/1000</f>
        <v>469.26358466909727</v>
      </c>
      <c r="BS426" s="1948"/>
      <c r="BT426" s="1948"/>
      <c r="BU426" s="1980"/>
      <c r="BV426" s="1948"/>
      <c r="BW426" s="1948"/>
      <c r="BX426" s="1948"/>
      <c r="BY426" s="1980"/>
      <c r="BZ426" s="1948"/>
      <c r="CA426" s="1948"/>
      <c r="CB426" s="1948"/>
      <c r="CC426" s="1980"/>
      <c r="CD426" s="1949"/>
      <c r="CE426" s="1950"/>
      <c r="CF426" s="1950"/>
      <c r="CG426" s="1950"/>
      <c r="CH426" s="1950"/>
      <c r="CI426" s="1950"/>
      <c r="CJ426" s="1950"/>
      <c r="CK426" s="1951"/>
      <c r="CL426" s="1951"/>
      <c r="CM426" s="1950"/>
      <c r="CN426" s="1950">
        <f>SUM(AP426:AS426)</f>
        <v>801.01900000000001</v>
      </c>
      <c r="CO426" s="1946">
        <f>SUM(AT426:AW426)</f>
        <v>820.66609499999993</v>
      </c>
      <c r="CP426" s="1946">
        <f>SUM(AX426:BA426)</f>
        <v>1340.0133243563052</v>
      </c>
      <c r="CQ426" s="1946">
        <f>SUM(BB426:BE426)</f>
        <v>1657.5023582293195</v>
      </c>
      <c r="CR426" s="1946">
        <f>SUM(BF426:BI426)</f>
        <v>1766.839416068945</v>
      </c>
      <c r="CS426" s="1946">
        <f>SUM(BJ426:BM426)</f>
        <v>1846.1212226750997</v>
      </c>
      <c r="CT426" s="1946">
        <f>SUM(BN426:BQ426)</f>
        <v>1713.1342226775043</v>
      </c>
      <c r="CU426" s="1948">
        <f>SUM(BR426:BU426)</f>
        <v>469.26358466909727</v>
      </c>
      <c r="CV426" s="1948"/>
      <c r="CW426" s="1948"/>
      <c r="CX426" s="1948"/>
      <c r="CY426" s="1948"/>
      <c r="CZ426" s="1948"/>
      <c r="DA426" s="1948"/>
      <c r="DB426" s="1948"/>
      <c r="DC426" s="1948"/>
      <c r="DD426" s="1949"/>
      <c r="DE426" s="1952"/>
      <c r="DF426" s="1953"/>
      <c r="DG426" s="1954"/>
      <c r="DH426" s="1955"/>
      <c r="DI426" s="1955"/>
      <c r="DJ426" s="1955"/>
      <c r="DK426" s="1955"/>
      <c r="DL426" s="1955"/>
      <c r="DM426" s="1955"/>
      <c r="DN426" s="1955"/>
      <c r="DO426" s="1955"/>
      <c r="DP426" s="1955">
        <f>SUM(AR426:AU426)</f>
        <v>853.95700000000011</v>
      </c>
      <c r="DQ426" s="1955">
        <f>SUM(AV426:AY426)</f>
        <v>840.33806844099979</v>
      </c>
      <c r="DR426" s="1955">
        <f>SUM(AZ426:BC426)</f>
        <v>1635.5608280442893</v>
      </c>
      <c r="DS426" s="1954">
        <f>SUM(BD426:BG426)</f>
        <v>1870.8160437472429</v>
      </c>
      <c r="DT426" s="1955">
        <f>SUM(BH426:BK426)</f>
        <v>1796.7896226767248</v>
      </c>
      <c r="DU426" s="1955">
        <f>SUM(BL426:BO426)</f>
        <v>1752.5924639487696</v>
      </c>
      <c r="DV426" s="1955">
        <f>SUM(BP426:BS426)</f>
        <v>1303.1381968182443</v>
      </c>
      <c r="DW426" s="1956"/>
      <c r="DX426" s="1955"/>
      <c r="DY426" s="1955"/>
      <c r="DZ426" s="1830"/>
      <c r="EA426"/>
      <c r="EB426"/>
      <c r="EC426"/>
      <c r="ED426"/>
      <c r="EE426"/>
      <c r="EF426"/>
    </row>
    <row r="427" spans="1:136" s="1785" customFormat="1" ht="11.25" hidden="1" customHeight="1" outlineLevel="1">
      <c r="A427" s="1830"/>
      <c r="B427" s="1943"/>
      <c r="C427" s="1859"/>
      <c r="D427" s="1779"/>
      <c r="E427" s="1932" t="s">
        <v>183</v>
      </c>
      <c r="F427" s="1968"/>
      <c r="G427" s="1938"/>
      <c r="H427" s="1938"/>
      <c r="I427" s="1969"/>
      <c r="J427" s="1938"/>
      <c r="K427" s="1938"/>
      <c r="L427" s="1938"/>
      <c r="M427" s="1969"/>
      <c r="N427" s="1938"/>
      <c r="O427" s="1938"/>
      <c r="P427" s="1938"/>
      <c r="Q427" s="1969"/>
      <c r="R427" s="1938"/>
      <c r="S427" s="1938"/>
      <c r="T427" s="1938"/>
      <c r="U427" s="1969"/>
      <c r="V427" s="1938"/>
      <c r="W427" s="1938"/>
      <c r="X427" s="1938"/>
      <c r="Y427" s="1969"/>
      <c r="Z427" s="1938"/>
      <c r="AA427" s="1938"/>
      <c r="AB427" s="1938"/>
      <c r="AC427" s="1969"/>
      <c r="AD427" s="1938"/>
      <c r="AE427" s="1938"/>
      <c r="AF427" s="1938"/>
      <c r="AG427" s="1938"/>
      <c r="AH427" s="1968"/>
      <c r="AI427" s="1938"/>
      <c r="AJ427" s="1938"/>
      <c r="AK427" s="1969"/>
      <c r="AL427" s="1938"/>
      <c r="AM427" s="1938"/>
      <c r="AN427" s="1938"/>
      <c r="AO427" s="1969"/>
      <c r="AP427" s="1984"/>
      <c r="AQ427" s="1982"/>
      <c r="AR427" s="1982"/>
      <c r="AS427" s="1982"/>
      <c r="AT427" s="1984">
        <f>AT426/AP426-1</f>
        <v>0.35957401573281267</v>
      </c>
      <c r="AU427" s="1982">
        <f>AU426/AQ426-1</f>
        <v>-1.3941304875090932E-2</v>
      </c>
      <c r="AV427" s="1982">
        <f>AV426/AR426-1</f>
        <v>-0.11974617996604431</v>
      </c>
      <c r="AW427" s="1982">
        <f>AW426/AS426-1</f>
        <v>-3.006651006338279E-2</v>
      </c>
      <c r="AX427" s="1984">
        <f t="shared" ref="AX427:BD427" si="838">AX426/AT426-1</f>
        <v>-2.9140688009707816E-3</v>
      </c>
      <c r="AY427" s="1982">
        <f t="shared" si="838"/>
        <v>9.9799909807355203E-2</v>
      </c>
      <c r="AZ427" s="1982">
        <f t="shared" si="838"/>
        <v>1.1379282622950821</v>
      </c>
      <c r="BA427" s="1983">
        <f t="shared" si="838"/>
        <v>1.3159401246041416</v>
      </c>
      <c r="BB427" s="1984">
        <f t="shared" si="838"/>
        <v>0.65532844499788956</v>
      </c>
      <c r="BC427" s="1982">
        <f t="shared" si="838"/>
        <v>0.70520276313399077</v>
      </c>
      <c r="BD427" s="1982">
        <f t="shared" si="838"/>
        <v>2.4666394804507386E-2</v>
      </c>
      <c r="BE427" s="1983">
        <f t="shared" ref="BE427:BN427" si="839">BE426/BA426-1</f>
        <v>2.3826669027640746E-2</v>
      </c>
      <c r="BF427" s="2005">
        <f t="shared" si="839"/>
        <v>0.3185950032216287</v>
      </c>
      <c r="BG427" s="2006">
        <f t="shared" si="839"/>
        <v>0.26846866774373712</v>
      </c>
      <c r="BH427" s="1982">
        <f t="shared" si="839"/>
        <v>-3.351210281431749E-2</v>
      </c>
      <c r="BI427" s="1983">
        <f t="shared" si="839"/>
        <v>-0.18033226855695839</v>
      </c>
      <c r="BJ427" s="1984">
        <f t="shared" si="839"/>
        <v>2.1871563052608289E-2</v>
      </c>
      <c r="BK427" s="1982">
        <f t="shared" si="839"/>
        <v>4.1163379628492702E-2</v>
      </c>
      <c r="BL427" s="1982">
        <f t="shared" si="839"/>
        <v>7.2151877649109464E-2</v>
      </c>
      <c r="BM427" s="1982">
        <f t="shared" si="839"/>
        <v>4.7274683756168834E-2</v>
      </c>
      <c r="BN427" s="1984">
        <f t="shared" si="839"/>
        <v>-7.7670158190776384E-2</v>
      </c>
      <c r="BO427" s="1982">
        <f>BO426/BK426-1</f>
        <v>-0.11336661923325841</v>
      </c>
      <c r="BP427" s="1982">
        <f>BP426/BL426-1</f>
        <v>-8.5512562271065962E-2</v>
      </c>
      <c r="BQ427" s="1983">
        <f>BQ426/BM426-1</f>
        <v>-2.8493065163595066E-3</v>
      </c>
      <c r="BR427" s="1982">
        <f>BR426/BN426-1</f>
        <v>8.4086526240941595E-2</v>
      </c>
      <c r="BS427" s="1982"/>
      <c r="BT427" s="1982"/>
      <c r="BU427" s="1983"/>
      <c r="BV427" s="1982"/>
      <c r="BW427" s="1982"/>
      <c r="BX427" s="1982"/>
      <c r="BY427" s="1983"/>
      <c r="BZ427" s="1982"/>
      <c r="CA427" s="1982"/>
      <c r="CB427" s="1982"/>
      <c r="CC427" s="1983"/>
      <c r="CD427" s="1837"/>
      <c r="CE427" s="1934"/>
      <c r="CF427" s="1934"/>
      <c r="CG427" s="1934"/>
      <c r="CH427" s="1934"/>
      <c r="CI427" s="1934"/>
      <c r="CJ427" s="1934"/>
      <c r="CK427" s="1937"/>
      <c r="CL427" s="1852"/>
      <c r="CM427" s="1852"/>
      <c r="CN427" s="1852"/>
      <c r="CO427" s="1852">
        <f t="shared" ref="CO427:CU427" si="840">CO426/CN426-1</f>
        <v>2.452762668550923E-2</v>
      </c>
      <c r="CP427" s="1852">
        <f t="shared" si="840"/>
        <v>0.63283621989562677</v>
      </c>
      <c r="CQ427" s="1852">
        <f t="shared" si="840"/>
        <v>0.2369297589078263</v>
      </c>
      <c r="CR427" s="1852">
        <f t="shared" si="840"/>
        <v>6.5964948584705585E-2</v>
      </c>
      <c r="CS427" s="1852">
        <f t="shared" si="840"/>
        <v>4.4872106590506888E-2</v>
      </c>
      <c r="CT427" s="1852">
        <f t="shared" si="840"/>
        <v>-7.2035897948723115E-2</v>
      </c>
      <c r="CU427" s="1852">
        <f t="shared" si="840"/>
        <v>-0.72607891520859802</v>
      </c>
      <c r="CV427" s="1852"/>
      <c r="CW427" s="1852"/>
      <c r="CX427" s="1852"/>
      <c r="CY427" s="1852"/>
      <c r="CZ427" s="1852"/>
      <c r="DA427" s="1852"/>
      <c r="DB427" s="1852"/>
      <c r="DC427" s="1852"/>
      <c r="DD427" s="1837"/>
      <c r="DE427" s="1839"/>
      <c r="DF427" s="1829"/>
      <c r="DG427" s="1804"/>
      <c r="DH427" s="1803"/>
      <c r="DI427" s="1803"/>
      <c r="DJ427" s="1803"/>
      <c r="DK427" s="1803"/>
      <c r="DL427" s="1803"/>
      <c r="DM427" s="1852"/>
      <c r="DN427" s="1852"/>
      <c r="DO427" s="1852"/>
      <c r="DP427" s="1852"/>
      <c r="DQ427" s="1852">
        <f t="shared" ref="DQ427:DV427" si="841">DQ426/DP426-1</f>
        <v>-1.5948029653718332E-2</v>
      </c>
      <c r="DR427" s="1852">
        <f t="shared" si="841"/>
        <v>0.94631290604100737</v>
      </c>
      <c r="DS427" s="1851">
        <f t="shared" si="841"/>
        <v>0.14383764374221308</v>
      </c>
      <c r="DT427" s="1852">
        <f t="shared" si="841"/>
        <v>-3.9569054006102777E-2</v>
      </c>
      <c r="DU427" s="1852">
        <f t="shared" si="841"/>
        <v>-2.4597848390349397E-2</v>
      </c>
      <c r="DV427" s="1852">
        <f t="shared" si="841"/>
        <v>-0.25645110108362501</v>
      </c>
      <c r="DW427" s="1825"/>
      <c r="DX427" s="1852"/>
      <c r="DY427" s="1852"/>
      <c r="DZ427" s="1830"/>
      <c r="EA427"/>
      <c r="EB427"/>
      <c r="EC427"/>
      <c r="ED427"/>
      <c r="EE427"/>
      <c r="EF427"/>
    </row>
    <row r="428" spans="1:136" s="1785" customFormat="1" ht="11.25" hidden="1" customHeight="1" outlineLevel="1">
      <c r="A428" s="1830"/>
      <c r="B428" s="1943"/>
      <c r="C428" s="1859"/>
      <c r="D428" s="1779"/>
      <c r="E428" s="1932" t="s">
        <v>184</v>
      </c>
      <c r="F428" s="1968"/>
      <c r="G428" s="1938"/>
      <c r="H428" s="1938"/>
      <c r="I428" s="1969"/>
      <c r="J428" s="1938"/>
      <c r="K428" s="1938"/>
      <c r="L428" s="1938"/>
      <c r="M428" s="1969"/>
      <c r="N428" s="1938"/>
      <c r="O428" s="1938"/>
      <c r="P428" s="1938"/>
      <c r="Q428" s="1969"/>
      <c r="R428" s="1938"/>
      <c r="S428" s="1938"/>
      <c r="T428" s="1938"/>
      <c r="U428" s="1969"/>
      <c r="V428" s="1938"/>
      <c r="W428" s="1938"/>
      <c r="X428" s="1938"/>
      <c r="Y428" s="1969"/>
      <c r="Z428" s="1938"/>
      <c r="AA428" s="1938"/>
      <c r="AB428" s="1938"/>
      <c r="AC428" s="1969"/>
      <c r="AD428" s="1938"/>
      <c r="AE428" s="1938"/>
      <c r="AF428" s="1938"/>
      <c r="AG428" s="1938"/>
      <c r="AH428" s="1968"/>
      <c r="AI428" s="1938"/>
      <c r="AJ428" s="1938"/>
      <c r="AK428" s="1969"/>
      <c r="AL428" s="1938"/>
      <c r="AM428" s="1938"/>
      <c r="AN428" s="1938"/>
      <c r="AO428" s="1969"/>
      <c r="AP428" s="1984"/>
      <c r="AQ428" s="1982"/>
      <c r="AR428" s="1982"/>
      <c r="AS428" s="1982">
        <f>AS426/AR426-1</f>
        <v>-3.5689393262443025E-2</v>
      </c>
      <c r="AT428" s="1984">
        <f>AT426/AS426-1</f>
        <v>-2.2253419326142554E-2</v>
      </c>
      <c r="AU428" s="1982">
        <f>AU426/AT426-1</f>
        <v>-3.6739026389737806E-2</v>
      </c>
      <c r="AV428" s="1982">
        <f>AV426/AU426-1</f>
        <v>-3.078371278458869E-2</v>
      </c>
      <c r="AW428" s="1982">
        <f>AW426/AV426-1</f>
        <v>6.2553925798101817E-2</v>
      </c>
      <c r="AX428" s="1984">
        <f t="shared" ref="AX428:BD428" si="842">AX426/AW426-1</f>
        <v>5.1177425903368157E-3</v>
      </c>
      <c r="AY428" s="1982">
        <f t="shared" si="842"/>
        <v>6.2490502321654651E-2</v>
      </c>
      <c r="AZ428" s="1982">
        <f t="shared" si="842"/>
        <v>0.88408352668213497</v>
      </c>
      <c r="BA428" s="1983">
        <f t="shared" si="842"/>
        <v>0.15102611940298516</v>
      </c>
      <c r="BB428" s="1984">
        <f t="shared" si="842"/>
        <v>-0.28158764891806476</v>
      </c>
      <c r="BC428" s="1982">
        <f t="shared" si="842"/>
        <v>9.4502873938602239E-2</v>
      </c>
      <c r="BD428" s="1982">
        <f t="shared" si="842"/>
        <v>0.13215690036050365</v>
      </c>
      <c r="BE428" s="1983">
        <f t="shared" ref="BE428:BN428" si="843">BE426/BD426-1</f>
        <v>0.15008284039314312</v>
      </c>
      <c r="BF428" s="2005">
        <f t="shared" si="843"/>
        <v>-7.4750673090966613E-2</v>
      </c>
      <c r="BG428" s="2006">
        <f t="shared" si="843"/>
        <v>5.2895391651380574E-2</v>
      </c>
      <c r="BH428" s="1982">
        <f t="shared" si="843"/>
        <v>-0.13737251085594582</v>
      </c>
      <c r="BI428" s="1983">
        <f t="shared" si="843"/>
        <v>-2.4627421096916513E-2</v>
      </c>
      <c r="BJ428" s="1984">
        <f t="shared" si="843"/>
        <v>0.15349908216755148</v>
      </c>
      <c r="BK428" s="1982">
        <f t="shared" si="843"/>
        <v>7.2772904152710982E-2</v>
      </c>
      <c r="BL428" s="1982">
        <f t="shared" si="843"/>
        <v>-0.11169783696431457</v>
      </c>
      <c r="BM428" s="1982">
        <f t="shared" si="843"/>
        <v>-4.7259040057873847E-2</v>
      </c>
      <c r="BN428" s="1984">
        <f t="shared" si="843"/>
        <v>1.5881165165628985E-2</v>
      </c>
      <c r="BO428" s="1982">
        <f>BO426/BN426-1</f>
        <v>3.1253922065564765E-2</v>
      </c>
      <c r="BP428" s="1982">
        <f>BP426/BO426-1</f>
        <v>-8.3791354323837219E-2</v>
      </c>
      <c r="BQ428" s="1983">
        <f>BQ426/BP426-1</f>
        <v>3.8862066028905407E-2</v>
      </c>
      <c r="BR428" s="1982">
        <f>BR426/BQ426-1</f>
        <v>0.10445000000000015</v>
      </c>
      <c r="BS428" s="1982"/>
      <c r="BT428" s="1982"/>
      <c r="BU428" s="1983"/>
      <c r="BV428" s="1982"/>
      <c r="BW428" s="1982"/>
      <c r="BX428" s="1982"/>
      <c r="BY428" s="1983"/>
      <c r="BZ428" s="1982"/>
      <c r="CA428" s="1982"/>
      <c r="CB428" s="1982"/>
      <c r="CC428" s="1983"/>
      <c r="CD428" s="1837"/>
      <c r="CE428" s="1934"/>
      <c r="CF428" s="1934"/>
      <c r="CG428" s="1934"/>
      <c r="CH428" s="1934"/>
      <c r="CI428" s="1934"/>
      <c r="CJ428" s="1934"/>
      <c r="CK428" s="1937"/>
      <c r="CL428" s="1937"/>
      <c r="CM428" s="1934"/>
      <c r="CN428" s="1934"/>
      <c r="CO428" s="1938"/>
      <c r="CP428" s="1938"/>
      <c r="CQ428" s="1938"/>
      <c r="CR428" s="1938"/>
      <c r="CS428" s="1852"/>
      <c r="CT428" s="1852"/>
      <c r="CU428" s="1852"/>
      <c r="CV428" s="1852"/>
      <c r="CW428" s="1852"/>
      <c r="CX428" s="1852"/>
      <c r="CY428" s="1852"/>
      <c r="CZ428" s="1852"/>
      <c r="DA428" s="1852"/>
      <c r="DB428" s="1852"/>
      <c r="DC428" s="1852"/>
      <c r="DD428" s="1837"/>
      <c r="DE428" s="1839"/>
      <c r="DF428" s="1829"/>
      <c r="DG428" s="1804"/>
      <c r="DH428" s="1803"/>
      <c r="DI428" s="1803"/>
      <c r="DJ428" s="1803"/>
      <c r="DK428" s="1803"/>
      <c r="DL428" s="1803"/>
      <c r="DM428" s="1848"/>
      <c r="DN428" s="1848"/>
      <c r="DO428" s="1848"/>
      <c r="DP428" s="1848"/>
      <c r="DQ428" s="1848"/>
      <c r="DR428" s="1848"/>
      <c r="DS428" s="1855"/>
      <c r="DT428" s="1848"/>
      <c r="DU428" s="1848"/>
      <c r="DV428" s="1848"/>
      <c r="DW428" s="1850"/>
      <c r="DX428" s="1848"/>
      <c r="DY428" s="1848"/>
      <c r="DZ428" s="1830"/>
      <c r="EA428"/>
      <c r="EB428"/>
      <c r="EC428"/>
      <c r="ED428"/>
      <c r="EE428"/>
      <c r="EF428"/>
    </row>
    <row r="429" spans="1:136" s="1785" customFormat="1" ht="11.25" hidden="1" customHeight="1" outlineLevel="1">
      <c r="A429" s="1830"/>
      <c r="B429" s="1943"/>
      <c r="C429" s="1859"/>
      <c r="D429" s="2007"/>
      <c r="E429" s="1840" t="s">
        <v>805</v>
      </c>
      <c r="F429" s="1958"/>
      <c r="G429" s="1959"/>
      <c r="H429" s="1959"/>
      <c r="I429" s="1960"/>
      <c r="J429" s="1959"/>
      <c r="K429" s="1959"/>
      <c r="L429" s="1959"/>
      <c r="M429" s="1960"/>
      <c r="N429" s="1959"/>
      <c r="O429" s="1959"/>
      <c r="P429" s="1959"/>
      <c r="Q429" s="1960"/>
      <c r="R429" s="1959"/>
      <c r="S429" s="1959"/>
      <c r="T429" s="1959"/>
      <c r="U429" s="1960"/>
      <c r="V429" s="1959"/>
      <c r="W429" s="1959"/>
      <c r="X429" s="1959"/>
      <c r="Y429" s="1960"/>
      <c r="Z429" s="1959"/>
      <c r="AA429" s="1959"/>
      <c r="AB429" s="1959"/>
      <c r="AC429" s="1960"/>
      <c r="AD429" s="1831">
        <v>688</v>
      </c>
      <c r="AE429" s="1831">
        <v>943</v>
      </c>
      <c r="AF429" s="1831">
        <v>978</v>
      </c>
      <c r="AG429" s="1831">
        <v>1127</v>
      </c>
      <c r="AH429" s="1843">
        <v>1281</v>
      </c>
      <c r="AI429" s="1831">
        <v>1280</v>
      </c>
      <c r="AJ429" s="1831">
        <v>1324</v>
      </c>
      <c r="AK429" s="1844">
        <v>1266</v>
      </c>
      <c r="AL429" s="1831">
        <v>1203</v>
      </c>
      <c r="AM429" s="1831">
        <v>1005</v>
      </c>
      <c r="AN429" s="1831">
        <v>973</v>
      </c>
      <c r="AO429" s="1844">
        <v>1308</v>
      </c>
      <c r="AP429" s="2008">
        <v>1669</v>
      </c>
      <c r="AQ429" s="1831">
        <v>2170</v>
      </c>
      <c r="AR429" s="1831">
        <v>2356</v>
      </c>
      <c r="AS429" s="1831">
        <v>2346</v>
      </c>
      <c r="AT429" s="1843">
        <v>2319</v>
      </c>
      <c r="AU429" s="1959">
        <v>2284</v>
      </c>
      <c r="AV429" s="1959">
        <v>2318</v>
      </c>
      <c r="AW429" s="1960">
        <v>2463</v>
      </c>
      <c r="AX429" s="1959">
        <v>2369</v>
      </c>
      <c r="AY429" s="1959">
        <v>1724</v>
      </c>
      <c r="AZ429" s="1959">
        <f>3616-AZ419</f>
        <v>3216</v>
      </c>
      <c r="BA429" s="1960">
        <f>7913-BA419</f>
        <v>4113</v>
      </c>
      <c r="BB429" s="1958">
        <f>5988-BB419</f>
        <v>3062</v>
      </c>
      <c r="BC429" s="1959">
        <f>6633-BC419</f>
        <v>3472.9199999999996</v>
      </c>
      <c r="BD429" s="1959">
        <f>7211-BD419</f>
        <v>3987.7183999999997</v>
      </c>
      <c r="BE429" s="1960">
        <f>7897-BE419</f>
        <v>4609.2527680000003</v>
      </c>
      <c r="BF429" s="1990">
        <f>7771-BF419</f>
        <v>4351.7428787199997</v>
      </c>
      <c r="BG429" s="2009">
        <f>7783-BG419</f>
        <v>4363.7428787199997</v>
      </c>
      <c r="BH429" s="1959">
        <f>7129-BH419</f>
        <v>3880.705734784</v>
      </c>
      <c r="BI429" s="1960">
        <f>7098-BI419</f>
        <v>3882.1886774361601</v>
      </c>
      <c r="BJ429" s="1958">
        <f>7763-BJ419</f>
        <v>4386.3981113079681</v>
      </c>
      <c r="BK429" s="1959">
        <f>8041-BK419</f>
        <v>4647.5151018645083</v>
      </c>
      <c r="BL429" s="1959">
        <f>7519-BL419</f>
        <v>4074.6128283924763</v>
      </c>
      <c r="BM429" s="1959">
        <f>7199-BM419</f>
        <v>3961.2760586889281</v>
      </c>
      <c r="BN429" s="1958">
        <f>7185-BN419</f>
        <v>4044.4077769282603</v>
      </c>
      <c r="BO429" s="1959">
        <f>7008-BO419</f>
        <v>4150.0610770047169</v>
      </c>
      <c r="BP429" s="1959">
        <f>6390-BP419</f>
        <v>3960.7519154540096</v>
      </c>
      <c r="BQ429" s="1960">
        <f>5994-BQ419</f>
        <v>3881.7687904872614</v>
      </c>
      <c r="BR429" s="1958">
        <v>4308.763357440861</v>
      </c>
      <c r="BS429" s="1959"/>
      <c r="BT429" s="1959"/>
      <c r="BU429" s="1960"/>
      <c r="BV429" s="1959"/>
      <c r="BW429" s="1959"/>
      <c r="BX429" s="1959"/>
      <c r="BY429" s="1960"/>
      <c r="BZ429" s="1959"/>
      <c r="CA429" s="1959"/>
      <c r="CB429" s="1959"/>
      <c r="CC429" s="1960"/>
      <c r="CD429" s="1845"/>
      <c r="CE429" s="1831"/>
      <c r="CF429" s="1831"/>
      <c r="CG429" s="1831"/>
      <c r="CH429" s="1831"/>
      <c r="CI429" s="1831"/>
      <c r="CJ429" s="1831"/>
      <c r="CK429" s="1822">
        <f>SUM(AD429:AG429)</f>
        <v>3736</v>
      </c>
      <c r="CL429" s="1822">
        <f>SUM(AH429:AK429)</f>
        <v>5151</v>
      </c>
      <c r="CM429" s="1831">
        <f>SUM(AL429:AO429)</f>
        <v>4489</v>
      </c>
      <c r="CN429" s="1831">
        <f>SUM(AP429:AS429)</f>
        <v>8541</v>
      </c>
      <c r="CO429" s="1831">
        <f>SUM(AT429:AW429)</f>
        <v>9384</v>
      </c>
      <c r="CP429" s="1831">
        <f>SUM(AX429:BA429)</f>
        <v>11422</v>
      </c>
      <c r="CQ429" s="1831">
        <f>SUM(BB429:BE429)</f>
        <v>15131.891168</v>
      </c>
      <c r="CR429" s="1959">
        <f>SUM(BF429:BI429)</f>
        <v>16478.380169660159</v>
      </c>
      <c r="CS429" s="1959">
        <f>SUM(BJ429:BM429)</f>
        <v>17069.802100253881</v>
      </c>
      <c r="CT429" s="1959">
        <f>SUM(BN429:BQ429)</f>
        <v>16036.989559874248</v>
      </c>
      <c r="CU429" s="1959">
        <f>SUM(BR429:BU429)</f>
        <v>4308.763357440861</v>
      </c>
      <c r="CV429" s="1959"/>
      <c r="CW429" s="1959"/>
      <c r="CX429" s="1959"/>
      <c r="CY429" s="1959"/>
      <c r="CZ429" s="1959"/>
      <c r="DA429" s="1959"/>
      <c r="DB429" s="1959"/>
      <c r="DC429" s="1959"/>
      <c r="DD429" s="1845"/>
      <c r="DE429" s="1961"/>
      <c r="DF429" s="1830"/>
      <c r="DG429" s="1783"/>
      <c r="DH429" s="1782"/>
      <c r="DI429" s="1782"/>
      <c r="DJ429" s="1782"/>
      <c r="DK429" s="1782"/>
      <c r="DL429" s="1782"/>
      <c r="DM429" s="1803">
        <f>SUM(AF429:AI429)</f>
        <v>4666</v>
      </c>
      <c r="DN429" s="1803">
        <f>SUM(AJ429:AM429)</f>
        <v>4798</v>
      </c>
      <c r="DO429" s="1803">
        <f>SUM(AN429:AQ429)</f>
        <v>6120</v>
      </c>
      <c r="DP429" s="1803">
        <f>SUM(AR429:AU429)</f>
        <v>9305</v>
      </c>
      <c r="DQ429" s="1803">
        <f>SUM(AV429:AY429)</f>
        <v>8874</v>
      </c>
      <c r="DR429" s="1803">
        <f>SUM(AZ429:BC429)</f>
        <v>13863.92</v>
      </c>
      <c r="DS429" s="1804">
        <f>SUM(BD429:BG429)</f>
        <v>17312.456925440001</v>
      </c>
      <c r="DT429" s="1782">
        <f>SUM(BH429:BK429)</f>
        <v>16796.807625392637</v>
      </c>
      <c r="DU429" s="1782">
        <f>SUM(BL429:BO429)</f>
        <v>16230.357741014381</v>
      </c>
      <c r="DV429" s="1782">
        <f>SUM(BP429:BS429)</f>
        <v>12151.284063382132</v>
      </c>
      <c r="DW429" s="1784"/>
      <c r="DX429" s="1782"/>
      <c r="DY429" s="1782"/>
      <c r="DZ429" s="1830"/>
      <c r="EA429"/>
      <c r="EB429"/>
      <c r="EC429"/>
      <c r="ED429"/>
      <c r="EE429"/>
      <c r="EF429"/>
    </row>
    <row r="430" spans="1:136" s="1785" customFormat="1" ht="11.25" hidden="1" customHeight="1" outlineLevel="1">
      <c r="A430" s="1830"/>
      <c r="B430" s="1943"/>
      <c r="C430" s="1859"/>
      <c r="D430" s="1970"/>
      <c r="E430" s="1932" t="s">
        <v>183</v>
      </c>
      <c r="F430" s="1968"/>
      <c r="G430" s="1938"/>
      <c r="H430" s="1938"/>
      <c r="I430" s="1969"/>
      <c r="J430" s="1938"/>
      <c r="K430" s="1938"/>
      <c r="L430" s="1938"/>
      <c r="M430" s="1969"/>
      <c r="N430" s="1938"/>
      <c r="O430" s="1938"/>
      <c r="P430" s="1938"/>
      <c r="Q430" s="1969"/>
      <c r="R430" s="1938"/>
      <c r="S430" s="1938"/>
      <c r="T430" s="1938"/>
      <c r="U430" s="1969"/>
      <c r="V430" s="1938"/>
      <c r="W430" s="1938"/>
      <c r="X430" s="1938"/>
      <c r="Y430" s="1969"/>
      <c r="Z430" s="1938"/>
      <c r="AA430" s="1938"/>
      <c r="AB430" s="1938"/>
      <c r="AC430" s="1969"/>
      <c r="AD430" s="1826"/>
      <c r="AE430" s="1826"/>
      <c r="AF430" s="1826"/>
      <c r="AG430" s="1828"/>
      <c r="AH430" s="1826">
        <f t="shared" ref="AH430:AU430" si="844">AH429/AD429-1</f>
        <v>0.86191860465116288</v>
      </c>
      <c r="AI430" s="1826">
        <f t="shared" si="844"/>
        <v>0.35737009544008491</v>
      </c>
      <c r="AJ430" s="1826">
        <f t="shared" si="844"/>
        <v>0.35378323108384468</v>
      </c>
      <c r="AK430" s="1828">
        <f t="shared" si="844"/>
        <v>0.12333629103815436</v>
      </c>
      <c r="AL430" s="1826">
        <f t="shared" si="844"/>
        <v>-6.0889929742388715E-2</v>
      </c>
      <c r="AM430" s="1826">
        <f t="shared" si="844"/>
        <v>-0.21484375</v>
      </c>
      <c r="AN430" s="1826">
        <f t="shared" si="844"/>
        <v>-0.26510574018126887</v>
      </c>
      <c r="AO430" s="1828">
        <f t="shared" si="844"/>
        <v>3.3175355450236976E-2</v>
      </c>
      <c r="AP430" s="1826">
        <f t="shared" si="844"/>
        <v>0.38736492103075637</v>
      </c>
      <c r="AQ430" s="1826">
        <f t="shared" si="844"/>
        <v>1.1592039800995027</v>
      </c>
      <c r="AR430" s="1826">
        <f t="shared" si="844"/>
        <v>1.4213771839671119</v>
      </c>
      <c r="AS430" s="1826">
        <f t="shared" si="844"/>
        <v>0.79357798165137616</v>
      </c>
      <c r="AT430" s="1851">
        <f t="shared" si="844"/>
        <v>0.38945476333133611</v>
      </c>
      <c r="AU430" s="1852">
        <f t="shared" si="844"/>
        <v>5.2534562211981495E-2</v>
      </c>
      <c r="AV430" s="1852">
        <f t="shared" ref="AV430:BD430" si="845">AV429/AR429-1</f>
        <v>-1.6129032258064502E-2</v>
      </c>
      <c r="AW430" s="1852">
        <f t="shared" si="845"/>
        <v>4.9872122762148363E-2</v>
      </c>
      <c r="AX430" s="1851">
        <f t="shared" si="845"/>
        <v>2.1561017680034489E-2</v>
      </c>
      <c r="AY430" s="1852">
        <f t="shared" si="845"/>
        <v>-0.24518388791593693</v>
      </c>
      <c r="AZ430" s="1852">
        <f t="shared" si="845"/>
        <v>0.38740293356341682</v>
      </c>
      <c r="BA430" s="1825">
        <f t="shared" si="845"/>
        <v>0.66991473812423874</v>
      </c>
      <c r="BB430" s="1851">
        <f t="shared" si="845"/>
        <v>0.29252849303503581</v>
      </c>
      <c r="BC430" s="1852">
        <f t="shared" si="845"/>
        <v>1.0144547563805104</v>
      </c>
      <c r="BD430" s="1852">
        <f t="shared" si="845"/>
        <v>0.23996218905472633</v>
      </c>
      <c r="BE430" s="1825">
        <f t="shared" ref="BE430:BR430" si="846">BE429/BA429-1</f>
        <v>0.12065469681497687</v>
      </c>
      <c r="BF430" s="1851">
        <f t="shared" si="846"/>
        <v>0.42120930069235785</v>
      </c>
      <c r="BG430" s="1854">
        <f t="shared" si="846"/>
        <v>0.25650544173778833</v>
      </c>
      <c r="BH430" s="1852">
        <f t="shared" si="846"/>
        <v>-2.6835562214222453E-2</v>
      </c>
      <c r="BI430" s="1825">
        <f t="shared" si="846"/>
        <v>-0.15774012126467096</v>
      </c>
      <c r="BJ430" s="1851">
        <f t="shared" si="846"/>
        <v>7.9635294533213496E-3</v>
      </c>
      <c r="BK430" s="1852">
        <f t="shared" si="846"/>
        <v>6.5029547118446773E-2</v>
      </c>
      <c r="BL430" s="1852">
        <f t="shared" si="846"/>
        <v>4.9966966541787894E-2</v>
      </c>
      <c r="BM430" s="1852">
        <f t="shared" si="846"/>
        <v>2.0371854081290497E-2</v>
      </c>
      <c r="BN430" s="1851">
        <f t="shared" si="846"/>
        <v>-7.7966095575791372E-2</v>
      </c>
      <c r="BO430" s="1852">
        <f t="shared" si="846"/>
        <v>-0.1070365590980481</v>
      </c>
      <c r="BP430" s="1852">
        <f t="shared" si="846"/>
        <v>-2.7943983326481403E-2</v>
      </c>
      <c r="BQ430" s="1825">
        <f>BQ429/BM429-1</f>
        <v>-2.0071125320152872E-2</v>
      </c>
      <c r="BR430" s="1851">
        <f t="shared" si="846"/>
        <v>6.5363236125853597E-2</v>
      </c>
      <c r="BS430" s="1852"/>
      <c r="BT430" s="1852"/>
      <c r="BU430" s="1825"/>
      <c r="BV430" s="1852"/>
      <c r="BW430" s="1852"/>
      <c r="BX430" s="1852"/>
      <c r="BY430" s="1825"/>
      <c r="BZ430" s="1852"/>
      <c r="CA430" s="1852"/>
      <c r="CB430" s="1852"/>
      <c r="CC430" s="1825"/>
      <c r="CD430" s="1837"/>
      <c r="CE430" s="1934"/>
      <c r="CF430" s="1934"/>
      <c r="CG430" s="1934"/>
      <c r="CH430" s="1934"/>
      <c r="CI430" s="1934"/>
      <c r="CJ430" s="1934"/>
      <c r="CK430" s="1852"/>
      <c r="CL430" s="1852">
        <f t="shared" ref="CL430:CU430" si="847">CL429/CK429-1</f>
        <v>0.37874732334047101</v>
      </c>
      <c r="CM430" s="1852">
        <f t="shared" si="847"/>
        <v>-0.12851873422636384</v>
      </c>
      <c r="CN430" s="1852">
        <f t="shared" si="847"/>
        <v>0.9026509244820673</v>
      </c>
      <c r="CO430" s="1852">
        <f t="shared" si="847"/>
        <v>9.8700386371619153E-2</v>
      </c>
      <c r="CP430" s="1852">
        <f t="shared" si="847"/>
        <v>0.21717817561807329</v>
      </c>
      <c r="CQ430" s="1852">
        <f t="shared" si="847"/>
        <v>0.32480223848713008</v>
      </c>
      <c r="CR430" s="1852">
        <f t="shared" si="847"/>
        <v>8.8983524049368823E-2</v>
      </c>
      <c r="CS430" s="1852">
        <f t="shared" si="847"/>
        <v>3.5890780799112898E-2</v>
      </c>
      <c r="CT430" s="1852">
        <f t="shared" si="847"/>
        <v>-6.0505243957355015E-2</v>
      </c>
      <c r="CU430" s="1852">
        <f t="shared" si="847"/>
        <v>-0.73132342941584805</v>
      </c>
      <c r="CV430" s="1852"/>
      <c r="CW430" s="1852"/>
      <c r="CX430" s="1991"/>
      <c r="CY430" s="1991"/>
      <c r="CZ430" s="1991"/>
      <c r="DA430" s="1991"/>
      <c r="DB430" s="1991"/>
      <c r="DC430" s="1991"/>
      <c r="DD430" s="1837"/>
      <c r="DE430" s="1839"/>
      <c r="DF430" s="1829"/>
      <c r="DG430" s="1804"/>
      <c r="DH430" s="1803"/>
      <c r="DI430" s="1803"/>
      <c r="DJ430" s="1803"/>
      <c r="DK430" s="1803"/>
      <c r="DL430" s="1803"/>
      <c r="DM430" s="1852"/>
      <c r="DN430" s="1852">
        <f t="shared" ref="DN430:DU430" si="848">DN429/DM429-1</f>
        <v>2.8289755679382855E-2</v>
      </c>
      <c r="DO430" s="1852">
        <f t="shared" si="848"/>
        <v>0.27553147144643608</v>
      </c>
      <c r="DP430" s="1852">
        <f t="shared" si="848"/>
        <v>0.52042483660130712</v>
      </c>
      <c r="DQ430" s="1852">
        <f t="shared" si="848"/>
        <v>-4.6319183234819983E-2</v>
      </c>
      <c r="DR430" s="1852">
        <f t="shared" si="848"/>
        <v>0.56230786567500557</v>
      </c>
      <c r="DS430" s="1851">
        <f t="shared" si="848"/>
        <v>0.24874183675612671</v>
      </c>
      <c r="DT430" s="1852">
        <f t="shared" si="848"/>
        <v>-2.9784871221232412E-2</v>
      </c>
      <c r="DU430" s="1852">
        <f t="shared" si="848"/>
        <v>-3.3723663270508797E-2</v>
      </c>
      <c r="DV430" s="1852">
        <f>DV429/DU429-1</f>
        <v>-0.25132370726027575</v>
      </c>
      <c r="DW430" s="1825"/>
      <c r="DX430" s="1852"/>
      <c r="DY430" s="1852"/>
      <c r="DZ430" s="1830"/>
      <c r="EA430"/>
      <c r="EB430"/>
      <c r="EC430"/>
      <c r="ED430"/>
      <c r="EE430"/>
      <c r="EF430"/>
    </row>
    <row r="431" spans="1:136" s="1785" customFormat="1" ht="11.25" hidden="1" customHeight="1" outlineLevel="1">
      <c r="A431" s="1830"/>
      <c r="B431" s="1943"/>
      <c r="C431" s="1859"/>
      <c r="D431" s="1860"/>
      <c r="E431" s="1932" t="s">
        <v>184</v>
      </c>
      <c r="F431" s="1968"/>
      <c r="G431" s="1938"/>
      <c r="H431" s="1938"/>
      <c r="I431" s="1969"/>
      <c r="J431" s="1938"/>
      <c r="K431" s="1938"/>
      <c r="L431" s="1938"/>
      <c r="M431" s="1969"/>
      <c r="N431" s="1938"/>
      <c r="O431" s="1938"/>
      <c r="P431" s="1938"/>
      <c r="Q431" s="1969"/>
      <c r="R431" s="1938"/>
      <c r="S431" s="1938"/>
      <c r="T431" s="1938"/>
      <c r="U431" s="1969"/>
      <c r="V431" s="1938"/>
      <c r="W431" s="1938"/>
      <c r="X431" s="1938"/>
      <c r="Y431" s="1969"/>
      <c r="Z431" s="1938"/>
      <c r="AA431" s="1938"/>
      <c r="AB431" s="1938"/>
      <c r="AC431" s="1969"/>
      <c r="AD431" s="1826"/>
      <c r="AE431" s="1826">
        <f t="shared" ref="AE431:AT431" si="849">AE429/AD429-1</f>
        <v>0.37063953488372103</v>
      </c>
      <c r="AF431" s="1826">
        <f t="shared" si="849"/>
        <v>3.7115588547189882E-2</v>
      </c>
      <c r="AG431" s="1826">
        <f t="shared" si="849"/>
        <v>0.15235173824130888</v>
      </c>
      <c r="AH431" s="1887">
        <f t="shared" si="849"/>
        <v>0.13664596273291929</v>
      </c>
      <c r="AI431" s="1826">
        <f t="shared" si="849"/>
        <v>-7.8064012490242085E-4</v>
      </c>
      <c r="AJ431" s="1826">
        <f t="shared" si="849"/>
        <v>3.4375000000000044E-2</v>
      </c>
      <c r="AK431" s="1828">
        <f t="shared" si="849"/>
        <v>-4.3806646525679782E-2</v>
      </c>
      <c r="AL431" s="1826">
        <f t="shared" si="849"/>
        <v>-4.9763033175355464E-2</v>
      </c>
      <c r="AM431" s="1826">
        <f t="shared" si="849"/>
        <v>-0.1645885286783042</v>
      </c>
      <c r="AN431" s="1826">
        <f t="shared" si="849"/>
        <v>-3.184079601990053E-2</v>
      </c>
      <c r="AO431" s="1828">
        <f t="shared" si="849"/>
        <v>0.34429599177800618</v>
      </c>
      <c r="AP431" s="1826">
        <f t="shared" si="849"/>
        <v>0.27599388379204903</v>
      </c>
      <c r="AQ431" s="1826">
        <f t="shared" si="849"/>
        <v>0.30017974835230676</v>
      </c>
      <c r="AR431" s="1826">
        <f t="shared" si="849"/>
        <v>8.5714285714285632E-2</v>
      </c>
      <c r="AS431" s="1826">
        <f t="shared" si="849"/>
        <v>-4.2444821731748572E-3</v>
      </c>
      <c r="AT431" s="1851">
        <f t="shared" si="849"/>
        <v>-1.1508951406649648E-2</v>
      </c>
      <c r="AU431" s="1852">
        <f t="shared" ref="AU431:BR431" si="850">AU429/AT429-1</f>
        <v>-1.5092712376024164E-2</v>
      </c>
      <c r="AV431" s="1852">
        <f t="shared" si="850"/>
        <v>1.4886164623467701E-2</v>
      </c>
      <c r="AW431" s="1852">
        <f t="shared" si="850"/>
        <v>6.2553925798101817E-2</v>
      </c>
      <c r="AX431" s="1851">
        <f t="shared" si="850"/>
        <v>-3.8164839626471769E-2</v>
      </c>
      <c r="AY431" s="1852">
        <f t="shared" si="850"/>
        <v>-0.27226677923174336</v>
      </c>
      <c r="AZ431" s="1852">
        <f t="shared" si="850"/>
        <v>0.86542923433874708</v>
      </c>
      <c r="BA431" s="1852">
        <f t="shared" si="850"/>
        <v>0.27891791044776126</v>
      </c>
      <c r="BB431" s="1851">
        <f t="shared" si="850"/>
        <v>-0.25553124240213954</v>
      </c>
      <c r="BC431" s="1852">
        <f t="shared" si="850"/>
        <v>0.13419986936642703</v>
      </c>
      <c r="BD431" s="1852">
        <f t="shared" si="850"/>
        <v>0.1482321504670423</v>
      </c>
      <c r="BE431" s="1852">
        <f t="shared" si="850"/>
        <v>0.1558621511488878</v>
      </c>
      <c r="BF431" s="1851">
        <f t="shared" si="850"/>
        <v>-5.5868033766292347E-2</v>
      </c>
      <c r="BG431" s="1854">
        <f t="shared" si="850"/>
        <v>2.7575158584576265E-3</v>
      </c>
      <c r="BH431" s="1852">
        <f t="shared" si="850"/>
        <v>-0.110693310160769</v>
      </c>
      <c r="BI431" s="1852">
        <f t="shared" si="850"/>
        <v>3.8213220829086403E-4</v>
      </c>
      <c r="BJ431" s="1851">
        <f t="shared" si="850"/>
        <v>0.12987762207497688</v>
      </c>
      <c r="BK431" s="1854">
        <f t="shared" si="850"/>
        <v>5.952879422489965E-2</v>
      </c>
      <c r="BL431" s="1854">
        <f t="shared" si="850"/>
        <v>-0.12327066419691524</v>
      </c>
      <c r="BM431" s="1852">
        <v>-2.35E-2</v>
      </c>
      <c r="BN431" s="1851">
        <f t="shared" si="850"/>
        <v>2.0986095643848346E-2</v>
      </c>
      <c r="BO431" s="1854">
        <f t="shared" si="850"/>
        <v>2.6123305537875563E-2</v>
      </c>
      <c r="BP431" s="1854">
        <f t="shared" si="850"/>
        <v>-4.5615994087330414E-2</v>
      </c>
      <c r="BQ431" s="1825">
        <v>-0.02</v>
      </c>
      <c r="BR431" s="1851">
        <f t="shared" si="850"/>
        <v>0.11000000000000032</v>
      </c>
      <c r="BS431" s="1852"/>
      <c r="BT431" s="1852"/>
      <c r="BU431" s="1825"/>
      <c r="BV431" s="1852"/>
      <c r="BW431" s="1852"/>
      <c r="BX431" s="1852"/>
      <c r="BY431" s="1825"/>
      <c r="BZ431" s="1852"/>
      <c r="CA431" s="1852"/>
      <c r="CB431" s="1852"/>
      <c r="CC431" s="1825"/>
      <c r="CD431" s="1837"/>
      <c r="CE431" s="1934"/>
      <c r="CF431" s="1934"/>
      <c r="CG431" s="1934"/>
      <c r="CH431" s="1934"/>
      <c r="CI431" s="1934"/>
      <c r="CJ431" s="1934"/>
      <c r="CK431" s="1937"/>
      <c r="CL431" s="1937"/>
      <c r="CM431" s="1934"/>
      <c r="CN431" s="1934"/>
      <c r="CO431" s="1938"/>
      <c r="CP431" s="1938"/>
      <c r="CQ431" s="1938"/>
      <c r="CR431" s="1938"/>
      <c r="CS431" s="1852"/>
      <c r="CT431" s="1852"/>
      <c r="CU431" s="1852"/>
      <c r="CV431" s="1852"/>
      <c r="CW431" s="1852"/>
      <c r="CX431" s="1852"/>
      <c r="CY431" s="1852"/>
      <c r="CZ431" s="1852"/>
      <c r="DA431" s="1852"/>
      <c r="DB431" s="1852"/>
      <c r="DC431" s="1852"/>
      <c r="DD431" s="1837"/>
      <c r="DE431" s="1839"/>
      <c r="DF431" s="1829"/>
      <c r="DG431" s="1804"/>
      <c r="DH431" s="1803"/>
      <c r="DI431" s="1803"/>
      <c r="DJ431" s="1803"/>
      <c r="DK431" s="1803"/>
      <c r="DL431" s="1803"/>
      <c r="DM431" s="1848"/>
      <c r="DN431" s="1848"/>
      <c r="DO431" s="1848"/>
      <c r="DP431" s="1848"/>
      <c r="DQ431" s="1848"/>
      <c r="DR431" s="1848"/>
      <c r="DS431" s="1855"/>
      <c r="DT431" s="1848"/>
      <c r="DU431" s="1848"/>
      <c r="DV431" s="1848"/>
      <c r="DW431" s="1850"/>
      <c r="DX431" s="1848"/>
      <c r="DY431" s="1848"/>
      <c r="DZ431" s="1830"/>
      <c r="EA431"/>
      <c r="EB431"/>
      <c r="EC431"/>
      <c r="ED431"/>
      <c r="EE431"/>
      <c r="EF431"/>
    </row>
    <row r="432" spans="1:136" s="1785" customFormat="1" ht="11.25" hidden="1" customHeight="1" outlineLevel="1">
      <c r="A432" s="1830"/>
      <c r="B432" s="1943"/>
      <c r="C432" s="1859"/>
      <c r="D432" s="1860"/>
      <c r="E432" s="1840" t="s">
        <v>806</v>
      </c>
      <c r="F432" s="1968"/>
      <c r="G432" s="1938"/>
      <c r="H432" s="1938"/>
      <c r="I432" s="1969"/>
      <c r="J432" s="1938"/>
      <c r="K432" s="1938"/>
      <c r="L432" s="1938"/>
      <c r="M432" s="1969"/>
      <c r="N432" s="1938"/>
      <c r="O432" s="1938"/>
      <c r="P432" s="1938"/>
      <c r="Q432" s="1969"/>
      <c r="R432" s="1938"/>
      <c r="S432" s="1938"/>
      <c r="T432" s="1938"/>
      <c r="U432" s="1969"/>
      <c r="V432" s="1938"/>
      <c r="W432" s="1938"/>
      <c r="X432" s="1938"/>
      <c r="Y432" s="1969"/>
      <c r="Z432" s="1938"/>
      <c r="AA432" s="1938"/>
      <c r="AB432" s="1938"/>
      <c r="AC432" s="1969"/>
      <c r="AD432" s="1826"/>
      <c r="AE432" s="1826"/>
      <c r="AF432" s="1826"/>
      <c r="AG432" s="1826"/>
      <c r="AH432" s="1887"/>
      <c r="AI432" s="1826"/>
      <c r="AJ432" s="1826"/>
      <c r="AK432" s="1828"/>
      <c r="AL432" s="1826"/>
      <c r="AM432" s="1826"/>
      <c r="AN432" s="1826"/>
      <c r="AO432" s="1828"/>
      <c r="AP432" s="2010">
        <v>93</v>
      </c>
      <c r="AQ432" s="2010">
        <v>95</v>
      </c>
      <c r="AR432" s="2010">
        <v>95</v>
      </c>
      <c r="AS432" s="2010">
        <v>92</v>
      </c>
      <c r="AT432" s="2011">
        <v>91</v>
      </c>
      <c r="AU432" s="2010">
        <v>89</v>
      </c>
      <c r="AV432" s="1972">
        <f>AU432*(1+AV434)</f>
        <v>84.99499999999999</v>
      </c>
      <c r="AW432" s="1972">
        <f>AV432*(1+AW434)</f>
        <v>84.99499999999999</v>
      </c>
      <c r="AX432" s="1971">
        <f t="shared" ref="AX432:BD432" si="851">AW432*(1+AX434)</f>
        <v>88.819774999999979</v>
      </c>
      <c r="AY432" s="1972">
        <f t="shared" si="851"/>
        <v>129.67687149999998</v>
      </c>
      <c r="AZ432" s="1972">
        <f t="shared" si="851"/>
        <v>130.97364021499999</v>
      </c>
      <c r="BA432" s="1973">
        <f t="shared" si="851"/>
        <v>117.87627619349999</v>
      </c>
      <c r="BB432" s="1971">
        <f t="shared" si="851"/>
        <v>113.75060652672748</v>
      </c>
      <c r="BC432" s="1972">
        <f t="shared" si="851"/>
        <v>109.76933529829202</v>
      </c>
      <c r="BD432" s="1972">
        <f t="shared" si="851"/>
        <v>108.23256460411594</v>
      </c>
      <c r="BE432" s="1973">
        <f t="shared" ref="BE432:BO432" si="852">BD432*(1+BE434)</f>
        <v>107.69140178109535</v>
      </c>
      <c r="BF432" s="1971">
        <f t="shared" si="852"/>
        <v>105.53757374547344</v>
      </c>
      <c r="BG432" s="2012">
        <f t="shared" si="852"/>
        <v>110.81445243274712</v>
      </c>
      <c r="BH432" s="1972">
        <f t="shared" si="852"/>
        <v>107.4900188597647</v>
      </c>
      <c r="BI432" s="1973">
        <f t="shared" si="852"/>
        <v>104.80276838827058</v>
      </c>
      <c r="BJ432" s="1971">
        <f t="shared" si="852"/>
        <v>106.99379718883091</v>
      </c>
      <c r="BK432" s="1972">
        <f t="shared" si="852"/>
        <v>108.33121965369129</v>
      </c>
      <c r="BL432" s="1972">
        <f t="shared" si="852"/>
        <v>109.76119175312003</v>
      </c>
      <c r="BM432" s="1972">
        <f t="shared" si="852"/>
        <v>107.56596791805762</v>
      </c>
      <c r="BN432" s="1971">
        <f t="shared" si="852"/>
        <v>107.02813807846734</v>
      </c>
      <c r="BO432" s="1972">
        <f t="shared" si="852"/>
        <v>107.56327876885966</v>
      </c>
      <c r="BP432" s="1972">
        <f>BO432*(1+BP434)</f>
        <v>103.26074761810527</v>
      </c>
      <c r="BQ432" s="1973">
        <f>BP432*(1+BQ434)</f>
        <v>109.45639247519159</v>
      </c>
      <c r="BR432" s="1972">
        <f>BQ432*(1+BR434)</f>
        <v>108.90911051281563</v>
      </c>
      <c r="BS432" s="1972"/>
      <c r="BT432" s="1972"/>
      <c r="BU432" s="1973"/>
      <c r="BV432" s="1972"/>
      <c r="BW432" s="1972"/>
      <c r="BX432" s="1972"/>
      <c r="BY432" s="1973"/>
      <c r="BZ432" s="1972"/>
      <c r="CA432" s="1972"/>
      <c r="CB432" s="1972"/>
      <c r="CC432" s="1973"/>
      <c r="CD432" s="1837"/>
      <c r="CE432" s="1934"/>
      <c r="CF432" s="1934"/>
      <c r="CG432" s="1934"/>
      <c r="CH432" s="1934"/>
      <c r="CI432" s="1934"/>
      <c r="CJ432" s="1934"/>
      <c r="CK432" s="1937"/>
      <c r="CL432" s="1822"/>
      <c r="CM432" s="1831"/>
      <c r="CN432" s="1972">
        <f t="shared" ref="CN432:CS432" si="853">CN426*1000/CN429</f>
        <v>93.785153963236155</v>
      </c>
      <c r="CO432" s="1972">
        <f t="shared" si="853"/>
        <v>87.453761189258316</v>
      </c>
      <c r="CP432" s="1972">
        <f t="shared" si="853"/>
        <v>117.31862409002846</v>
      </c>
      <c r="CQ432" s="1972">
        <f t="shared" si="853"/>
        <v>109.53702612760686</v>
      </c>
      <c r="CR432" s="1972">
        <f t="shared" si="853"/>
        <v>107.2216685061092</v>
      </c>
      <c r="CS432" s="1972">
        <f t="shared" si="853"/>
        <v>108.15129617979825</v>
      </c>
      <c r="CT432" s="1972">
        <f>CT426*1000/CT429</f>
        <v>106.82392828663397</v>
      </c>
      <c r="CU432" s="1972">
        <f>CU426*1000/CU429</f>
        <v>108.90911051281563</v>
      </c>
      <c r="CV432" s="1972"/>
      <c r="CW432" s="1972"/>
      <c r="CX432" s="1972"/>
      <c r="CY432" s="1972"/>
      <c r="CZ432" s="1972"/>
      <c r="DA432" s="1972"/>
      <c r="DB432" s="1972"/>
      <c r="DC432" s="1972"/>
      <c r="DD432" s="1837"/>
      <c r="DE432" s="1839"/>
      <c r="DF432" s="1829"/>
      <c r="DG432" s="1804"/>
      <c r="DH432" s="1803"/>
      <c r="DI432" s="1803"/>
      <c r="DJ432" s="1803"/>
      <c r="DK432" s="1803"/>
      <c r="DL432" s="1803"/>
      <c r="DM432" s="1963"/>
      <c r="DN432" s="1963"/>
      <c r="DO432" s="1963"/>
      <c r="DP432" s="1963">
        <f t="shared" ref="DP432:DU432" si="854">DP426/DP429*1000</f>
        <v>91.773992477162821</v>
      </c>
      <c r="DQ432" s="1963">
        <f t="shared" si="854"/>
        <v>94.696649587671828</v>
      </c>
      <c r="DR432" s="1963">
        <f t="shared" si="854"/>
        <v>117.97246579930419</v>
      </c>
      <c r="DS432" s="1964">
        <f t="shared" si="854"/>
        <v>108.06184539862447</v>
      </c>
      <c r="DT432" s="1963">
        <f t="shared" si="854"/>
        <v>106.97209033700078</v>
      </c>
      <c r="DU432" s="1963">
        <f t="shared" si="854"/>
        <v>107.98236809777394</v>
      </c>
      <c r="DV432" s="1963">
        <f>DV426/DV429*1000</f>
        <v>107.24283870091132</v>
      </c>
      <c r="DW432" s="1965"/>
      <c r="DX432" s="1963"/>
      <c r="DY432" s="1963"/>
      <c r="DZ432" s="1830"/>
      <c r="EA432"/>
      <c r="EB432"/>
      <c r="EC432"/>
      <c r="ED432"/>
      <c r="EE432"/>
      <c r="EF432"/>
    </row>
    <row r="433" spans="1:136" s="1785" customFormat="1" ht="11.25" hidden="1" customHeight="1" outlineLevel="1">
      <c r="A433" s="1830"/>
      <c r="B433" s="1943"/>
      <c r="C433" s="1859"/>
      <c r="D433" s="1860"/>
      <c r="E433" s="1932" t="s">
        <v>183</v>
      </c>
      <c r="F433" s="1968"/>
      <c r="G433" s="1938"/>
      <c r="H433" s="1938"/>
      <c r="I433" s="1969"/>
      <c r="J433" s="1938"/>
      <c r="K433" s="1938"/>
      <c r="L433" s="1938"/>
      <c r="M433" s="1969"/>
      <c r="N433" s="1938"/>
      <c r="O433" s="1938"/>
      <c r="P433" s="1938"/>
      <c r="Q433" s="1969"/>
      <c r="R433" s="1938"/>
      <c r="S433" s="1938"/>
      <c r="T433" s="1938"/>
      <c r="U433" s="1969"/>
      <c r="V433" s="1938"/>
      <c r="W433" s="1938"/>
      <c r="X433" s="1938"/>
      <c r="Y433" s="1969"/>
      <c r="Z433" s="1938"/>
      <c r="AA433" s="1938"/>
      <c r="AB433" s="1938"/>
      <c r="AC433" s="1969"/>
      <c r="AD433" s="1826"/>
      <c r="AE433" s="1826"/>
      <c r="AF433" s="1826"/>
      <c r="AG433" s="1826"/>
      <c r="AH433" s="1887"/>
      <c r="AI433" s="1826"/>
      <c r="AJ433" s="1826"/>
      <c r="AK433" s="1828"/>
      <c r="AL433" s="1826"/>
      <c r="AM433" s="1826"/>
      <c r="AN433" s="1826"/>
      <c r="AO433" s="1828"/>
      <c r="AP433" s="1829"/>
      <c r="AQ433" s="1829"/>
      <c r="AR433" s="1829"/>
      <c r="AS433" s="1829"/>
      <c r="AT433" s="1851">
        <f>AT432/AP432-1</f>
        <v>-2.1505376344086002E-2</v>
      </c>
      <c r="AU433" s="1852">
        <f>AU432/AQ432-1</f>
        <v>-6.315789473684208E-2</v>
      </c>
      <c r="AV433" s="1852">
        <f t="shared" ref="AV433:BD433" si="855">AV432/AR432-1</f>
        <v>-0.10531578947368436</v>
      </c>
      <c r="AW433" s="1852">
        <f t="shared" si="855"/>
        <v>-7.6141304347826178E-2</v>
      </c>
      <c r="AX433" s="1851">
        <f t="shared" si="855"/>
        <v>-2.3958516483516767E-2</v>
      </c>
      <c r="AY433" s="1852">
        <f t="shared" si="855"/>
        <v>0.45704349999999971</v>
      </c>
      <c r="AZ433" s="1852">
        <f t="shared" si="855"/>
        <v>0.54095700000000013</v>
      </c>
      <c r="BA433" s="1825">
        <f t="shared" si="855"/>
        <v>0.38686130000000007</v>
      </c>
      <c r="BB433" s="1851">
        <f t="shared" si="855"/>
        <v>0.28069010000000016</v>
      </c>
      <c r="BC433" s="1852">
        <f t="shared" si="855"/>
        <v>-0.15351647499999999</v>
      </c>
      <c r="BD433" s="1852">
        <f t="shared" si="855"/>
        <v>-0.17363093500000004</v>
      </c>
      <c r="BE433" s="1825">
        <f t="shared" ref="BE433:BO433" si="856">BE432/BA432-1</f>
        <v>-8.6403089250000065E-2</v>
      </c>
      <c r="BF433" s="1851">
        <f t="shared" si="856"/>
        <v>-7.2202101000000019E-2</v>
      </c>
      <c r="BG433" s="1854">
        <f t="shared" si="856"/>
        <v>9.5210299999999304E-3</v>
      </c>
      <c r="BH433" s="1852">
        <f t="shared" si="856"/>
        <v>-6.8606500000000237E-3</v>
      </c>
      <c r="BI433" s="1825">
        <f t="shared" si="856"/>
        <v>-2.6823250000000076E-2</v>
      </c>
      <c r="BJ433" s="1851">
        <f t="shared" si="856"/>
        <v>1.3798151612519183E-2</v>
      </c>
      <c r="BK433" s="1852">
        <f t="shared" si="856"/>
        <v>-2.2408925230785082E-2</v>
      </c>
      <c r="BL433" s="1852">
        <f t="shared" si="856"/>
        <v>2.1129151501204868E-2</v>
      </c>
      <c r="BM433" s="1852">
        <f t="shared" si="856"/>
        <v>2.6365711252493096E-2</v>
      </c>
      <c r="BN433" s="1851">
        <f t="shared" si="856"/>
        <v>3.2096149999993884E-4</v>
      </c>
      <c r="BO433" s="1852">
        <f t="shared" si="856"/>
        <v>-7.088823400000055E-3</v>
      </c>
      <c r="BP433" s="1852">
        <f>BP432/BL432-1</f>
        <v>-5.9223520000000196E-2</v>
      </c>
      <c r="BQ433" s="1825">
        <f>BQ432/BM432-1</f>
        <v>1.7574559999999906E-2</v>
      </c>
      <c r="BR433" s="1852">
        <f>BR432/BN432-1</f>
        <v>1.7574559999999906E-2</v>
      </c>
      <c r="BS433" s="1852"/>
      <c r="BT433" s="1852"/>
      <c r="BU433" s="1825"/>
      <c r="BV433" s="1852"/>
      <c r="BW433" s="1852"/>
      <c r="BX433" s="1852"/>
      <c r="BY433" s="1825"/>
      <c r="BZ433" s="1852"/>
      <c r="CA433" s="1852"/>
      <c r="CB433" s="1852"/>
      <c r="CC433" s="1825"/>
      <c r="CD433" s="1837"/>
      <c r="CE433" s="1934"/>
      <c r="CF433" s="1934"/>
      <c r="CG433" s="1934"/>
      <c r="CH433" s="1934"/>
      <c r="CI433" s="1934"/>
      <c r="CJ433" s="1934"/>
      <c r="CK433" s="1937"/>
      <c r="CL433" s="1937"/>
      <c r="CM433" s="1934"/>
      <c r="CN433" s="1852"/>
      <c r="CO433" s="1852">
        <f t="shared" ref="CO433:CU433" si="857">CO432/CN432-1</f>
        <v>-6.750954182428226E-2</v>
      </c>
      <c r="CP433" s="1852">
        <f t="shared" si="857"/>
        <v>0.34149317873407092</v>
      </c>
      <c r="CQ433" s="1852">
        <f t="shared" si="857"/>
        <v>-6.6328752342425412E-2</v>
      </c>
      <c r="CR433" s="1852">
        <f t="shared" si="857"/>
        <v>-2.1137671008160774E-2</v>
      </c>
      <c r="CS433" s="1852">
        <f t="shared" si="857"/>
        <v>8.6701474304708981E-3</v>
      </c>
      <c r="CT433" s="1852">
        <f t="shared" si="857"/>
        <v>-1.227324997527135E-2</v>
      </c>
      <c r="CU433" s="1852">
        <f t="shared" si="857"/>
        <v>1.9519804781814587E-2</v>
      </c>
      <c r="CV433" s="1852"/>
      <c r="CW433" s="1852"/>
      <c r="CX433" s="1991"/>
      <c r="CY433" s="1991"/>
      <c r="CZ433" s="1991"/>
      <c r="DA433" s="1991"/>
      <c r="DB433" s="1991"/>
      <c r="DC433" s="1991"/>
      <c r="DD433" s="1837"/>
      <c r="DE433" s="1839"/>
      <c r="DF433" s="1829"/>
      <c r="DG433" s="1804"/>
      <c r="DH433" s="1803"/>
      <c r="DI433" s="1803"/>
      <c r="DJ433" s="1803"/>
      <c r="DK433" s="1803"/>
      <c r="DL433" s="1803"/>
      <c r="DM433" s="1852"/>
      <c r="DN433" s="1852"/>
      <c r="DO433" s="1852"/>
      <c r="DP433" s="1852"/>
      <c r="DQ433" s="1852">
        <f t="shared" ref="DQ433:DV433" si="858">DQ432/DP432-1</f>
        <v>3.1846245669613804E-2</v>
      </c>
      <c r="DR433" s="1852">
        <f t="shared" si="858"/>
        <v>0.24579345006375553</v>
      </c>
      <c r="DS433" s="1851">
        <f t="shared" si="858"/>
        <v>-8.4007910943726061E-2</v>
      </c>
      <c r="DT433" s="1852">
        <f t="shared" si="858"/>
        <v>-1.0084549802048426E-2</v>
      </c>
      <c r="DU433" s="1852">
        <f t="shared" si="858"/>
        <v>9.4443116666265148E-3</v>
      </c>
      <c r="DV433" s="1852">
        <f t="shared" si="858"/>
        <v>-6.848612508599583E-3</v>
      </c>
      <c r="DW433" s="1825"/>
      <c r="DX433" s="1852"/>
      <c r="DY433" s="1852"/>
      <c r="DZ433" s="1830"/>
      <c r="EA433"/>
      <c r="EB433"/>
      <c r="EC433"/>
      <c r="ED433"/>
      <c r="EE433"/>
      <c r="EF433"/>
    </row>
    <row r="434" spans="1:136" s="1785" customFormat="1" ht="11.25" hidden="1" customHeight="1" outlineLevel="1">
      <c r="A434" s="1830"/>
      <c r="B434" s="1943"/>
      <c r="C434" s="1859"/>
      <c r="D434" s="1860"/>
      <c r="E434" s="1932" t="s">
        <v>184</v>
      </c>
      <c r="F434" s="1968"/>
      <c r="G434" s="1938"/>
      <c r="H434" s="1938"/>
      <c r="I434" s="1969"/>
      <c r="J434" s="1938"/>
      <c r="K434" s="1938"/>
      <c r="L434" s="1938"/>
      <c r="M434" s="1969"/>
      <c r="N434" s="1938"/>
      <c r="O434" s="1938"/>
      <c r="P434" s="1938"/>
      <c r="Q434" s="1969"/>
      <c r="R434" s="1938"/>
      <c r="S434" s="1938"/>
      <c r="T434" s="1938"/>
      <c r="U434" s="1969"/>
      <c r="V434" s="1938"/>
      <c r="W434" s="1938"/>
      <c r="X434" s="1938"/>
      <c r="Y434" s="1969"/>
      <c r="Z434" s="1938"/>
      <c r="AA434" s="1938"/>
      <c r="AB434" s="1938"/>
      <c r="AC434" s="1969"/>
      <c r="AD434" s="1826"/>
      <c r="AE434" s="1826"/>
      <c r="AF434" s="1826"/>
      <c r="AG434" s="1826"/>
      <c r="AH434" s="1887"/>
      <c r="AI434" s="1826"/>
      <c r="AJ434" s="1826"/>
      <c r="AK434" s="1828"/>
      <c r="AL434" s="1826"/>
      <c r="AM434" s="1826"/>
      <c r="AN434" s="1826"/>
      <c r="AO434" s="1828"/>
      <c r="AP434" s="1829"/>
      <c r="AQ434" s="1852">
        <f>AQ432/AP432-1</f>
        <v>2.1505376344086002E-2</v>
      </c>
      <c r="AR434" s="1852">
        <f>AR432/AQ432-1</f>
        <v>0</v>
      </c>
      <c r="AS434" s="1852">
        <f>AS432/AR432-1</f>
        <v>-3.157894736842104E-2</v>
      </c>
      <c r="AT434" s="1851">
        <f>AT432/AS432-1</f>
        <v>-1.0869565217391353E-2</v>
      </c>
      <c r="AU434" s="1852">
        <f>AU432/AT432-1</f>
        <v>-2.1978021978022011E-2</v>
      </c>
      <c r="AV434" s="1852">
        <v>-4.4999999999999998E-2</v>
      </c>
      <c r="AW434" s="1852">
        <v>0</v>
      </c>
      <c r="AX434" s="1851">
        <v>4.4999999999999998E-2</v>
      </c>
      <c r="AY434" s="1852">
        <v>0.46</v>
      </c>
      <c r="AZ434" s="1852">
        <v>0.01</v>
      </c>
      <c r="BA434" s="1825">
        <v>-0.1</v>
      </c>
      <c r="BB434" s="1851">
        <v>-3.5000000000000003E-2</v>
      </c>
      <c r="BC434" s="1852">
        <v>-3.5000000000000003E-2</v>
      </c>
      <c r="BD434" s="1852">
        <v>-1.4E-2</v>
      </c>
      <c r="BE434" s="1825">
        <v>-5.0000000000000001E-3</v>
      </c>
      <c r="BF434" s="1851">
        <v>-0.02</v>
      </c>
      <c r="BG434" s="1854">
        <v>0.05</v>
      </c>
      <c r="BH434" s="1852">
        <v>-0.03</v>
      </c>
      <c r="BI434" s="1825">
        <v>-2.5000000000000001E-2</v>
      </c>
      <c r="BJ434" s="1851">
        <f>$BJ$424</f>
        <v>2.0906211107354095E-2</v>
      </c>
      <c r="BK434" s="1852">
        <v>1.2500000000000001E-2</v>
      </c>
      <c r="BL434" s="1852">
        <f>$BL$424</f>
        <v>1.32E-2</v>
      </c>
      <c r="BM434" s="1852">
        <v>-0.02</v>
      </c>
      <c r="BN434" s="1851">
        <v>-5.0000000000000001E-3</v>
      </c>
      <c r="BO434" s="1852">
        <v>5.0000000000000001E-3</v>
      </c>
      <c r="BP434" s="1852">
        <v>-0.04</v>
      </c>
      <c r="BQ434" s="1825">
        <v>0.06</v>
      </c>
      <c r="BR434" s="1851">
        <v>-5.0000000000000001E-3</v>
      </c>
      <c r="BS434" s="1852"/>
      <c r="BT434" s="1852"/>
      <c r="BU434" s="1825"/>
      <c r="BV434" s="1852"/>
      <c r="BW434" s="1852"/>
      <c r="BX434" s="1852"/>
      <c r="BY434" s="1825"/>
      <c r="BZ434" s="1852"/>
      <c r="CA434" s="1852"/>
      <c r="CB434" s="1852"/>
      <c r="CC434" s="1825"/>
      <c r="CD434" s="1837"/>
      <c r="CE434" s="1934"/>
      <c r="CF434" s="1934"/>
      <c r="CG434" s="1934"/>
      <c r="CH434" s="1934"/>
      <c r="CI434" s="1934"/>
      <c r="CJ434" s="1934"/>
      <c r="CK434" s="1937"/>
      <c r="CL434" s="1937"/>
      <c r="CM434" s="1934"/>
      <c r="CN434" s="1934"/>
      <c r="CO434" s="1938"/>
      <c r="CP434" s="1938"/>
      <c r="CQ434" s="1938"/>
      <c r="CR434" s="1938"/>
      <c r="CS434" s="1852"/>
      <c r="CT434" s="1852"/>
      <c r="CU434" s="1852"/>
      <c r="CV434" s="1852"/>
      <c r="CW434" s="1852"/>
      <c r="CX434" s="1852"/>
      <c r="CY434" s="1852"/>
      <c r="CZ434" s="1852"/>
      <c r="DA434" s="1852"/>
      <c r="DB434" s="1852"/>
      <c r="DC434" s="1852"/>
      <c r="DD434" s="1837"/>
      <c r="DE434" s="1839"/>
      <c r="DF434" s="1829"/>
      <c r="DG434" s="1804"/>
      <c r="DH434" s="1803"/>
      <c r="DI434" s="1803"/>
      <c r="DJ434" s="1803"/>
      <c r="DK434" s="1803"/>
      <c r="DL434" s="1803"/>
      <c r="DM434" s="1803"/>
      <c r="DN434" s="1803"/>
      <c r="DO434" s="1803"/>
      <c r="DP434" s="1803"/>
      <c r="DQ434" s="1803"/>
      <c r="DR434" s="1803"/>
      <c r="DS434" s="1804"/>
      <c r="DT434" s="1974"/>
      <c r="DU434" s="1974"/>
      <c r="DV434" s="1974"/>
      <c r="DW434" s="1975"/>
      <c r="DX434" s="1974"/>
      <c r="DY434" s="1974"/>
      <c r="DZ434" s="1830"/>
      <c r="EA434"/>
      <c r="EB434"/>
      <c r="EC434"/>
      <c r="ED434"/>
      <c r="EE434"/>
      <c r="EF434"/>
    </row>
    <row r="435" spans="1:136" s="1785" customFormat="1" ht="5.25" hidden="1" customHeight="1" outlineLevel="1">
      <c r="A435" s="1829"/>
      <c r="B435" s="1913"/>
      <c r="C435" s="1914"/>
      <c r="D435" s="1915"/>
      <c r="E435" s="1916"/>
      <c r="F435" s="1917"/>
      <c r="G435" s="1918"/>
      <c r="H435" s="1918"/>
      <c r="I435" s="1919"/>
      <c r="J435" s="1920"/>
      <c r="K435" s="1921"/>
      <c r="L435" s="1921"/>
      <c r="M435" s="1922"/>
      <c r="N435" s="1921"/>
      <c r="O435" s="1921"/>
      <c r="P435" s="1921"/>
      <c r="Q435" s="1921"/>
      <c r="R435" s="1920"/>
      <c r="S435" s="1921"/>
      <c r="T435" s="1921"/>
      <c r="U435" s="1921"/>
      <c r="V435" s="1920"/>
      <c r="W435" s="1921"/>
      <c r="X435" s="1921"/>
      <c r="Y435" s="1921"/>
      <c r="Z435" s="1920"/>
      <c r="AA435" s="1921"/>
      <c r="AB435" s="1921"/>
      <c r="AC435" s="1921"/>
      <c r="AD435" s="1920"/>
      <c r="AE435" s="1921"/>
      <c r="AF435" s="1921"/>
      <c r="AG435" s="1921"/>
      <c r="AH435" s="1920"/>
      <c r="AI435" s="1921"/>
      <c r="AJ435" s="1921"/>
      <c r="AK435" s="1921"/>
      <c r="AL435" s="1920"/>
      <c r="AM435" s="1921"/>
      <c r="AN435" s="1921"/>
      <c r="AO435" s="1922"/>
      <c r="AP435" s="1921"/>
      <c r="AQ435" s="1921"/>
      <c r="AR435" s="1921"/>
      <c r="AS435" s="1922"/>
      <c r="AT435" s="1921"/>
      <c r="AU435" s="1921"/>
      <c r="AV435" s="1921"/>
      <c r="AW435" s="1922"/>
      <c r="AX435" s="1921"/>
      <c r="AY435" s="1921"/>
      <c r="AZ435" s="1921"/>
      <c r="BA435" s="1922"/>
      <c r="BB435" s="1920"/>
      <c r="BC435" s="1921"/>
      <c r="BD435" s="1921"/>
      <c r="BE435" s="1922"/>
      <c r="BF435" s="1920"/>
      <c r="BG435" s="1923"/>
      <c r="BH435" s="1921"/>
      <c r="BI435" s="1922"/>
      <c r="BJ435" s="1920"/>
      <c r="BK435" s="1921"/>
      <c r="BL435" s="1921"/>
      <c r="BM435" s="1921"/>
      <c r="BN435" s="1920"/>
      <c r="BO435" s="1921"/>
      <c r="BP435" s="1921"/>
      <c r="BQ435" s="1922"/>
      <c r="BR435" s="1921"/>
      <c r="BS435" s="1921"/>
      <c r="BT435" s="1921"/>
      <c r="BU435" s="1922"/>
      <c r="BV435" s="1921"/>
      <c r="BW435" s="1921"/>
      <c r="BX435" s="1921"/>
      <c r="BY435" s="1922"/>
      <c r="BZ435" s="1921"/>
      <c r="CA435" s="1921"/>
      <c r="CB435" s="1921"/>
      <c r="CC435" s="1922"/>
      <c r="CD435" s="1837"/>
      <c r="CE435" s="1921"/>
      <c r="CF435" s="1921"/>
      <c r="CG435" s="1921"/>
      <c r="CH435" s="1921"/>
      <c r="CI435" s="1921"/>
      <c r="CJ435" s="1921"/>
      <c r="CK435" s="1923"/>
      <c r="CL435" s="1923"/>
      <c r="CM435" s="1921"/>
      <c r="CN435" s="1921"/>
      <c r="CO435" s="1924"/>
      <c r="CP435" s="1924"/>
      <c r="CQ435" s="1924"/>
      <c r="CR435" s="1921"/>
      <c r="CS435" s="1921"/>
      <c r="CT435" s="1921"/>
      <c r="CU435" s="1921"/>
      <c r="CV435" s="1921"/>
      <c r="CW435" s="1921"/>
      <c r="CX435" s="1921"/>
      <c r="CY435" s="1921"/>
      <c r="CZ435" s="1921"/>
      <c r="DA435" s="1921"/>
      <c r="DB435" s="1921"/>
      <c r="DC435" s="1921"/>
      <c r="DD435" s="1925"/>
      <c r="DE435" s="1839"/>
      <c r="DF435" s="1829"/>
      <c r="DG435" s="1926"/>
      <c r="DH435" s="1927"/>
      <c r="DI435" s="1927"/>
      <c r="DJ435" s="1927"/>
      <c r="DK435" s="1927"/>
      <c r="DL435" s="1927"/>
      <c r="DM435" s="1927"/>
      <c r="DN435" s="1927"/>
      <c r="DO435" s="1927"/>
      <c r="DP435" s="1927"/>
      <c r="DQ435" s="1927"/>
      <c r="DR435" s="1927"/>
      <c r="DS435" s="1926"/>
      <c r="DT435" s="1928"/>
      <c r="DU435" s="1928"/>
      <c r="DV435" s="1928"/>
      <c r="DW435" s="1929"/>
      <c r="DX435" s="1874"/>
      <c r="DY435" s="1874"/>
      <c r="DZ435" s="1829"/>
      <c r="EA435"/>
      <c r="EB435"/>
      <c r="EC435"/>
      <c r="ED435"/>
      <c r="EE435"/>
      <c r="EF435"/>
    </row>
    <row r="436" spans="1:136" s="1785" customFormat="1" ht="3.75" hidden="1" customHeight="1" outlineLevel="1">
      <c r="A436" s="1829"/>
      <c r="B436" s="1930"/>
      <c r="C436" s="1860"/>
      <c r="D436" s="1931"/>
      <c r="E436" s="1932"/>
      <c r="F436" s="1780"/>
      <c r="G436" s="1781"/>
      <c r="H436" s="1781"/>
      <c r="I436" s="1933"/>
      <c r="J436" s="1934"/>
      <c r="K436" s="1934"/>
      <c r="L436" s="1934"/>
      <c r="M436" s="1935"/>
      <c r="N436" s="1934"/>
      <c r="O436" s="1934"/>
      <c r="P436" s="1934"/>
      <c r="Q436" s="1934"/>
      <c r="R436" s="1934"/>
      <c r="S436" s="1934"/>
      <c r="T436" s="1934"/>
      <c r="U436" s="1934"/>
      <c r="V436" s="1934"/>
      <c r="W436" s="1934"/>
      <c r="X436" s="1934"/>
      <c r="Y436" s="1934"/>
      <c r="Z436" s="1934"/>
      <c r="AA436" s="1934"/>
      <c r="AB436" s="1934"/>
      <c r="AC436" s="1934"/>
      <c r="AD436" s="1934"/>
      <c r="AE436" s="1934"/>
      <c r="AF436" s="1934"/>
      <c r="AG436" s="1934"/>
      <c r="AH436" s="1936"/>
      <c r="AI436" s="1934"/>
      <c r="AJ436" s="1934"/>
      <c r="AK436" s="1934"/>
      <c r="AL436" s="1934"/>
      <c r="AM436" s="1934"/>
      <c r="AN436" s="1934"/>
      <c r="AO436" s="1935"/>
      <c r="AP436" s="1934"/>
      <c r="AQ436" s="1934"/>
      <c r="AR436" s="1934"/>
      <c r="AS436" s="1934"/>
      <c r="AT436" s="1934"/>
      <c r="AU436" s="1934"/>
      <c r="AV436" s="1934"/>
      <c r="AW436" s="1935"/>
      <c r="AX436" s="1934"/>
      <c r="AY436" s="1934"/>
      <c r="AZ436" s="1934"/>
      <c r="BA436" s="1935"/>
      <c r="BB436" s="1936"/>
      <c r="BC436" s="1934"/>
      <c r="BD436" s="1934"/>
      <c r="BE436" s="1935"/>
      <c r="BF436" s="1936"/>
      <c r="BG436" s="1937"/>
      <c r="BH436" s="1934"/>
      <c r="BI436" s="1935"/>
      <c r="BJ436" s="1936"/>
      <c r="BK436" s="1934"/>
      <c r="BL436" s="1934"/>
      <c r="BM436" s="1934"/>
      <c r="BN436" s="1936"/>
      <c r="BO436" s="1934"/>
      <c r="BP436" s="1934"/>
      <c r="BQ436" s="1935"/>
      <c r="BR436" s="1934"/>
      <c r="BS436" s="1934"/>
      <c r="BT436" s="1934"/>
      <c r="BU436" s="1935"/>
      <c r="BV436" s="1934"/>
      <c r="BW436" s="1934"/>
      <c r="BX436" s="1934"/>
      <c r="BY436" s="1935"/>
      <c r="BZ436" s="1934"/>
      <c r="CA436" s="1934"/>
      <c r="CB436" s="1934"/>
      <c r="CC436" s="1935"/>
      <c r="CD436" s="1837"/>
      <c r="CE436" s="1934"/>
      <c r="CF436" s="1934"/>
      <c r="CG436" s="1934"/>
      <c r="CH436" s="1934"/>
      <c r="CI436" s="1934"/>
      <c r="CJ436" s="1934"/>
      <c r="CK436" s="1937"/>
      <c r="CL436" s="1937"/>
      <c r="CM436" s="1934"/>
      <c r="CN436" s="1934"/>
      <c r="CO436" s="1938"/>
      <c r="CP436" s="1938"/>
      <c r="CQ436" s="1938"/>
      <c r="CR436" s="1934"/>
      <c r="CS436" s="1934"/>
      <c r="CT436" s="1934"/>
      <c r="CU436" s="1934"/>
      <c r="CV436" s="1934"/>
      <c r="CW436" s="1934"/>
      <c r="CX436" s="1934"/>
      <c r="CY436" s="1934"/>
      <c r="CZ436" s="1934"/>
      <c r="DA436" s="1934"/>
      <c r="DB436" s="1934"/>
      <c r="DC436" s="1934"/>
      <c r="DD436" s="1837"/>
      <c r="DE436" s="1839"/>
      <c r="DF436" s="1829"/>
      <c r="DG436" s="1804"/>
      <c r="DH436" s="1803"/>
      <c r="DI436" s="1803"/>
      <c r="DJ436" s="1803"/>
      <c r="DK436" s="1803"/>
      <c r="DL436" s="1803"/>
      <c r="DM436" s="1939"/>
      <c r="DN436" s="1939"/>
      <c r="DO436" s="1939"/>
      <c r="DP436" s="1939"/>
      <c r="DQ436" s="1939"/>
      <c r="DR436" s="1939"/>
      <c r="DS436" s="1940"/>
      <c r="DT436" s="1941"/>
      <c r="DU436" s="1874"/>
      <c r="DV436" s="1874"/>
      <c r="DW436" s="1942"/>
      <c r="DX436" s="1874"/>
      <c r="DY436" s="1874"/>
      <c r="DZ436" s="1829"/>
      <c r="EA436"/>
      <c r="EB436"/>
      <c r="EC436"/>
      <c r="ED436"/>
      <c r="EE436"/>
      <c r="EF436"/>
    </row>
    <row r="437" spans="1:136" s="1785" customFormat="1" ht="11.25" hidden="1" customHeight="1" outlineLevel="1">
      <c r="A437" s="1830"/>
      <c r="B437" s="1943"/>
      <c r="C437" s="1944" t="s">
        <v>186</v>
      </c>
      <c r="D437" s="1829"/>
      <c r="E437" s="1841"/>
      <c r="F437" s="1968"/>
      <c r="G437" s="1938"/>
      <c r="H437" s="1938"/>
      <c r="I437" s="1969"/>
      <c r="J437" s="1938"/>
      <c r="K437" s="1938"/>
      <c r="L437" s="1938"/>
      <c r="M437" s="1969"/>
      <c r="N437" s="1938"/>
      <c r="O437" s="1938"/>
      <c r="P437" s="1938"/>
      <c r="Q437" s="1969"/>
      <c r="R437" s="1938"/>
      <c r="S437" s="1938"/>
      <c r="T437" s="1938"/>
      <c r="U437" s="1969"/>
      <c r="V437" s="1938"/>
      <c r="W437" s="1938"/>
      <c r="X437" s="1938"/>
      <c r="Y437" s="1969"/>
      <c r="Z437" s="1938"/>
      <c r="AA437" s="1938"/>
      <c r="AB437" s="1938"/>
      <c r="AC437" s="1969"/>
      <c r="AD437" s="1938"/>
      <c r="AE437" s="1938"/>
      <c r="AF437" s="1938"/>
      <c r="AG437" s="1938"/>
      <c r="AH437" s="1968"/>
      <c r="AI437" s="1938"/>
      <c r="AJ437" s="1938"/>
      <c r="AK437" s="1969"/>
      <c r="AL437" s="1938"/>
      <c r="AM437" s="1938"/>
      <c r="AN437" s="1938"/>
      <c r="AO437" s="1969"/>
      <c r="AP437" s="1897">
        <f t="shared" ref="AP437:BD437" si="859">AP447+AP457</f>
        <v>1499.7847999999999</v>
      </c>
      <c r="AQ437" s="1871">
        <f t="shared" si="859"/>
        <v>1633.145</v>
      </c>
      <c r="AR437" s="1871">
        <f t="shared" si="859"/>
        <v>1723.2545</v>
      </c>
      <c r="AS437" s="1871">
        <f t="shared" si="859"/>
        <v>1514.5035</v>
      </c>
      <c r="AT437" s="1897">
        <f t="shared" si="859"/>
        <v>1499.2297699999999</v>
      </c>
      <c r="AU437" s="1871">
        <f t="shared" si="859"/>
        <v>1529.9814999999999</v>
      </c>
      <c r="AV437" s="1948">
        <f>AV447+AV457</f>
        <v>1432.6052572499998</v>
      </c>
      <c r="AW437" s="1871">
        <f t="shared" si="859"/>
        <v>1545.3673047499999</v>
      </c>
      <c r="AX437" s="1897">
        <f t="shared" si="859"/>
        <v>1693.9633745775</v>
      </c>
      <c r="AY437" s="1871">
        <f t="shared" si="859"/>
        <v>1285.3473370408124</v>
      </c>
      <c r="AZ437" s="1871">
        <f t="shared" si="859"/>
        <v>2031.0329467673273</v>
      </c>
      <c r="BA437" s="1872">
        <f t="shared" si="859"/>
        <v>2870.7322255613794</v>
      </c>
      <c r="BB437" s="1897">
        <f t="shared" si="859"/>
        <v>2202.8280797158122</v>
      </c>
      <c r="BC437" s="1871">
        <f t="shared" si="859"/>
        <v>1939.8643218270029</v>
      </c>
      <c r="BD437" s="1871">
        <f t="shared" si="859"/>
        <v>1950.2797206256937</v>
      </c>
      <c r="BE437" s="1872">
        <f t="shared" ref="BE437:BM437" si="860">BE447+BE457</f>
        <v>1915.2525834519847</v>
      </c>
      <c r="BF437" s="1897">
        <f t="shared" si="860"/>
        <v>1862.9762242909023</v>
      </c>
      <c r="BG437" s="1894">
        <f t="shared" si="860"/>
        <v>1865.7615712777624</v>
      </c>
      <c r="BH437" s="1871">
        <f t="shared" si="860"/>
        <v>1789.3004681752946</v>
      </c>
      <c r="BI437" s="1872">
        <f t="shared" si="860"/>
        <v>1782.8027656318563</v>
      </c>
      <c r="BJ437" s="1897">
        <f t="shared" si="860"/>
        <v>1849.7292098251955</v>
      </c>
      <c r="BK437" s="1871">
        <f t="shared" si="860"/>
        <v>1723.4613534731518</v>
      </c>
      <c r="BL437" s="1871">
        <f t="shared" si="860"/>
        <v>1543.4633418337562</v>
      </c>
      <c r="BM437" s="1871">
        <f t="shared" si="860"/>
        <v>1256.3044549570784</v>
      </c>
      <c r="BN437" s="1897">
        <f>BN447+BN457</f>
        <v>1273.6375714580736</v>
      </c>
      <c r="BO437" s="1871">
        <f>BO447+BO457</f>
        <v>1293.037457678719</v>
      </c>
      <c r="BP437" s="1871">
        <f>BP447+BP457</f>
        <v>1095.5146480903136</v>
      </c>
      <c r="BQ437" s="1872">
        <f>BQ447+BQ457</f>
        <v>927.80495817806263</v>
      </c>
      <c r="BR437" s="1871">
        <f>BR447+BR457</f>
        <v>1142.233290695091</v>
      </c>
      <c r="BS437" s="1871"/>
      <c r="BT437" s="1871"/>
      <c r="BU437" s="1872"/>
      <c r="BV437" s="1871"/>
      <c r="BW437" s="1871"/>
      <c r="BX437" s="1871"/>
      <c r="BY437" s="1872"/>
      <c r="BZ437" s="1871"/>
      <c r="CA437" s="1871"/>
      <c r="CB437" s="1871"/>
      <c r="CC437" s="1872"/>
      <c r="CD437" s="1837"/>
      <c r="CE437" s="1934"/>
      <c r="CF437" s="1934"/>
      <c r="CG437" s="1934"/>
      <c r="CH437" s="1934"/>
      <c r="CI437" s="1934"/>
      <c r="CJ437" s="1934"/>
      <c r="CK437" s="1937"/>
      <c r="CL437" s="1951"/>
      <c r="CM437" s="1950"/>
      <c r="CN437" s="1950">
        <f>SUM(AP437:AS437)</f>
        <v>6370.6877999999997</v>
      </c>
      <c r="CO437" s="1946">
        <f>SUM(AT437:AW437)</f>
        <v>6007.1838319999988</v>
      </c>
      <c r="CP437" s="1946">
        <f>SUM(AX437:BA437)</f>
        <v>7881.07588394702</v>
      </c>
      <c r="CQ437" s="1946">
        <f>SUM(BB437:BE437)</f>
        <v>8008.2247056204933</v>
      </c>
      <c r="CR437" s="1946">
        <f>SUM(BF437:BI437)</f>
        <v>7300.8410293758161</v>
      </c>
      <c r="CS437" s="1946">
        <f>SUM(BJ437:BM437)</f>
        <v>6372.958360089182</v>
      </c>
      <c r="CT437" s="1946">
        <f>SUM(BN437:BQ437)</f>
        <v>4589.994635405169</v>
      </c>
      <c r="CU437" s="1948">
        <f>SUM(BR437:BU437)</f>
        <v>1142.233290695091</v>
      </c>
      <c r="CV437" s="1948"/>
      <c r="CW437" s="1948"/>
      <c r="CX437" s="1948"/>
      <c r="CY437" s="1948"/>
      <c r="CZ437" s="1948"/>
      <c r="DA437" s="1948"/>
      <c r="DB437" s="1948"/>
      <c r="DC437" s="1948"/>
      <c r="DD437" s="1837"/>
      <c r="DE437" s="1839"/>
      <c r="DF437" s="1829"/>
      <c r="DG437" s="1804"/>
      <c r="DH437" s="1803"/>
      <c r="DI437" s="1803"/>
      <c r="DJ437" s="1803"/>
      <c r="DK437" s="1803"/>
      <c r="DL437" s="1803"/>
      <c r="DM437" s="1955"/>
      <c r="DN437" s="1955"/>
      <c r="DO437" s="1955"/>
      <c r="DP437" s="1955">
        <f>SUM(AR437:AU437)</f>
        <v>6266.9692699999996</v>
      </c>
      <c r="DQ437" s="1955">
        <f>SUM(AV437:AY437)</f>
        <v>5957.2832736183118</v>
      </c>
      <c r="DR437" s="1955">
        <f>SUM(AZ437:BC437)</f>
        <v>9044.457573871523</v>
      </c>
      <c r="DS437" s="1954">
        <f>SUM(BD437:BG437)</f>
        <v>7594.2700996463427</v>
      </c>
      <c r="DT437" s="1955">
        <f>SUM(BH437:BK437)</f>
        <v>7145.293797105498</v>
      </c>
      <c r="DU437" s="1955">
        <f>SUM(BL437:BO437)</f>
        <v>5366.4428259276274</v>
      </c>
      <c r="DV437" s="1955">
        <f>SUM(BP437:BS437)</f>
        <v>3165.552896963467</v>
      </c>
      <c r="DW437" s="1956"/>
      <c r="DX437" s="1955"/>
      <c r="DY437" s="1955"/>
      <c r="DZ437" s="1830"/>
      <c r="EA437"/>
      <c r="EB437"/>
      <c r="EC437"/>
      <c r="ED437"/>
      <c r="EE437"/>
      <c r="EF437"/>
    </row>
    <row r="438" spans="1:136" s="1785" customFormat="1" ht="11.25" hidden="1" customHeight="1" outlineLevel="1">
      <c r="A438" s="1830"/>
      <c r="B438" s="1943"/>
      <c r="C438" s="1829"/>
      <c r="D438" s="1967" t="s">
        <v>76</v>
      </c>
      <c r="E438" s="1841"/>
      <c r="F438" s="1968"/>
      <c r="G438" s="1938"/>
      <c r="H438" s="1938"/>
      <c r="I438" s="1969"/>
      <c r="J438" s="1938"/>
      <c r="K438" s="1938"/>
      <c r="L438" s="1938"/>
      <c r="M438" s="1969"/>
      <c r="N438" s="1938"/>
      <c r="O438" s="1938"/>
      <c r="P438" s="1938"/>
      <c r="Q438" s="1969"/>
      <c r="R438" s="1938"/>
      <c r="S438" s="1938"/>
      <c r="T438" s="1938"/>
      <c r="U438" s="1969"/>
      <c r="V438" s="1938"/>
      <c r="W438" s="1938"/>
      <c r="X438" s="1938"/>
      <c r="Y438" s="1969"/>
      <c r="Z438" s="1938"/>
      <c r="AA438" s="1938"/>
      <c r="AB438" s="1938"/>
      <c r="AC438" s="1969"/>
      <c r="AD438" s="1938"/>
      <c r="AE438" s="1938"/>
      <c r="AF438" s="1938"/>
      <c r="AG438" s="1938"/>
      <c r="AH438" s="1968"/>
      <c r="AI438" s="1938"/>
      <c r="AJ438" s="1938"/>
      <c r="AK438" s="1969"/>
      <c r="AL438" s="1938"/>
      <c r="AM438" s="1938"/>
      <c r="AN438" s="1938"/>
      <c r="AO438" s="1969"/>
      <c r="AP438" s="1851"/>
      <c r="AQ438" s="1852"/>
      <c r="AR438" s="1852"/>
      <c r="AS438" s="1852"/>
      <c r="AT438" s="1851">
        <f>AT437/AP437-1</f>
        <v>-3.7007309315306713E-4</v>
      </c>
      <c r="AU438" s="1852">
        <f>AU437/AQ437-1</f>
        <v>-6.3168610258121705E-2</v>
      </c>
      <c r="AV438" s="1852">
        <f t="shared" ref="AV438:BD438" si="861">AV437/AR437-1</f>
        <v>-0.16866298202035757</v>
      </c>
      <c r="AW438" s="1852">
        <f t="shared" si="861"/>
        <v>2.0378826955500529E-2</v>
      </c>
      <c r="AX438" s="1851">
        <f t="shared" si="861"/>
        <v>0.12988909937233983</v>
      </c>
      <c r="AY438" s="1852">
        <f t="shared" si="861"/>
        <v>-0.15989354313054605</v>
      </c>
      <c r="AZ438" s="1852">
        <f t="shared" si="861"/>
        <v>0.41771987537310684</v>
      </c>
      <c r="BA438" s="1825">
        <f t="shared" si="861"/>
        <v>0.85763747992959449</v>
      </c>
      <c r="BB438" s="1851">
        <f t="shared" si="861"/>
        <v>0.30039888274752746</v>
      </c>
      <c r="BC438" s="1852">
        <f t="shared" si="861"/>
        <v>0.50921409795195949</v>
      </c>
      <c r="BD438" s="1852">
        <f t="shared" si="861"/>
        <v>-3.9759683007685176E-2</v>
      </c>
      <c r="BE438" s="1825">
        <f t="shared" ref="BE438:BO438" si="862">BE437/BA437-1</f>
        <v>-0.33283481949367399</v>
      </c>
      <c r="BF438" s="1851">
        <f t="shared" si="862"/>
        <v>-0.15427979085356236</v>
      </c>
      <c r="BG438" s="1854">
        <f t="shared" si="862"/>
        <v>-3.819996569628592E-2</v>
      </c>
      <c r="BH438" s="1852">
        <f t="shared" si="862"/>
        <v>-8.2541622490313049E-2</v>
      </c>
      <c r="BI438" s="1825">
        <f t="shared" si="862"/>
        <v>-6.9155274330138461E-2</v>
      </c>
      <c r="BJ438" s="1851">
        <f t="shared" si="862"/>
        <v>-7.1106728539968023E-3</v>
      </c>
      <c r="BK438" s="1852">
        <f t="shared" si="862"/>
        <v>-7.626924039771954E-2</v>
      </c>
      <c r="BL438" s="1852">
        <f t="shared" si="862"/>
        <v>-0.13739286984719778</v>
      </c>
      <c r="BM438" s="1852">
        <f t="shared" si="862"/>
        <v>-0.29532055975254101</v>
      </c>
      <c r="BN438" s="1851">
        <f t="shared" si="862"/>
        <v>-0.31144647297944994</v>
      </c>
      <c r="BO438" s="1852">
        <f t="shared" si="862"/>
        <v>-0.24974386279508642</v>
      </c>
      <c r="BP438" s="1852">
        <f>BP437/BL437-1</f>
        <v>-0.29022308570752597</v>
      </c>
      <c r="BQ438" s="1825">
        <f>BQ437/BM437-1</f>
        <v>-0.26148080227116521</v>
      </c>
      <c r="BR438" s="1852">
        <f>BR437/BN437-1</f>
        <v>-0.10317242809706817</v>
      </c>
      <c r="BS438" s="1852"/>
      <c r="BT438" s="1852"/>
      <c r="BU438" s="1825"/>
      <c r="BV438" s="1852"/>
      <c r="BW438" s="1852"/>
      <c r="BX438" s="1852"/>
      <c r="BY438" s="1825"/>
      <c r="BZ438" s="1852"/>
      <c r="CA438" s="1852"/>
      <c r="CB438" s="1852"/>
      <c r="CC438" s="1825"/>
      <c r="CD438" s="1837"/>
      <c r="CE438" s="1934"/>
      <c r="CF438" s="1934"/>
      <c r="CG438" s="1934"/>
      <c r="CH438" s="1934"/>
      <c r="CI438" s="1934"/>
      <c r="CJ438" s="1934"/>
      <c r="CK438" s="1937"/>
      <c r="CL438" s="1852"/>
      <c r="CM438" s="1852"/>
      <c r="CN438" s="1852"/>
      <c r="CO438" s="1852">
        <f t="shared" ref="CO438:CU438" si="863">CO437/CN437-1</f>
        <v>-5.7058826207117108E-2</v>
      </c>
      <c r="CP438" s="1852">
        <f t="shared" si="863"/>
        <v>0.31194185234766447</v>
      </c>
      <c r="CQ438" s="1852">
        <f t="shared" si="863"/>
        <v>1.6133434513993627E-2</v>
      </c>
      <c r="CR438" s="1852">
        <f t="shared" si="863"/>
        <v>-8.8332146293073843E-2</v>
      </c>
      <c r="CS438" s="1852">
        <f t="shared" si="863"/>
        <v>-0.127092572698568</v>
      </c>
      <c r="CT438" s="1852">
        <f t="shared" si="863"/>
        <v>-0.2797701826909571</v>
      </c>
      <c r="CU438" s="1852">
        <f t="shared" si="863"/>
        <v>-0.75114714037258046</v>
      </c>
      <c r="CV438" s="1852"/>
      <c r="CW438" s="1852"/>
      <c r="CX438" s="1852"/>
      <c r="CY438" s="1852"/>
      <c r="CZ438" s="1852"/>
      <c r="DA438" s="1852"/>
      <c r="DB438" s="1852"/>
      <c r="DC438" s="1852"/>
      <c r="DD438" s="1837"/>
      <c r="DE438" s="1839"/>
      <c r="DF438" s="1829"/>
      <c r="DG438" s="1804"/>
      <c r="DH438" s="1803"/>
      <c r="DI438" s="1803"/>
      <c r="DJ438" s="1803"/>
      <c r="DK438" s="1803"/>
      <c r="DL438" s="1803"/>
      <c r="DM438" s="1852"/>
      <c r="DN438" s="1852"/>
      <c r="DO438" s="1852"/>
      <c r="DP438" s="1852"/>
      <c r="DQ438" s="1852">
        <f t="shared" ref="DQ438:DV438" si="864">DQ437/DP437-1</f>
        <v>-4.9415591977473916E-2</v>
      </c>
      <c r="DR438" s="1852">
        <f t="shared" si="864"/>
        <v>0.51821848289885586</v>
      </c>
      <c r="DS438" s="1851">
        <f t="shared" si="864"/>
        <v>-0.16033990566937018</v>
      </c>
      <c r="DT438" s="1852">
        <f t="shared" si="864"/>
        <v>-5.9120402178183373E-2</v>
      </c>
      <c r="DU438" s="1852">
        <f t="shared" si="864"/>
        <v>-0.24895420981828198</v>
      </c>
      <c r="DV438" s="1852">
        <f t="shared" si="864"/>
        <v>-0.41012081938723</v>
      </c>
      <c r="DW438" s="1825"/>
      <c r="DX438" s="1852"/>
      <c r="DY438" s="1852"/>
      <c r="DZ438" s="1830"/>
      <c r="EA438"/>
      <c r="EB438"/>
      <c r="EC438"/>
      <c r="ED438"/>
      <c r="EE438"/>
      <c r="EF438"/>
    </row>
    <row r="439" spans="1:136" s="1785" customFormat="1" ht="11.25" hidden="1" customHeight="1" outlineLevel="1">
      <c r="A439" s="1830"/>
      <c r="B439" s="1943"/>
      <c r="C439" s="1829"/>
      <c r="D439" s="1970" t="s">
        <v>77</v>
      </c>
      <c r="E439" s="1841"/>
      <c r="F439" s="1968"/>
      <c r="G439" s="1938"/>
      <c r="H439" s="1938"/>
      <c r="I439" s="1969"/>
      <c r="J439" s="1938"/>
      <c r="K439" s="1938"/>
      <c r="L439" s="1938"/>
      <c r="M439" s="1969"/>
      <c r="N439" s="1938"/>
      <c r="O439" s="1938"/>
      <c r="P439" s="1938"/>
      <c r="Q439" s="1969"/>
      <c r="R439" s="1938"/>
      <c r="S439" s="1938"/>
      <c r="T439" s="1938"/>
      <c r="U439" s="1969"/>
      <c r="V439" s="1938"/>
      <c r="W439" s="1938"/>
      <c r="X439" s="1938"/>
      <c r="Y439" s="1969"/>
      <c r="Z439" s="1938"/>
      <c r="AA439" s="1938"/>
      <c r="AB439" s="1938"/>
      <c r="AC439" s="1969"/>
      <c r="AD439" s="1938"/>
      <c r="AE439" s="1938"/>
      <c r="AF439" s="1938"/>
      <c r="AG439" s="1938"/>
      <c r="AH439" s="1968"/>
      <c r="AI439" s="1938"/>
      <c r="AJ439" s="1938"/>
      <c r="AK439" s="1969"/>
      <c r="AL439" s="1938"/>
      <c r="AM439" s="1938"/>
      <c r="AN439" s="1938"/>
      <c r="AO439" s="1969"/>
      <c r="AP439" s="1851"/>
      <c r="AQ439" s="1852">
        <f t="shared" ref="AQ439:BD439" si="865">AQ437/AP437-1</f>
        <v>8.8919556992443249E-2</v>
      </c>
      <c r="AR439" s="1852">
        <f t="shared" si="865"/>
        <v>5.517544369912053E-2</v>
      </c>
      <c r="AS439" s="1852">
        <f t="shared" si="865"/>
        <v>-0.12113764972034025</v>
      </c>
      <c r="AT439" s="1851">
        <f t="shared" si="865"/>
        <v>-1.008497504297623E-2</v>
      </c>
      <c r="AU439" s="1852">
        <f t="shared" si="865"/>
        <v>2.0511685810507885E-2</v>
      </c>
      <c r="AV439" s="1852">
        <f t="shared" si="865"/>
        <v>-6.3645372672806899E-2</v>
      </c>
      <c r="AW439" s="1852">
        <f t="shared" si="865"/>
        <v>7.8711178064818643E-2</v>
      </c>
      <c r="AX439" s="1851">
        <f t="shared" si="865"/>
        <v>9.6155826107333864E-2</v>
      </c>
      <c r="AY439" s="1852">
        <f t="shared" si="865"/>
        <v>-0.24121893287014107</v>
      </c>
      <c r="AZ439" s="1852">
        <f t="shared" si="865"/>
        <v>0.58014327196823534</v>
      </c>
      <c r="BA439" s="1825">
        <f t="shared" si="865"/>
        <v>0.41343459254590176</v>
      </c>
      <c r="BB439" s="1851">
        <f t="shared" si="865"/>
        <v>-0.23265985587177385</v>
      </c>
      <c r="BC439" s="1852">
        <f t="shared" si="865"/>
        <v>-0.11937552472217183</v>
      </c>
      <c r="BD439" s="1852">
        <f t="shared" si="865"/>
        <v>5.3691377698423803E-3</v>
      </c>
      <c r="BE439" s="1825">
        <f t="shared" ref="BE439:BO439" si="866">BE437/BD437-1</f>
        <v>-1.7960058141029855E-2</v>
      </c>
      <c r="BF439" s="1851">
        <f t="shared" si="866"/>
        <v>-2.7294759768375476E-2</v>
      </c>
      <c r="BG439" s="1854">
        <f t="shared" si="866"/>
        <v>1.4951060300945063E-3</v>
      </c>
      <c r="BH439" s="1852">
        <f t="shared" si="866"/>
        <v>-4.0981175879886811E-2</v>
      </c>
      <c r="BI439" s="1825">
        <f t="shared" si="866"/>
        <v>-3.6314205797221E-3</v>
      </c>
      <c r="BJ439" s="1851">
        <f t="shared" si="866"/>
        <v>3.7540015913997804E-2</v>
      </c>
      <c r="BK439" s="1852">
        <f t="shared" si="866"/>
        <v>-6.8262887173618503E-2</v>
      </c>
      <c r="BL439" s="1852">
        <f t="shared" si="866"/>
        <v>-0.10443983050543038</v>
      </c>
      <c r="BM439" s="1852">
        <f t="shared" si="866"/>
        <v>-0.18604840108188792</v>
      </c>
      <c r="BN439" s="1851">
        <f t="shared" si="866"/>
        <v>1.3796907614713083E-2</v>
      </c>
      <c r="BO439" s="1852">
        <f t="shared" si="866"/>
        <v>1.5231873380145533E-2</v>
      </c>
      <c r="BP439" s="1852">
        <f>BP437/BO437-1</f>
        <v>-0.15275876844511638</v>
      </c>
      <c r="BQ439" s="1825">
        <f>BQ437/BP437-1</f>
        <v>-0.15308758326928829</v>
      </c>
      <c r="BR439" s="1852">
        <f>BR437/BQ437-1</f>
        <v>0.23111358764249634</v>
      </c>
      <c r="BS439" s="1852"/>
      <c r="BT439" s="1852"/>
      <c r="BU439" s="1825"/>
      <c r="BV439" s="1852"/>
      <c r="BW439" s="1852"/>
      <c r="BX439" s="1852"/>
      <c r="BY439" s="1825"/>
      <c r="BZ439" s="1852"/>
      <c r="CA439" s="1852"/>
      <c r="CB439" s="1852"/>
      <c r="CC439" s="1825"/>
      <c r="CD439" s="1837"/>
      <c r="CE439" s="1934"/>
      <c r="CF439" s="1934"/>
      <c r="CG439" s="1934"/>
      <c r="CH439" s="1934"/>
      <c r="CI439" s="1934"/>
      <c r="CJ439" s="1934"/>
      <c r="CK439" s="1937"/>
      <c r="CL439" s="1937"/>
      <c r="CM439" s="1934"/>
      <c r="CN439" s="1934"/>
      <c r="CO439" s="1938"/>
      <c r="CP439" s="1938"/>
      <c r="CQ439" s="1938"/>
      <c r="CR439" s="1938"/>
      <c r="CS439" s="1938"/>
      <c r="CT439" s="1852"/>
      <c r="CU439" s="1852"/>
      <c r="CV439" s="1852"/>
      <c r="CW439" s="1852"/>
      <c r="CX439" s="1852"/>
      <c r="CY439" s="1852"/>
      <c r="CZ439" s="1852"/>
      <c r="DA439" s="1852"/>
      <c r="DB439" s="1852"/>
      <c r="DC439" s="1852"/>
      <c r="DD439" s="1837"/>
      <c r="DE439" s="1839"/>
      <c r="DF439" s="1829"/>
      <c r="DG439" s="1804"/>
      <c r="DH439" s="1803"/>
      <c r="DI439" s="1803"/>
      <c r="DJ439" s="1803"/>
      <c r="DK439" s="1803"/>
      <c r="DL439" s="1803"/>
      <c r="DM439" s="1848"/>
      <c r="DN439" s="1848"/>
      <c r="DO439" s="1848"/>
      <c r="DP439" s="1848"/>
      <c r="DQ439" s="1848"/>
      <c r="DR439" s="1848"/>
      <c r="DS439" s="1855"/>
      <c r="DT439" s="1848"/>
      <c r="DU439" s="1782"/>
      <c r="DV439" s="1782"/>
      <c r="DW439" s="1784"/>
      <c r="DX439" s="1782"/>
      <c r="DY439" s="1782"/>
      <c r="DZ439" s="1830"/>
      <c r="EA439"/>
      <c r="EB439"/>
      <c r="EC439"/>
      <c r="ED439"/>
      <c r="EE439"/>
      <c r="EF439"/>
    </row>
    <row r="440" spans="1:136" s="1858" customFormat="1" ht="11.25" hidden="1" customHeight="1" outlineLevel="1">
      <c r="A440" s="1831"/>
      <c r="B440" s="2013"/>
      <c r="C440" s="2014" t="s">
        <v>188</v>
      </c>
      <c r="D440" s="1831"/>
      <c r="E440" s="2015"/>
      <c r="F440" s="1843"/>
      <c r="G440" s="1831"/>
      <c r="H440" s="1831"/>
      <c r="I440" s="1844"/>
      <c r="J440" s="1831"/>
      <c r="K440" s="1831"/>
      <c r="L440" s="1831"/>
      <c r="M440" s="1844"/>
      <c r="N440" s="1831"/>
      <c r="O440" s="1831"/>
      <c r="P440" s="1831"/>
      <c r="Q440" s="1844"/>
      <c r="R440" s="1831"/>
      <c r="S440" s="1831"/>
      <c r="T440" s="1831"/>
      <c r="U440" s="1844"/>
      <c r="V440" s="1831"/>
      <c r="W440" s="1831"/>
      <c r="X440" s="1831"/>
      <c r="Y440" s="1844"/>
      <c r="Z440" s="1831"/>
      <c r="AA440" s="1831"/>
      <c r="AB440" s="1831"/>
      <c r="AC440" s="1844"/>
      <c r="AD440" s="1831">
        <f t="shared" ref="AD440:BD440" si="867">AD450+AD460</f>
        <v>18160</v>
      </c>
      <c r="AE440" s="1831">
        <f t="shared" si="867"/>
        <v>18551</v>
      </c>
      <c r="AF440" s="1831">
        <f t="shared" si="867"/>
        <v>18359</v>
      </c>
      <c r="AG440" s="1831">
        <f t="shared" si="867"/>
        <v>18717</v>
      </c>
      <c r="AH440" s="1843">
        <f t="shared" si="867"/>
        <v>21459</v>
      </c>
      <c r="AI440" s="1831">
        <f t="shared" si="867"/>
        <v>25465</v>
      </c>
      <c r="AJ440" s="1831">
        <f t="shared" si="867"/>
        <v>26653</v>
      </c>
      <c r="AK440" s="1844">
        <f t="shared" si="867"/>
        <v>25741</v>
      </c>
      <c r="AL440" s="1831">
        <f t="shared" si="867"/>
        <v>29895</v>
      </c>
      <c r="AM440" s="1831">
        <f t="shared" si="867"/>
        <v>25412</v>
      </c>
      <c r="AN440" s="1831">
        <f t="shared" si="867"/>
        <v>22591</v>
      </c>
      <c r="AO440" s="1844">
        <f t="shared" si="867"/>
        <v>31019</v>
      </c>
      <c r="AP440" s="1831">
        <f t="shared" si="867"/>
        <v>34810</v>
      </c>
      <c r="AQ440" s="1831">
        <f t="shared" si="867"/>
        <v>37025</v>
      </c>
      <c r="AR440" s="1831">
        <f t="shared" si="867"/>
        <v>38533</v>
      </c>
      <c r="AS440" s="1831">
        <f t="shared" si="867"/>
        <v>37084</v>
      </c>
      <c r="AT440" s="1843">
        <f t="shared" si="867"/>
        <v>37500</v>
      </c>
      <c r="AU440" s="1831">
        <f t="shared" si="867"/>
        <v>37796</v>
      </c>
      <c r="AV440" s="1831">
        <f t="shared" si="867"/>
        <v>36345</v>
      </c>
      <c r="AW440" s="1844">
        <f t="shared" si="867"/>
        <v>39215</v>
      </c>
      <c r="AX440" s="1831">
        <f t="shared" si="867"/>
        <v>41210</v>
      </c>
      <c r="AY440" s="1831">
        <f t="shared" si="867"/>
        <v>21205</v>
      </c>
      <c r="AZ440" s="1831">
        <f t="shared" si="867"/>
        <v>34042</v>
      </c>
      <c r="BA440" s="1844">
        <f t="shared" si="867"/>
        <v>53984</v>
      </c>
      <c r="BB440" s="1843">
        <f t="shared" si="867"/>
        <v>42706</v>
      </c>
      <c r="BC440" s="1831">
        <f t="shared" si="867"/>
        <v>39017</v>
      </c>
      <c r="BD440" s="1831">
        <f t="shared" si="867"/>
        <v>39930</v>
      </c>
      <c r="BE440" s="1844">
        <f t="shared" ref="BE440:BM440" si="868">BE450+BE460</f>
        <v>40174</v>
      </c>
      <c r="BF440" s="1843">
        <f t="shared" si="868"/>
        <v>40219</v>
      </c>
      <c r="BG440" s="1822">
        <f t="shared" si="868"/>
        <v>39487</v>
      </c>
      <c r="BH440" s="1831">
        <f t="shared" si="868"/>
        <v>38449</v>
      </c>
      <c r="BI440" s="1844">
        <f t="shared" si="868"/>
        <v>39081</v>
      </c>
      <c r="BJ440" s="1843">
        <f t="shared" si="868"/>
        <v>39716</v>
      </c>
      <c r="BK440" s="1831">
        <f t="shared" si="868"/>
        <v>36553</v>
      </c>
      <c r="BL440" s="1831">
        <f t="shared" si="868"/>
        <v>32308</v>
      </c>
      <c r="BM440" s="1831">
        <f t="shared" si="868"/>
        <v>27114</v>
      </c>
      <c r="BN440" s="1843">
        <f>BN450+BN460</f>
        <v>27487</v>
      </c>
      <c r="BO440" s="1831">
        <f>BO450+BO460</f>
        <v>27776</v>
      </c>
      <c r="BP440" s="1831">
        <f>BP450+BP460</f>
        <v>24258</v>
      </c>
      <c r="BQ440" s="1844">
        <f>BQ450+BQ460</f>
        <v>19373</v>
      </c>
      <c r="BR440" s="1831">
        <f>BR450+BR460</f>
        <v>23605</v>
      </c>
      <c r="BS440" s="1831"/>
      <c r="BT440" s="1831"/>
      <c r="BU440" s="1844"/>
      <c r="BV440" s="1831"/>
      <c r="BW440" s="1831"/>
      <c r="BX440" s="1831"/>
      <c r="BY440" s="1844"/>
      <c r="BZ440" s="1831"/>
      <c r="CA440" s="1831"/>
      <c r="CB440" s="1831"/>
      <c r="CC440" s="1844"/>
      <c r="CD440" s="1844"/>
      <c r="CE440" s="1831"/>
      <c r="CF440" s="1831"/>
      <c r="CG440" s="1831"/>
      <c r="CH440" s="1831"/>
      <c r="CI440" s="1831"/>
      <c r="CJ440" s="1831"/>
      <c r="CK440" s="1831">
        <f>SUM(AD440:AG440)</f>
        <v>73787</v>
      </c>
      <c r="CL440" s="1831">
        <f>SUM(AH440:AK440)</f>
        <v>99318</v>
      </c>
      <c r="CM440" s="1831">
        <f>SUM(AL440:AO440)</f>
        <v>108917</v>
      </c>
      <c r="CN440" s="1831">
        <f>SUM(AP440:AS440)</f>
        <v>147452</v>
      </c>
      <c r="CO440" s="1831">
        <f>SUM(AT440:AW440)</f>
        <v>150856</v>
      </c>
      <c r="CP440" s="1831">
        <f>SUM(AX440:BA440)</f>
        <v>150441</v>
      </c>
      <c r="CQ440" s="1831">
        <f>SUM(BB440:BE440)</f>
        <v>161827</v>
      </c>
      <c r="CR440" s="1831">
        <f>SUM(BF440:BI440)</f>
        <v>157236</v>
      </c>
      <c r="CS440" s="1831">
        <f>SUM(BJ440:BM440)</f>
        <v>135691</v>
      </c>
      <c r="CT440" s="1946">
        <f>SUM(BN440:BQ440)</f>
        <v>98894</v>
      </c>
      <c r="CU440" s="1831">
        <f>SUM(BR440:BU440)</f>
        <v>23605</v>
      </c>
      <c r="CV440" s="1959"/>
      <c r="CW440" s="1831"/>
      <c r="CX440" s="1831"/>
      <c r="CY440" s="1831"/>
      <c r="CZ440" s="1831"/>
      <c r="DA440" s="1831"/>
      <c r="DB440" s="1831"/>
      <c r="DC440" s="1831"/>
      <c r="DD440" s="1844"/>
      <c r="DE440" s="1831"/>
      <c r="DF440" s="1831"/>
      <c r="DG440" s="2013"/>
      <c r="DH440" s="2014"/>
      <c r="DI440" s="2014"/>
      <c r="DJ440" s="2014"/>
      <c r="DK440" s="2014"/>
      <c r="DL440" s="2014"/>
      <c r="DM440" s="1803">
        <f>SUM(AF440:AI440)</f>
        <v>84000</v>
      </c>
      <c r="DN440" s="1803">
        <f>SUM(AJ440:AM440)</f>
        <v>107701</v>
      </c>
      <c r="DO440" s="1803">
        <f>SUM(AN440:AQ440)</f>
        <v>125445</v>
      </c>
      <c r="DP440" s="1803">
        <f>SUM(AR440:AU440)</f>
        <v>150913</v>
      </c>
      <c r="DQ440" s="1803">
        <f>SUM(AV440:AY440)</f>
        <v>137975</v>
      </c>
      <c r="DR440" s="1803">
        <f>SUM(AZ440:BC440)</f>
        <v>169749</v>
      </c>
      <c r="DS440" s="1804">
        <f>SUM(BD440:BG440)</f>
        <v>159810</v>
      </c>
      <c r="DT440" s="1782">
        <f>SUM(BH440:BK440)</f>
        <v>153799</v>
      </c>
      <c r="DU440" s="1782">
        <f>SUM(BL440:BO440)</f>
        <v>114685</v>
      </c>
      <c r="DV440" s="1782">
        <f>SUM(BP440:BS440)</f>
        <v>67236</v>
      </c>
      <c r="DW440" s="1784"/>
      <c r="DX440" s="1782"/>
      <c r="DY440" s="1782"/>
      <c r="DZ440" s="1831"/>
      <c r="EA440"/>
      <c r="EB440"/>
      <c r="EC440"/>
      <c r="ED440"/>
      <c r="EE440"/>
      <c r="EF440"/>
    </row>
    <row r="441" spans="1:136" s="1785" customFormat="1" ht="11.25" hidden="1" customHeight="1" outlineLevel="1">
      <c r="A441" s="1830"/>
      <c r="B441" s="1943"/>
      <c r="C441" s="1829"/>
      <c r="D441" s="1860" t="s">
        <v>76</v>
      </c>
      <c r="E441" s="1841"/>
      <c r="F441" s="1968"/>
      <c r="G441" s="1938"/>
      <c r="H441" s="1938"/>
      <c r="I441" s="1969"/>
      <c r="J441" s="1938"/>
      <c r="K441" s="1938"/>
      <c r="L441" s="1938"/>
      <c r="M441" s="1969"/>
      <c r="N441" s="1938"/>
      <c r="O441" s="1938"/>
      <c r="P441" s="1938"/>
      <c r="Q441" s="1969"/>
      <c r="R441" s="1938"/>
      <c r="S441" s="1938"/>
      <c r="T441" s="1938"/>
      <c r="U441" s="1969"/>
      <c r="V441" s="1938"/>
      <c r="W441" s="1938"/>
      <c r="X441" s="1938"/>
      <c r="Y441" s="1969"/>
      <c r="Z441" s="1938"/>
      <c r="AA441" s="1826"/>
      <c r="AB441" s="1826"/>
      <c r="AC441" s="1828"/>
      <c r="AD441" s="1826"/>
      <c r="AE441" s="1826"/>
      <c r="AF441" s="1826"/>
      <c r="AG441" s="1826"/>
      <c r="AH441" s="1887">
        <f t="shared" ref="AH441:BD441" si="869">AH440/AD440-1</f>
        <v>0.18166299559471355</v>
      </c>
      <c r="AI441" s="1826">
        <f t="shared" si="869"/>
        <v>0.3727022802005282</v>
      </c>
      <c r="AJ441" s="1826">
        <f t="shared" si="869"/>
        <v>0.45176752546434984</v>
      </c>
      <c r="AK441" s="1828">
        <f t="shared" si="869"/>
        <v>0.37527381524817005</v>
      </c>
      <c r="AL441" s="1826">
        <f t="shared" si="869"/>
        <v>0.39312176709073121</v>
      </c>
      <c r="AM441" s="1826">
        <f t="shared" si="869"/>
        <v>-2.0812880424111446E-3</v>
      </c>
      <c r="AN441" s="1826">
        <f t="shared" si="869"/>
        <v>-0.15240310659212841</v>
      </c>
      <c r="AO441" s="1828">
        <f t="shared" si="869"/>
        <v>0.20504253913989356</v>
      </c>
      <c r="AP441" s="1826">
        <f t="shared" si="869"/>
        <v>0.16440876400735904</v>
      </c>
      <c r="AQ441" s="1826">
        <f t="shared" si="869"/>
        <v>0.45698882417755393</v>
      </c>
      <c r="AR441" s="1826">
        <f t="shared" si="869"/>
        <v>0.70567925279978749</v>
      </c>
      <c r="AS441" s="1826">
        <f t="shared" si="869"/>
        <v>0.19552532318901328</v>
      </c>
      <c r="AT441" s="1887">
        <f t="shared" si="869"/>
        <v>7.7276644642344072E-2</v>
      </c>
      <c r="AU441" s="1826">
        <f t="shared" si="869"/>
        <v>2.0823767724510445E-2</v>
      </c>
      <c r="AV441" s="1826">
        <f t="shared" si="869"/>
        <v>-5.6782498118495783E-2</v>
      </c>
      <c r="AW441" s="1828">
        <f t="shared" si="869"/>
        <v>5.7464135476216205E-2</v>
      </c>
      <c r="AX441" s="1826">
        <f t="shared" si="869"/>
        <v>9.8933333333333318E-2</v>
      </c>
      <c r="AY441" s="1826">
        <f t="shared" si="869"/>
        <v>-0.43896179489893106</v>
      </c>
      <c r="AZ441" s="1826">
        <f t="shared" si="869"/>
        <v>-6.3364974549456554E-2</v>
      </c>
      <c r="BA441" s="1828">
        <f t="shared" si="869"/>
        <v>0.37661609078158875</v>
      </c>
      <c r="BB441" s="1887">
        <f t="shared" si="869"/>
        <v>3.6301868478524568E-2</v>
      </c>
      <c r="BC441" s="1826">
        <f t="shared" si="869"/>
        <v>0.83999056826220242</v>
      </c>
      <c r="BD441" s="1826">
        <f t="shared" si="869"/>
        <v>0.17296281064567309</v>
      </c>
      <c r="BE441" s="1828">
        <f t="shared" ref="BE441:BO441" si="870">BE440/BA440-1</f>
        <v>-0.25581653823355066</v>
      </c>
      <c r="BF441" s="1887">
        <f t="shared" si="870"/>
        <v>-5.8235376762047486E-2</v>
      </c>
      <c r="BG441" s="1886">
        <f t="shared" si="870"/>
        <v>1.2046031217161746E-2</v>
      </c>
      <c r="BH441" s="1826">
        <f t="shared" si="870"/>
        <v>-3.7089907337841233E-2</v>
      </c>
      <c r="BI441" s="1828">
        <f t="shared" si="870"/>
        <v>-2.7206651067854803E-2</v>
      </c>
      <c r="BJ441" s="1887">
        <f t="shared" si="870"/>
        <v>-1.2506526765956427E-2</v>
      </c>
      <c r="BK441" s="1826">
        <f t="shared" si="870"/>
        <v>-7.4302935143211735E-2</v>
      </c>
      <c r="BL441" s="1826">
        <f t="shared" si="870"/>
        <v>-0.1597180680901974</v>
      </c>
      <c r="BM441" s="1826">
        <f t="shared" si="870"/>
        <v>-0.30621017885929225</v>
      </c>
      <c r="BN441" s="1887">
        <f t="shared" si="870"/>
        <v>-0.30791116930204454</v>
      </c>
      <c r="BO441" s="1826">
        <f t="shared" si="870"/>
        <v>-0.24011709025251005</v>
      </c>
      <c r="BP441" s="1826">
        <f>BP440/BL440-1</f>
        <v>-0.24916429367339354</v>
      </c>
      <c r="BQ441" s="1828">
        <f>BQ440/BM440-1</f>
        <v>-0.28549826657815147</v>
      </c>
      <c r="BR441" s="1826">
        <f>BR440/BN440-1</f>
        <v>-0.141230399825372</v>
      </c>
      <c r="BS441" s="1826"/>
      <c r="BT441" s="1826"/>
      <c r="BU441" s="1828"/>
      <c r="BV441" s="1826"/>
      <c r="BW441" s="1826"/>
      <c r="BX441" s="1826"/>
      <c r="BY441" s="1828"/>
      <c r="BZ441" s="1826"/>
      <c r="CA441" s="1826"/>
      <c r="CB441" s="1826"/>
      <c r="CC441" s="1828"/>
      <c r="CD441" s="1837"/>
      <c r="CE441" s="1934"/>
      <c r="CF441" s="1934"/>
      <c r="CG441" s="1934"/>
      <c r="CH441" s="1934"/>
      <c r="CI441" s="1934"/>
      <c r="CJ441" s="1934"/>
      <c r="CK441" s="1852"/>
      <c r="CL441" s="1852">
        <f t="shared" ref="CL441:CS441" si="871">CL440/CK440-1</f>
        <v>0.34600945966091579</v>
      </c>
      <c r="CM441" s="1852">
        <f t="shared" si="871"/>
        <v>9.6649147183793582E-2</v>
      </c>
      <c r="CN441" s="1852">
        <f t="shared" si="871"/>
        <v>0.35380151858754827</v>
      </c>
      <c r="CO441" s="1852">
        <f t="shared" si="871"/>
        <v>2.3085478664243375E-2</v>
      </c>
      <c r="CP441" s="1852">
        <f t="shared" si="871"/>
        <v>-2.7509678103622148E-3</v>
      </c>
      <c r="CQ441" s="1852">
        <f t="shared" si="871"/>
        <v>7.5684155250230978E-2</v>
      </c>
      <c r="CR441" s="1852">
        <f t="shared" si="871"/>
        <v>-2.8369802319761273E-2</v>
      </c>
      <c r="CS441" s="1852">
        <f t="shared" si="871"/>
        <v>-0.13702332799104533</v>
      </c>
      <c r="CT441" s="1852">
        <f>CT440/CS440-1</f>
        <v>-0.27118231865046316</v>
      </c>
      <c r="CU441" s="1852">
        <f>CU440/CT440-1</f>
        <v>-0.76131008959087509</v>
      </c>
      <c r="CV441" s="1852"/>
      <c r="CW441" s="1852"/>
      <c r="CX441" s="1852"/>
      <c r="CY441" s="1852"/>
      <c r="CZ441" s="1852"/>
      <c r="DA441" s="1852"/>
      <c r="DB441" s="1852"/>
      <c r="DC441" s="1852"/>
      <c r="DD441" s="1837"/>
      <c r="DE441" s="1839"/>
      <c r="DF441" s="1829"/>
      <c r="DG441" s="1804"/>
      <c r="DH441" s="1803"/>
      <c r="DI441" s="1803"/>
      <c r="DJ441" s="1803"/>
      <c r="DK441" s="1803"/>
      <c r="DL441" s="1803"/>
      <c r="DM441" s="1852"/>
      <c r="DN441" s="1852">
        <f t="shared" ref="DN441:DU441" si="872">DN440/DM440-1</f>
        <v>0.28215476190476196</v>
      </c>
      <c r="DO441" s="1852">
        <f t="shared" si="872"/>
        <v>0.16475241641210392</v>
      </c>
      <c r="DP441" s="1852">
        <f t="shared" si="872"/>
        <v>0.20302124437004254</v>
      </c>
      <c r="DQ441" s="1852">
        <f t="shared" si="872"/>
        <v>-8.5731514183668756E-2</v>
      </c>
      <c r="DR441" s="1852">
        <f t="shared" si="872"/>
        <v>0.23028809566950526</v>
      </c>
      <c r="DS441" s="1851">
        <f t="shared" si="872"/>
        <v>-5.855115494052987E-2</v>
      </c>
      <c r="DT441" s="1852">
        <f t="shared" si="872"/>
        <v>-3.7613415931418537E-2</v>
      </c>
      <c r="DU441" s="1852">
        <f t="shared" si="872"/>
        <v>-0.25431894875779426</v>
      </c>
      <c r="DV441" s="1852">
        <f>DV440/DU440-1</f>
        <v>-0.41373326939006849</v>
      </c>
      <c r="DW441" s="1825"/>
      <c r="DX441" s="1852"/>
      <c r="DY441" s="1852"/>
      <c r="DZ441" s="1830"/>
      <c r="EA441"/>
      <c r="EB441"/>
      <c r="EC441"/>
      <c r="ED441"/>
      <c r="EE441"/>
      <c r="EF441"/>
    </row>
    <row r="442" spans="1:136" s="1785" customFormat="1" ht="11.25" hidden="1" customHeight="1" outlineLevel="1">
      <c r="A442" s="1830"/>
      <c r="B442" s="1943"/>
      <c r="C442" s="1829"/>
      <c r="D442" s="1779" t="s">
        <v>77</v>
      </c>
      <c r="E442" s="1841"/>
      <c r="F442" s="1968"/>
      <c r="G442" s="1938"/>
      <c r="H442" s="1938"/>
      <c r="I442" s="1969"/>
      <c r="J442" s="1938"/>
      <c r="K442" s="1938"/>
      <c r="L442" s="1938"/>
      <c r="M442" s="1969"/>
      <c r="N442" s="1938"/>
      <c r="O442" s="1938"/>
      <c r="P442" s="1938"/>
      <c r="Q442" s="1969"/>
      <c r="R442" s="1938"/>
      <c r="S442" s="1938"/>
      <c r="T442" s="1938"/>
      <c r="U442" s="1969"/>
      <c r="V442" s="1938"/>
      <c r="W442" s="1938"/>
      <c r="X442" s="1938"/>
      <c r="Y442" s="1969"/>
      <c r="Z442" s="1938"/>
      <c r="AA442" s="1826"/>
      <c r="AB442" s="1826"/>
      <c r="AC442" s="1828"/>
      <c r="AD442" s="1826"/>
      <c r="AE442" s="1826">
        <f t="shared" ref="AE442:AS442" si="873">AE440/AD440-1</f>
        <v>2.153083700440539E-2</v>
      </c>
      <c r="AF442" s="1826">
        <f t="shared" si="873"/>
        <v>-1.0349846369468008E-2</v>
      </c>
      <c r="AG442" s="1826">
        <f t="shared" si="873"/>
        <v>1.9499972765401274E-2</v>
      </c>
      <c r="AH442" s="1887">
        <f t="shared" si="873"/>
        <v>0.14649783619169732</v>
      </c>
      <c r="AI442" s="1826">
        <f t="shared" si="873"/>
        <v>0.18668157882473557</v>
      </c>
      <c r="AJ442" s="1826">
        <f t="shared" si="873"/>
        <v>4.6652267818574567E-2</v>
      </c>
      <c r="AK442" s="1828">
        <f t="shared" si="873"/>
        <v>-3.4217536487449851E-2</v>
      </c>
      <c r="AL442" s="1826">
        <f t="shared" si="873"/>
        <v>0.16137679188842702</v>
      </c>
      <c r="AM442" s="1826">
        <f t="shared" si="873"/>
        <v>-0.14995818698779062</v>
      </c>
      <c r="AN442" s="1826">
        <f t="shared" si="873"/>
        <v>-0.11101054619864625</v>
      </c>
      <c r="AO442" s="1828">
        <f t="shared" si="873"/>
        <v>0.37306892125182589</v>
      </c>
      <c r="AP442" s="1826">
        <f t="shared" si="873"/>
        <v>0.12221541635771627</v>
      </c>
      <c r="AQ442" s="1826">
        <f t="shared" si="873"/>
        <v>6.363114047687457E-2</v>
      </c>
      <c r="AR442" s="1826">
        <f t="shared" si="873"/>
        <v>4.0729237002025576E-2</v>
      </c>
      <c r="AS442" s="1826">
        <f t="shared" si="873"/>
        <v>-3.760413152362907E-2</v>
      </c>
      <c r="AT442" s="1887">
        <f>AT440/AS440-1</f>
        <v>1.1217775860209223E-2</v>
      </c>
      <c r="AU442" s="1826">
        <f t="shared" ref="AU442:BD442" si="874">AU440/AT440-1</f>
        <v>7.8933333333333078E-3</v>
      </c>
      <c r="AV442" s="1826">
        <f t="shared" si="874"/>
        <v>-3.8390305852471163E-2</v>
      </c>
      <c r="AW442" s="1828">
        <f t="shared" si="874"/>
        <v>7.8965469803274235E-2</v>
      </c>
      <c r="AX442" s="1826">
        <f t="shared" si="874"/>
        <v>5.0873390284329911E-2</v>
      </c>
      <c r="AY442" s="1826">
        <f t="shared" si="874"/>
        <v>-0.48544042708080559</v>
      </c>
      <c r="AZ442" s="1826">
        <f t="shared" si="874"/>
        <v>0.60537609054468278</v>
      </c>
      <c r="BA442" s="1828">
        <f t="shared" si="874"/>
        <v>0.58580576934375173</v>
      </c>
      <c r="BB442" s="1887">
        <f t="shared" si="874"/>
        <v>-0.20891375222288089</v>
      </c>
      <c r="BC442" s="1826">
        <f t="shared" si="874"/>
        <v>-8.6381304734697739E-2</v>
      </c>
      <c r="BD442" s="1826">
        <f t="shared" si="874"/>
        <v>2.3400056385677992E-2</v>
      </c>
      <c r="BE442" s="1828">
        <f t="shared" ref="BE442:BO442" si="875">BE440/BD440-1</f>
        <v>6.1106937139994155E-3</v>
      </c>
      <c r="BF442" s="1887">
        <f t="shared" si="875"/>
        <v>1.1201274456116295E-3</v>
      </c>
      <c r="BG442" s="1886">
        <f t="shared" si="875"/>
        <v>-1.8200353066958441E-2</v>
      </c>
      <c r="BH442" s="1826">
        <f t="shared" si="875"/>
        <v>-2.6287132473978736E-2</v>
      </c>
      <c r="BI442" s="1828">
        <f t="shared" si="875"/>
        <v>1.643735857889661E-2</v>
      </c>
      <c r="BJ442" s="1887">
        <f t="shared" si="875"/>
        <v>1.6248304802845448E-2</v>
      </c>
      <c r="BK442" s="1826">
        <f t="shared" si="875"/>
        <v>-7.9640447174942119E-2</v>
      </c>
      <c r="BL442" s="1826">
        <f t="shared" si="875"/>
        <v>-0.11613273876289221</v>
      </c>
      <c r="BM442" s="1826">
        <f t="shared" si="875"/>
        <v>-0.16076513557013739</v>
      </c>
      <c r="BN442" s="1887">
        <f t="shared" si="875"/>
        <v>1.3756730840156273E-2</v>
      </c>
      <c r="BO442" s="1826">
        <f t="shared" si="875"/>
        <v>1.0514061192563817E-2</v>
      </c>
      <c r="BP442" s="1826">
        <f>BP440/BO440-1</f>
        <v>-0.12665610599078336</v>
      </c>
      <c r="BQ442" s="1828">
        <f>BQ440/BP440-1</f>
        <v>-0.20137686536400368</v>
      </c>
      <c r="BR442" s="1826">
        <f>BR440/BQ440-1</f>
        <v>0.21844835595932488</v>
      </c>
      <c r="BS442" s="1826"/>
      <c r="BT442" s="1826"/>
      <c r="BU442" s="1828"/>
      <c r="BV442" s="1826"/>
      <c r="BW442" s="1826"/>
      <c r="BX442" s="1826"/>
      <c r="BY442" s="1828"/>
      <c r="BZ442" s="1826"/>
      <c r="CA442" s="1826"/>
      <c r="CB442" s="1826"/>
      <c r="CC442" s="1828"/>
      <c r="CD442" s="1837"/>
      <c r="CE442" s="1934"/>
      <c r="CF442" s="1934"/>
      <c r="CG442" s="1934"/>
      <c r="CH442" s="1934"/>
      <c r="CI442" s="1934"/>
      <c r="CJ442" s="1934"/>
      <c r="CK442" s="1937"/>
      <c r="CL442" s="1937"/>
      <c r="CM442" s="1934"/>
      <c r="CN442" s="1934"/>
      <c r="CO442" s="1938"/>
      <c r="CP442" s="1938"/>
      <c r="CQ442" s="1938"/>
      <c r="CR442" s="1938"/>
      <c r="CS442" s="1852"/>
      <c r="CT442" s="1852"/>
      <c r="CU442" s="1852"/>
      <c r="CV442" s="1852"/>
      <c r="CW442" s="1852"/>
      <c r="CX442" s="1852"/>
      <c r="CY442" s="1852"/>
      <c r="CZ442" s="1852"/>
      <c r="DA442" s="1852"/>
      <c r="DB442" s="1852"/>
      <c r="DC442" s="1852"/>
      <c r="DD442" s="1837"/>
      <c r="DE442" s="1839"/>
      <c r="DF442" s="1829"/>
      <c r="DG442" s="1804"/>
      <c r="DH442" s="1803"/>
      <c r="DI442" s="1803"/>
      <c r="DJ442" s="1803"/>
      <c r="DK442" s="1803"/>
      <c r="DL442" s="1803"/>
      <c r="DM442" s="1848"/>
      <c r="DN442" s="1848"/>
      <c r="DO442" s="1848"/>
      <c r="DP442" s="1848"/>
      <c r="DQ442" s="1848"/>
      <c r="DR442" s="1848"/>
      <c r="DS442" s="1855"/>
      <c r="DT442" s="1848"/>
      <c r="DU442" s="1848"/>
      <c r="DV442" s="1848"/>
      <c r="DW442" s="1850"/>
      <c r="DX442" s="1848"/>
      <c r="DY442" s="1848"/>
      <c r="DZ442" s="1830"/>
      <c r="EA442"/>
      <c r="EB442"/>
      <c r="EC442"/>
      <c r="ED442"/>
      <c r="EE442"/>
      <c r="EF442"/>
    </row>
    <row r="443" spans="1:136" s="1785" customFormat="1" ht="11.25" hidden="1" customHeight="1" outlineLevel="1">
      <c r="A443" s="1830"/>
      <c r="B443" s="1943"/>
      <c r="C443" s="1840" t="s">
        <v>187</v>
      </c>
      <c r="D443" s="1830"/>
      <c r="E443" s="1841"/>
      <c r="F443" s="1958"/>
      <c r="G443" s="1959"/>
      <c r="H443" s="1959"/>
      <c r="I443" s="1960"/>
      <c r="J443" s="1959"/>
      <c r="K443" s="1959"/>
      <c r="L443" s="1959"/>
      <c r="M443" s="1960"/>
      <c r="N443" s="1959"/>
      <c r="O443" s="1959"/>
      <c r="P443" s="1959"/>
      <c r="Q443" s="1960"/>
      <c r="R443" s="1959"/>
      <c r="S443" s="1959"/>
      <c r="T443" s="1959"/>
      <c r="U443" s="1960"/>
      <c r="V443" s="1959"/>
      <c r="W443" s="1959"/>
      <c r="X443" s="1959"/>
      <c r="Y443" s="1960"/>
      <c r="Z443" s="1959"/>
      <c r="AA443" s="1959"/>
      <c r="AB443" s="1959"/>
      <c r="AC443" s="1960"/>
      <c r="AD443" s="1959"/>
      <c r="AE443" s="1959"/>
      <c r="AF443" s="1959"/>
      <c r="AG443" s="1959"/>
      <c r="AH443" s="1958"/>
      <c r="AI443" s="1959"/>
      <c r="AJ443" s="1959"/>
      <c r="AK443" s="1960"/>
      <c r="AL443" s="1959"/>
      <c r="AM443" s="1959"/>
      <c r="AN443" s="1959"/>
      <c r="AO443" s="1960"/>
      <c r="AP443" s="1971">
        <f>AP437*1000/AP440</f>
        <v>43.084883654122372</v>
      </c>
      <c r="AQ443" s="1972">
        <f>AQ437*1000/AQ440</f>
        <v>44.109250506414583</v>
      </c>
      <c r="AR443" s="1972">
        <f>AR437*1000/AR440</f>
        <v>44.721524407650584</v>
      </c>
      <c r="AS443" s="1972">
        <f t="shared" ref="AS443:BD443" si="876">AS437*1000/AS440</f>
        <v>40.839809621400065</v>
      </c>
      <c r="AT443" s="1971">
        <f t="shared" si="876"/>
        <v>39.979460533333331</v>
      </c>
      <c r="AU443" s="1972">
        <f t="shared" si="876"/>
        <v>40.479984654460786</v>
      </c>
      <c r="AV443" s="1972">
        <f t="shared" si="876"/>
        <v>39.416845707800242</v>
      </c>
      <c r="AW443" s="1972">
        <f t="shared" si="876"/>
        <v>39.407555903353305</v>
      </c>
      <c r="AX443" s="1971">
        <f t="shared" si="876"/>
        <v>41.105638791009461</v>
      </c>
      <c r="AY443" s="1972">
        <f t="shared" si="876"/>
        <v>60.615295309635108</v>
      </c>
      <c r="AZ443" s="1972">
        <f t="shared" si="876"/>
        <v>59.662562327928072</v>
      </c>
      <c r="BA443" s="1973">
        <f t="shared" si="876"/>
        <v>53.177464166445233</v>
      </c>
      <c r="BB443" s="1971">
        <f t="shared" si="876"/>
        <v>51.581231670393201</v>
      </c>
      <c r="BC443" s="1972">
        <f t="shared" si="876"/>
        <v>49.71843867614124</v>
      </c>
      <c r="BD443" s="1972">
        <f t="shared" si="876"/>
        <v>48.842467333475923</v>
      </c>
      <c r="BE443" s="1973">
        <f t="shared" ref="BE443:BM443" si="877">BE437*1000/BE440</f>
        <v>47.673932977845986</v>
      </c>
      <c r="BF443" s="1971">
        <f t="shared" si="877"/>
        <v>46.320799231480201</v>
      </c>
      <c r="BG443" s="2012">
        <f t="shared" si="877"/>
        <v>47.250020798687224</v>
      </c>
      <c r="BH443" s="1972">
        <f t="shared" si="877"/>
        <v>46.536983229090339</v>
      </c>
      <c r="BI443" s="1973">
        <f t="shared" si="877"/>
        <v>45.618146046208039</v>
      </c>
      <c r="BJ443" s="1971">
        <f t="shared" si="877"/>
        <v>46.573904970923444</v>
      </c>
      <c r="BK443" s="1972">
        <f t="shared" si="877"/>
        <v>47.149655390067899</v>
      </c>
      <c r="BL443" s="1972">
        <f t="shared" si="877"/>
        <v>47.77341035761286</v>
      </c>
      <c r="BM443" s="1972">
        <f t="shared" si="877"/>
        <v>46.334161501699434</v>
      </c>
      <c r="BN443" s="1971">
        <f>BN437*1000/BN440</f>
        <v>46.335997797434189</v>
      </c>
      <c r="BO443" s="1972">
        <f>BO437*1000/BO440</f>
        <v>46.552327825414707</v>
      </c>
      <c r="BP443" s="1972">
        <f>BP437*1000/BP440</f>
        <v>45.16096331479568</v>
      </c>
      <c r="BQ443" s="1973">
        <f>BQ437*1000/BQ440</f>
        <v>47.891651173182403</v>
      </c>
      <c r="BR443" s="1972">
        <f>BR437*1000/BR440</f>
        <v>48.389463702397414</v>
      </c>
      <c r="BS443" s="1972"/>
      <c r="BT443" s="1972"/>
      <c r="BU443" s="1973"/>
      <c r="BV443" s="1972"/>
      <c r="BW443" s="1972"/>
      <c r="BX443" s="1972"/>
      <c r="BY443" s="1973"/>
      <c r="BZ443" s="1972"/>
      <c r="CA443" s="1972"/>
      <c r="CB443" s="1972"/>
      <c r="CC443" s="1973"/>
      <c r="CD443" s="1845"/>
      <c r="CE443" s="1831"/>
      <c r="CF443" s="1831"/>
      <c r="CG443" s="1831"/>
      <c r="CH443" s="1831"/>
      <c r="CI443" s="1831"/>
      <c r="CJ443" s="1831"/>
      <c r="CK443" s="1822"/>
      <c r="CL443" s="1822"/>
      <c r="CM443" s="1831"/>
      <c r="CN443" s="1972">
        <f t="shared" ref="CN443:CU443" si="878">CN437*1000/CN440</f>
        <v>43.205163714293462</v>
      </c>
      <c r="CO443" s="1972">
        <f t="shared" si="878"/>
        <v>39.820649042795772</v>
      </c>
      <c r="CP443" s="1972">
        <f t="shared" si="878"/>
        <v>52.386489613516396</v>
      </c>
      <c r="CQ443" s="1972">
        <f t="shared" si="878"/>
        <v>49.486332352577094</v>
      </c>
      <c r="CR443" s="1972">
        <f t="shared" si="878"/>
        <v>46.432375724235008</v>
      </c>
      <c r="CS443" s="1972">
        <f t="shared" si="878"/>
        <v>46.966699044809026</v>
      </c>
      <c r="CT443" s="1972">
        <f t="shared" si="878"/>
        <v>46.413277199882387</v>
      </c>
      <c r="CU443" s="1972">
        <f t="shared" si="878"/>
        <v>48.389463702397414</v>
      </c>
      <c r="CV443" s="1972"/>
      <c r="CW443" s="1972"/>
      <c r="CX443" s="1972"/>
      <c r="CY443" s="1972"/>
      <c r="CZ443" s="1972"/>
      <c r="DA443" s="1972"/>
      <c r="DB443" s="1972"/>
      <c r="DC443" s="1972"/>
      <c r="DD443" s="1845"/>
      <c r="DE443" s="1961"/>
      <c r="DF443" s="1830"/>
      <c r="DG443" s="1783"/>
      <c r="DH443" s="1782"/>
      <c r="DI443" s="1782"/>
      <c r="DJ443" s="1782"/>
      <c r="DK443" s="1782"/>
      <c r="DL443" s="1782"/>
      <c r="DM443" s="1963"/>
      <c r="DN443" s="1963"/>
      <c r="DO443" s="1963"/>
      <c r="DP443" s="1963">
        <f t="shared" ref="DP443:DU443" si="879">DP437/DP440*1000</f>
        <v>41.527033920205682</v>
      </c>
      <c r="DQ443" s="1963">
        <f t="shared" si="879"/>
        <v>43.176541211221682</v>
      </c>
      <c r="DR443" s="1963">
        <f t="shared" si="879"/>
        <v>53.281359971908657</v>
      </c>
      <c r="DS443" s="1964">
        <f t="shared" si="879"/>
        <v>47.520618857683139</v>
      </c>
      <c r="DT443" s="1963">
        <f t="shared" si="879"/>
        <v>46.458649257183062</v>
      </c>
      <c r="DU443" s="1963">
        <f t="shared" si="879"/>
        <v>46.79289206023131</v>
      </c>
      <c r="DV443" s="1963">
        <f>DV437/DV440*1000</f>
        <v>47.081219837043648</v>
      </c>
      <c r="DW443" s="1965"/>
      <c r="DX443" s="1963"/>
      <c r="DY443" s="1963"/>
      <c r="DZ443" s="1830"/>
      <c r="EA443"/>
      <c r="EB443"/>
      <c r="EC443"/>
      <c r="ED443"/>
      <c r="EE443"/>
      <c r="EF443"/>
    </row>
    <row r="444" spans="1:136" s="1785" customFormat="1" ht="11.25" hidden="1" customHeight="1" outlineLevel="1">
      <c r="A444" s="1830"/>
      <c r="B444" s="1943"/>
      <c r="C444" s="1829"/>
      <c r="D444" s="1860" t="s">
        <v>76</v>
      </c>
      <c r="E444" s="1841"/>
      <c r="F444" s="1968"/>
      <c r="G444" s="1938"/>
      <c r="H444" s="1938"/>
      <c r="I444" s="1969"/>
      <c r="J444" s="1938"/>
      <c r="K444" s="1938"/>
      <c r="L444" s="1938"/>
      <c r="M444" s="1969"/>
      <c r="N444" s="1938"/>
      <c r="O444" s="1938"/>
      <c r="P444" s="1938"/>
      <c r="Q444" s="1969"/>
      <c r="R444" s="1938"/>
      <c r="S444" s="1938"/>
      <c r="T444" s="1938"/>
      <c r="U444" s="1969"/>
      <c r="V444" s="1938"/>
      <c r="W444" s="1938"/>
      <c r="X444" s="1938"/>
      <c r="Y444" s="1969"/>
      <c r="Z444" s="1938"/>
      <c r="AA444" s="1938"/>
      <c r="AB444" s="1938"/>
      <c r="AC444" s="1969"/>
      <c r="AD444" s="1938"/>
      <c r="AE444" s="1938"/>
      <c r="AF444" s="1938"/>
      <c r="AG444" s="1938"/>
      <c r="AH444" s="1968"/>
      <c r="AI444" s="1938"/>
      <c r="AJ444" s="1938"/>
      <c r="AK444" s="1969"/>
      <c r="AL444" s="1938"/>
      <c r="AM444" s="1938"/>
      <c r="AN444" s="1938"/>
      <c r="AO444" s="1969"/>
      <c r="AP444" s="1851"/>
      <c r="AQ444" s="1852"/>
      <c r="AR444" s="1852"/>
      <c r="AS444" s="1852"/>
      <c r="AT444" s="1851">
        <f>AT443/AP443-1</f>
        <v>-7.2076859849937502E-2</v>
      </c>
      <c r="AU444" s="1852">
        <f>AU443/AQ443-1</f>
        <v>-8.2279018806406867E-2</v>
      </c>
      <c r="AV444" s="1852">
        <f t="shared" ref="AV444:BD444" si="880">AV443/AR443-1</f>
        <v>-0.11861578445977261</v>
      </c>
      <c r="AW444" s="1852">
        <f t="shared" si="880"/>
        <v>-3.5070039045829837E-2</v>
      </c>
      <c r="AX444" s="1851">
        <f t="shared" si="880"/>
        <v>2.8168920807152054E-2</v>
      </c>
      <c r="AY444" s="1852">
        <f t="shared" si="880"/>
        <v>0.4974139893344911</v>
      </c>
      <c r="AZ444" s="1852">
        <f t="shared" si="880"/>
        <v>0.51363106957392546</v>
      </c>
      <c r="BA444" s="1825">
        <f t="shared" si="880"/>
        <v>0.34942304711468308</v>
      </c>
      <c r="BB444" s="1851">
        <f t="shared" si="880"/>
        <v>0.25484564131563725</v>
      </c>
      <c r="BC444" s="1852">
        <f t="shared" si="880"/>
        <v>-0.17977074231562407</v>
      </c>
      <c r="BD444" s="1852">
        <f t="shared" si="880"/>
        <v>-0.18135484920980771</v>
      </c>
      <c r="BE444" s="1825">
        <f t="shared" ref="BE444:BO444" si="881">BE443/BA443-1</f>
        <v>-0.10349367490283512</v>
      </c>
      <c r="BF444" s="1851">
        <f t="shared" si="881"/>
        <v>-0.10198345926532815</v>
      </c>
      <c r="BG444" s="1854">
        <f t="shared" si="881"/>
        <v>-4.964793632263742E-2</v>
      </c>
      <c r="BH444" s="1852">
        <f t="shared" si="881"/>
        <v>-4.7202449635574406E-2</v>
      </c>
      <c r="BI444" s="1825">
        <f t="shared" si="881"/>
        <v>-4.3121823672346626E-2</v>
      </c>
      <c r="BJ444" s="1851">
        <f t="shared" si="881"/>
        <v>5.4641919751512447E-3</v>
      </c>
      <c r="BK444" s="1852">
        <f t="shared" si="881"/>
        <v>-2.1241346971452302E-3</v>
      </c>
      <c r="BL444" s="1852">
        <f t="shared" si="881"/>
        <v>2.6568699617590008E-2</v>
      </c>
      <c r="BM444" s="1852">
        <f t="shared" si="881"/>
        <v>1.5695847322820144E-2</v>
      </c>
      <c r="BN444" s="1851">
        <f t="shared" si="881"/>
        <v>-5.1081646178859907E-3</v>
      </c>
      <c r="BO444" s="1852">
        <f t="shared" si="881"/>
        <v>-1.266875780345611E-2</v>
      </c>
      <c r="BP444" s="1852">
        <f>BP443/BL443-1</f>
        <v>-5.4684122888892239E-2</v>
      </c>
      <c r="BQ444" s="1825">
        <f>BQ443/BM443-1</f>
        <v>3.361428416970158E-2</v>
      </c>
      <c r="BR444" s="1852">
        <f>BR443/BN443-1</f>
        <v>4.4316859516877249E-2</v>
      </c>
      <c r="BS444" s="1852"/>
      <c r="BT444" s="1852"/>
      <c r="BU444" s="1825"/>
      <c r="BV444" s="1852"/>
      <c r="BW444" s="1852"/>
      <c r="BX444" s="1852"/>
      <c r="BY444" s="1825"/>
      <c r="BZ444" s="1852"/>
      <c r="CA444" s="1852"/>
      <c r="CB444" s="1852"/>
      <c r="CC444" s="1825"/>
      <c r="CD444" s="1837"/>
      <c r="CE444" s="1934"/>
      <c r="CF444" s="1934"/>
      <c r="CG444" s="1934"/>
      <c r="CH444" s="1934"/>
      <c r="CI444" s="1934"/>
      <c r="CJ444" s="1934"/>
      <c r="CK444" s="1937"/>
      <c r="CL444" s="1937"/>
      <c r="CM444" s="1934"/>
      <c r="CN444" s="1852"/>
      <c r="CO444" s="1852">
        <f t="shared" ref="CO444:CU444" si="882">CO443/CN443-1</f>
        <v>-7.833588350408216E-2</v>
      </c>
      <c r="CP444" s="1852">
        <f t="shared" si="882"/>
        <v>0.31556091808588937</v>
      </c>
      <c r="CQ444" s="1852">
        <f t="shared" si="882"/>
        <v>-5.5360786384721306E-2</v>
      </c>
      <c r="CR444" s="1852">
        <f t="shared" si="882"/>
        <v>-6.1713133367481077E-2</v>
      </c>
      <c r="CS444" s="1852">
        <f t="shared" si="882"/>
        <v>1.1507559375109278E-2</v>
      </c>
      <c r="CT444" s="1852">
        <f t="shared" si="882"/>
        <v>-1.1783281690685654E-2</v>
      </c>
      <c r="CU444" s="1852">
        <f t="shared" si="882"/>
        <v>4.2578042787291714E-2</v>
      </c>
      <c r="CV444" s="1852"/>
      <c r="CW444" s="1852"/>
      <c r="CX444" s="1852"/>
      <c r="CY444" s="1852"/>
      <c r="CZ444" s="1852"/>
      <c r="DA444" s="1852"/>
      <c r="DB444" s="1852"/>
      <c r="DC444" s="1852"/>
      <c r="DD444" s="1837"/>
      <c r="DE444" s="1839"/>
      <c r="DF444" s="1829"/>
      <c r="DG444" s="1804"/>
      <c r="DH444" s="1803"/>
      <c r="DI444" s="1803"/>
      <c r="DJ444" s="1803"/>
      <c r="DK444" s="1803"/>
      <c r="DL444" s="1803"/>
      <c r="DM444" s="1852"/>
      <c r="DN444" s="1852"/>
      <c r="DO444" s="1852"/>
      <c r="DP444" s="1852"/>
      <c r="DQ444" s="1852">
        <f t="shared" ref="DQ444:DV444" si="883">DQ443/DP443-1</f>
        <v>3.9721288406620481E-2</v>
      </c>
      <c r="DR444" s="1852">
        <f t="shared" si="883"/>
        <v>0.23403492908924139</v>
      </c>
      <c r="DS444" s="1851">
        <f t="shared" si="883"/>
        <v>-0.10811925816575874</v>
      </c>
      <c r="DT444" s="1852">
        <f t="shared" si="883"/>
        <v>-2.2347554093950506E-2</v>
      </c>
      <c r="DU444" s="1852">
        <f t="shared" si="883"/>
        <v>7.1944149989804362E-3</v>
      </c>
      <c r="DV444" s="1852">
        <f t="shared" si="883"/>
        <v>6.1617857780880136E-3</v>
      </c>
      <c r="DW444" s="1825"/>
      <c r="DX444" s="1852"/>
      <c r="DY444" s="1852"/>
      <c r="DZ444" s="1830"/>
      <c r="EA444"/>
      <c r="EB444"/>
      <c r="EC444"/>
      <c r="ED444"/>
      <c r="EE444"/>
      <c r="EF444"/>
    </row>
    <row r="445" spans="1:136" s="1785" customFormat="1" ht="11.25" hidden="1" customHeight="1" outlineLevel="1">
      <c r="A445" s="1830"/>
      <c r="B445" s="1943"/>
      <c r="C445" s="1829"/>
      <c r="D445" s="1779" t="s">
        <v>77</v>
      </c>
      <c r="E445" s="1841"/>
      <c r="F445" s="1968"/>
      <c r="G445" s="1938"/>
      <c r="H445" s="1938"/>
      <c r="I445" s="1969"/>
      <c r="J445" s="1938"/>
      <c r="K445" s="1938"/>
      <c r="L445" s="1938"/>
      <c r="M445" s="1969"/>
      <c r="N445" s="1938"/>
      <c r="O445" s="1938"/>
      <c r="P445" s="1938"/>
      <c r="Q445" s="1969"/>
      <c r="R445" s="1938"/>
      <c r="S445" s="1938"/>
      <c r="T445" s="1938"/>
      <c r="U445" s="1969"/>
      <c r="V445" s="1938"/>
      <c r="W445" s="1938"/>
      <c r="X445" s="1938"/>
      <c r="Y445" s="1969"/>
      <c r="Z445" s="1938"/>
      <c r="AA445" s="1938"/>
      <c r="AB445" s="1938"/>
      <c r="AC445" s="1969"/>
      <c r="AD445" s="1938"/>
      <c r="AE445" s="1938"/>
      <c r="AF445" s="1938"/>
      <c r="AG445" s="1938"/>
      <c r="AH445" s="1968"/>
      <c r="AI445" s="1938"/>
      <c r="AJ445" s="1938"/>
      <c r="AK445" s="1969"/>
      <c r="AL445" s="1938"/>
      <c r="AM445" s="1938"/>
      <c r="AN445" s="1938"/>
      <c r="AO445" s="1969"/>
      <c r="AP445" s="1851"/>
      <c r="AQ445" s="1852">
        <f t="shared" ref="AQ445:BD445" si="884">AQ443/AP443-1</f>
        <v>2.3775551084590285E-2</v>
      </c>
      <c r="AR445" s="1852">
        <f t="shared" si="884"/>
        <v>1.3880850257180333E-2</v>
      </c>
      <c r="AS445" s="1852">
        <f t="shared" si="884"/>
        <v>-8.6797461349203631E-2</v>
      </c>
      <c r="AT445" s="1851">
        <f t="shared" si="884"/>
        <v>-2.1066432386499412E-2</v>
      </c>
      <c r="AU445" s="1852">
        <f t="shared" si="884"/>
        <v>1.251953164075692E-2</v>
      </c>
      <c r="AV445" s="1852">
        <f t="shared" si="884"/>
        <v>-2.6263323855864829E-2</v>
      </c>
      <c r="AW445" s="1852">
        <f t="shared" si="884"/>
        <v>-2.3568107188998155E-4</v>
      </c>
      <c r="AX445" s="1851">
        <f t="shared" si="884"/>
        <v>4.3090286842977221E-2</v>
      </c>
      <c r="AY445" s="1852">
        <f t="shared" si="884"/>
        <v>0.47462238983360017</v>
      </c>
      <c r="AZ445" s="1852">
        <f t="shared" si="884"/>
        <v>-1.5717699251324047E-2</v>
      </c>
      <c r="BA445" s="1825">
        <f t="shared" si="884"/>
        <v>-0.10869627298000173</v>
      </c>
      <c r="BB445" s="1851">
        <f t="shared" si="884"/>
        <v>-3.0017085640936747E-2</v>
      </c>
      <c r="BC445" s="1852">
        <f t="shared" si="884"/>
        <v>-3.6113774990006231E-2</v>
      </c>
      <c r="BD445" s="1852">
        <f t="shared" si="884"/>
        <v>-1.761864141332492E-2</v>
      </c>
      <c r="BE445" s="1825">
        <f t="shared" ref="BE445:BO445" si="885">BE443/BD443-1</f>
        <v>-2.3924556219727222E-2</v>
      </c>
      <c r="BF445" s="1851">
        <f t="shared" si="885"/>
        <v>-2.838309453081167E-2</v>
      </c>
      <c r="BG445" s="1854">
        <f t="shared" si="885"/>
        <v>2.0060568526967693E-2</v>
      </c>
      <c r="BH445" s="1852">
        <f t="shared" si="885"/>
        <v>-1.5090735570992497E-2</v>
      </c>
      <c r="BI445" s="1825">
        <f t="shared" si="885"/>
        <v>-1.9744236070462162E-2</v>
      </c>
      <c r="BJ445" s="1851">
        <f t="shared" si="885"/>
        <v>2.0951288194555051E-2</v>
      </c>
      <c r="BK445" s="1852">
        <f t="shared" si="885"/>
        <v>1.2362081717302909E-2</v>
      </c>
      <c r="BL445" s="1852">
        <f t="shared" si="885"/>
        <v>1.3229258249814357E-2</v>
      </c>
      <c r="BM445" s="1852">
        <f t="shared" si="885"/>
        <v>-3.0126567166542606E-2</v>
      </c>
      <c r="BN445" s="1851">
        <f t="shared" si="885"/>
        <v>3.9631573664822284E-5</v>
      </c>
      <c r="BO445" s="1852">
        <f t="shared" si="885"/>
        <v>4.6687249279975251E-3</v>
      </c>
      <c r="BP445" s="1852">
        <f>BP443/BO443-1</f>
        <v>-2.9888183375857524E-2</v>
      </c>
      <c r="BQ445" s="1825">
        <f>BQ443/BP443-1</f>
        <v>6.0465668975048015E-2</v>
      </c>
      <c r="BR445" s="1852">
        <f>BR443/BQ443-1</f>
        <v>1.039455765295827E-2</v>
      </c>
      <c r="BS445" s="1852"/>
      <c r="BT445" s="1852"/>
      <c r="BU445" s="1825"/>
      <c r="BV445" s="1852"/>
      <c r="BW445" s="1852"/>
      <c r="BX445" s="1852"/>
      <c r="BY445" s="1825"/>
      <c r="BZ445" s="1852"/>
      <c r="CA445" s="1852"/>
      <c r="CB445" s="1852"/>
      <c r="CC445" s="1825"/>
      <c r="CD445" s="1837"/>
      <c r="CE445" s="1934"/>
      <c r="CF445" s="1934"/>
      <c r="CG445" s="1934"/>
      <c r="CH445" s="1934"/>
      <c r="CI445" s="1934"/>
      <c r="CJ445" s="1934"/>
      <c r="CK445" s="1937"/>
      <c r="CL445" s="1937"/>
      <c r="CM445" s="1934"/>
      <c r="CN445" s="1934"/>
      <c r="CO445" s="1938"/>
      <c r="CP445" s="1938"/>
      <c r="CQ445" s="1938"/>
      <c r="CR445" s="1938"/>
      <c r="CS445" s="1852"/>
      <c r="CT445" s="1852"/>
      <c r="CU445" s="1852"/>
      <c r="CV445" s="1852"/>
      <c r="CW445" s="1852"/>
      <c r="CX445" s="1852"/>
      <c r="CY445" s="1852"/>
      <c r="CZ445" s="1852"/>
      <c r="DA445" s="1852"/>
      <c r="DB445" s="1852"/>
      <c r="DC445" s="1852"/>
      <c r="DD445" s="1837"/>
      <c r="DE445" s="1839"/>
      <c r="DF445" s="1829"/>
      <c r="DG445" s="1804"/>
      <c r="DH445" s="1803"/>
      <c r="DI445" s="1803"/>
      <c r="DJ445" s="1803"/>
      <c r="DK445" s="1803"/>
      <c r="DL445" s="1803"/>
      <c r="DM445" s="1803"/>
      <c r="DN445" s="1803"/>
      <c r="DO445" s="1803"/>
      <c r="DP445" s="1803"/>
      <c r="DQ445" s="1803"/>
      <c r="DR445" s="1803"/>
      <c r="DS445" s="1804"/>
      <c r="DT445" s="1974"/>
      <c r="DU445" s="1974"/>
      <c r="DV445" s="1974"/>
      <c r="DW445" s="1975"/>
      <c r="DX445" s="1974"/>
      <c r="DY445" s="1974"/>
      <c r="DZ445" s="1830"/>
      <c r="EA445"/>
      <c r="EB445"/>
      <c r="EC445"/>
      <c r="ED445"/>
      <c r="EE445"/>
      <c r="EF445"/>
    </row>
    <row r="446" spans="1:136" s="1785" customFormat="1" ht="11.25" hidden="1" customHeight="1" outlineLevel="1">
      <c r="A446" s="1830"/>
      <c r="B446" s="1943"/>
      <c r="C446" s="1829"/>
      <c r="D446" s="1779"/>
      <c r="E446" s="1841"/>
      <c r="F446" s="1968"/>
      <c r="G446" s="1938"/>
      <c r="H446" s="1938"/>
      <c r="I446" s="1969"/>
      <c r="J446" s="1938"/>
      <c r="K446" s="1938"/>
      <c r="L446" s="1938"/>
      <c r="M446" s="1969"/>
      <c r="N446" s="1938"/>
      <c r="O446" s="1938"/>
      <c r="P446" s="1938"/>
      <c r="Q446" s="1969"/>
      <c r="R446" s="1938"/>
      <c r="S446" s="1938"/>
      <c r="T446" s="1938"/>
      <c r="U446" s="1969"/>
      <c r="V446" s="1938"/>
      <c r="W446" s="1938"/>
      <c r="X446" s="1938"/>
      <c r="Y446" s="1969"/>
      <c r="Z446" s="1938"/>
      <c r="AA446" s="1938"/>
      <c r="AB446" s="1938"/>
      <c r="AC446" s="1969"/>
      <c r="AD446" s="1938"/>
      <c r="AE446" s="1938"/>
      <c r="AF446" s="1938"/>
      <c r="AG446" s="1938"/>
      <c r="AH446" s="1968"/>
      <c r="AI446" s="1938"/>
      <c r="AJ446" s="1938"/>
      <c r="AK446" s="1969"/>
      <c r="AL446" s="1938"/>
      <c r="AM446" s="1938"/>
      <c r="AN446" s="1938"/>
      <c r="AO446" s="1969"/>
      <c r="AP446" s="1829"/>
      <c r="AQ446" s="1829"/>
      <c r="AR446" s="1829"/>
      <c r="AS446" s="1829"/>
      <c r="AT446" s="1873"/>
      <c r="AU446" s="1938"/>
      <c r="AV446" s="1938"/>
      <c r="AW446" s="1969"/>
      <c r="AX446" s="1938"/>
      <c r="AY446" s="1938"/>
      <c r="AZ446" s="1938"/>
      <c r="BA446" s="1969"/>
      <c r="BB446" s="1968"/>
      <c r="BC446" s="1938"/>
      <c r="BD446" s="1938"/>
      <c r="BE446" s="1969"/>
      <c r="BF446" s="1968"/>
      <c r="BG446" s="2002"/>
      <c r="BH446" s="1938"/>
      <c r="BI446" s="1969"/>
      <c r="BJ446" s="1968"/>
      <c r="BK446" s="1938"/>
      <c r="BL446" s="1938"/>
      <c r="BM446" s="1938"/>
      <c r="BN446" s="2056"/>
      <c r="BO446" s="1977"/>
      <c r="BP446" s="1977"/>
      <c r="BQ446" s="1978"/>
      <c r="BR446" s="1977"/>
      <c r="BS446" s="1977"/>
      <c r="BT446" s="1977"/>
      <c r="BU446" s="1978"/>
      <c r="BV446" s="1977"/>
      <c r="BW446" s="1977"/>
      <c r="BX446" s="1977"/>
      <c r="BY446" s="1978"/>
      <c r="BZ446" s="1977"/>
      <c r="CA446" s="1977"/>
      <c r="CB446" s="1977"/>
      <c r="CC446" s="1978"/>
      <c r="CD446" s="1837"/>
      <c r="CE446" s="1934"/>
      <c r="CF446" s="1934"/>
      <c r="CG446" s="1934"/>
      <c r="CH446" s="1934"/>
      <c r="CI446" s="1934"/>
      <c r="CJ446" s="1934"/>
      <c r="CK446" s="1937"/>
      <c r="CL446" s="1937"/>
      <c r="CM446" s="1934"/>
      <c r="CN446" s="1934"/>
      <c r="CO446" s="1938"/>
      <c r="CP446" s="1938"/>
      <c r="CQ446" s="1938"/>
      <c r="CR446" s="1938"/>
      <c r="CS446" s="1938"/>
      <c r="CT446" s="1938"/>
      <c r="CU446" s="1938"/>
      <c r="CV446" s="1938"/>
      <c r="CW446" s="1938"/>
      <c r="CX446" s="1938"/>
      <c r="CY446" s="1938"/>
      <c r="CZ446" s="1938"/>
      <c r="DA446" s="1938"/>
      <c r="DB446" s="1938"/>
      <c r="DC446" s="1938"/>
      <c r="DD446" s="1837"/>
      <c r="DE446" s="1839"/>
      <c r="DF446" s="1829"/>
      <c r="DG446" s="1804"/>
      <c r="DH446" s="1803"/>
      <c r="DI446" s="1803"/>
      <c r="DJ446" s="1803"/>
      <c r="DK446" s="1803"/>
      <c r="DL446" s="1803"/>
      <c r="DM446" s="1803"/>
      <c r="DN446" s="1803"/>
      <c r="DO446" s="1803"/>
      <c r="DP446" s="1803"/>
      <c r="DQ446" s="1803"/>
      <c r="DR446" s="1803"/>
      <c r="DS446" s="1804"/>
      <c r="DT446" s="1974"/>
      <c r="DU446" s="1974"/>
      <c r="DV446" s="1974"/>
      <c r="DW446" s="1975"/>
      <c r="DX446" s="1974"/>
      <c r="DY446" s="1974"/>
      <c r="DZ446" s="1830"/>
      <c r="EA446"/>
      <c r="EB446"/>
      <c r="EC446"/>
      <c r="ED446"/>
      <c r="EE446"/>
      <c r="EF446"/>
    </row>
    <row r="447" spans="1:136" s="1785" customFormat="1" ht="11.25" hidden="1" customHeight="1" outlineLevel="1">
      <c r="A447" s="1830"/>
      <c r="B447" s="1943"/>
      <c r="C447" s="1829"/>
      <c r="D447" s="1779"/>
      <c r="E447" s="1841" t="s">
        <v>680</v>
      </c>
      <c r="F447" s="1968"/>
      <c r="G447" s="1938"/>
      <c r="H447" s="1938"/>
      <c r="I447" s="1969"/>
      <c r="J447" s="1938"/>
      <c r="K447" s="1938"/>
      <c r="L447" s="1938"/>
      <c r="M447" s="1969"/>
      <c r="N447" s="1938"/>
      <c r="O447" s="1938"/>
      <c r="P447" s="1938"/>
      <c r="Q447" s="1969"/>
      <c r="R447" s="1938"/>
      <c r="S447" s="1938"/>
      <c r="T447" s="1938"/>
      <c r="U447" s="1969"/>
      <c r="V447" s="1938"/>
      <c r="W447" s="1938"/>
      <c r="X447" s="1938"/>
      <c r="Y447" s="1969"/>
      <c r="Z447" s="1938"/>
      <c r="AA447" s="1938"/>
      <c r="AB447" s="1938"/>
      <c r="AC447" s="1969"/>
      <c r="AD447" s="1938"/>
      <c r="AE447" s="1938"/>
      <c r="AF447" s="1938"/>
      <c r="AG447" s="1938"/>
      <c r="AH447" s="1968"/>
      <c r="AI447" s="1938"/>
      <c r="AJ447" s="1938"/>
      <c r="AK447" s="1969"/>
      <c r="AL447" s="1938"/>
      <c r="AM447" s="1938"/>
      <c r="AN447" s="1938"/>
      <c r="AO447" s="1969"/>
      <c r="AP447" s="1981">
        <f>AP450*AP453/1000</f>
        <v>717.3152</v>
      </c>
      <c r="AQ447" s="1948">
        <f>AQ450*AQ453/1000</f>
        <v>789.20749999999998</v>
      </c>
      <c r="AR447" s="1948">
        <f>AR450*AR453/1000</f>
        <v>768.24</v>
      </c>
      <c r="AS447" s="1948">
        <f t="shared" ref="AS447:BD447" si="886">AS450*AS453/1000</f>
        <v>693.08249999999998</v>
      </c>
      <c r="AT447" s="1981">
        <f t="shared" si="886"/>
        <v>667.42550000000006</v>
      </c>
      <c r="AU447" s="1948">
        <f t="shared" si="886"/>
        <v>708.43875000000003</v>
      </c>
      <c r="AV447" s="1948">
        <f t="shared" si="886"/>
        <v>644.71899374999987</v>
      </c>
      <c r="AW447" s="1948">
        <f t="shared" si="886"/>
        <v>670.14699374999987</v>
      </c>
      <c r="AX447" s="1981">
        <f t="shared" si="886"/>
        <v>814.6888839374999</v>
      </c>
      <c r="AY447" s="1948">
        <f t="shared" si="886"/>
        <v>601.01677417031249</v>
      </c>
      <c r="AZ447" s="1948">
        <f t="shared" si="886"/>
        <v>1087.6273046599897</v>
      </c>
      <c r="BA447" s="1980">
        <f t="shared" si="886"/>
        <v>1755.9019534789084</v>
      </c>
      <c r="BB447" s="1981">
        <f t="shared" si="886"/>
        <v>1345.3569356975941</v>
      </c>
      <c r="BC447" s="1948">
        <f t="shared" si="886"/>
        <v>1068.2249443657511</v>
      </c>
      <c r="BD447" s="1948">
        <f t="shared" si="886"/>
        <v>1061.7016256297879</v>
      </c>
      <c r="BE447" s="1980">
        <f t="shared" ref="BE447:BM447" si="887">BE450*BE453/1000</f>
        <v>1152.4774349005504</v>
      </c>
      <c r="BF447" s="1981">
        <f t="shared" si="887"/>
        <v>1067.7142064608015</v>
      </c>
      <c r="BG447" s="2004">
        <f t="shared" si="887"/>
        <v>1077.1853235750252</v>
      </c>
      <c r="BH447" s="1948">
        <f t="shared" si="887"/>
        <v>1021.3244567442687</v>
      </c>
      <c r="BI447" s="1980">
        <f t="shared" si="887"/>
        <v>1050.6813312683262</v>
      </c>
      <c r="BJ447" s="1981">
        <f t="shared" si="887"/>
        <v>1095.927834450993</v>
      </c>
      <c r="BK447" s="1948">
        <f t="shared" si="887"/>
        <v>1004.4314914505972</v>
      </c>
      <c r="BL447" s="1948">
        <f>BL450*BL453/1000</f>
        <v>902.69649675996516</v>
      </c>
      <c r="BM447" s="1948">
        <f t="shared" si="887"/>
        <v>723.09953854725677</v>
      </c>
      <c r="BN447" s="1981">
        <f>BN450*BN453/1000</f>
        <v>736.66377278417099</v>
      </c>
      <c r="BO447" s="1948">
        <f>BO450*BO453/1000</f>
        <v>717.58015375002969</v>
      </c>
      <c r="BP447" s="1948">
        <f>BP450*BP453/1000</f>
        <v>616.94138758586178</v>
      </c>
      <c r="BQ447" s="1980">
        <f>BQ450*BQ453/1000</f>
        <v>551.45935503121189</v>
      </c>
      <c r="BR447" s="1948">
        <f>BR450*BR453/1000</f>
        <v>710.6051591344501</v>
      </c>
      <c r="BS447" s="1948"/>
      <c r="BT447" s="1948"/>
      <c r="BU447" s="1980"/>
      <c r="BV447" s="1948"/>
      <c r="BW447" s="1948"/>
      <c r="BX447" s="1948"/>
      <c r="BY447" s="1980"/>
      <c r="BZ447" s="1948"/>
      <c r="CA447" s="1948"/>
      <c r="CB447" s="1948"/>
      <c r="CC447" s="1980"/>
      <c r="CD447" s="1837"/>
      <c r="CE447" s="1934"/>
      <c r="CF447" s="1934"/>
      <c r="CG447" s="1934"/>
      <c r="CH447" s="1934"/>
      <c r="CI447" s="1934"/>
      <c r="CJ447" s="1934"/>
      <c r="CK447" s="1937"/>
      <c r="CL447" s="1951"/>
      <c r="CM447" s="1950"/>
      <c r="CN447" s="1950">
        <f>SUM(AP447:AS447)</f>
        <v>2967.8452000000002</v>
      </c>
      <c r="CO447" s="1946">
        <f>SUM(AT447:AW447)</f>
        <v>2690.7302374999999</v>
      </c>
      <c r="CP447" s="1946">
        <f>SUM(AX447:BA447)</f>
        <v>4259.2349162467108</v>
      </c>
      <c r="CQ447" s="1946">
        <f>SUM(BB447:BE447)</f>
        <v>4627.7609405936837</v>
      </c>
      <c r="CR447" s="1946">
        <f>SUM(BF447:BI447)</f>
        <v>4216.9053180484216</v>
      </c>
      <c r="CS447" s="1946">
        <f>SUM(BJ447:BM447)</f>
        <v>3726.1553612088119</v>
      </c>
      <c r="CT447" s="1946">
        <f>SUM(BN447:BQ447)</f>
        <v>2622.6446691512747</v>
      </c>
      <c r="CU447" s="1948">
        <f>SUM(BR447:BU447)</f>
        <v>710.6051591344501</v>
      </c>
      <c r="CV447" s="1948"/>
      <c r="CW447" s="1948"/>
      <c r="CX447" s="1948"/>
      <c r="CY447" s="1948"/>
      <c r="CZ447" s="1948"/>
      <c r="DA447" s="1948"/>
      <c r="DB447" s="1948"/>
      <c r="DC447" s="1948"/>
      <c r="DD447" s="1837"/>
      <c r="DE447" s="1839"/>
      <c r="DF447" s="1829"/>
      <c r="DG447" s="1804"/>
      <c r="DH447" s="1803"/>
      <c r="DI447" s="1803"/>
      <c r="DJ447" s="1803"/>
      <c r="DK447" s="1803"/>
      <c r="DL447" s="1803"/>
      <c r="DM447" s="1955"/>
      <c r="DN447" s="1955"/>
      <c r="DO447" s="1955"/>
      <c r="DP447" s="1955">
        <f>SUM(AR447:AU447)</f>
        <v>2837.1867499999998</v>
      </c>
      <c r="DQ447" s="1955">
        <f>SUM(AV447:AY447)</f>
        <v>2730.5716456078126</v>
      </c>
      <c r="DR447" s="1955">
        <f>SUM(AZ447:BC447)</f>
        <v>5257.1111382022427</v>
      </c>
      <c r="DS447" s="1954">
        <f>SUM(BD447:BG447)</f>
        <v>4359.0785905661651</v>
      </c>
      <c r="DT447" s="1955">
        <f>SUM(BH447:BK447)</f>
        <v>4172.3651139141857</v>
      </c>
      <c r="DU447" s="1955">
        <f>SUM(BL447:BO447)</f>
        <v>3080.0399618414226</v>
      </c>
      <c r="DV447" s="1955">
        <f>SUM(BP447:BS447)</f>
        <v>1879.0059017515239</v>
      </c>
      <c r="DW447" s="1956"/>
      <c r="DX447" s="1955"/>
      <c r="DY447" s="1955"/>
      <c r="DZ447" s="1830"/>
      <c r="EA447"/>
      <c r="EB447"/>
      <c r="EC447"/>
      <c r="ED447"/>
      <c r="EE447"/>
      <c r="EF447"/>
    </row>
    <row r="448" spans="1:136" s="1785" customFormat="1" ht="11.25" hidden="1" customHeight="1" outlineLevel="1">
      <c r="A448" s="1830"/>
      <c r="B448" s="1943"/>
      <c r="C448" s="1829"/>
      <c r="D448" s="1779"/>
      <c r="E448" s="1932" t="s">
        <v>183</v>
      </c>
      <c r="F448" s="1968"/>
      <c r="G448" s="1938"/>
      <c r="H448" s="1938"/>
      <c r="I448" s="1969"/>
      <c r="J448" s="1938"/>
      <c r="K448" s="1938"/>
      <c r="L448" s="1938"/>
      <c r="M448" s="1969"/>
      <c r="N448" s="1938"/>
      <c r="O448" s="1938"/>
      <c r="P448" s="1938"/>
      <c r="Q448" s="1969"/>
      <c r="R448" s="1938"/>
      <c r="S448" s="1938"/>
      <c r="T448" s="1938"/>
      <c r="U448" s="1969"/>
      <c r="V448" s="1938"/>
      <c r="W448" s="1938"/>
      <c r="X448" s="1938"/>
      <c r="Y448" s="1969"/>
      <c r="Z448" s="1938"/>
      <c r="AA448" s="1938"/>
      <c r="AB448" s="1938"/>
      <c r="AC448" s="1969"/>
      <c r="AD448" s="1938"/>
      <c r="AE448" s="1938"/>
      <c r="AF448" s="1938"/>
      <c r="AG448" s="1938"/>
      <c r="AH448" s="1968"/>
      <c r="AI448" s="1938"/>
      <c r="AJ448" s="1938"/>
      <c r="AK448" s="1969"/>
      <c r="AL448" s="1938"/>
      <c r="AM448" s="1938"/>
      <c r="AN448" s="1938"/>
      <c r="AO448" s="1969"/>
      <c r="AP448" s="1851"/>
      <c r="AQ448" s="1852"/>
      <c r="AR448" s="1852"/>
      <c r="AS448" s="1852"/>
      <c r="AT448" s="1851">
        <f>AT447/AP447-1</f>
        <v>-6.9550596446304125E-2</v>
      </c>
      <c r="AU448" s="1852">
        <f>AU447/AQ447-1</f>
        <v>-0.10234158950592831</v>
      </c>
      <c r="AV448" s="1852">
        <f t="shared" ref="AV448:BD448" si="888">AV447/AR447-1</f>
        <v>-0.16078439843017822</v>
      </c>
      <c r="AW448" s="1852">
        <f t="shared" si="888"/>
        <v>-3.3092029087446462E-2</v>
      </c>
      <c r="AX448" s="1851">
        <f t="shared" si="888"/>
        <v>0.22064392795525478</v>
      </c>
      <c r="AY448" s="1852">
        <f t="shared" si="888"/>
        <v>-0.15163198770491804</v>
      </c>
      <c r="AZ448" s="1852">
        <f t="shared" si="888"/>
        <v>0.68697884691409383</v>
      </c>
      <c r="BA448" s="1825">
        <f t="shared" si="888"/>
        <v>1.6201743346683615</v>
      </c>
      <c r="BB448" s="1851">
        <f t="shared" si="888"/>
        <v>0.65137509817895722</v>
      </c>
      <c r="BC448" s="1852">
        <f t="shared" si="888"/>
        <v>0.77736294605155898</v>
      </c>
      <c r="BD448" s="1852">
        <f t="shared" si="888"/>
        <v>-2.3836914464285708E-2</v>
      </c>
      <c r="BE448" s="1825">
        <f t="shared" ref="BE448:BP448" si="889">BE447/BA447-1</f>
        <v>-0.34365501865455161</v>
      </c>
      <c r="BF448" s="1851">
        <f t="shared" si="889"/>
        <v>-0.20637105430524971</v>
      </c>
      <c r="BG448" s="1854">
        <f t="shared" si="889"/>
        <v>8.3881014542253052E-3</v>
      </c>
      <c r="BH448" s="1852">
        <f t="shared" si="889"/>
        <v>-3.8030617935211342E-2</v>
      </c>
      <c r="BI448" s="1825">
        <f t="shared" si="889"/>
        <v>-8.8328066606361277E-2</v>
      </c>
      <c r="BJ448" s="1851">
        <f t="shared" si="889"/>
        <v>2.6424325741354115E-2</v>
      </c>
      <c r="BK448" s="1852">
        <f t="shared" si="889"/>
        <v>-6.7540682677488029E-2</v>
      </c>
      <c r="BL448" s="1852">
        <f t="shared" si="889"/>
        <v>-0.11615110085825253</v>
      </c>
      <c r="BM448" s="1852">
        <f t="shared" si="889"/>
        <v>-0.31178034954292966</v>
      </c>
      <c r="BN448" s="1851">
        <f t="shared" si="889"/>
        <v>-0.32781726166011282</v>
      </c>
      <c r="BO448" s="1852">
        <f>BO447/BK447-1</f>
        <v>-0.28558576681650782</v>
      </c>
      <c r="BP448" s="1852">
        <f t="shared" si="889"/>
        <v>-0.31655723734362529</v>
      </c>
      <c r="BQ448" s="1825">
        <f>BQ447/BM447-1</f>
        <v>-0.23736729781473598</v>
      </c>
      <c r="BR448" s="1852">
        <f>BR447/BN447-1</f>
        <v>-3.537382264806388E-2</v>
      </c>
      <c r="BS448" s="1852"/>
      <c r="BT448" s="1852"/>
      <c r="BU448" s="1825"/>
      <c r="BV448" s="1852"/>
      <c r="BW448" s="1852"/>
      <c r="BX448" s="1852"/>
      <c r="BY448" s="1825"/>
      <c r="BZ448" s="1852"/>
      <c r="CA448" s="1852"/>
      <c r="CB448" s="1852"/>
      <c r="CC448" s="1825"/>
      <c r="CD448" s="1837"/>
      <c r="CE448" s="1934"/>
      <c r="CF448" s="1934"/>
      <c r="CG448" s="1934"/>
      <c r="CH448" s="1934"/>
      <c r="CI448" s="1934"/>
      <c r="CJ448" s="1934"/>
      <c r="CK448" s="1937"/>
      <c r="CL448" s="1852"/>
      <c r="CM448" s="1852"/>
      <c r="CN448" s="1852"/>
      <c r="CO448" s="1852">
        <f t="shared" ref="CO448:CU448" si="890">CO447/CN447-1</f>
        <v>-9.3372444930753251E-2</v>
      </c>
      <c r="CP448" s="1852">
        <f t="shared" si="890"/>
        <v>0.58292899707554247</v>
      </c>
      <c r="CQ448" s="1852">
        <f t="shared" si="890"/>
        <v>8.6523995880396942E-2</v>
      </c>
      <c r="CR448" s="1852">
        <f t="shared" si="890"/>
        <v>-8.878064960990717E-2</v>
      </c>
      <c r="CS448" s="1852">
        <f>CS447/CR447-1</f>
        <v>-0.11637680237666048</v>
      </c>
      <c r="CT448" s="1852">
        <f t="shared" si="890"/>
        <v>-0.29615262518188301</v>
      </c>
      <c r="CU448" s="1852">
        <f t="shared" si="890"/>
        <v>-0.72905015784528215</v>
      </c>
      <c r="CV448" s="1852"/>
      <c r="CW448" s="1852"/>
      <c r="CX448" s="1852"/>
      <c r="CY448" s="1852"/>
      <c r="CZ448" s="1852"/>
      <c r="DA448" s="1852"/>
      <c r="DB448" s="1852"/>
      <c r="DC448" s="1852"/>
      <c r="DD448" s="1837"/>
      <c r="DE448" s="1839"/>
      <c r="DF448" s="1829"/>
      <c r="DG448" s="1804"/>
      <c r="DH448" s="1803"/>
      <c r="DI448" s="1803"/>
      <c r="DJ448" s="1803"/>
      <c r="DK448" s="1803"/>
      <c r="DL448" s="1803"/>
      <c r="DM448" s="1852"/>
      <c r="DN448" s="1852"/>
      <c r="DO448" s="1852"/>
      <c r="DP448" s="1852"/>
      <c r="DQ448" s="1852">
        <f t="shared" ref="DQ448:DV448" si="891">DQ447/DP447-1</f>
        <v>-3.7577753523692858E-2</v>
      </c>
      <c r="DR448" s="1852">
        <f t="shared" si="891"/>
        <v>0.92527859382793598</v>
      </c>
      <c r="DS448" s="1851">
        <f t="shared" si="891"/>
        <v>-0.17082243917391771</v>
      </c>
      <c r="DT448" s="1852">
        <f t="shared" si="891"/>
        <v>-4.283324394656729E-2</v>
      </c>
      <c r="DU448" s="1852">
        <f t="shared" si="891"/>
        <v>-0.26179999167139745</v>
      </c>
      <c r="DV448" s="1852">
        <f t="shared" si="891"/>
        <v>-0.38994106406718576</v>
      </c>
      <c r="DW448" s="1825"/>
      <c r="DX448" s="1852"/>
      <c r="DY448" s="1852"/>
      <c r="DZ448" s="1830"/>
      <c r="EA448"/>
      <c r="EB448"/>
      <c r="EC448"/>
      <c r="ED448"/>
      <c r="EE448"/>
      <c r="EF448"/>
    </row>
    <row r="449" spans="1:136" s="1785" customFormat="1" ht="11.25" hidden="1" customHeight="1" outlineLevel="1">
      <c r="A449" s="1830"/>
      <c r="B449" s="1943"/>
      <c r="C449" s="1829"/>
      <c r="D449" s="1779"/>
      <c r="E449" s="1932" t="s">
        <v>184</v>
      </c>
      <c r="F449" s="1968"/>
      <c r="G449" s="1938"/>
      <c r="H449" s="1938"/>
      <c r="I449" s="1969"/>
      <c r="J449" s="1938"/>
      <c r="K449" s="1938"/>
      <c r="L449" s="1938"/>
      <c r="M449" s="1969"/>
      <c r="N449" s="1938"/>
      <c r="O449" s="1938"/>
      <c r="P449" s="1938"/>
      <c r="Q449" s="1969"/>
      <c r="R449" s="1938"/>
      <c r="S449" s="1938"/>
      <c r="T449" s="1938"/>
      <c r="U449" s="1969"/>
      <c r="V449" s="1938"/>
      <c r="W449" s="1938"/>
      <c r="X449" s="1938"/>
      <c r="Y449" s="1969"/>
      <c r="Z449" s="1938"/>
      <c r="AA449" s="1938"/>
      <c r="AB449" s="1938"/>
      <c r="AC449" s="1969"/>
      <c r="AD449" s="1938"/>
      <c r="AE449" s="1938"/>
      <c r="AF449" s="1938"/>
      <c r="AG449" s="1938"/>
      <c r="AH449" s="1968"/>
      <c r="AI449" s="1938"/>
      <c r="AJ449" s="1938"/>
      <c r="AK449" s="1969"/>
      <c r="AL449" s="1938"/>
      <c r="AM449" s="1938"/>
      <c r="AN449" s="1938"/>
      <c r="AO449" s="1969"/>
      <c r="AP449" s="1851"/>
      <c r="AQ449" s="1852">
        <f>AQ447/AP447-1</f>
        <v>0.10022414135375901</v>
      </c>
      <c r="AR449" s="1852">
        <f>AR447/AQ447-1</f>
        <v>-2.656779110690155E-2</v>
      </c>
      <c r="AS449" s="1852">
        <f t="shared" ref="AS449:BD449" si="892">AS447/AR447-1</f>
        <v>-9.783075601374569E-2</v>
      </c>
      <c r="AT449" s="1851">
        <f t="shared" si="892"/>
        <v>-3.7018681037250145E-2</v>
      </c>
      <c r="AU449" s="1852">
        <f t="shared" si="892"/>
        <v>6.1449929617612753E-2</v>
      </c>
      <c r="AV449" s="1852">
        <f t="shared" si="892"/>
        <v>-8.9943917169974297E-2</v>
      </c>
      <c r="AW449" s="1852">
        <f t="shared" si="892"/>
        <v>3.9440438774881459E-2</v>
      </c>
      <c r="AX449" s="1851">
        <f t="shared" si="892"/>
        <v>0.21568684413351513</v>
      </c>
      <c r="AY449" s="1852">
        <f t="shared" si="892"/>
        <v>-0.26227448781979401</v>
      </c>
      <c r="AZ449" s="1852">
        <f t="shared" si="892"/>
        <v>0.80964550641940058</v>
      </c>
      <c r="BA449" s="1825">
        <f t="shared" si="892"/>
        <v>0.61443349753694565</v>
      </c>
      <c r="BB449" s="1851">
        <f t="shared" si="892"/>
        <v>-0.23380862295182003</v>
      </c>
      <c r="BC449" s="1852">
        <f t="shared" si="892"/>
        <v>-0.20599142426700656</v>
      </c>
      <c r="BD449" s="1852">
        <f t="shared" si="892"/>
        <v>-6.1066901408450835E-3</v>
      </c>
      <c r="BE449" s="1825">
        <f t="shared" ref="BE449:BP449" si="893">BE447/BD447-1</f>
        <v>8.5500301666125322E-2</v>
      </c>
      <c r="BF449" s="1851">
        <f t="shared" si="893"/>
        <v>-7.3548709825336678E-2</v>
      </c>
      <c r="BG449" s="1854">
        <f t="shared" si="893"/>
        <v>8.8704608938547924E-3</v>
      </c>
      <c r="BH449" s="1852">
        <f t="shared" si="893"/>
        <v>-5.1858176683434842E-2</v>
      </c>
      <c r="BI449" s="1825">
        <f t="shared" si="893"/>
        <v>2.8743925919134439E-2</v>
      </c>
      <c r="BJ449" s="1851">
        <f t="shared" si="893"/>
        <v>4.3063964149860468E-2</v>
      </c>
      <c r="BK449" s="1852">
        <f t="shared" si="893"/>
        <v>-8.3487561976406166E-2</v>
      </c>
      <c r="BL449" s="1852">
        <f t="shared" si="893"/>
        <v>-0.10128614600056651</v>
      </c>
      <c r="BM449" s="1852">
        <f t="shared" si="893"/>
        <v>-0.19895608198030346</v>
      </c>
      <c r="BN449" s="1851">
        <f t="shared" si="893"/>
        <v>1.8758460645909691E-2</v>
      </c>
      <c r="BO449" s="1852">
        <f>BO447/BN447-1</f>
        <v>-2.5905466970387425E-2</v>
      </c>
      <c r="BP449" s="1852">
        <f t="shared" si="893"/>
        <v>-0.14024742133437762</v>
      </c>
      <c r="BQ449" s="1825">
        <f>BQ447/BP447-1</f>
        <v>-0.10613979524195327</v>
      </c>
      <c r="BR449" s="1852">
        <f>BR447/BQ447-1</f>
        <v>0.28859026989256664</v>
      </c>
      <c r="BS449" s="1852"/>
      <c r="BT449" s="1852"/>
      <c r="BU449" s="1825"/>
      <c r="BV449" s="1852"/>
      <c r="BW449" s="1852"/>
      <c r="BX449" s="1852"/>
      <c r="BY449" s="1825"/>
      <c r="BZ449" s="1852"/>
      <c r="CA449" s="1852"/>
      <c r="CB449" s="1852"/>
      <c r="CC449" s="1825"/>
      <c r="CD449" s="1837"/>
      <c r="CE449" s="1934"/>
      <c r="CF449" s="1934"/>
      <c r="CG449" s="1934"/>
      <c r="CH449" s="1934"/>
      <c r="CI449" s="1934"/>
      <c r="CJ449" s="1934"/>
      <c r="CK449" s="1937"/>
      <c r="CL449" s="1937"/>
      <c r="CM449" s="1934"/>
      <c r="CN449" s="1934"/>
      <c r="CO449" s="1938"/>
      <c r="CP449" s="1938"/>
      <c r="CQ449" s="1938"/>
      <c r="CR449" s="1938"/>
      <c r="CS449" s="1852"/>
      <c r="CT449" s="1852"/>
      <c r="CU449" s="1852"/>
      <c r="CV449" s="1852"/>
      <c r="CW449" s="1852"/>
      <c r="CX449" s="1852"/>
      <c r="CY449" s="1852"/>
      <c r="CZ449" s="1852"/>
      <c r="DA449" s="1852"/>
      <c r="DB449" s="1852"/>
      <c r="DC449" s="1852"/>
      <c r="DD449" s="1837"/>
      <c r="DE449" s="1839"/>
      <c r="DF449" s="1829"/>
      <c r="DG449" s="1804"/>
      <c r="DH449" s="1803"/>
      <c r="DI449" s="1803"/>
      <c r="DJ449" s="1803"/>
      <c r="DK449" s="1803"/>
      <c r="DL449" s="1803"/>
      <c r="DM449" s="1848"/>
      <c r="DN449" s="1848"/>
      <c r="DO449" s="1848"/>
      <c r="DP449" s="1848"/>
      <c r="DQ449" s="1848"/>
      <c r="DR449" s="1848"/>
      <c r="DS449" s="1855"/>
      <c r="DT449" s="1848"/>
      <c r="DU449" s="1848"/>
      <c r="DV449" s="1848"/>
      <c r="DW449" s="1850"/>
      <c r="DX449" s="1848"/>
      <c r="DY449" s="1848"/>
      <c r="DZ449" s="1830"/>
      <c r="EA449"/>
      <c r="EB449"/>
      <c r="EC449"/>
      <c r="ED449"/>
      <c r="EE449"/>
      <c r="EF449"/>
    </row>
    <row r="450" spans="1:136" s="1785" customFormat="1" ht="11.25" hidden="1" customHeight="1" outlineLevel="1">
      <c r="A450" s="1830"/>
      <c r="B450" s="1943"/>
      <c r="C450" s="1859"/>
      <c r="D450" s="1944"/>
      <c r="E450" s="1840" t="s">
        <v>805</v>
      </c>
      <c r="F450" s="1958"/>
      <c r="G450" s="1959"/>
      <c r="H450" s="1959"/>
      <c r="I450" s="1960"/>
      <c r="J450" s="1959"/>
      <c r="K450" s="1959"/>
      <c r="L450" s="1959"/>
      <c r="M450" s="1960"/>
      <c r="N450" s="1959"/>
      <c r="O450" s="1959"/>
      <c r="P450" s="1959"/>
      <c r="Q450" s="1960"/>
      <c r="R450" s="1959"/>
      <c r="S450" s="1959"/>
      <c r="T450" s="1959"/>
      <c r="U450" s="1960"/>
      <c r="V450" s="1959"/>
      <c r="W450" s="1959"/>
      <c r="X450" s="1959"/>
      <c r="Y450" s="1960"/>
      <c r="Z450" s="1959"/>
      <c r="AA450" s="1959"/>
      <c r="AB450" s="1959"/>
      <c r="AC450" s="1960"/>
      <c r="AD450" s="1831">
        <v>1809</v>
      </c>
      <c r="AE450" s="1831">
        <v>2032</v>
      </c>
      <c r="AF450" s="1831">
        <v>2960</v>
      </c>
      <c r="AG450" s="1831">
        <v>2986</v>
      </c>
      <c r="AH450" s="1843">
        <v>4785</v>
      </c>
      <c r="AI450" s="1831">
        <v>7134</v>
      </c>
      <c r="AJ450" s="1831">
        <v>8819</v>
      </c>
      <c r="AK450" s="1844">
        <v>9878</v>
      </c>
      <c r="AL450" s="1831">
        <v>12411</v>
      </c>
      <c r="AM450" s="1831">
        <v>11187</v>
      </c>
      <c r="AN450" s="1831">
        <v>7932</v>
      </c>
      <c r="AO450" s="1844">
        <v>14670</v>
      </c>
      <c r="AP450" s="2016">
        <v>16528</v>
      </c>
      <c r="AQ450" s="1831">
        <v>17735</v>
      </c>
      <c r="AR450" s="1831">
        <v>17072</v>
      </c>
      <c r="AS450" s="1831">
        <v>16802</v>
      </c>
      <c r="AT450" s="1843">
        <v>16582</v>
      </c>
      <c r="AU450" s="1959">
        <v>17385</v>
      </c>
      <c r="AV450" s="1959">
        <v>16227</v>
      </c>
      <c r="AW450" s="1960">
        <v>16867</v>
      </c>
      <c r="AX450" s="1959">
        <v>19622</v>
      </c>
      <c r="AY450" s="1959">
        <v>9814</v>
      </c>
      <c r="AZ450" s="1959">
        <v>18067</v>
      </c>
      <c r="BA450" s="1960">
        <v>32773</v>
      </c>
      <c r="BB450" s="1958">
        <v>25887</v>
      </c>
      <c r="BC450" s="1959">
        <v>21300</v>
      </c>
      <c r="BD450" s="1959">
        <v>21547</v>
      </c>
      <c r="BE450" s="1960">
        <v>23989</v>
      </c>
      <c r="BF450" s="1958">
        <v>22912</v>
      </c>
      <c r="BG450" s="2009">
        <v>22662</v>
      </c>
      <c r="BH450" s="1959">
        <v>21814</v>
      </c>
      <c r="BI450" s="1960">
        <v>22899</v>
      </c>
      <c r="BJ450" s="1958">
        <v>23396</v>
      </c>
      <c r="BK450" s="1959">
        <v>21178</v>
      </c>
      <c r="BL450" s="1959">
        <v>18785</v>
      </c>
      <c r="BM450" s="1959">
        <v>15513</v>
      </c>
      <c r="BN450" s="1958">
        <v>15804</v>
      </c>
      <c r="BO450" s="1959">
        <v>15318</v>
      </c>
      <c r="BP450" s="1831">
        <v>13577</v>
      </c>
      <c r="BQ450" s="1960">
        <v>11449</v>
      </c>
      <c r="BR450" s="1959">
        <v>14607</v>
      </c>
      <c r="BS450" s="1959"/>
      <c r="BT450" s="1959"/>
      <c r="BU450" s="1960"/>
      <c r="BV450" s="1959"/>
      <c r="BW450" s="1959"/>
      <c r="BX450" s="1959"/>
      <c r="BY450" s="1960"/>
      <c r="BZ450" s="1959"/>
      <c r="CA450" s="1959"/>
      <c r="CB450" s="1959"/>
      <c r="CC450" s="1960"/>
      <c r="CD450" s="1845"/>
      <c r="CE450" s="1831"/>
      <c r="CF450" s="1831"/>
      <c r="CG450" s="1831"/>
      <c r="CH450" s="1831"/>
      <c r="CI450" s="1831"/>
      <c r="CJ450" s="1831"/>
      <c r="CK450" s="1822">
        <f>SUM(AD450:AG450)</f>
        <v>9787</v>
      </c>
      <c r="CL450" s="1822">
        <f>SUM(AH450:AK450)</f>
        <v>30616</v>
      </c>
      <c r="CM450" s="1831">
        <f>SUM(AL450:AO450)</f>
        <v>46200</v>
      </c>
      <c r="CN450" s="1831">
        <f>SUM(AP450:AS450)</f>
        <v>68137</v>
      </c>
      <c r="CO450" s="1831">
        <f>SUM(AT450:AW450)</f>
        <v>67061</v>
      </c>
      <c r="CP450" s="1831">
        <f>SUM(AX450:BA450)</f>
        <v>80276</v>
      </c>
      <c r="CQ450" s="1831">
        <f>SUM(BB450:BE450)</f>
        <v>92723</v>
      </c>
      <c r="CR450" s="1831">
        <f>SUM(BF450:BI450)</f>
        <v>90287</v>
      </c>
      <c r="CS450" s="1831">
        <f>SUM(BJ450:BM450)</f>
        <v>78872</v>
      </c>
      <c r="CT450" s="1946">
        <f>SUM(BN450:BQ450)</f>
        <v>56148</v>
      </c>
      <c r="CU450" s="1959">
        <f>SUM(BR450:BU450)</f>
        <v>14607</v>
      </c>
      <c r="CV450" s="1959"/>
      <c r="CW450" s="1959"/>
      <c r="CX450" s="1959"/>
      <c r="CY450" s="1959"/>
      <c r="CZ450" s="1959"/>
      <c r="DA450" s="1959"/>
      <c r="DB450" s="1959"/>
      <c r="DC450" s="1959"/>
      <c r="DD450" s="1845"/>
      <c r="DE450" s="1961"/>
      <c r="DF450" s="1830"/>
      <c r="DG450" s="1783"/>
      <c r="DH450" s="1782"/>
      <c r="DI450" s="1782"/>
      <c r="DJ450" s="1782"/>
      <c r="DK450" s="1782"/>
      <c r="DL450" s="1782"/>
      <c r="DM450" s="1782">
        <f>SUM(AF450:AI450)</f>
        <v>17865</v>
      </c>
      <c r="DN450" s="1782">
        <f>SUM(AJ450:AM450)</f>
        <v>42295</v>
      </c>
      <c r="DO450" s="1782">
        <f>SUM(AN450:AQ450)</f>
        <v>56865</v>
      </c>
      <c r="DP450" s="1782">
        <f>SUM(AR450:AU450)</f>
        <v>67841</v>
      </c>
      <c r="DQ450" s="1782">
        <f>SUM(AV450:AY450)</f>
        <v>62530</v>
      </c>
      <c r="DR450" s="1782">
        <f>SUM(AZ450:BC450)</f>
        <v>98027</v>
      </c>
      <c r="DS450" s="1783">
        <f>SUM(BD450:BG450)</f>
        <v>91110</v>
      </c>
      <c r="DT450" s="1782">
        <f>SUM(BH450:BK450)</f>
        <v>89287</v>
      </c>
      <c r="DU450" s="1782">
        <f>SUM(BL450:BO450)</f>
        <v>65420</v>
      </c>
      <c r="DV450" s="1782">
        <f>SUM(BP450:BS450)</f>
        <v>39633</v>
      </c>
      <c r="DW450" s="1784"/>
      <c r="DX450" s="1782"/>
      <c r="DY450" s="1782"/>
      <c r="DZ450" s="1830"/>
      <c r="EA450"/>
      <c r="EB450"/>
      <c r="EC450"/>
      <c r="ED450"/>
      <c r="EE450"/>
      <c r="EF450"/>
    </row>
    <row r="451" spans="1:136" s="1785" customFormat="1" ht="11.25" hidden="1" customHeight="1" outlineLevel="1">
      <c r="A451" s="1830"/>
      <c r="B451" s="1943"/>
      <c r="C451" s="1859"/>
      <c r="D451" s="1779"/>
      <c r="E451" s="1932" t="s">
        <v>183</v>
      </c>
      <c r="F451" s="1968"/>
      <c r="G451" s="1938"/>
      <c r="H451" s="1938"/>
      <c r="I451" s="1969"/>
      <c r="J451" s="1938"/>
      <c r="K451" s="1938"/>
      <c r="L451" s="1938"/>
      <c r="M451" s="1969"/>
      <c r="N451" s="1938"/>
      <c r="O451" s="1938"/>
      <c r="P451" s="1938"/>
      <c r="Q451" s="1969"/>
      <c r="R451" s="1938"/>
      <c r="S451" s="1938"/>
      <c r="T451" s="1938"/>
      <c r="U451" s="1969"/>
      <c r="V451" s="1938"/>
      <c r="W451" s="1938"/>
      <c r="X451" s="1938"/>
      <c r="Y451" s="1969"/>
      <c r="Z451" s="1938"/>
      <c r="AA451" s="1938"/>
      <c r="AB451" s="1938"/>
      <c r="AC451" s="1969"/>
      <c r="AD451" s="1826"/>
      <c r="AE451" s="1826"/>
      <c r="AF451" s="1826"/>
      <c r="AG451" s="1826"/>
      <c r="AH451" s="1887">
        <f t="shared" ref="AH451:AU451" si="894">AH450/AD450-1</f>
        <v>1.6451077943615258</v>
      </c>
      <c r="AI451" s="1826">
        <f t="shared" si="894"/>
        <v>2.5108267716535435</v>
      </c>
      <c r="AJ451" s="1826">
        <f t="shared" si="894"/>
        <v>1.979391891891892</v>
      </c>
      <c r="AK451" s="1828">
        <f t="shared" si="894"/>
        <v>2.3081044876088415</v>
      </c>
      <c r="AL451" s="1826">
        <f t="shared" si="894"/>
        <v>1.5937304075235108</v>
      </c>
      <c r="AM451" s="1826">
        <f t="shared" si="894"/>
        <v>0.56812447434819169</v>
      </c>
      <c r="AN451" s="1826">
        <f t="shared" si="894"/>
        <v>-0.10057829685905428</v>
      </c>
      <c r="AO451" s="1828">
        <f t="shared" si="894"/>
        <v>0.48511844502935819</v>
      </c>
      <c r="AP451" s="1826">
        <f t="shared" si="894"/>
        <v>0.33172185964064127</v>
      </c>
      <c r="AQ451" s="1826">
        <f t="shared" si="894"/>
        <v>0.58532224903906327</v>
      </c>
      <c r="AR451" s="1826">
        <f t="shared" si="894"/>
        <v>1.152294503277862</v>
      </c>
      <c r="AS451" s="1826">
        <f t="shared" si="894"/>
        <v>0.14533060668029996</v>
      </c>
      <c r="AT451" s="1887">
        <f t="shared" si="894"/>
        <v>3.2671829622459292E-3</v>
      </c>
      <c r="AU451" s="1826">
        <f t="shared" si="894"/>
        <v>-1.973498731322243E-2</v>
      </c>
      <c r="AV451" s="1852">
        <f t="shared" ref="AV451:BD451" si="895">AV450/AR450-1</f>
        <v>-4.9496251171508909E-2</v>
      </c>
      <c r="AW451" s="1852">
        <f t="shared" si="895"/>
        <v>3.8685870729675553E-3</v>
      </c>
      <c r="AX451" s="1851">
        <f t="shared" si="895"/>
        <v>0.18333132312145706</v>
      </c>
      <c r="AY451" s="1852">
        <f t="shared" si="895"/>
        <v>-0.43549036525740581</v>
      </c>
      <c r="AZ451" s="1852">
        <f t="shared" si="895"/>
        <v>0.11339126147778389</v>
      </c>
      <c r="BA451" s="1825">
        <f t="shared" si="895"/>
        <v>0.94302484140629628</v>
      </c>
      <c r="BB451" s="1851">
        <f t="shared" si="895"/>
        <v>0.31928447660788906</v>
      </c>
      <c r="BC451" s="1852">
        <f t="shared" si="895"/>
        <v>1.1703688608110863</v>
      </c>
      <c r="BD451" s="1852">
        <f t="shared" si="895"/>
        <v>0.19261637239165319</v>
      </c>
      <c r="BE451" s="1825">
        <f t="shared" ref="BE451:BR451" si="896">BE450/BA450-1</f>
        <v>-0.26802550880297804</v>
      </c>
      <c r="BF451" s="1851">
        <f t="shared" si="896"/>
        <v>-0.11492254799706414</v>
      </c>
      <c r="BG451" s="1854">
        <f t="shared" si="896"/>
        <v>6.394366197183099E-2</v>
      </c>
      <c r="BH451" s="1852">
        <f t="shared" si="896"/>
        <v>1.2391516220355392E-2</v>
      </c>
      <c r="BI451" s="1825">
        <f t="shared" si="896"/>
        <v>-4.5437492183917683E-2</v>
      </c>
      <c r="BJ451" s="1851">
        <f t="shared" si="896"/>
        <v>2.1124301675977675E-2</v>
      </c>
      <c r="BK451" s="1854">
        <f t="shared" si="896"/>
        <v>-6.5484070249757331E-2</v>
      </c>
      <c r="BL451" s="1854">
        <f t="shared" si="896"/>
        <v>-0.13885578069129911</v>
      </c>
      <c r="BM451" s="1852">
        <f t="shared" si="896"/>
        <v>-0.32254683610638024</v>
      </c>
      <c r="BN451" s="1851">
        <f t="shared" si="896"/>
        <v>-0.3244999145153018</v>
      </c>
      <c r="BO451" s="1854">
        <f t="shared" si="896"/>
        <v>-0.2767022381716876</v>
      </c>
      <c r="BP451" s="1854">
        <f t="shared" si="896"/>
        <v>-0.27724248070268831</v>
      </c>
      <c r="BQ451" s="1825">
        <f>BQ450/BM450-1</f>
        <v>-0.26197382840198546</v>
      </c>
      <c r="BR451" s="1851">
        <f t="shared" si="896"/>
        <v>-7.574031890660593E-2</v>
      </c>
      <c r="BS451" s="1852"/>
      <c r="BT451" s="1852"/>
      <c r="BU451" s="1825"/>
      <c r="BV451" s="1852"/>
      <c r="BW451" s="1852"/>
      <c r="BX451" s="1852"/>
      <c r="BY451" s="1825"/>
      <c r="BZ451" s="1852"/>
      <c r="CA451" s="1852"/>
      <c r="CB451" s="1852"/>
      <c r="CC451" s="1825"/>
      <c r="CD451" s="1837"/>
      <c r="CE451" s="1934"/>
      <c r="CF451" s="1934"/>
      <c r="CG451" s="1934"/>
      <c r="CH451" s="1934"/>
      <c r="CI451" s="1934"/>
      <c r="CJ451" s="1934"/>
      <c r="CK451" s="1852"/>
      <c r="CL451" s="1852">
        <f t="shared" ref="CL451:CR451" si="897">CL450/CK450-1</f>
        <v>2.1282313272708695</v>
      </c>
      <c r="CM451" s="1852">
        <f t="shared" si="897"/>
        <v>0.50901489417298151</v>
      </c>
      <c r="CN451" s="1852">
        <f t="shared" si="897"/>
        <v>0.47482683982683982</v>
      </c>
      <c r="CO451" s="1852">
        <f t="shared" si="897"/>
        <v>-1.5791713753173786E-2</v>
      </c>
      <c r="CP451" s="1852">
        <f t="shared" si="897"/>
        <v>0.19705939368634517</v>
      </c>
      <c r="CQ451" s="1852">
        <f t="shared" si="897"/>
        <v>0.15505256863819827</v>
      </c>
      <c r="CR451" s="1852">
        <f t="shared" si="897"/>
        <v>-2.627179879857211E-2</v>
      </c>
      <c r="CS451" s="1852">
        <f>CS450/CR450-1</f>
        <v>-0.12643016159580001</v>
      </c>
      <c r="CT451" s="1852">
        <f>CT450/CS450-1</f>
        <v>-0.28811238462318689</v>
      </c>
      <c r="CU451" s="1852">
        <f>CU450/CT450-1</f>
        <v>-0.73984825817482369</v>
      </c>
      <c r="CV451" s="1852"/>
      <c r="CW451" s="1852"/>
      <c r="CX451" s="1991"/>
      <c r="CY451" s="1991"/>
      <c r="CZ451" s="1991"/>
      <c r="DA451" s="1991"/>
      <c r="DB451" s="1991"/>
      <c r="DC451" s="1991"/>
      <c r="DD451" s="1837"/>
      <c r="DE451" s="1839"/>
      <c r="DF451" s="1829"/>
      <c r="DG451" s="1804"/>
      <c r="DH451" s="1803"/>
      <c r="DI451" s="1803"/>
      <c r="DJ451" s="1803"/>
      <c r="DK451" s="1803"/>
      <c r="DL451" s="1803"/>
      <c r="DM451" s="1852"/>
      <c r="DN451" s="1852">
        <f t="shared" ref="DN451:DS451" si="898">DN450/DM450-1</f>
        <v>1.3674783095438006</v>
      </c>
      <c r="DO451" s="1852">
        <f t="shared" si="898"/>
        <v>0.3444851637309374</v>
      </c>
      <c r="DP451" s="1852">
        <f t="shared" si="898"/>
        <v>0.19301855271256474</v>
      </c>
      <c r="DQ451" s="1852">
        <f t="shared" si="898"/>
        <v>-7.8285992246576508E-2</v>
      </c>
      <c r="DR451" s="1852">
        <f t="shared" si="898"/>
        <v>0.56767951383335991</v>
      </c>
      <c r="DS451" s="1851">
        <f t="shared" si="898"/>
        <v>-7.056219204912928E-2</v>
      </c>
      <c r="DT451" s="1852">
        <f>DT450/DS450-1</f>
        <v>-2.0008780594885311E-2</v>
      </c>
      <c r="DU451" s="1852">
        <f>DU450/DT450-1</f>
        <v>-0.26730655078566867</v>
      </c>
      <c r="DV451" s="1852">
        <f>DV450/DU450-1</f>
        <v>-0.39417609293793943</v>
      </c>
      <c r="DW451" s="1825"/>
      <c r="DX451" s="1852"/>
      <c r="DY451" s="1852"/>
      <c r="DZ451" s="1830"/>
      <c r="EA451"/>
      <c r="EB451"/>
      <c r="EC451"/>
      <c r="ED451"/>
      <c r="EE451"/>
      <c r="EF451"/>
    </row>
    <row r="452" spans="1:136" s="1785" customFormat="1" ht="11.25" hidden="1" customHeight="1" outlineLevel="1">
      <c r="A452" s="1830"/>
      <c r="B452" s="1943"/>
      <c r="C452" s="1859"/>
      <c r="D452" s="1779"/>
      <c r="E452" s="1932" t="s">
        <v>184</v>
      </c>
      <c r="F452" s="1968"/>
      <c r="G452" s="1938"/>
      <c r="H452" s="1938"/>
      <c r="I452" s="1969"/>
      <c r="J452" s="1938"/>
      <c r="K452" s="1938"/>
      <c r="L452" s="1938"/>
      <c r="M452" s="1969"/>
      <c r="N452" s="1938"/>
      <c r="O452" s="1938"/>
      <c r="P452" s="1938"/>
      <c r="Q452" s="1969"/>
      <c r="R452" s="1938"/>
      <c r="S452" s="1938"/>
      <c r="T452" s="1938"/>
      <c r="U452" s="1969"/>
      <c r="V452" s="1938"/>
      <c r="W452" s="1938"/>
      <c r="X452" s="1938"/>
      <c r="Y452" s="1969"/>
      <c r="Z452" s="1938"/>
      <c r="AA452" s="1938"/>
      <c r="AB452" s="1938"/>
      <c r="AC452" s="1969"/>
      <c r="AD452" s="1826"/>
      <c r="AE452" s="1826">
        <f t="shared" ref="AE452:AS452" si="899">AE450/AD450-1</f>
        <v>0.12327252625760088</v>
      </c>
      <c r="AF452" s="1826">
        <f t="shared" si="899"/>
        <v>0.45669291338582685</v>
      </c>
      <c r="AG452" s="1826">
        <f t="shared" si="899"/>
        <v>8.7837837837838606E-3</v>
      </c>
      <c r="AH452" s="1887">
        <f t="shared" si="899"/>
        <v>0.60247823174815807</v>
      </c>
      <c r="AI452" s="1826">
        <f t="shared" si="899"/>
        <v>0.49090909090909096</v>
      </c>
      <c r="AJ452" s="1826">
        <f t="shared" si="899"/>
        <v>0.23619287917017107</v>
      </c>
      <c r="AK452" s="1828">
        <f t="shared" si="899"/>
        <v>0.12008164190951365</v>
      </c>
      <c r="AL452" s="1826">
        <f t="shared" si="899"/>
        <v>0.25642842680704603</v>
      </c>
      <c r="AM452" s="1826">
        <f t="shared" si="899"/>
        <v>-9.862218999274841E-2</v>
      </c>
      <c r="AN452" s="1826">
        <f t="shared" si="899"/>
        <v>-0.29096272459104322</v>
      </c>
      <c r="AO452" s="1828">
        <f t="shared" si="899"/>
        <v>0.84947049924357043</v>
      </c>
      <c r="AP452" s="1826">
        <f t="shared" si="899"/>
        <v>0.12665303340149969</v>
      </c>
      <c r="AQ452" s="1826">
        <f t="shared" si="899"/>
        <v>7.3027589545014537E-2</v>
      </c>
      <c r="AR452" s="1826">
        <f t="shared" si="899"/>
        <v>-3.7383704539047047E-2</v>
      </c>
      <c r="AS452" s="1826">
        <f t="shared" si="899"/>
        <v>-1.581537019681345E-2</v>
      </c>
      <c r="AT452" s="1851">
        <f t="shared" ref="AT452:BR452" si="900">AT450/AS450-1</f>
        <v>-1.3093679323890051E-2</v>
      </c>
      <c r="AU452" s="1852">
        <f t="shared" si="900"/>
        <v>4.8426004100832198E-2</v>
      </c>
      <c r="AV452" s="1852">
        <f t="shared" si="900"/>
        <v>-6.660914581535804E-2</v>
      </c>
      <c r="AW452" s="1852">
        <f t="shared" si="900"/>
        <v>3.9440438774881459E-2</v>
      </c>
      <c r="AX452" s="1851">
        <f t="shared" si="900"/>
        <v>0.16333669295073228</v>
      </c>
      <c r="AY452" s="1852">
        <f t="shared" si="900"/>
        <v>-0.49984711038630114</v>
      </c>
      <c r="AZ452" s="1852">
        <f t="shared" si="900"/>
        <v>0.84094151212553503</v>
      </c>
      <c r="BA452" s="1852">
        <f t="shared" si="900"/>
        <v>0.8139702219516245</v>
      </c>
      <c r="BB452" s="1851">
        <f t="shared" si="900"/>
        <v>-0.21011198242455675</v>
      </c>
      <c r="BC452" s="1852">
        <f t="shared" si="900"/>
        <v>-0.17719318576891874</v>
      </c>
      <c r="BD452" s="1852">
        <f t="shared" si="900"/>
        <v>1.1596244131455435E-2</v>
      </c>
      <c r="BE452" s="1852">
        <f t="shared" si="900"/>
        <v>0.11333364273448732</v>
      </c>
      <c r="BF452" s="1851">
        <f t="shared" si="900"/>
        <v>-4.4895577139522302E-2</v>
      </c>
      <c r="BG452" s="1854">
        <f t="shared" si="900"/>
        <v>-1.0911312849162025E-2</v>
      </c>
      <c r="BH452" s="1852">
        <f t="shared" si="900"/>
        <v>-3.7419468714147031E-2</v>
      </c>
      <c r="BI452" s="1852">
        <f t="shared" si="900"/>
        <v>4.9738699917484253E-2</v>
      </c>
      <c r="BJ452" s="1851">
        <f t="shared" si="900"/>
        <v>2.1704004541682975E-2</v>
      </c>
      <c r="BK452" s="1854">
        <f t="shared" si="900"/>
        <v>-9.480253034706787E-2</v>
      </c>
      <c r="BL452" s="1854">
        <f t="shared" si="900"/>
        <v>-0.1129946170554349</v>
      </c>
      <c r="BM452" s="1852">
        <f t="shared" si="900"/>
        <v>-0.17418152781474583</v>
      </c>
      <c r="BN452" s="1851">
        <f t="shared" si="900"/>
        <v>1.8758460645909913E-2</v>
      </c>
      <c r="BO452" s="1854">
        <f t="shared" si="900"/>
        <v>-3.0751708428246038E-2</v>
      </c>
      <c r="BP452" s="1854">
        <f t="shared" si="900"/>
        <v>-0.11365713539626587</v>
      </c>
      <c r="BQ452" s="1825">
        <f>BQ450/BP450-1</f>
        <v>-0.15673565588863514</v>
      </c>
      <c r="BR452" s="1851">
        <f t="shared" si="900"/>
        <v>0.27583195038868014</v>
      </c>
      <c r="BS452" s="1852"/>
      <c r="BT452" s="1852"/>
      <c r="BU452" s="1825"/>
      <c r="BV452" s="1852"/>
      <c r="BW452" s="1852"/>
      <c r="BX452" s="1852"/>
      <c r="BY452" s="1825"/>
      <c r="BZ452" s="1852"/>
      <c r="CA452" s="1852"/>
      <c r="CB452" s="1852"/>
      <c r="CC452" s="1825"/>
      <c r="CD452" s="1837"/>
      <c r="CE452" s="1934"/>
      <c r="CF452" s="1934"/>
      <c r="CG452" s="1934"/>
      <c r="CH452" s="1934"/>
      <c r="CI452" s="1934"/>
      <c r="CJ452" s="1934"/>
      <c r="CK452" s="1937"/>
      <c r="CL452" s="1937"/>
      <c r="CM452" s="1934"/>
      <c r="CN452" s="1934"/>
      <c r="CO452" s="1938"/>
      <c r="CP452" s="1938"/>
      <c r="CQ452" s="1938"/>
      <c r="CR452" s="1938"/>
      <c r="CS452" s="1852"/>
      <c r="CT452" s="1852"/>
      <c r="CU452" s="1852"/>
      <c r="CV452" s="1852"/>
      <c r="CW452" s="1852"/>
      <c r="CX452" s="1852"/>
      <c r="CY452" s="1852"/>
      <c r="CZ452" s="1852"/>
      <c r="DA452" s="1852"/>
      <c r="DB452" s="1852"/>
      <c r="DC452" s="1852"/>
      <c r="DD452" s="1837"/>
      <c r="DE452" s="1839"/>
      <c r="DF452" s="1829"/>
      <c r="DG452" s="1804"/>
      <c r="DH452" s="1803"/>
      <c r="DI452" s="1803"/>
      <c r="DJ452" s="1803"/>
      <c r="DK452" s="1803"/>
      <c r="DL452" s="1803"/>
      <c r="DM452" s="1848"/>
      <c r="DN452" s="1848"/>
      <c r="DO452" s="1848"/>
      <c r="DP452" s="1848"/>
      <c r="DQ452" s="1848"/>
      <c r="DR452" s="1848"/>
      <c r="DS452" s="1855"/>
      <c r="DT452" s="1848"/>
      <c r="DU452" s="1848"/>
      <c r="DV452" s="1848"/>
      <c r="DW452" s="1850"/>
      <c r="DX452" s="1848"/>
      <c r="DY452" s="1848"/>
      <c r="DZ452" s="1830"/>
      <c r="EA452"/>
      <c r="EB452"/>
      <c r="EC452"/>
      <c r="ED452"/>
      <c r="EE452"/>
      <c r="EF452"/>
    </row>
    <row r="453" spans="1:136" s="1785" customFormat="1" ht="11.25" hidden="1" customHeight="1" outlineLevel="1">
      <c r="A453" s="1830"/>
      <c r="B453" s="1943"/>
      <c r="C453" s="1859"/>
      <c r="D453" s="1779"/>
      <c r="E453" s="1840" t="s">
        <v>806</v>
      </c>
      <c r="F453" s="1968"/>
      <c r="G453" s="1938"/>
      <c r="H453" s="1938"/>
      <c r="I453" s="1969"/>
      <c r="J453" s="1938"/>
      <c r="K453" s="1938"/>
      <c r="L453" s="1938"/>
      <c r="M453" s="1969"/>
      <c r="N453" s="1938"/>
      <c r="O453" s="1938"/>
      <c r="P453" s="1938"/>
      <c r="Q453" s="1969"/>
      <c r="R453" s="1938"/>
      <c r="S453" s="1938"/>
      <c r="T453" s="1938"/>
      <c r="U453" s="1969"/>
      <c r="V453" s="1938"/>
      <c r="W453" s="1938"/>
      <c r="X453" s="1938"/>
      <c r="Y453" s="1969"/>
      <c r="Z453" s="1938"/>
      <c r="AA453" s="1938"/>
      <c r="AB453" s="1938"/>
      <c r="AC453" s="1969"/>
      <c r="AD453" s="1826"/>
      <c r="AE453" s="1826"/>
      <c r="AF453" s="1826"/>
      <c r="AG453" s="1826"/>
      <c r="AH453" s="1887"/>
      <c r="AI453" s="1826"/>
      <c r="AJ453" s="1826"/>
      <c r="AK453" s="1828"/>
      <c r="AL453" s="1826"/>
      <c r="AM453" s="1826"/>
      <c r="AN453" s="1826"/>
      <c r="AO453" s="1828"/>
      <c r="AP453" s="2011">
        <v>43.4</v>
      </c>
      <c r="AQ453" s="2010">
        <v>44.5</v>
      </c>
      <c r="AR453" s="2010">
        <v>45</v>
      </c>
      <c r="AS453" s="2010">
        <v>41.25</v>
      </c>
      <c r="AT453" s="2011">
        <v>40.25</v>
      </c>
      <c r="AU453" s="2010">
        <v>40.75</v>
      </c>
      <c r="AV453" s="1972">
        <f t="shared" ref="AV453:BI453" si="901">AU453*(1+AV455)</f>
        <v>39.731249999999996</v>
      </c>
      <c r="AW453" s="1972">
        <f t="shared" si="901"/>
        <v>39.731249999999996</v>
      </c>
      <c r="AX453" s="1971">
        <f t="shared" si="901"/>
        <v>41.519156249999995</v>
      </c>
      <c r="AY453" s="1972">
        <f t="shared" si="901"/>
        <v>61.240755468749995</v>
      </c>
      <c r="AZ453" s="1972">
        <f t="shared" si="901"/>
        <v>60.199662625781244</v>
      </c>
      <c r="BA453" s="1973">
        <f t="shared" si="901"/>
        <v>53.577699736945306</v>
      </c>
      <c r="BB453" s="1971">
        <f t="shared" si="901"/>
        <v>51.970368744836946</v>
      </c>
      <c r="BC453" s="1972">
        <f t="shared" si="901"/>
        <v>50.151405838767651</v>
      </c>
      <c r="BD453" s="1972">
        <f t="shared" si="901"/>
        <v>49.273756236589222</v>
      </c>
      <c r="BE453" s="1973">
        <f t="shared" si="901"/>
        <v>48.041912330674492</v>
      </c>
      <c r="BF453" s="1971">
        <f t="shared" si="901"/>
        <v>46.600654960754255</v>
      </c>
      <c r="BG453" s="2012">
        <f t="shared" si="901"/>
        <v>47.532668059969339</v>
      </c>
      <c r="BH453" s="1972">
        <f t="shared" si="901"/>
        <v>46.8196780390698</v>
      </c>
      <c r="BI453" s="1973">
        <f t="shared" si="901"/>
        <v>45.883284478288402</v>
      </c>
      <c r="BJ453" s="1971">
        <f t="shared" ref="BJ453:BP453" si="902">BI453*(1+BJ455)</f>
        <v>46.842530109890284</v>
      </c>
      <c r="BK453" s="1972">
        <f t="shared" si="902"/>
        <v>47.428061736263913</v>
      </c>
      <c r="BL453" s="1972">
        <f t="shared" si="902"/>
        <v>48.054112151182601</v>
      </c>
      <c r="BM453" s="1972">
        <f t="shared" si="902"/>
        <v>46.61248878664712</v>
      </c>
      <c r="BN453" s="1971">
        <f t="shared" si="902"/>
        <v>46.61248878664712</v>
      </c>
      <c r="BO453" s="1972">
        <f t="shared" si="902"/>
        <v>46.845551230580348</v>
      </c>
      <c r="BP453" s="1972">
        <f t="shared" si="902"/>
        <v>45.440184693662935</v>
      </c>
      <c r="BQ453" s="1973">
        <f>BP453*(1+BQ455)</f>
        <v>48.166595775282715</v>
      </c>
      <c r="BR453" s="1972">
        <f>BQ453*(1+BR455)</f>
        <v>48.64826173303554</v>
      </c>
      <c r="BS453" s="1972"/>
      <c r="BT453" s="1972"/>
      <c r="BU453" s="1973"/>
      <c r="BV453" s="1972"/>
      <c r="BW453" s="1972"/>
      <c r="BX453" s="1972"/>
      <c r="BY453" s="1973"/>
      <c r="BZ453" s="1972"/>
      <c r="CA453" s="1972"/>
      <c r="CB453" s="1972"/>
      <c r="CC453" s="1973"/>
      <c r="CD453" s="1837"/>
      <c r="CE453" s="1934"/>
      <c r="CF453" s="1934"/>
      <c r="CG453" s="1934"/>
      <c r="CH453" s="1934"/>
      <c r="CI453" s="1934"/>
      <c r="CJ453" s="1934"/>
      <c r="CK453" s="1937"/>
      <c r="CL453" s="1822"/>
      <c r="CM453" s="1831"/>
      <c r="CN453" s="1972">
        <f t="shared" ref="CN453:CU453" si="903">CN447*1000/CN450</f>
        <v>43.557027752909583</v>
      </c>
      <c r="CO453" s="1972">
        <f t="shared" si="903"/>
        <v>40.123622336380308</v>
      </c>
      <c r="CP453" s="1972">
        <f t="shared" si="903"/>
        <v>53.057388462886919</v>
      </c>
      <c r="CQ453" s="1972">
        <f t="shared" si="903"/>
        <v>49.909525582581281</v>
      </c>
      <c r="CR453" s="1972">
        <f t="shared" si="903"/>
        <v>46.705564677621602</v>
      </c>
      <c r="CS453" s="1972">
        <f t="shared" si="903"/>
        <v>47.243069292129171</v>
      </c>
      <c r="CT453" s="1972">
        <f t="shared" si="903"/>
        <v>46.709494000699479</v>
      </c>
      <c r="CU453" s="1972">
        <f t="shared" si="903"/>
        <v>48.64826173303554</v>
      </c>
      <c r="CV453" s="1972"/>
      <c r="CW453" s="1972"/>
      <c r="CX453" s="1972"/>
      <c r="CY453" s="1972"/>
      <c r="CZ453" s="1972"/>
      <c r="DA453" s="1972"/>
      <c r="DB453" s="1972"/>
      <c r="DC453" s="1972"/>
      <c r="DD453" s="1837"/>
      <c r="DE453" s="1839"/>
      <c r="DF453" s="1829"/>
      <c r="DG453" s="1804"/>
      <c r="DH453" s="1803"/>
      <c r="DI453" s="1803"/>
      <c r="DJ453" s="1803"/>
      <c r="DK453" s="1803"/>
      <c r="DL453" s="1803"/>
      <c r="DM453" s="1963"/>
      <c r="DN453" s="1963"/>
      <c r="DO453" s="1963"/>
      <c r="DP453" s="1963">
        <f t="shared" ref="DP453:DU453" si="904">DP447/DP450*1000</f>
        <v>41.821122182750841</v>
      </c>
      <c r="DQ453" s="1963">
        <f t="shared" si="904"/>
        <v>43.668185600636697</v>
      </c>
      <c r="DR453" s="1963">
        <f t="shared" si="904"/>
        <v>53.629215809952797</v>
      </c>
      <c r="DS453" s="1964">
        <f t="shared" si="904"/>
        <v>47.844128971201457</v>
      </c>
      <c r="DT453" s="1963">
        <f t="shared" si="904"/>
        <v>46.729816366483206</v>
      </c>
      <c r="DU453" s="1963">
        <f t="shared" si="904"/>
        <v>47.081014396842292</v>
      </c>
      <c r="DV453" s="1963">
        <f>DV447/DV450*1000</f>
        <v>47.410135537343216</v>
      </c>
      <c r="DW453" s="1965"/>
      <c r="DX453" s="1963"/>
      <c r="DY453" s="1963"/>
      <c r="DZ453" s="1830"/>
      <c r="EA453"/>
      <c r="EB453"/>
      <c r="EC453"/>
      <c r="ED453"/>
      <c r="EE453"/>
      <c r="EF453"/>
    </row>
    <row r="454" spans="1:136" s="1785" customFormat="1" ht="11.25" hidden="1" customHeight="1" outlineLevel="1">
      <c r="A454" s="1830"/>
      <c r="B454" s="1943"/>
      <c r="C454" s="1859"/>
      <c r="D454" s="1779"/>
      <c r="E454" s="1932" t="s">
        <v>183</v>
      </c>
      <c r="F454" s="1968"/>
      <c r="G454" s="1938"/>
      <c r="H454" s="1938"/>
      <c r="I454" s="1969"/>
      <c r="J454" s="1938"/>
      <c r="K454" s="1938"/>
      <c r="L454" s="1938"/>
      <c r="M454" s="1969"/>
      <c r="N454" s="1938"/>
      <c r="O454" s="1938"/>
      <c r="P454" s="1938"/>
      <c r="Q454" s="1969"/>
      <c r="R454" s="1938"/>
      <c r="S454" s="1938"/>
      <c r="T454" s="1938"/>
      <c r="U454" s="1969"/>
      <c r="V454" s="1938"/>
      <c r="W454" s="1938"/>
      <c r="X454" s="1938"/>
      <c r="Y454" s="1969"/>
      <c r="Z454" s="1938"/>
      <c r="AA454" s="1938"/>
      <c r="AB454" s="1938"/>
      <c r="AC454" s="1969"/>
      <c r="AD454" s="1826"/>
      <c r="AE454" s="1826"/>
      <c r="AF454" s="1826"/>
      <c r="AG454" s="1826"/>
      <c r="AH454" s="1887"/>
      <c r="AI454" s="1826"/>
      <c r="AJ454" s="1826"/>
      <c r="AK454" s="1828"/>
      <c r="AL454" s="1826"/>
      <c r="AM454" s="1826"/>
      <c r="AN454" s="1826"/>
      <c r="AO454" s="1828"/>
      <c r="AP454" s="2017">
        <f>9292.6/196.9782</f>
        <v>47.17577884253182</v>
      </c>
      <c r="AQ454" s="2018">
        <f>10050.8/225.9133</f>
        <v>44.48963385511167</v>
      </c>
      <c r="AR454" s="2018"/>
      <c r="AS454" s="2018"/>
      <c r="AT454" s="1851">
        <f>AT453/AP453-1</f>
        <v>-7.2580645161290258E-2</v>
      </c>
      <c r="AU454" s="1852">
        <f>AU453/AQ453-1</f>
        <v>-8.4269662921348298E-2</v>
      </c>
      <c r="AV454" s="1852">
        <f t="shared" ref="AV454:BD454" si="905">AV453/AR453-1</f>
        <v>-0.11708333333333343</v>
      </c>
      <c r="AW454" s="1852">
        <f t="shared" si="905"/>
        <v>-3.6818181818181972E-2</v>
      </c>
      <c r="AX454" s="1851">
        <f t="shared" si="905"/>
        <v>3.1531832298136608E-2</v>
      </c>
      <c r="AY454" s="1852">
        <f t="shared" si="905"/>
        <v>0.50284062499999993</v>
      </c>
      <c r="AZ454" s="1852">
        <f t="shared" si="905"/>
        <v>0.51517162500000002</v>
      </c>
      <c r="BA454" s="1825">
        <f t="shared" si="905"/>
        <v>0.34850274624999988</v>
      </c>
      <c r="BB454" s="1851">
        <f t="shared" si="905"/>
        <v>0.25172025249999996</v>
      </c>
      <c r="BC454" s="1852">
        <f t="shared" si="905"/>
        <v>-0.18107793650000004</v>
      </c>
      <c r="BD454" s="1852">
        <f t="shared" si="905"/>
        <v>-0.18149447875000002</v>
      </c>
      <c r="BE454" s="1825">
        <f t="shared" ref="BE454:BO454" si="906">BE453/BA453-1</f>
        <v>-0.10332260312499997</v>
      </c>
      <c r="BF454" s="1851">
        <f t="shared" si="906"/>
        <v>-0.10332260312499997</v>
      </c>
      <c r="BG454" s="1854">
        <f t="shared" si="906"/>
        <v>-5.2216637499999941E-2</v>
      </c>
      <c r="BH454" s="1852">
        <f t="shared" si="906"/>
        <v>-4.9804975000000029E-2</v>
      </c>
      <c r="BI454" s="1825">
        <f t="shared" si="906"/>
        <v>-4.4932180000000099E-2</v>
      </c>
      <c r="BJ454" s="1851">
        <f t="shared" si="906"/>
        <v>5.1903808935673812E-3</v>
      </c>
      <c r="BK454" s="1852">
        <f t="shared" si="906"/>
        <v>-2.2007248482969199E-3</v>
      </c>
      <c r="BL454" s="1852">
        <f t="shared" si="906"/>
        <v>2.6365711252492874E-2</v>
      </c>
      <c r="BM454" s="1825">
        <f t="shared" si="906"/>
        <v>1.5892591749916418E-2</v>
      </c>
      <c r="BN454" s="1851">
        <f t="shared" si="906"/>
        <v>-4.9109499999999695E-3</v>
      </c>
      <c r="BO454" s="1852">
        <f t="shared" si="906"/>
        <v>-1.2281980000000137E-2</v>
      </c>
      <c r="BP454" s="1852">
        <f>BP453/BL453-1</f>
        <v>-5.4395500000000263E-2</v>
      </c>
      <c r="BQ454" s="1825">
        <f>BQ453/BM453-1</f>
        <v>3.3340999999999843E-2</v>
      </c>
      <c r="BR454" s="1852">
        <f>BR453/BN453-1</f>
        <v>4.3674409999999719E-2</v>
      </c>
      <c r="BS454" s="1852"/>
      <c r="BT454" s="1852"/>
      <c r="BU454" s="1825"/>
      <c r="BV454" s="1852"/>
      <c r="BW454" s="1852"/>
      <c r="BX454" s="1852"/>
      <c r="BY454" s="1825"/>
      <c r="BZ454" s="1852"/>
      <c r="CA454" s="1852"/>
      <c r="CB454" s="1852"/>
      <c r="CC454" s="1825"/>
      <c r="CD454" s="1837"/>
      <c r="CE454" s="1934"/>
      <c r="CF454" s="1934"/>
      <c r="CG454" s="1934"/>
      <c r="CH454" s="1934"/>
      <c r="CI454" s="1934"/>
      <c r="CJ454" s="1934"/>
      <c r="CK454" s="1937"/>
      <c r="CL454" s="1937"/>
      <c r="CM454" s="1934"/>
      <c r="CN454" s="1852"/>
      <c r="CO454" s="1852">
        <f t="shared" ref="CO454:CU454" si="907">CO453/CN453-1</f>
        <v>-7.8825521245533658E-2</v>
      </c>
      <c r="CP454" s="1852">
        <f t="shared" si="907"/>
        <v>0.32234791809361374</v>
      </c>
      <c r="CQ454" s="1852">
        <f t="shared" si="907"/>
        <v>-5.9329397309246246E-2</v>
      </c>
      <c r="CR454" s="1852">
        <f t="shared" si="907"/>
        <v>-6.4195378889313259E-2</v>
      </c>
      <c r="CS454" s="1852">
        <f t="shared" si="907"/>
        <v>1.1508363472695793E-2</v>
      </c>
      <c r="CT454" s="1852">
        <f t="shared" si="907"/>
        <v>-1.12942554204154E-2</v>
      </c>
      <c r="CU454" s="1852">
        <f t="shared" si="907"/>
        <v>4.1506930738899106E-2</v>
      </c>
      <c r="CV454" s="1852"/>
      <c r="CW454" s="1852"/>
      <c r="CX454" s="1991"/>
      <c r="CY454" s="1991"/>
      <c r="CZ454" s="1991"/>
      <c r="DA454" s="1991"/>
      <c r="DB454" s="1991"/>
      <c r="DC454" s="1991"/>
      <c r="DD454" s="1837"/>
      <c r="DE454" s="1839"/>
      <c r="DF454" s="1829"/>
      <c r="DG454" s="1804"/>
      <c r="DH454" s="1803"/>
      <c r="DI454" s="1803"/>
      <c r="DJ454" s="1803"/>
      <c r="DK454" s="1803"/>
      <c r="DL454" s="1803"/>
      <c r="DM454" s="1852"/>
      <c r="DN454" s="1852"/>
      <c r="DO454" s="1852"/>
      <c r="DP454" s="1852"/>
      <c r="DQ454" s="1852">
        <f t="shared" ref="DQ454:DV454" si="908">DQ453/DP453-1</f>
        <v>4.4165802386041175E-2</v>
      </c>
      <c r="DR454" s="1852">
        <f t="shared" si="908"/>
        <v>0.22810726097973855</v>
      </c>
      <c r="DS454" s="1851">
        <f t="shared" si="908"/>
        <v>-0.10787192673583179</v>
      </c>
      <c r="DT454" s="1852">
        <f t="shared" si="908"/>
        <v>-2.3290477404008803E-2</v>
      </c>
      <c r="DU454" s="1852">
        <f t="shared" si="908"/>
        <v>7.5155020427382091E-3</v>
      </c>
      <c r="DV454" s="1852">
        <f t="shared" si="908"/>
        <v>6.9905278107813551E-3</v>
      </c>
      <c r="DW454" s="1825"/>
      <c r="DX454" s="1852"/>
      <c r="DY454" s="1852"/>
      <c r="DZ454" s="1830"/>
      <c r="EA454"/>
      <c r="EB454"/>
      <c r="EC454"/>
      <c r="ED454"/>
      <c r="EE454"/>
      <c r="EF454"/>
    </row>
    <row r="455" spans="1:136" s="1785" customFormat="1" ht="11.25" hidden="1" customHeight="1" outlineLevel="1">
      <c r="A455" s="1830"/>
      <c r="B455" s="1943"/>
      <c r="C455" s="1859"/>
      <c r="D455" s="1779"/>
      <c r="E455" s="1932" t="s">
        <v>184</v>
      </c>
      <c r="F455" s="1968"/>
      <c r="G455" s="1938"/>
      <c r="H455" s="1938"/>
      <c r="I455" s="1969"/>
      <c r="J455" s="1938"/>
      <c r="K455" s="1938"/>
      <c r="L455" s="1938"/>
      <c r="M455" s="1969"/>
      <c r="N455" s="1938"/>
      <c r="O455" s="1938"/>
      <c r="P455" s="1938"/>
      <c r="Q455" s="1969"/>
      <c r="R455" s="1938"/>
      <c r="S455" s="1938"/>
      <c r="T455" s="1938"/>
      <c r="U455" s="1969"/>
      <c r="V455" s="1938"/>
      <c r="W455" s="1938"/>
      <c r="X455" s="1938"/>
      <c r="Y455" s="1969"/>
      <c r="Z455" s="1938"/>
      <c r="AA455" s="1938"/>
      <c r="AB455" s="1938"/>
      <c r="AC455" s="1969"/>
      <c r="AD455" s="1826"/>
      <c r="AE455" s="1826"/>
      <c r="AF455" s="1826"/>
      <c r="AG455" s="1826"/>
      <c r="AH455" s="1887"/>
      <c r="AI455" s="1826"/>
      <c r="AJ455" s="1826"/>
      <c r="AK455" s="1828"/>
      <c r="AL455" s="1826"/>
      <c r="AM455" s="1826"/>
      <c r="AN455" s="1826"/>
      <c r="AO455" s="1828"/>
      <c r="AP455" s="1873"/>
      <c r="AQ455" s="1852">
        <f>AQ453/AP453-1</f>
        <v>2.5345622119815614E-2</v>
      </c>
      <c r="AR455" s="1852">
        <f>AR453/AQ453-1</f>
        <v>1.1235955056179803E-2</v>
      </c>
      <c r="AS455" s="1852">
        <f>AS453/AR453-1</f>
        <v>-8.333333333333337E-2</v>
      </c>
      <c r="AT455" s="1851">
        <f>AT453/AS453-1</f>
        <v>-2.4242424242424288E-2</v>
      </c>
      <c r="AU455" s="1852">
        <f>AU453/AT453-1</f>
        <v>1.2422360248447228E-2</v>
      </c>
      <c r="AV455" s="1852">
        <v>-2.5000000000000001E-2</v>
      </c>
      <c r="AW455" s="1852">
        <v>0</v>
      </c>
      <c r="AX455" s="1851">
        <v>4.4999999999999998E-2</v>
      </c>
      <c r="AY455" s="1852">
        <v>0.47499999999999998</v>
      </c>
      <c r="AZ455" s="1852">
        <v>-1.7000000000000001E-2</v>
      </c>
      <c r="BA455" s="1825">
        <v>-0.11</v>
      </c>
      <c r="BB455" s="1851">
        <v>-0.03</v>
      </c>
      <c r="BC455" s="1852">
        <v>-3.5000000000000003E-2</v>
      </c>
      <c r="BD455" s="1852">
        <v>-1.7500000000000002E-2</v>
      </c>
      <c r="BE455" s="1825">
        <v>-2.5000000000000001E-2</v>
      </c>
      <c r="BF455" s="1851">
        <v>-0.03</v>
      </c>
      <c r="BG455" s="1854">
        <v>0.02</v>
      </c>
      <c r="BH455" s="1852">
        <v>-1.4999999999999999E-2</v>
      </c>
      <c r="BI455" s="1825">
        <v>-0.02</v>
      </c>
      <c r="BJ455" s="1851">
        <f>$BJ$424</f>
        <v>2.0906211107354095E-2</v>
      </c>
      <c r="BK455" s="1852">
        <v>1.2500000000000001E-2</v>
      </c>
      <c r="BL455" s="1852">
        <f>$BL$424</f>
        <v>1.32E-2</v>
      </c>
      <c r="BM455" s="1825">
        <v>-0.03</v>
      </c>
      <c r="BN455" s="1851">
        <v>0</v>
      </c>
      <c r="BO455" s="1852">
        <v>5.0000000000000001E-3</v>
      </c>
      <c r="BP455" s="1852">
        <v>-0.03</v>
      </c>
      <c r="BQ455" s="1825">
        <v>0.06</v>
      </c>
      <c r="BR455" s="1851">
        <v>0.01</v>
      </c>
      <c r="BS455" s="1852"/>
      <c r="BT455" s="1852"/>
      <c r="BU455" s="1825"/>
      <c r="BV455" s="1852"/>
      <c r="BW455" s="1852"/>
      <c r="BX455" s="1852"/>
      <c r="BY455" s="1825"/>
      <c r="BZ455" s="1852"/>
      <c r="CA455" s="1852"/>
      <c r="CB455" s="1852"/>
      <c r="CC455" s="1825"/>
      <c r="CD455" s="1837"/>
      <c r="CE455" s="1934"/>
      <c r="CF455" s="1934"/>
      <c r="CG455" s="1934"/>
      <c r="CH455" s="1934"/>
      <c r="CI455" s="1934"/>
      <c r="CJ455" s="1934"/>
      <c r="CK455" s="1937"/>
      <c r="CL455" s="1937"/>
      <c r="CM455" s="1934"/>
      <c r="CN455" s="1934"/>
      <c r="CO455" s="1938"/>
      <c r="CP455" s="1938"/>
      <c r="CQ455" s="1938"/>
      <c r="CR455" s="1938"/>
      <c r="CS455" s="1852"/>
      <c r="CT455" s="1852"/>
      <c r="CU455" s="1852"/>
      <c r="CV455" s="1852"/>
      <c r="CW455" s="1852"/>
      <c r="CX455" s="1852"/>
      <c r="CY455" s="1852"/>
      <c r="CZ455" s="1852"/>
      <c r="DA455" s="1852"/>
      <c r="DB455" s="1852"/>
      <c r="DC455" s="1852"/>
      <c r="DD455" s="1837"/>
      <c r="DE455" s="1839"/>
      <c r="DF455" s="1829"/>
      <c r="DG455" s="1804"/>
      <c r="DH455" s="1803"/>
      <c r="DI455" s="1803"/>
      <c r="DJ455" s="1803"/>
      <c r="DK455" s="1803"/>
      <c r="DL455" s="1803"/>
      <c r="DM455" s="1803"/>
      <c r="DN455" s="1803"/>
      <c r="DO455" s="1803"/>
      <c r="DP455" s="1803"/>
      <c r="DQ455" s="1803"/>
      <c r="DR455" s="1803"/>
      <c r="DS455" s="1804"/>
      <c r="DT455" s="1974"/>
      <c r="DU455" s="1974"/>
      <c r="DV455" s="1974"/>
      <c r="DW455" s="1975"/>
      <c r="DX455" s="1974"/>
      <c r="DY455" s="1974"/>
      <c r="DZ455" s="1830"/>
      <c r="EA455"/>
      <c r="EB455"/>
      <c r="EC455"/>
      <c r="ED455"/>
      <c r="EE455"/>
      <c r="EF455"/>
    </row>
    <row r="456" spans="1:136" s="1785" customFormat="1" ht="11.25" hidden="1" customHeight="1" outlineLevel="1">
      <c r="A456" s="1830"/>
      <c r="B456" s="1943"/>
      <c r="C456" s="1859"/>
      <c r="D456" s="1779"/>
      <c r="E456" s="1932"/>
      <c r="F456" s="1968"/>
      <c r="G456" s="1938"/>
      <c r="H456" s="1938"/>
      <c r="I456" s="1969"/>
      <c r="J456" s="1938"/>
      <c r="K456" s="1938"/>
      <c r="L456" s="1938"/>
      <c r="M456" s="1969"/>
      <c r="N456" s="1938"/>
      <c r="O456" s="1938"/>
      <c r="P456" s="1938"/>
      <c r="Q456" s="1969"/>
      <c r="R456" s="1938"/>
      <c r="S456" s="1938"/>
      <c r="T456" s="1938"/>
      <c r="U456" s="1969"/>
      <c r="V456" s="1938"/>
      <c r="W456" s="1938"/>
      <c r="X456" s="1938"/>
      <c r="Y456" s="1969"/>
      <c r="Z456" s="1938"/>
      <c r="AA456" s="1938"/>
      <c r="AB456" s="1938"/>
      <c r="AC456" s="1969"/>
      <c r="AD456" s="1826"/>
      <c r="AE456" s="1826"/>
      <c r="AF456" s="1826"/>
      <c r="AG456" s="1826"/>
      <c r="AH456" s="1887"/>
      <c r="AI456" s="1826"/>
      <c r="AJ456" s="1826"/>
      <c r="AK456" s="1828"/>
      <c r="AL456" s="1826"/>
      <c r="AM456" s="1826"/>
      <c r="AN456" s="1826"/>
      <c r="AO456" s="1828"/>
      <c r="AP456" s="1826"/>
      <c r="AQ456" s="1826"/>
      <c r="AR456" s="1826"/>
      <c r="AS456" s="1826"/>
      <c r="AT456" s="1887"/>
      <c r="AU456" s="1826"/>
      <c r="AV456" s="1826"/>
      <c r="AW456" s="1828"/>
      <c r="AX456" s="1826"/>
      <c r="AY456" s="1826"/>
      <c r="AZ456" s="1826"/>
      <c r="BA456" s="1828"/>
      <c r="BB456" s="1887"/>
      <c r="BC456" s="1826"/>
      <c r="BD456" s="1826"/>
      <c r="BE456" s="1828"/>
      <c r="BF456" s="1887"/>
      <c r="BG456" s="1886"/>
      <c r="BH456" s="1826"/>
      <c r="BI456" s="1828"/>
      <c r="BJ456" s="1887"/>
      <c r="BK456" s="1826"/>
      <c r="BL456" s="1826"/>
      <c r="BM456" s="1828"/>
      <c r="BN456" s="1976"/>
      <c r="BO456" s="1977"/>
      <c r="BP456" s="1977"/>
      <c r="BQ456" s="1978"/>
      <c r="BR456" s="1977"/>
      <c r="BS456" s="1977"/>
      <c r="BT456" s="1977"/>
      <c r="BU456" s="1978"/>
      <c r="BV456" s="1977"/>
      <c r="BW456" s="1977"/>
      <c r="BX456" s="1977"/>
      <c r="BY456" s="1978"/>
      <c r="BZ456" s="1977"/>
      <c r="CA456" s="1977"/>
      <c r="CB456" s="1977"/>
      <c r="CC456" s="1978"/>
      <c r="CD456" s="1837"/>
      <c r="CE456" s="1934"/>
      <c r="CF456" s="1934"/>
      <c r="CG456" s="1934"/>
      <c r="CH456" s="1934"/>
      <c r="CI456" s="1934"/>
      <c r="CJ456" s="1934"/>
      <c r="CK456" s="1937"/>
      <c r="CL456" s="1937"/>
      <c r="CM456" s="1934"/>
      <c r="CN456" s="1934"/>
      <c r="CO456" s="1938"/>
      <c r="CP456" s="1938"/>
      <c r="CQ456" s="1938"/>
      <c r="CR456" s="1938"/>
      <c r="CS456" s="1826"/>
      <c r="CT456" s="1826"/>
      <c r="CU456" s="1826"/>
      <c r="CV456" s="1826"/>
      <c r="CW456" s="1826"/>
      <c r="CX456" s="1826"/>
      <c r="CY456" s="1826"/>
      <c r="CZ456" s="1826"/>
      <c r="DA456" s="1826"/>
      <c r="DB456" s="1826"/>
      <c r="DC456" s="1826"/>
      <c r="DD456" s="1837"/>
      <c r="DE456" s="1839"/>
      <c r="DF456" s="1829"/>
      <c r="DG456" s="1804"/>
      <c r="DH456" s="1803"/>
      <c r="DI456" s="1803"/>
      <c r="DJ456" s="1803"/>
      <c r="DK456" s="1803"/>
      <c r="DL456" s="1803"/>
      <c r="DM456" s="1803"/>
      <c r="DN456" s="1803"/>
      <c r="DO456" s="1803"/>
      <c r="DP456" s="1803"/>
      <c r="DQ456" s="1803"/>
      <c r="DR456" s="1803"/>
      <c r="DS456" s="1804"/>
      <c r="DT456" s="1974"/>
      <c r="DU456" s="1974"/>
      <c r="DV456" s="1974"/>
      <c r="DW456" s="1975"/>
      <c r="DX456" s="1974"/>
      <c r="DY456" s="1974"/>
      <c r="DZ456" s="1830"/>
      <c r="EA456"/>
      <c r="EB456"/>
      <c r="EC456"/>
      <c r="ED456"/>
      <c r="EE456"/>
      <c r="EF456"/>
    </row>
    <row r="457" spans="1:136" s="1785" customFormat="1" ht="11.25" hidden="1" customHeight="1" outlineLevel="1">
      <c r="A457" s="1830"/>
      <c r="B457" s="1943"/>
      <c r="C457" s="1859"/>
      <c r="D457" s="1779"/>
      <c r="E457" s="1841" t="s">
        <v>679</v>
      </c>
      <c r="F457" s="1968"/>
      <c r="G457" s="1938"/>
      <c r="H457" s="1938"/>
      <c r="I457" s="1969"/>
      <c r="J457" s="1938"/>
      <c r="K457" s="1938"/>
      <c r="L457" s="1938"/>
      <c r="M457" s="1969"/>
      <c r="N457" s="1938"/>
      <c r="O457" s="1938"/>
      <c r="P457" s="1938"/>
      <c r="Q457" s="1969"/>
      <c r="R457" s="1938"/>
      <c r="S457" s="1938"/>
      <c r="T457" s="1938"/>
      <c r="U457" s="1969"/>
      <c r="V457" s="1938"/>
      <c r="W457" s="1938"/>
      <c r="X457" s="1938"/>
      <c r="Y457" s="1969"/>
      <c r="Z457" s="1938"/>
      <c r="AA457" s="1938"/>
      <c r="AB457" s="1938"/>
      <c r="AC457" s="1969"/>
      <c r="AD457" s="1826"/>
      <c r="AE457" s="1826"/>
      <c r="AF457" s="1826"/>
      <c r="AG457" s="1826"/>
      <c r="AH457" s="1887"/>
      <c r="AI457" s="1826"/>
      <c r="AJ457" s="1826"/>
      <c r="AK457" s="1828"/>
      <c r="AL457" s="1826"/>
      <c r="AM457" s="1826"/>
      <c r="AN457" s="1826"/>
      <c r="AO457" s="1828"/>
      <c r="AP457" s="1981">
        <f>AP460*AP463/1000</f>
        <v>782.46960000000001</v>
      </c>
      <c r="AQ457" s="1948">
        <f>AQ460*AQ463/1000</f>
        <v>843.9375</v>
      </c>
      <c r="AR457" s="1948">
        <f>AR460*AR463/1000</f>
        <v>955.0145</v>
      </c>
      <c r="AS457" s="1948">
        <f t="shared" ref="AS457:BD457" si="909">AS460*AS463/1000</f>
        <v>821.42100000000005</v>
      </c>
      <c r="AT457" s="1981">
        <f t="shared" si="909"/>
        <v>831.80426999999997</v>
      </c>
      <c r="AU457" s="1948">
        <f t="shared" si="909"/>
        <v>821.54274999999996</v>
      </c>
      <c r="AV457" s="1948">
        <f t="shared" si="909"/>
        <v>787.88626350000004</v>
      </c>
      <c r="AW457" s="1948">
        <f t="shared" si="909"/>
        <v>875.22031100000004</v>
      </c>
      <c r="AX457" s="1981">
        <f t="shared" si="909"/>
        <v>879.27449063999995</v>
      </c>
      <c r="AY457" s="1948">
        <f t="shared" si="909"/>
        <v>684.33056287049999</v>
      </c>
      <c r="AZ457" s="1948">
        <f t="shared" si="909"/>
        <v>943.40564210733748</v>
      </c>
      <c r="BA457" s="1980">
        <f t="shared" si="909"/>
        <v>1114.8302720824711</v>
      </c>
      <c r="BB457" s="1981">
        <f t="shared" si="909"/>
        <v>857.4711440182183</v>
      </c>
      <c r="BC457" s="1948">
        <f t="shared" si="909"/>
        <v>871.6393774612518</v>
      </c>
      <c r="BD457" s="1948">
        <f t="shared" si="909"/>
        <v>888.57809499590587</v>
      </c>
      <c r="BE457" s="1980">
        <f t="shared" ref="BE457:BM457" si="910">BE460*BE463/1000</f>
        <v>762.77514855143431</v>
      </c>
      <c r="BF457" s="1981">
        <f t="shared" si="910"/>
        <v>795.26201783010083</v>
      </c>
      <c r="BG457" s="2004">
        <f t="shared" si="910"/>
        <v>788.57624770273731</v>
      </c>
      <c r="BH457" s="1948">
        <f t="shared" si="910"/>
        <v>767.97601143102588</v>
      </c>
      <c r="BI457" s="1980">
        <f t="shared" si="910"/>
        <v>732.12143436353017</v>
      </c>
      <c r="BJ457" s="1981">
        <f t="shared" si="910"/>
        <v>753.80137537420251</v>
      </c>
      <c r="BK457" s="1948">
        <f t="shared" si="910"/>
        <v>719.02986202255465</v>
      </c>
      <c r="BL457" s="1948">
        <f>BL460*BL463/1000</f>
        <v>640.76684507379093</v>
      </c>
      <c r="BM457" s="1980">
        <f t="shared" si="910"/>
        <v>533.20491640982164</v>
      </c>
      <c r="BN457" s="1948">
        <f>BN460*BN463/1000</f>
        <v>536.97379867390271</v>
      </c>
      <c r="BO457" s="1948">
        <f>BO460*BO463/1000</f>
        <v>575.45730392868938</v>
      </c>
      <c r="BP457" s="1948">
        <f>BP460*BP463/1000</f>
        <v>478.57326050445187</v>
      </c>
      <c r="BQ457" s="1980">
        <f>BQ460*BQ463/1000</f>
        <v>376.34560314685081</v>
      </c>
      <c r="BR457" s="1948">
        <f>BR460*BR463/1000</f>
        <v>431.62813156064078</v>
      </c>
      <c r="BS457" s="1948"/>
      <c r="BT457" s="1948"/>
      <c r="BU457" s="1980"/>
      <c r="BV457" s="1948"/>
      <c r="BW457" s="1948"/>
      <c r="BX457" s="1948"/>
      <c r="BY457" s="1980"/>
      <c r="BZ457" s="1948"/>
      <c r="CA457" s="1948"/>
      <c r="CB457" s="1948"/>
      <c r="CC457" s="1980"/>
      <c r="CD457" s="1837"/>
      <c r="CE457" s="1934"/>
      <c r="CF457" s="1934"/>
      <c r="CG457" s="1934"/>
      <c r="CH457" s="1934"/>
      <c r="CI457" s="1934"/>
      <c r="CJ457" s="1934"/>
      <c r="CK457" s="1937"/>
      <c r="CL457" s="1951"/>
      <c r="CM457" s="1950"/>
      <c r="CN457" s="1950">
        <f>SUM(AP457:AS457)</f>
        <v>3402.8425999999999</v>
      </c>
      <c r="CO457" s="1946">
        <f>SUM(AT457:AW457)</f>
        <v>3316.4535944999998</v>
      </c>
      <c r="CP457" s="1946">
        <f>SUM(AX457:BA457)</f>
        <v>3621.8409677003083</v>
      </c>
      <c r="CQ457" s="1946">
        <f>SUM(BB457:BE457)</f>
        <v>3380.4637650268105</v>
      </c>
      <c r="CR457" s="1946">
        <f>SUM(BF457:BI457)</f>
        <v>3083.9357113273945</v>
      </c>
      <c r="CS457" s="1946">
        <f>SUM(BJ457:BM457)</f>
        <v>2646.8029988803696</v>
      </c>
      <c r="CT457" s="1946">
        <f>SUM(BN457:BQ457)</f>
        <v>1967.3499662538948</v>
      </c>
      <c r="CU457" s="1948">
        <f>SUM(BR457:BU457)</f>
        <v>431.62813156064078</v>
      </c>
      <c r="CV457" s="1948"/>
      <c r="CW457" s="1948"/>
      <c r="CX457" s="1948"/>
      <c r="CY457" s="1948"/>
      <c r="CZ457" s="1948"/>
      <c r="DA457" s="1948"/>
      <c r="DB457" s="1948"/>
      <c r="DC457" s="1948"/>
      <c r="DD457" s="1837"/>
      <c r="DE457" s="1839"/>
      <c r="DF457" s="1829"/>
      <c r="DG457" s="1804"/>
      <c r="DH457" s="1803"/>
      <c r="DI457" s="1803"/>
      <c r="DJ457" s="1803"/>
      <c r="DK457" s="1803"/>
      <c r="DL457" s="1803"/>
      <c r="DM457" s="1955"/>
      <c r="DN457" s="1955"/>
      <c r="DO457" s="1955"/>
      <c r="DP457" s="1955">
        <f>SUM(AR457:AU457)</f>
        <v>3429.7825200000002</v>
      </c>
      <c r="DQ457" s="1955">
        <f>SUM(AV457:AY457)</f>
        <v>3226.7116280105001</v>
      </c>
      <c r="DR457" s="1955">
        <f>SUM(AZ457:BC457)</f>
        <v>3787.3464356692784</v>
      </c>
      <c r="DS457" s="1954">
        <f>SUM(BD457:BG457)</f>
        <v>3235.1915090801785</v>
      </c>
      <c r="DT457" s="1955">
        <f>SUM(BH457:BK457)</f>
        <v>2972.9286831913132</v>
      </c>
      <c r="DU457" s="1955">
        <f>SUM(BL457:BO457)</f>
        <v>2286.4028640862048</v>
      </c>
      <c r="DV457" s="1955">
        <f>SUM(BP457:BS457)</f>
        <v>1286.5469952119433</v>
      </c>
      <c r="DW457" s="1956"/>
      <c r="DX457" s="1955"/>
      <c r="DY457" s="1955"/>
      <c r="DZ457" s="1830"/>
      <c r="EA457"/>
      <c r="EB457"/>
      <c r="EC457"/>
      <c r="ED457"/>
      <c r="EE457"/>
      <c r="EF457"/>
    </row>
    <row r="458" spans="1:136" s="1785" customFormat="1" ht="11.25" hidden="1" customHeight="1" outlineLevel="1">
      <c r="A458" s="1830"/>
      <c r="B458" s="1943"/>
      <c r="C458" s="1859"/>
      <c r="D458" s="1779"/>
      <c r="E458" s="1932" t="s">
        <v>183</v>
      </c>
      <c r="F458" s="1968"/>
      <c r="G458" s="1938"/>
      <c r="H458" s="1938"/>
      <c r="I458" s="1969"/>
      <c r="J458" s="1938"/>
      <c r="K458" s="1938"/>
      <c r="L458" s="1938"/>
      <c r="M458" s="1969"/>
      <c r="N458" s="1938"/>
      <c r="O458" s="1938"/>
      <c r="P458" s="1938"/>
      <c r="Q458" s="1969"/>
      <c r="R458" s="1938"/>
      <c r="S458" s="1938"/>
      <c r="T458" s="1938"/>
      <c r="U458" s="1969"/>
      <c r="V458" s="1938"/>
      <c r="W458" s="1938"/>
      <c r="X458" s="1938"/>
      <c r="Y458" s="1969"/>
      <c r="Z458" s="1938"/>
      <c r="AA458" s="1938"/>
      <c r="AB458" s="1938"/>
      <c r="AC458" s="1969"/>
      <c r="AD458" s="1826"/>
      <c r="AE458" s="1826"/>
      <c r="AF458" s="1826"/>
      <c r="AG458" s="1826"/>
      <c r="AH458" s="1887"/>
      <c r="AI458" s="1826"/>
      <c r="AJ458" s="1826"/>
      <c r="AK458" s="1828"/>
      <c r="AL458" s="1826"/>
      <c r="AM458" s="1826"/>
      <c r="AN458" s="1826"/>
      <c r="AO458" s="1828"/>
      <c r="AP458" s="1851"/>
      <c r="AQ458" s="1852"/>
      <c r="AR458" s="1852"/>
      <c r="AS458" s="1852"/>
      <c r="AT458" s="1851">
        <f>AT457/AP457-1</f>
        <v>6.3049951077971622E-2</v>
      </c>
      <c r="AU458" s="1852">
        <f>AU457/AQ457-1</f>
        <v>-2.6536029030585828E-2</v>
      </c>
      <c r="AV458" s="1852">
        <f t="shared" ref="AV458:BD458" si="911">AV457/AR457-1</f>
        <v>-0.17500073192605969</v>
      </c>
      <c r="AW458" s="1852">
        <f t="shared" si="911"/>
        <v>6.5495417088192287E-2</v>
      </c>
      <c r="AX458" s="1851">
        <f t="shared" si="911"/>
        <v>5.7068979268404041E-2</v>
      </c>
      <c r="AY458" s="1852">
        <f t="shared" si="911"/>
        <v>-0.16701770800058791</v>
      </c>
      <c r="AZ458" s="1852">
        <f t="shared" si="911"/>
        <v>0.19738810766477766</v>
      </c>
      <c r="BA458" s="1825">
        <f t="shared" si="911"/>
        <v>0.27377102435922684</v>
      </c>
      <c r="BB458" s="1851">
        <f t="shared" si="911"/>
        <v>-2.4796973930076849E-2</v>
      </c>
      <c r="BC458" s="1852">
        <f t="shared" si="911"/>
        <v>0.27371101738473347</v>
      </c>
      <c r="BD458" s="1852">
        <f t="shared" si="911"/>
        <v>-5.8116619897417898E-2</v>
      </c>
      <c r="BE458" s="1825">
        <f t="shared" ref="BE458:BQ458" si="912">BE457/BA457-1</f>
        <v>-0.31579257609627687</v>
      </c>
      <c r="BF458" s="1851">
        <f t="shared" si="912"/>
        <v>-7.2549527318899187E-2</v>
      </c>
      <c r="BG458" s="1854">
        <f t="shared" si="912"/>
        <v>-9.5295292877250692E-2</v>
      </c>
      <c r="BH458" s="1852">
        <f t="shared" si="912"/>
        <v>-0.13572479925406633</v>
      </c>
      <c r="BI458" s="1825">
        <f t="shared" si="912"/>
        <v>-4.0187090843373463E-2</v>
      </c>
      <c r="BJ458" s="1851">
        <f t="shared" si="912"/>
        <v>-5.2134568892181044E-2</v>
      </c>
      <c r="BK458" s="1852">
        <f t="shared" si="912"/>
        <v>-8.8192341428978693E-2</v>
      </c>
      <c r="BL458" s="1852">
        <f t="shared" si="912"/>
        <v>-0.16564210921145417</v>
      </c>
      <c r="BM458" s="1825">
        <f t="shared" si="912"/>
        <v>-0.27169880380108891</v>
      </c>
      <c r="BN458" s="1852">
        <f t="shared" si="912"/>
        <v>-0.28764550421875013</v>
      </c>
      <c r="BO458" s="1852">
        <f t="shared" si="912"/>
        <v>-0.19967537605463415</v>
      </c>
      <c r="BP458" s="1852">
        <f t="shared" si="912"/>
        <v>-0.25312418365007761</v>
      </c>
      <c r="BQ458" s="1825">
        <f t="shared" si="912"/>
        <v>-0.29418204603051457</v>
      </c>
      <c r="BR458" s="1852">
        <f>BR457/BN457-1</f>
        <v>-0.19618399887186488</v>
      </c>
      <c r="BS458" s="1852"/>
      <c r="BT458" s="1852"/>
      <c r="BU458" s="1825"/>
      <c r="BV458" s="1852"/>
      <c r="BW458" s="1852"/>
      <c r="BX458" s="1852"/>
      <c r="BY458" s="1825"/>
      <c r="BZ458" s="1852"/>
      <c r="CA458" s="1852"/>
      <c r="CB458" s="1852"/>
      <c r="CC458" s="1825"/>
      <c r="CD458" s="1837"/>
      <c r="CE458" s="1934"/>
      <c r="CF458" s="1934"/>
      <c r="CG458" s="1934"/>
      <c r="CH458" s="1934"/>
      <c r="CI458" s="1934"/>
      <c r="CJ458" s="1934"/>
      <c r="CK458" s="1937"/>
      <c r="CL458" s="1852"/>
      <c r="CM458" s="1852"/>
      <c r="CN458" s="1852"/>
      <c r="CO458" s="1852">
        <f t="shared" ref="CO458:CU458" si="913">CO457/CN457-1</f>
        <v>-2.5387305748435174E-2</v>
      </c>
      <c r="CP458" s="1852">
        <f t="shared" si="913"/>
        <v>9.2082510578999965E-2</v>
      </c>
      <c r="CQ458" s="1852">
        <f t="shared" si="913"/>
        <v>-6.6644892701282932E-2</v>
      </c>
      <c r="CR458" s="1852">
        <f t="shared" si="913"/>
        <v>-8.7718157717648015E-2</v>
      </c>
      <c r="CS458" s="1852">
        <f t="shared" si="913"/>
        <v>-0.14174507945850567</v>
      </c>
      <c r="CT458" s="1852">
        <f t="shared" si="913"/>
        <v>-0.25670706619037831</v>
      </c>
      <c r="CU458" s="1852">
        <f t="shared" si="913"/>
        <v>-0.78060429564419587</v>
      </c>
      <c r="CV458" s="1852"/>
      <c r="CW458" s="1852"/>
      <c r="CX458" s="1852"/>
      <c r="CY458" s="1852"/>
      <c r="CZ458" s="1852"/>
      <c r="DA458" s="1852"/>
      <c r="DB458" s="1852"/>
      <c r="DC458" s="1852"/>
      <c r="DD458" s="1837"/>
      <c r="DE458" s="1839"/>
      <c r="DF458" s="1829"/>
      <c r="DG458" s="1804"/>
      <c r="DH458" s="1803"/>
      <c r="DI458" s="1803"/>
      <c r="DJ458" s="1803"/>
      <c r="DK458" s="1803"/>
      <c r="DL458" s="1803"/>
      <c r="DM458" s="1852"/>
      <c r="DN458" s="1852"/>
      <c r="DO458" s="1852"/>
      <c r="DP458" s="1852"/>
      <c r="DQ458" s="1852">
        <f t="shared" ref="DQ458:DV458" si="914">DQ457/DP457-1</f>
        <v>-5.9208095791887128E-2</v>
      </c>
      <c r="DR458" s="1852">
        <f t="shared" si="914"/>
        <v>0.17374803586165211</v>
      </c>
      <c r="DS458" s="1851">
        <f t="shared" si="914"/>
        <v>-0.14578939000374969</v>
      </c>
      <c r="DT458" s="1852">
        <f t="shared" si="914"/>
        <v>-8.1065626301495608E-2</v>
      </c>
      <c r="DU458" s="1852">
        <f t="shared" si="914"/>
        <v>-0.23092576118178254</v>
      </c>
      <c r="DV458" s="1852">
        <f t="shared" si="914"/>
        <v>-0.43730520311164356</v>
      </c>
      <c r="DW458" s="1825"/>
      <c r="DX458" s="1852"/>
      <c r="DY458" s="1852"/>
      <c r="DZ458" s="1830"/>
      <c r="EA458"/>
      <c r="EB458"/>
      <c r="EC458"/>
      <c r="ED458"/>
      <c r="EE458"/>
      <c r="EF458"/>
    </row>
    <row r="459" spans="1:136" s="1785" customFormat="1" ht="11.25" hidden="1" customHeight="1" outlineLevel="1">
      <c r="A459" s="1830"/>
      <c r="B459" s="1943"/>
      <c r="C459" s="1859"/>
      <c r="D459" s="1779"/>
      <c r="E459" s="1932" t="s">
        <v>184</v>
      </c>
      <c r="F459" s="1968"/>
      <c r="G459" s="1938"/>
      <c r="H459" s="1938"/>
      <c r="I459" s="1969"/>
      <c r="J459" s="1938"/>
      <c r="K459" s="1938"/>
      <c r="L459" s="1938"/>
      <c r="M459" s="1969"/>
      <c r="N459" s="1938"/>
      <c r="O459" s="1938"/>
      <c r="P459" s="1938"/>
      <c r="Q459" s="1969"/>
      <c r="R459" s="1938"/>
      <c r="S459" s="1938"/>
      <c r="T459" s="1938"/>
      <c r="U459" s="1969"/>
      <c r="V459" s="1938"/>
      <c r="W459" s="1938"/>
      <c r="X459" s="1938"/>
      <c r="Y459" s="1969"/>
      <c r="Z459" s="1938"/>
      <c r="AA459" s="1938"/>
      <c r="AB459" s="1938"/>
      <c r="AC459" s="1969"/>
      <c r="AD459" s="1826"/>
      <c r="AE459" s="1826"/>
      <c r="AF459" s="1826"/>
      <c r="AG459" s="1826"/>
      <c r="AH459" s="1887"/>
      <c r="AI459" s="1826"/>
      <c r="AJ459" s="1826"/>
      <c r="AK459" s="1828"/>
      <c r="AL459" s="1826"/>
      <c r="AM459" s="1826"/>
      <c r="AN459" s="1826"/>
      <c r="AO459" s="1828"/>
      <c r="AP459" s="1851"/>
      <c r="AQ459" s="1852">
        <f>AQ457/AP457-1</f>
        <v>7.8556278735940621E-2</v>
      </c>
      <c r="AR459" s="1852">
        <f>AR457/AQ457-1</f>
        <v>0.13161756646671119</v>
      </c>
      <c r="AS459" s="1852">
        <f t="shared" ref="AS459:BD459" si="915">AS457/AR457-1</f>
        <v>-0.13988635774640068</v>
      </c>
      <c r="AT459" s="1851">
        <f t="shared" si="915"/>
        <v>1.2640619122228358E-2</v>
      </c>
      <c r="AU459" s="1852">
        <f t="shared" si="915"/>
        <v>-1.2336459874148109E-2</v>
      </c>
      <c r="AV459" s="1852">
        <f t="shared" si="915"/>
        <v>-4.0967419528685434E-2</v>
      </c>
      <c r="AW459" s="1852">
        <f t="shared" si="915"/>
        <v>0.11084600854955751</v>
      </c>
      <c r="AX459" s="1851">
        <f t="shared" si="915"/>
        <v>4.6321818507248924E-3</v>
      </c>
      <c r="AY459" s="1852">
        <f t="shared" si="915"/>
        <v>-0.22170997776542523</v>
      </c>
      <c r="AZ459" s="1852">
        <f t="shared" si="915"/>
        <v>0.37858177508559399</v>
      </c>
      <c r="BA459" s="1825">
        <f t="shared" si="915"/>
        <v>0.1817082942097028</v>
      </c>
      <c r="BB459" s="1851">
        <f t="shared" si="915"/>
        <v>-0.23085050209796809</v>
      </c>
      <c r="BC459" s="1852">
        <f t="shared" si="915"/>
        <v>1.6523277245971579E-2</v>
      </c>
      <c r="BD459" s="1852">
        <f t="shared" si="915"/>
        <v>1.9433171530168769E-2</v>
      </c>
      <c r="BE459" s="1825">
        <f t="shared" ref="BE459:BQ459" si="916">BE457/BD457-1</f>
        <v>-0.14157781646086065</v>
      </c>
      <c r="BF459" s="1851">
        <f t="shared" si="916"/>
        <v>4.2590361445783209E-2</v>
      </c>
      <c r="BG459" s="1854">
        <f t="shared" si="916"/>
        <v>-8.4070029467846474E-3</v>
      </c>
      <c r="BH459" s="1852">
        <f t="shared" si="916"/>
        <v>-2.6123328380386224E-2</v>
      </c>
      <c r="BI459" s="1825">
        <f t="shared" si="916"/>
        <v>-4.6687105500450743E-2</v>
      </c>
      <c r="BJ459" s="1851">
        <f t="shared" si="916"/>
        <v>2.9612493219133507E-2</v>
      </c>
      <c r="BK459" s="1852">
        <f t="shared" si="916"/>
        <v>-4.612821691176483E-2</v>
      </c>
      <c r="BL459" s="1852">
        <f t="shared" si="916"/>
        <v>-0.10884529430894307</v>
      </c>
      <c r="BM459" s="1825">
        <f t="shared" si="916"/>
        <v>-0.16786437920579744</v>
      </c>
      <c r="BN459" s="1852">
        <f t="shared" si="916"/>
        <v>7.0683561761915037E-3</v>
      </c>
      <c r="BO459" s="1852">
        <f t="shared" si="916"/>
        <v>7.1667379953779031E-2</v>
      </c>
      <c r="BP459" s="1852">
        <f t="shared" si="916"/>
        <v>-0.16836008990207096</v>
      </c>
      <c r="BQ459" s="1825">
        <f t="shared" si="916"/>
        <v>-0.21360921262054111</v>
      </c>
      <c r="BR459" s="1852">
        <f>BR457/BQ457-1</f>
        <v>0.14689298334174672</v>
      </c>
      <c r="BS459" s="1852"/>
      <c r="BT459" s="1852"/>
      <c r="BU459" s="1825"/>
      <c r="BV459" s="1852"/>
      <c r="BW459" s="1852"/>
      <c r="BX459" s="1852"/>
      <c r="BY459" s="1825"/>
      <c r="BZ459" s="1852"/>
      <c r="CA459" s="1852"/>
      <c r="CB459" s="1852"/>
      <c r="CC459" s="1825"/>
      <c r="CD459" s="1837"/>
      <c r="CE459" s="1934"/>
      <c r="CF459" s="1934"/>
      <c r="CG459" s="1934"/>
      <c r="CH459" s="1934"/>
      <c r="CI459" s="1934"/>
      <c r="CJ459" s="1934"/>
      <c r="CK459" s="1937"/>
      <c r="CL459" s="1937"/>
      <c r="CM459" s="1934"/>
      <c r="CN459" s="1934"/>
      <c r="CO459" s="1938"/>
      <c r="CP459" s="1938"/>
      <c r="CQ459" s="1938"/>
      <c r="CR459" s="1938"/>
      <c r="CS459" s="1852"/>
      <c r="CT459" s="1852"/>
      <c r="CU459" s="1852"/>
      <c r="CV459" s="1852"/>
      <c r="CW459" s="1852"/>
      <c r="CX459" s="1852"/>
      <c r="CY459" s="1852"/>
      <c r="CZ459" s="1852"/>
      <c r="DA459" s="1852"/>
      <c r="DB459" s="1852"/>
      <c r="DC459" s="1852"/>
      <c r="DD459" s="1837"/>
      <c r="DE459" s="1839"/>
      <c r="DF459" s="1829"/>
      <c r="DG459" s="1804"/>
      <c r="DH459" s="1803"/>
      <c r="DI459" s="1803"/>
      <c r="DJ459" s="1803"/>
      <c r="DK459" s="1803"/>
      <c r="DL459" s="1803"/>
      <c r="DM459" s="1848"/>
      <c r="DN459" s="1848"/>
      <c r="DO459" s="1848"/>
      <c r="DP459" s="1848"/>
      <c r="DQ459" s="1848"/>
      <c r="DR459" s="1848"/>
      <c r="DS459" s="1855"/>
      <c r="DT459" s="1848"/>
      <c r="DU459" s="1848"/>
      <c r="DV459" s="1848"/>
      <c r="DW459" s="1850"/>
      <c r="DX459" s="1848"/>
      <c r="DY459" s="1848"/>
      <c r="DZ459" s="1830"/>
      <c r="EA459"/>
      <c r="EB459"/>
      <c r="EC459"/>
      <c r="ED459"/>
      <c r="EE459"/>
      <c r="EF459"/>
    </row>
    <row r="460" spans="1:136" s="1785" customFormat="1" ht="11.25" hidden="1" customHeight="1" outlineLevel="1">
      <c r="A460" s="1830"/>
      <c r="B460" s="1943"/>
      <c r="C460" s="1859"/>
      <c r="D460" s="2007"/>
      <c r="E460" s="1840" t="s">
        <v>805</v>
      </c>
      <c r="F460" s="1958"/>
      <c r="G460" s="1959"/>
      <c r="H460" s="1959"/>
      <c r="I460" s="1960"/>
      <c r="J460" s="1959"/>
      <c r="K460" s="1959"/>
      <c r="L460" s="1959"/>
      <c r="M460" s="1960"/>
      <c r="N460" s="1959"/>
      <c r="O460" s="1959"/>
      <c r="P460" s="1959"/>
      <c r="Q460" s="1960"/>
      <c r="R460" s="1959"/>
      <c r="S460" s="1959"/>
      <c r="T460" s="1959"/>
      <c r="U460" s="1960"/>
      <c r="V460" s="1959"/>
      <c r="W460" s="1959"/>
      <c r="X460" s="1959"/>
      <c r="Y460" s="1960"/>
      <c r="Z460" s="1959"/>
      <c r="AA460" s="1959"/>
      <c r="AB460" s="1959"/>
      <c r="AC460" s="1960"/>
      <c r="AD460" s="1831">
        <v>16351</v>
      </c>
      <c r="AE460" s="1831">
        <v>16519</v>
      </c>
      <c r="AF460" s="1831">
        <v>15399</v>
      </c>
      <c r="AG460" s="1831">
        <v>15731</v>
      </c>
      <c r="AH460" s="1843">
        <v>16674</v>
      </c>
      <c r="AI460" s="1831">
        <v>18331</v>
      </c>
      <c r="AJ460" s="1831">
        <v>17834</v>
      </c>
      <c r="AK460" s="1844">
        <v>15863</v>
      </c>
      <c r="AL460" s="1831">
        <v>17484</v>
      </c>
      <c r="AM460" s="1831">
        <v>14225</v>
      </c>
      <c r="AN460" s="1831">
        <v>14659</v>
      </c>
      <c r="AO460" s="1844">
        <v>16349</v>
      </c>
      <c r="AP460" s="2016">
        <v>18282</v>
      </c>
      <c r="AQ460" s="1831">
        <v>19290</v>
      </c>
      <c r="AR460" s="1831">
        <v>21461</v>
      </c>
      <c r="AS460" s="1831">
        <v>20282</v>
      </c>
      <c r="AT460" s="1843">
        <v>20918</v>
      </c>
      <c r="AU460" s="1959">
        <v>20411</v>
      </c>
      <c r="AV460" s="1959">
        <v>20118</v>
      </c>
      <c r="AW460" s="1960">
        <v>22348</v>
      </c>
      <c r="AX460" s="1959">
        <v>21588</v>
      </c>
      <c r="AY460" s="1959">
        <v>11391</v>
      </c>
      <c r="AZ460" s="1959">
        <v>15975</v>
      </c>
      <c r="BA460" s="1960">
        <v>21211</v>
      </c>
      <c r="BB460" s="1958">
        <v>16819</v>
      </c>
      <c r="BC460" s="1959">
        <v>17717</v>
      </c>
      <c r="BD460" s="1959">
        <v>18383</v>
      </c>
      <c r="BE460" s="1960">
        <v>16185</v>
      </c>
      <c r="BF460" s="1958">
        <v>17307</v>
      </c>
      <c r="BG460" s="2009">
        <v>16825</v>
      </c>
      <c r="BH460" s="1959">
        <v>16635</v>
      </c>
      <c r="BI460" s="1960">
        <v>16182</v>
      </c>
      <c r="BJ460" s="1958">
        <v>16320</v>
      </c>
      <c r="BK460" s="1959">
        <v>15375</v>
      </c>
      <c r="BL460" s="1959">
        <v>13523</v>
      </c>
      <c r="BM460" s="1960">
        <v>11601</v>
      </c>
      <c r="BN460" s="1958">
        <v>11683</v>
      </c>
      <c r="BO460" s="1959">
        <v>12458</v>
      </c>
      <c r="BP460" s="1959">
        <v>10681</v>
      </c>
      <c r="BQ460" s="1960">
        <v>7924</v>
      </c>
      <c r="BR460" s="1958">
        <v>8998</v>
      </c>
      <c r="BS460" s="1959"/>
      <c r="BT460" s="1959"/>
      <c r="BU460" s="1960"/>
      <c r="BV460" s="1959"/>
      <c r="BW460" s="1959"/>
      <c r="BX460" s="1959"/>
      <c r="BY460" s="1960"/>
      <c r="BZ460" s="1959"/>
      <c r="CA460" s="1959"/>
      <c r="CB460" s="1959"/>
      <c r="CC460" s="1960"/>
      <c r="CD460" s="1845"/>
      <c r="CE460" s="1831"/>
      <c r="CF460" s="1831"/>
      <c r="CG460" s="1831"/>
      <c r="CH460" s="1831"/>
      <c r="CI460" s="1831"/>
      <c r="CJ460" s="1831"/>
      <c r="CK460" s="1822">
        <f>SUM(AD460:AG460)</f>
        <v>64000</v>
      </c>
      <c r="CL460" s="1822">
        <f>SUM(AH460:AK460)</f>
        <v>68702</v>
      </c>
      <c r="CM460" s="1831">
        <f>SUM(AL460:AO460)</f>
        <v>62717</v>
      </c>
      <c r="CN460" s="1831">
        <f>SUM(AP460:AS460)</f>
        <v>79315</v>
      </c>
      <c r="CO460" s="1831">
        <f>SUM(AT460:AW460)</f>
        <v>83795</v>
      </c>
      <c r="CP460" s="1831">
        <f>SUM(AX460:BA460)</f>
        <v>70165</v>
      </c>
      <c r="CQ460" s="1831">
        <f>SUM(BB460:BE460)</f>
        <v>69104</v>
      </c>
      <c r="CR460" s="1831">
        <f>SUM(BF460:BI460)</f>
        <v>66949</v>
      </c>
      <c r="CS460" s="1831">
        <f>SUM(BJ460:BM460)</f>
        <v>56819</v>
      </c>
      <c r="CT460" s="1946">
        <f>SUM(BN460:BQ460)</f>
        <v>42746</v>
      </c>
      <c r="CU460" s="1959">
        <f>SUM(BR460:BU460)</f>
        <v>8998</v>
      </c>
      <c r="CV460" s="1959"/>
      <c r="CW460" s="1959"/>
      <c r="CX460" s="1959"/>
      <c r="CY460" s="1959"/>
      <c r="CZ460" s="1959"/>
      <c r="DA460" s="1959"/>
      <c r="DB460" s="1959"/>
      <c r="DC460" s="1959"/>
      <c r="DD460" s="1845"/>
      <c r="DE460" s="1961"/>
      <c r="DF460" s="1830"/>
      <c r="DG460" s="1783"/>
      <c r="DH460" s="1782"/>
      <c r="DI460" s="1782"/>
      <c r="DJ460" s="1782"/>
      <c r="DK460" s="1782"/>
      <c r="DL460" s="1782"/>
      <c r="DM460" s="1782">
        <f>SUM(AF460:AI460)</f>
        <v>66135</v>
      </c>
      <c r="DN460" s="1782">
        <f>SUM(AJ460:AM460)</f>
        <v>65406</v>
      </c>
      <c r="DO460" s="1782">
        <f>SUM(AN460:AQ460)</f>
        <v>68580</v>
      </c>
      <c r="DP460" s="1782">
        <f>SUM(AR460:AU460)</f>
        <v>83072</v>
      </c>
      <c r="DQ460" s="1782">
        <f>SUM(AV460:AY460)</f>
        <v>75445</v>
      </c>
      <c r="DR460" s="1782">
        <f>SUM(AZ460:BC460)</f>
        <v>71722</v>
      </c>
      <c r="DS460" s="1783">
        <f>SUM(BD460:BG460)</f>
        <v>68700</v>
      </c>
      <c r="DT460" s="1782">
        <f>SUM(BH460:BK460)</f>
        <v>64512</v>
      </c>
      <c r="DU460" s="1782">
        <f>SUM(BL460:BO460)</f>
        <v>49265</v>
      </c>
      <c r="DV460" s="1782">
        <f>SUM(BP460:BS460)</f>
        <v>27603</v>
      </c>
      <c r="DW460" s="1784"/>
      <c r="DX460" s="1782"/>
      <c r="DY460" s="1782"/>
      <c r="DZ460" s="1830"/>
      <c r="EA460"/>
      <c r="EB460"/>
      <c r="EC460"/>
      <c r="ED460"/>
      <c r="EE460"/>
      <c r="EF460"/>
    </row>
    <row r="461" spans="1:136" s="1785" customFormat="1" ht="11.25" hidden="1" customHeight="1" outlineLevel="1">
      <c r="A461" s="1830"/>
      <c r="B461" s="1943"/>
      <c r="C461" s="1859"/>
      <c r="D461" s="1970"/>
      <c r="E461" s="1932" t="s">
        <v>183</v>
      </c>
      <c r="F461" s="1968"/>
      <c r="G461" s="1938"/>
      <c r="H461" s="1938"/>
      <c r="I461" s="1969"/>
      <c r="J461" s="1938"/>
      <c r="K461" s="1938"/>
      <c r="L461" s="1938"/>
      <c r="M461" s="1969"/>
      <c r="N461" s="1938"/>
      <c r="O461" s="1938"/>
      <c r="P461" s="1938"/>
      <c r="Q461" s="1969"/>
      <c r="R461" s="1938"/>
      <c r="S461" s="1938"/>
      <c r="T461" s="1938"/>
      <c r="U461" s="1969"/>
      <c r="V461" s="1938"/>
      <c r="W461" s="1938"/>
      <c r="X461" s="1938"/>
      <c r="Y461" s="1969"/>
      <c r="Z461" s="1938"/>
      <c r="AA461" s="1938"/>
      <c r="AB461" s="1938"/>
      <c r="AC461" s="1969"/>
      <c r="AD461" s="1826"/>
      <c r="AE461" s="1826"/>
      <c r="AF461" s="1826"/>
      <c r="AG461" s="1826"/>
      <c r="AH461" s="1887">
        <f t="shared" ref="AH461:AU461" si="917">AH460/AD460-1</f>
        <v>1.9754143477463071E-2</v>
      </c>
      <c r="AI461" s="1826">
        <f t="shared" si="917"/>
        <v>0.10969186996791569</v>
      </c>
      <c r="AJ461" s="1826">
        <f t="shared" si="917"/>
        <v>0.15812715111370879</v>
      </c>
      <c r="AK461" s="1828">
        <f t="shared" si="917"/>
        <v>8.3910749475557544E-3</v>
      </c>
      <c r="AL461" s="1826">
        <f t="shared" si="917"/>
        <v>4.857862540482194E-2</v>
      </c>
      <c r="AM461" s="1826">
        <f t="shared" si="917"/>
        <v>-0.2239921444547488</v>
      </c>
      <c r="AN461" s="1826">
        <f t="shared" si="917"/>
        <v>-0.17803072782325891</v>
      </c>
      <c r="AO461" s="1828">
        <f t="shared" si="917"/>
        <v>3.0637332156590702E-2</v>
      </c>
      <c r="AP461" s="1826">
        <f t="shared" si="917"/>
        <v>4.5641729581331614E-2</v>
      </c>
      <c r="AQ461" s="1826">
        <f t="shared" si="917"/>
        <v>0.35606326889279427</v>
      </c>
      <c r="AR461" s="1826">
        <f t="shared" si="917"/>
        <v>0.46401528071491915</v>
      </c>
      <c r="AS461" s="1826">
        <f t="shared" si="917"/>
        <v>0.24056517218178475</v>
      </c>
      <c r="AT461" s="1887">
        <f t="shared" si="917"/>
        <v>0.14418553768734266</v>
      </c>
      <c r="AU461" s="1826">
        <f t="shared" si="917"/>
        <v>5.8113011923276225E-2</v>
      </c>
      <c r="AV461" s="1826">
        <f>AV460/AR460-1</f>
        <v>-6.2578631005078988E-2</v>
      </c>
      <c r="AW461" s="1852">
        <f t="shared" ref="AW461:BD461" si="918">AW460/AS460-1</f>
        <v>0.1018637215264766</v>
      </c>
      <c r="AX461" s="1851">
        <f t="shared" si="918"/>
        <v>3.2029830767759782E-2</v>
      </c>
      <c r="AY461" s="1852">
        <f t="shared" si="918"/>
        <v>-0.44191857331830875</v>
      </c>
      <c r="AZ461" s="1852">
        <f t="shared" si="918"/>
        <v>-0.20593498359677898</v>
      </c>
      <c r="BA461" s="1825">
        <f t="shared" si="918"/>
        <v>-5.0877035976373719E-2</v>
      </c>
      <c r="BB461" s="1851">
        <f t="shared" si="918"/>
        <v>-0.22090976468408374</v>
      </c>
      <c r="BC461" s="1852">
        <f t="shared" si="918"/>
        <v>0.55535071547713111</v>
      </c>
      <c r="BD461" s="1852">
        <f t="shared" si="918"/>
        <v>0.15073552425665104</v>
      </c>
      <c r="BE461" s="1825">
        <f t="shared" ref="BE461:BR461" si="919">BE460/BA460-1</f>
        <v>-0.23695252463344496</v>
      </c>
      <c r="BF461" s="1851">
        <f t="shared" si="919"/>
        <v>2.9014804685177475E-2</v>
      </c>
      <c r="BG461" s="1854">
        <f t="shared" si="919"/>
        <v>-5.0347124230964657E-2</v>
      </c>
      <c r="BH461" s="1852">
        <f t="shared" si="919"/>
        <v>-9.5087852907577708E-2</v>
      </c>
      <c r="BI461" s="1825">
        <f t="shared" si="919"/>
        <v>-1.853568118628246E-4</v>
      </c>
      <c r="BJ461" s="1851">
        <f t="shared" si="919"/>
        <v>-5.7028947824579679E-2</v>
      </c>
      <c r="BK461" s="1852">
        <f t="shared" si="919"/>
        <v>-8.6181277860326921E-2</v>
      </c>
      <c r="BL461" s="1852">
        <f t="shared" si="919"/>
        <v>-0.18707544334235049</v>
      </c>
      <c r="BM461" s="1825">
        <f t="shared" si="919"/>
        <v>-0.2830923248053393</v>
      </c>
      <c r="BN461" s="1851">
        <f t="shared" si="919"/>
        <v>-0.28412990196078436</v>
      </c>
      <c r="BO461" s="1852">
        <f t="shared" si="919"/>
        <v>-0.18972357723577238</v>
      </c>
      <c r="BP461" s="1852">
        <f t="shared" si="919"/>
        <v>-0.21016046735191896</v>
      </c>
      <c r="BQ461" s="1825">
        <f t="shared" si="919"/>
        <v>-0.31695543487630373</v>
      </c>
      <c r="BR461" s="1851">
        <f t="shared" si="919"/>
        <v>-0.22982110759222807</v>
      </c>
      <c r="BS461" s="1852"/>
      <c r="BT461" s="1852"/>
      <c r="BU461" s="1825"/>
      <c r="BV461" s="1852"/>
      <c r="BW461" s="1852"/>
      <c r="BX461" s="1852"/>
      <c r="BY461" s="1825"/>
      <c r="BZ461" s="1852"/>
      <c r="CA461" s="1852"/>
      <c r="CB461" s="1852"/>
      <c r="CC461" s="1825"/>
      <c r="CD461" s="1837"/>
      <c r="CE461" s="1934"/>
      <c r="CF461" s="1934"/>
      <c r="CG461" s="1934"/>
      <c r="CH461" s="1934"/>
      <c r="CI461" s="1934"/>
      <c r="CJ461" s="1934"/>
      <c r="CK461" s="1852"/>
      <c r="CL461" s="1852">
        <f t="shared" ref="CL461:CU461" si="920">CL460/CK460-1</f>
        <v>7.3468749999999972E-2</v>
      </c>
      <c r="CM461" s="1852">
        <f t="shared" si="920"/>
        <v>-8.7115367820441936E-2</v>
      </c>
      <c r="CN461" s="1852">
        <f t="shared" si="920"/>
        <v>0.26464913819219671</v>
      </c>
      <c r="CO461" s="1852">
        <f t="shared" si="920"/>
        <v>5.6483641177583088E-2</v>
      </c>
      <c r="CP461" s="1852">
        <f t="shared" si="920"/>
        <v>-0.16265886986097022</v>
      </c>
      <c r="CQ461" s="1852">
        <f t="shared" si="920"/>
        <v>-1.5121499323024312E-2</v>
      </c>
      <c r="CR461" s="1852">
        <f t="shared" si="920"/>
        <v>-3.1184880759435041E-2</v>
      </c>
      <c r="CS461" s="1852">
        <f t="shared" si="920"/>
        <v>-0.15130920551464544</v>
      </c>
      <c r="CT461" s="1852">
        <f t="shared" si="920"/>
        <v>-0.24768123339023917</v>
      </c>
      <c r="CU461" s="1852">
        <f t="shared" si="920"/>
        <v>-0.7895007720020587</v>
      </c>
      <c r="CV461" s="1852"/>
      <c r="CW461" s="1852"/>
      <c r="CX461" s="1991"/>
      <c r="CY461" s="1991"/>
      <c r="CZ461" s="1991"/>
      <c r="DA461" s="1991"/>
      <c r="DB461" s="1991"/>
      <c r="DC461" s="1991"/>
      <c r="DD461" s="1837"/>
      <c r="DE461" s="1839"/>
      <c r="DF461" s="1829"/>
      <c r="DG461" s="1804"/>
      <c r="DH461" s="1803"/>
      <c r="DI461" s="1803"/>
      <c r="DJ461" s="1803"/>
      <c r="DK461" s="1803"/>
      <c r="DL461" s="1803"/>
      <c r="DM461" s="1852"/>
      <c r="DN461" s="1852">
        <f t="shared" ref="DN461:DU461" si="921">DN460/DM460-1</f>
        <v>-1.1022907688818306E-2</v>
      </c>
      <c r="DO461" s="1852">
        <f t="shared" si="921"/>
        <v>4.8527658013026276E-2</v>
      </c>
      <c r="DP461" s="1852">
        <f t="shared" si="921"/>
        <v>0.21131525226013426</v>
      </c>
      <c r="DQ461" s="1852">
        <f t="shared" si="921"/>
        <v>-9.181192218798151E-2</v>
      </c>
      <c r="DR461" s="1852">
        <f t="shared" si="921"/>
        <v>-4.9347206574325675E-2</v>
      </c>
      <c r="DS461" s="1851">
        <f t="shared" si="921"/>
        <v>-4.2134909790580322E-2</v>
      </c>
      <c r="DT461" s="1852">
        <f t="shared" si="921"/>
        <v>-6.096069868995635E-2</v>
      </c>
      <c r="DU461" s="1852">
        <f t="shared" si="921"/>
        <v>-0.23634362599206349</v>
      </c>
      <c r="DV461" s="1852">
        <f>DV460/DU460-1</f>
        <v>-0.43970364356033698</v>
      </c>
      <c r="DW461" s="1825"/>
      <c r="DX461" s="1852"/>
      <c r="DY461" s="1852"/>
      <c r="DZ461" s="1830"/>
      <c r="EA461"/>
      <c r="EB461"/>
      <c r="EC461"/>
      <c r="ED461"/>
      <c r="EE461"/>
      <c r="EF461"/>
    </row>
    <row r="462" spans="1:136" s="1785" customFormat="1" ht="11.25" hidden="1" customHeight="1" outlineLevel="1">
      <c r="A462" s="1830"/>
      <c r="B462" s="1943"/>
      <c r="C462" s="1859"/>
      <c r="D462" s="1860"/>
      <c r="E462" s="1932" t="s">
        <v>184</v>
      </c>
      <c r="F462" s="1968"/>
      <c r="G462" s="1938"/>
      <c r="H462" s="1938"/>
      <c r="I462" s="1969"/>
      <c r="J462" s="1938"/>
      <c r="K462" s="1938"/>
      <c r="L462" s="1938"/>
      <c r="M462" s="1969"/>
      <c r="N462" s="1938"/>
      <c r="O462" s="1938"/>
      <c r="P462" s="1938"/>
      <c r="Q462" s="1969"/>
      <c r="R462" s="1938"/>
      <c r="S462" s="1938"/>
      <c r="T462" s="1938"/>
      <c r="U462" s="1969"/>
      <c r="V462" s="1938"/>
      <c r="W462" s="1938"/>
      <c r="X462" s="1938"/>
      <c r="Y462" s="1969"/>
      <c r="Z462" s="1938"/>
      <c r="AA462" s="1938"/>
      <c r="AB462" s="1938"/>
      <c r="AC462" s="1969"/>
      <c r="AD462" s="1826"/>
      <c r="AE462" s="1826">
        <f t="shared" ref="AE462:AS462" si="922">AE460/AD460-1</f>
        <v>1.0274600941838408E-2</v>
      </c>
      <c r="AF462" s="1826">
        <f t="shared" si="922"/>
        <v>-6.7800714328954514E-2</v>
      </c>
      <c r="AG462" s="1826">
        <f t="shared" si="922"/>
        <v>2.1559841548152381E-2</v>
      </c>
      <c r="AH462" s="1887">
        <f t="shared" si="922"/>
        <v>5.9945330875341707E-2</v>
      </c>
      <c r="AI462" s="1826">
        <f t="shared" si="922"/>
        <v>9.9376274439246792E-2</v>
      </c>
      <c r="AJ462" s="1826">
        <f t="shared" si="922"/>
        <v>-2.7112541596203132E-2</v>
      </c>
      <c r="AK462" s="1828">
        <f t="shared" si="922"/>
        <v>-0.11051923292587196</v>
      </c>
      <c r="AL462" s="1826">
        <f t="shared" si="922"/>
        <v>0.1021874803000693</v>
      </c>
      <c r="AM462" s="1826">
        <f t="shared" si="922"/>
        <v>-0.18639899336536259</v>
      </c>
      <c r="AN462" s="1826">
        <f t="shared" si="922"/>
        <v>3.0509666080843489E-2</v>
      </c>
      <c r="AO462" s="1828">
        <f t="shared" si="922"/>
        <v>0.11528753666689395</v>
      </c>
      <c r="AP462" s="1826">
        <f t="shared" si="922"/>
        <v>0.11823353110281976</v>
      </c>
      <c r="AQ462" s="1826">
        <f t="shared" si="922"/>
        <v>5.5136199540531727E-2</v>
      </c>
      <c r="AR462" s="1826">
        <f t="shared" si="922"/>
        <v>0.11254536029030593</v>
      </c>
      <c r="AS462" s="1826">
        <f t="shared" si="922"/>
        <v>-5.4936862215181015E-2</v>
      </c>
      <c r="AT462" s="1851">
        <f t="shared" ref="AT462:BR462" si="923">AT460/AS460-1</f>
        <v>3.1357854255004369E-2</v>
      </c>
      <c r="AU462" s="1852">
        <f t="shared" si="923"/>
        <v>-2.4237498804857038E-2</v>
      </c>
      <c r="AV462" s="1852">
        <f t="shared" si="923"/>
        <v>-1.4355004654353021E-2</v>
      </c>
      <c r="AW462" s="1852">
        <f t="shared" si="923"/>
        <v>0.11084600854955751</v>
      </c>
      <c r="AX462" s="1851">
        <f t="shared" si="923"/>
        <v>-3.4007517451226099E-2</v>
      </c>
      <c r="AY462" s="1852">
        <f t="shared" si="923"/>
        <v>-0.47234574763757642</v>
      </c>
      <c r="AZ462" s="1852">
        <f t="shared" si="923"/>
        <v>0.4024229654990783</v>
      </c>
      <c r="BA462" s="1852">
        <f t="shared" si="923"/>
        <v>0.32776212832550855</v>
      </c>
      <c r="BB462" s="1851">
        <f t="shared" si="923"/>
        <v>-0.20706237329687427</v>
      </c>
      <c r="BC462" s="1852">
        <f t="shared" si="923"/>
        <v>5.339199714608478E-2</v>
      </c>
      <c r="BD462" s="1852">
        <f t="shared" si="923"/>
        <v>3.7591014280069945E-2</v>
      </c>
      <c r="BE462" s="1852">
        <f t="shared" si="923"/>
        <v>-0.11956699124190828</v>
      </c>
      <c r="BF462" s="1851">
        <f t="shared" si="923"/>
        <v>6.9323447636700619E-2</v>
      </c>
      <c r="BG462" s="1854">
        <f t="shared" si="923"/>
        <v>-2.785000288900441E-2</v>
      </c>
      <c r="BH462" s="1852">
        <f t="shared" si="923"/>
        <v>-1.1292719167904863E-2</v>
      </c>
      <c r="BI462" s="1852">
        <f t="shared" si="923"/>
        <v>-2.7231740306582486E-2</v>
      </c>
      <c r="BJ462" s="1851">
        <f t="shared" si="923"/>
        <v>8.5279940674822807E-3</v>
      </c>
      <c r="BK462" s="1854">
        <f t="shared" si="923"/>
        <v>-5.7904411764705843E-2</v>
      </c>
      <c r="BL462" s="1854">
        <f t="shared" si="923"/>
        <v>-0.12045528455284549</v>
      </c>
      <c r="BM462" s="1825">
        <f t="shared" si="923"/>
        <v>-0.14212822598535824</v>
      </c>
      <c r="BN462" s="1851">
        <f t="shared" si="923"/>
        <v>7.0683561761917257E-3</v>
      </c>
      <c r="BO462" s="1854">
        <f t="shared" si="923"/>
        <v>6.6335701446546214E-2</v>
      </c>
      <c r="BP462" s="1854">
        <f t="shared" si="923"/>
        <v>-0.14263926794027937</v>
      </c>
      <c r="BQ462" s="1825">
        <f t="shared" si="923"/>
        <v>-0.25812189869862368</v>
      </c>
      <c r="BR462" s="1851">
        <f t="shared" si="923"/>
        <v>0.13553760726905595</v>
      </c>
      <c r="BS462" s="1852"/>
      <c r="BT462" s="1852"/>
      <c r="BU462" s="1825"/>
      <c r="BV462" s="1852"/>
      <c r="BW462" s="1852"/>
      <c r="BX462" s="1852"/>
      <c r="BY462" s="1825"/>
      <c r="BZ462" s="1852"/>
      <c r="CA462" s="1852"/>
      <c r="CB462" s="1852"/>
      <c r="CC462" s="1825"/>
      <c r="CD462" s="1837"/>
      <c r="CE462" s="1934"/>
      <c r="CF462" s="1934"/>
      <c r="CG462" s="1934"/>
      <c r="CH462" s="1934"/>
      <c r="CI462" s="1934"/>
      <c r="CJ462" s="1934"/>
      <c r="CK462" s="1937"/>
      <c r="CL462" s="1937"/>
      <c r="CM462" s="1934"/>
      <c r="CN462" s="1934"/>
      <c r="CO462" s="1938"/>
      <c r="CP462" s="1938"/>
      <c r="CQ462" s="1938"/>
      <c r="CR462" s="1938"/>
      <c r="CS462" s="1852"/>
      <c r="CT462" s="1852"/>
      <c r="CU462" s="1852"/>
      <c r="CV462" s="1852"/>
      <c r="CW462" s="1852"/>
      <c r="CX462" s="1852"/>
      <c r="CY462" s="1852"/>
      <c r="CZ462" s="1852"/>
      <c r="DA462" s="1852"/>
      <c r="DB462" s="1852"/>
      <c r="DC462" s="1852"/>
      <c r="DD462" s="1837"/>
      <c r="DE462" s="1839"/>
      <c r="DF462" s="1829"/>
      <c r="DG462" s="1804"/>
      <c r="DH462" s="1803"/>
      <c r="DI462" s="1803"/>
      <c r="DJ462" s="1803"/>
      <c r="DK462" s="1803"/>
      <c r="DL462" s="1803"/>
      <c r="DM462" s="1848"/>
      <c r="DN462" s="1848"/>
      <c r="DO462" s="1848"/>
      <c r="DP462" s="1848"/>
      <c r="DQ462" s="1848"/>
      <c r="DR462" s="1848"/>
      <c r="DS462" s="1855"/>
      <c r="DT462" s="1848"/>
      <c r="DU462" s="1848"/>
      <c r="DV462" s="1848"/>
      <c r="DW462" s="1850"/>
      <c r="DX462" s="1848"/>
      <c r="DY462" s="1848"/>
      <c r="DZ462" s="1830"/>
      <c r="EA462"/>
      <c r="EB462"/>
      <c r="EC462"/>
      <c r="ED462"/>
      <c r="EE462"/>
      <c r="EF462"/>
    </row>
    <row r="463" spans="1:136" s="1785" customFormat="1" ht="11.25" hidden="1" customHeight="1" outlineLevel="1">
      <c r="A463" s="1830"/>
      <c r="B463" s="1943"/>
      <c r="C463" s="1859"/>
      <c r="D463" s="1860"/>
      <c r="E463" s="1840" t="s">
        <v>806</v>
      </c>
      <c r="F463" s="1968"/>
      <c r="G463" s="1938"/>
      <c r="H463" s="1938"/>
      <c r="I463" s="1969"/>
      <c r="J463" s="1938"/>
      <c r="K463" s="1938"/>
      <c r="L463" s="1938"/>
      <c r="M463" s="1969"/>
      <c r="N463" s="1938"/>
      <c r="O463" s="1938"/>
      <c r="P463" s="1938"/>
      <c r="Q463" s="1969"/>
      <c r="R463" s="1938"/>
      <c r="S463" s="1938"/>
      <c r="T463" s="1938"/>
      <c r="U463" s="1969"/>
      <c r="V463" s="1938"/>
      <c r="W463" s="1938"/>
      <c r="X463" s="1938"/>
      <c r="Y463" s="1969"/>
      <c r="Z463" s="1938"/>
      <c r="AA463" s="1938"/>
      <c r="AB463" s="1938"/>
      <c r="AC463" s="1969"/>
      <c r="AD463" s="1826"/>
      <c r="AE463" s="1826"/>
      <c r="AF463" s="1826"/>
      <c r="AG463" s="1826"/>
      <c r="AH463" s="1887"/>
      <c r="AI463" s="1826"/>
      <c r="AJ463" s="1826"/>
      <c r="AK463" s="1828"/>
      <c r="AL463" s="1826"/>
      <c r="AM463" s="1826"/>
      <c r="AN463" s="1826"/>
      <c r="AO463" s="1828"/>
      <c r="AP463" s="2011">
        <v>42.8</v>
      </c>
      <c r="AQ463" s="2010">
        <v>43.75</v>
      </c>
      <c r="AR463" s="2010">
        <v>44.5</v>
      </c>
      <c r="AS463" s="2010">
        <v>40.5</v>
      </c>
      <c r="AT463" s="2011">
        <v>39.765000000000001</v>
      </c>
      <c r="AU463" s="2010">
        <v>40.25</v>
      </c>
      <c r="AV463" s="1962">
        <f t="shared" ref="AV463:BI463" si="924">AU463*(1+AV465)</f>
        <v>39.163249999999998</v>
      </c>
      <c r="AW463" s="1962">
        <f t="shared" si="924"/>
        <v>39.163249999999998</v>
      </c>
      <c r="AX463" s="2019">
        <f t="shared" si="924"/>
        <v>40.729779999999998</v>
      </c>
      <c r="AY463" s="1962">
        <f t="shared" si="924"/>
        <v>60.076425499999999</v>
      </c>
      <c r="AZ463" s="1962">
        <f t="shared" si="924"/>
        <v>59.055126266499997</v>
      </c>
      <c r="BA463" s="2020">
        <f t="shared" si="924"/>
        <v>52.559062377185001</v>
      </c>
      <c r="BB463" s="2019">
        <f t="shared" si="924"/>
        <v>50.98229050586945</v>
      </c>
      <c r="BC463" s="1962">
        <f t="shared" si="924"/>
        <v>49.197910338164014</v>
      </c>
      <c r="BD463" s="1962">
        <f t="shared" si="924"/>
        <v>48.336946907246144</v>
      </c>
      <c r="BE463" s="2020">
        <f t="shared" si="924"/>
        <v>47.128523234564987</v>
      </c>
      <c r="BF463" s="2019">
        <f t="shared" si="924"/>
        <v>45.950310153700862</v>
      </c>
      <c r="BG463" s="2021">
        <f t="shared" si="924"/>
        <v>46.869316356774881</v>
      </c>
      <c r="BH463" s="1962">
        <f t="shared" si="924"/>
        <v>46.166276611423257</v>
      </c>
      <c r="BI463" s="2020">
        <f t="shared" si="924"/>
        <v>45.242951079194789</v>
      </c>
      <c r="BJ463" s="2019">
        <f t="shared" ref="BJ463:BQ463" si="925">BI463*(1+BJ465)</f>
        <v>46.188809765576131</v>
      </c>
      <c r="BK463" s="1962">
        <f t="shared" si="925"/>
        <v>46.76616988764583</v>
      </c>
      <c r="BL463" s="1962">
        <f t="shared" si="925"/>
        <v>47.383483330162761</v>
      </c>
      <c r="BM463" s="2020">
        <f t="shared" si="925"/>
        <v>45.961978830257877</v>
      </c>
      <c r="BN463" s="2019">
        <f t="shared" si="925"/>
        <v>45.961978830257877</v>
      </c>
      <c r="BO463" s="1962">
        <f t="shared" si="925"/>
        <v>46.191788724409165</v>
      </c>
      <c r="BP463" s="1962">
        <f t="shared" si="925"/>
        <v>44.806035062676891</v>
      </c>
      <c r="BQ463" s="2020">
        <f t="shared" si="925"/>
        <v>47.494397166437508</v>
      </c>
      <c r="BR463" s="1962">
        <f>BQ463*(1+BR465)</f>
        <v>47.969341138101882</v>
      </c>
      <c r="BS463" s="1962"/>
      <c r="BT463" s="1962"/>
      <c r="BU463" s="2020"/>
      <c r="BV463" s="1962"/>
      <c r="BW463" s="1962"/>
      <c r="BX463" s="1962"/>
      <c r="BY463" s="2020"/>
      <c r="BZ463" s="1962"/>
      <c r="CA463" s="1962"/>
      <c r="CB463" s="1962"/>
      <c r="CC463" s="2020"/>
      <c r="CD463" s="1837"/>
      <c r="CE463" s="1934"/>
      <c r="CF463" s="1934"/>
      <c r="CG463" s="1934"/>
      <c r="CH463" s="1934"/>
      <c r="CI463" s="1934"/>
      <c r="CJ463" s="1934"/>
      <c r="CK463" s="1937"/>
      <c r="CL463" s="1822"/>
      <c r="CM463" s="1831"/>
      <c r="CN463" s="1972">
        <f t="shared" ref="CN463:CS463" si="926">CN457*1000/CN460</f>
        <v>42.902888482632541</v>
      </c>
      <c r="CO463" s="1972">
        <f t="shared" si="926"/>
        <v>39.578180016707435</v>
      </c>
      <c r="CP463" s="1972">
        <f t="shared" si="926"/>
        <v>51.618912102904702</v>
      </c>
      <c r="CQ463" s="1972">
        <f t="shared" si="926"/>
        <v>48.91849625241391</v>
      </c>
      <c r="CR463" s="1972">
        <f t="shared" si="926"/>
        <v>46.063954821242952</v>
      </c>
      <c r="CS463" s="1972">
        <f t="shared" si="926"/>
        <v>46.583061984201933</v>
      </c>
      <c r="CT463" s="1972">
        <f>CT457*1000/CT460</f>
        <v>46.024188608381948</v>
      </c>
      <c r="CU463" s="1972">
        <f>CU457*1000/CU460</f>
        <v>47.969341138101882</v>
      </c>
      <c r="CV463" s="1972"/>
      <c r="CW463" s="1972"/>
      <c r="CX463" s="1972"/>
      <c r="CY463" s="1972"/>
      <c r="CZ463" s="1972"/>
      <c r="DA463" s="1972"/>
      <c r="DB463" s="1972"/>
      <c r="DC463" s="1972"/>
      <c r="DD463" s="1837"/>
      <c r="DE463" s="1839"/>
      <c r="DF463" s="1829"/>
      <c r="DG463" s="1804"/>
      <c r="DH463" s="1803"/>
      <c r="DI463" s="1803"/>
      <c r="DJ463" s="1803"/>
      <c r="DK463" s="1803"/>
      <c r="DL463" s="1803"/>
      <c r="DM463" s="1963"/>
      <c r="DN463" s="1963"/>
      <c r="DO463" s="1963"/>
      <c r="DP463" s="1963">
        <f t="shared" ref="DP463:DU463" si="927">DP457/DP460*1000</f>
        <v>41.286865851309706</v>
      </c>
      <c r="DQ463" s="1963">
        <f t="shared" si="927"/>
        <v>42.769058625627942</v>
      </c>
      <c r="DR463" s="1963">
        <f t="shared" si="927"/>
        <v>52.805923366181624</v>
      </c>
      <c r="DS463" s="1964">
        <f t="shared" si="927"/>
        <v>47.091579462593579</v>
      </c>
      <c r="DT463" s="1963">
        <f t="shared" si="927"/>
        <v>46.083343923476455</v>
      </c>
      <c r="DU463" s="1963">
        <f t="shared" si="927"/>
        <v>46.410288523012376</v>
      </c>
      <c r="DV463" s="1963">
        <f>DV457/DV460*1000</f>
        <v>46.608955374848506</v>
      </c>
      <c r="DW463" s="1965"/>
      <c r="DX463" s="1963"/>
      <c r="DY463" s="1963"/>
      <c r="DZ463" s="1830"/>
      <c r="EA463"/>
      <c r="EB463"/>
      <c r="EC463"/>
      <c r="ED463"/>
      <c r="EE463"/>
      <c r="EF463"/>
    </row>
    <row r="464" spans="1:136" s="1785" customFormat="1" ht="11.25" hidden="1" customHeight="1" outlineLevel="1">
      <c r="A464" s="1830"/>
      <c r="B464" s="1943"/>
      <c r="C464" s="1859"/>
      <c r="D464" s="1860"/>
      <c r="E464" s="1932" t="s">
        <v>183</v>
      </c>
      <c r="F464" s="1968"/>
      <c r="G464" s="1938"/>
      <c r="H464" s="1938"/>
      <c r="I464" s="1969"/>
      <c r="J464" s="1938"/>
      <c r="K464" s="1938"/>
      <c r="L464" s="1938"/>
      <c r="M464" s="1969"/>
      <c r="N464" s="1938"/>
      <c r="O464" s="1938"/>
      <c r="P464" s="1938"/>
      <c r="Q464" s="1969"/>
      <c r="R464" s="1938"/>
      <c r="S464" s="1938"/>
      <c r="T464" s="1938"/>
      <c r="U464" s="1969"/>
      <c r="V464" s="1938"/>
      <c r="W464" s="1938"/>
      <c r="X464" s="1938"/>
      <c r="Y464" s="1969"/>
      <c r="Z464" s="1938"/>
      <c r="AA464" s="1938"/>
      <c r="AB464" s="1938"/>
      <c r="AC464" s="1969"/>
      <c r="AD464" s="1826"/>
      <c r="AE464" s="1826"/>
      <c r="AF464" s="1826"/>
      <c r="AG464" s="1826"/>
      <c r="AH464" s="1887"/>
      <c r="AI464" s="1826"/>
      <c r="AJ464" s="1826"/>
      <c r="AK464" s="1828"/>
      <c r="AL464" s="1826"/>
      <c r="AM464" s="1826"/>
      <c r="AN464" s="1826"/>
      <c r="AO464" s="1828"/>
      <c r="AP464" s="2022"/>
      <c r="AQ464" s="2023"/>
      <c r="AR464" s="2023"/>
      <c r="AS464" s="2023"/>
      <c r="AT464" s="1851">
        <f>AT463/AP463-1</f>
        <v>-7.0911214953270907E-2</v>
      </c>
      <c r="AU464" s="1852">
        <f>AU463/AQ463-1</f>
        <v>-7.999999999999996E-2</v>
      </c>
      <c r="AV464" s="1852">
        <f t="shared" ref="AV464:BD464" si="928">AV463/AR463-1</f>
        <v>-0.11992696629213484</v>
      </c>
      <c r="AW464" s="1852">
        <f t="shared" si="928"/>
        <v>-3.3006172839506243E-2</v>
      </c>
      <c r="AX464" s="1851">
        <f t="shared" si="928"/>
        <v>2.4262039481956377E-2</v>
      </c>
      <c r="AY464" s="1852">
        <f t="shared" si="928"/>
        <v>0.49258200000000008</v>
      </c>
      <c r="AZ464" s="1852">
        <f t="shared" si="928"/>
        <v>0.50792199999999998</v>
      </c>
      <c r="BA464" s="1825">
        <f t="shared" si="928"/>
        <v>0.34205057999999999</v>
      </c>
      <c r="BB464" s="1851">
        <f t="shared" si="928"/>
        <v>0.25172025249999996</v>
      </c>
      <c r="BC464" s="1852">
        <f t="shared" si="928"/>
        <v>-0.18107793650000004</v>
      </c>
      <c r="BD464" s="1852">
        <f t="shared" si="928"/>
        <v>-0.18149447875000002</v>
      </c>
      <c r="BE464" s="1825">
        <f t="shared" ref="BE464:BQ464" si="929">BE463/BA463-1</f>
        <v>-0.10332260312500019</v>
      </c>
      <c r="BF464" s="1851">
        <f t="shared" si="929"/>
        <v>-9.8700554687500164E-2</v>
      </c>
      <c r="BG464" s="1854">
        <f t="shared" si="929"/>
        <v>-4.7331156250000062E-2</v>
      </c>
      <c r="BH464" s="1852">
        <f t="shared" si="929"/>
        <v>-4.4907062500000094E-2</v>
      </c>
      <c r="BI464" s="1825">
        <f t="shared" si="929"/>
        <v>-4.0009150000000049E-2</v>
      </c>
      <c r="BJ464" s="1851">
        <f t="shared" si="929"/>
        <v>5.1903808935676032E-3</v>
      </c>
      <c r="BK464" s="1852">
        <f t="shared" si="929"/>
        <v>-2.200724848297031E-3</v>
      </c>
      <c r="BL464" s="1852">
        <f t="shared" si="929"/>
        <v>2.6365711252492874E-2</v>
      </c>
      <c r="BM464" s="1825">
        <f t="shared" si="929"/>
        <v>1.5892591749916418E-2</v>
      </c>
      <c r="BN464" s="1851">
        <f t="shared" si="929"/>
        <v>-4.9109499999999695E-3</v>
      </c>
      <c r="BO464" s="1852">
        <f t="shared" si="929"/>
        <v>-1.2281979999999915E-2</v>
      </c>
      <c r="BP464" s="1852">
        <f t="shared" si="929"/>
        <v>-5.4395500000000041E-2</v>
      </c>
      <c r="BQ464" s="1825">
        <f t="shared" si="929"/>
        <v>3.3341000000000065E-2</v>
      </c>
      <c r="BR464" s="1852">
        <f>BR463/BN463-1</f>
        <v>4.3674409999999941E-2</v>
      </c>
      <c r="BS464" s="1852"/>
      <c r="BT464" s="1852"/>
      <c r="BU464" s="1825"/>
      <c r="BV464" s="1852"/>
      <c r="BW464" s="1852"/>
      <c r="BX464" s="1852"/>
      <c r="BY464" s="1825"/>
      <c r="BZ464" s="1852"/>
      <c r="CA464" s="1852"/>
      <c r="CB464" s="1852"/>
      <c r="CC464" s="1825"/>
      <c r="CD464" s="1837"/>
      <c r="CE464" s="1934"/>
      <c r="CF464" s="1934"/>
      <c r="CG464" s="1934"/>
      <c r="CH464" s="1934"/>
      <c r="CI464" s="1934"/>
      <c r="CJ464" s="1934"/>
      <c r="CK464" s="1937"/>
      <c r="CL464" s="1937"/>
      <c r="CM464" s="1934"/>
      <c r="CN464" s="1852"/>
      <c r="CO464" s="1852">
        <f t="shared" ref="CO464:CU464" si="930">CO463/CN463-1</f>
        <v>-7.7493814134938166E-2</v>
      </c>
      <c r="CP464" s="1852">
        <f t="shared" si="930"/>
        <v>0.30422652282430418</v>
      </c>
      <c r="CQ464" s="1852">
        <f t="shared" si="930"/>
        <v>-5.2314466548760041E-2</v>
      </c>
      <c r="CR464" s="1852">
        <f t="shared" si="930"/>
        <v>-5.8353008572500809E-2</v>
      </c>
      <c r="CS464" s="1852">
        <f t="shared" si="930"/>
        <v>1.1269270408358123E-2</v>
      </c>
      <c r="CT464" s="1852">
        <f t="shared" si="930"/>
        <v>-1.1997351655619326E-2</v>
      </c>
      <c r="CU464" s="1852">
        <f t="shared" si="930"/>
        <v>4.2263700643832447E-2</v>
      </c>
      <c r="CV464" s="1852"/>
      <c r="CW464" s="1852"/>
      <c r="CX464" s="1991"/>
      <c r="CY464" s="1991"/>
      <c r="CZ464" s="1991"/>
      <c r="DA464" s="1991"/>
      <c r="DB464" s="1991"/>
      <c r="DC464" s="1991"/>
      <c r="DD464" s="1837"/>
      <c r="DE464" s="1839"/>
      <c r="DF464" s="1829"/>
      <c r="DG464" s="1804"/>
      <c r="DH464" s="1803"/>
      <c r="DI464" s="1803"/>
      <c r="DJ464" s="1803"/>
      <c r="DK464" s="1803"/>
      <c r="DL464" s="1803"/>
      <c r="DM464" s="1852"/>
      <c r="DN464" s="1852"/>
      <c r="DO464" s="1852"/>
      <c r="DP464" s="1852"/>
      <c r="DQ464" s="1852">
        <f t="shared" ref="DQ464:DV464" si="931">DQ463/DP463-1</f>
        <v>3.5899861705565028E-2</v>
      </c>
      <c r="DR464" s="1852">
        <f t="shared" si="931"/>
        <v>0.23467583956920257</v>
      </c>
      <c r="DS464" s="1851">
        <f t="shared" si="931"/>
        <v>-0.10821407030347785</v>
      </c>
      <c r="DT464" s="1852">
        <f t="shared" si="931"/>
        <v>-2.1410102413702226E-2</v>
      </c>
      <c r="DU464" s="1852">
        <f t="shared" si="931"/>
        <v>7.0946370575630802E-3</v>
      </c>
      <c r="DV464" s="1852">
        <f t="shared" si="931"/>
        <v>4.2806640113348671E-3</v>
      </c>
      <c r="DW464" s="1825"/>
      <c r="DX464" s="1852"/>
      <c r="DY464" s="1852"/>
      <c r="DZ464" s="1830"/>
      <c r="EA464"/>
      <c r="EB464"/>
      <c r="EC464"/>
      <c r="ED464"/>
      <c r="EE464"/>
      <c r="EF464"/>
    </row>
    <row r="465" spans="1:136" s="1785" customFormat="1" ht="11.25" hidden="1" customHeight="1" outlineLevel="1">
      <c r="A465" s="1830"/>
      <c r="B465" s="1943"/>
      <c r="C465" s="1859"/>
      <c r="D465" s="1860"/>
      <c r="E465" s="1932" t="s">
        <v>184</v>
      </c>
      <c r="F465" s="1968"/>
      <c r="G465" s="1938"/>
      <c r="H465" s="1938"/>
      <c r="I465" s="1969"/>
      <c r="J465" s="1938"/>
      <c r="K465" s="1938"/>
      <c r="L465" s="1938"/>
      <c r="M465" s="1969"/>
      <c r="N465" s="1938"/>
      <c r="O465" s="1938"/>
      <c r="P465" s="1938"/>
      <c r="Q465" s="1969"/>
      <c r="R465" s="1938"/>
      <c r="S465" s="1938"/>
      <c r="T465" s="1938"/>
      <c r="U465" s="1969"/>
      <c r="V465" s="1938"/>
      <c r="W465" s="1938"/>
      <c r="X465" s="1938"/>
      <c r="Y465" s="1969"/>
      <c r="Z465" s="1938"/>
      <c r="AA465" s="1938"/>
      <c r="AB465" s="1938"/>
      <c r="AC465" s="1969"/>
      <c r="AD465" s="1826"/>
      <c r="AE465" s="1826"/>
      <c r="AF465" s="1826"/>
      <c r="AG465" s="1826"/>
      <c r="AH465" s="1887"/>
      <c r="AI465" s="1826"/>
      <c r="AJ465" s="1826"/>
      <c r="AK465" s="1828"/>
      <c r="AL465" s="1826"/>
      <c r="AM465" s="1826"/>
      <c r="AN465" s="1826"/>
      <c r="AO465" s="1828"/>
      <c r="AP465" s="1873"/>
      <c r="AQ465" s="1852">
        <f>AQ463/AP463-1</f>
        <v>2.219626168224309E-2</v>
      </c>
      <c r="AR465" s="1852">
        <f>AR463/AQ463-1</f>
        <v>1.7142857142857126E-2</v>
      </c>
      <c r="AS465" s="1852">
        <f>AS463/AR463-1</f>
        <v>-8.98876404494382E-2</v>
      </c>
      <c r="AT465" s="1851">
        <f>AT463/AS463-1</f>
        <v>-1.8148148148148135E-2</v>
      </c>
      <c r="AU465" s="1852">
        <f>AU463/AT463-1</f>
        <v>1.2196655350182217E-2</v>
      </c>
      <c r="AV465" s="1852">
        <v>-2.7E-2</v>
      </c>
      <c r="AW465" s="1852">
        <v>0</v>
      </c>
      <c r="AX465" s="1851">
        <v>0.04</v>
      </c>
      <c r="AY465" s="1852">
        <v>0.47499999999999998</v>
      </c>
      <c r="AZ465" s="1852">
        <v>-1.7000000000000001E-2</v>
      </c>
      <c r="BA465" s="1825">
        <v>-0.11</v>
      </c>
      <c r="BB465" s="1851">
        <v>-0.03</v>
      </c>
      <c r="BC465" s="1852">
        <v>-3.5000000000000003E-2</v>
      </c>
      <c r="BD465" s="1852">
        <v>-1.7500000000000002E-2</v>
      </c>
      <c r="BE465" s="1825">
        <v>-2.5000000000000001E-2</v>
      </c>
      <c r="BF465" s="1851">
        <v>-2.5000000000000001E-2</v>
      </c>
      <c r="BG465" s="1854">
        <v>0.02</v>
      </c>
      <c r="BH465" s="1852">
        <v>-1.4999999999999999E-2</v>
      </c>
      <c r="BI465" s="1825">
        <v>-0.02</v>
      </c>
      <c r="BJ465" s="1851">
        <f>$BJ$424</f>
        <v>2.0906211107354095E-2</v>
      </c>
      <c r="BK465" s="1852">
        <v>1.2500000000000001E-2</v>
      </c>
      <c r="BL465" s="1852">
        <f>$BL$424</f>
        <v>1.32E-2</v>
      </c>
      <c r="BM465" s="1825">
        <v>-0.03</v>
      </c>
      <c r="BN465" s="1851">
        <v>0</v>
      </c>
      <c r="BO465" s="1852">
        <v>5.0000000000000001E-3</v>
      </c>
      <c r="BP465" s="1852">
        <v>-0.03</v>
      </c>
      <c r="BQ465" s="1825">
        <v>0.06</v>
      </c>
      <c r="BR465" s="1851">
        <v>0.01</v>
      </c>
      <c r="BS465" s="1852"/>
      <c r="BT465" s="1852"/>
      <c r="BU465" s="1825"/>
      <c r="BV465" s="1852"/>
      <c r="BW465" s="1852"/>
      <c r="BX465" s="1852"/>
      <c r="BY465" s="1825"/>
      <c r="BZ465" s="1852"/>
      <c r="CA465" s="1852"/>
      <c r="CB465" s="1852"/>
      <c r="CC465" s="1825"/>
      <c r="CD465" s="1837"/>
      <c r="CE465" s="1934"/>
      <c r="CF465" s="1934"/>
      <c r="CG465" s="1934"/>
      <c r="CH465" s="1934"/>
      <c r="CI465" s="1934"/>
      <c r="CJ465" s="1934"/>
      <c r="CK465" s="1937"/>
      <c r="CL465" s="1937"/>
      <c r="CM465" s="1934"/>
      <c r="CN465" s="1934"/>
      <c r="CO465" s="1938"/>
      <c r="CP465" s="1938"/>
      <c r="CQ465" s="1938"/>
      <c r="CR465" s="1938"/>
      <c r="CS465" s="1852"/>
      <c r="CT465" s="1852"/>
      <c r="CU465" s="1852"/>
      <c r="CV465" s="1852"/>
      <c r="CW465" s="1852"/>
      <c r="CX465" s="1852"/>
      <c r="CY465" s="1852"/>
      <c r="CZ465" s="1852"/>
      <c r="DA465" s="1852"/>
      <c r="DB465" s="1852"/>
      <c r="DC465" s="1852"/>
      <c r="DD465" s="1837"/>
      <c r="DE465" s="1839"/>
      <c r="DF465" s="1829"/>
      <c r="DG465" s="1804"/>
      <c r="DH465" s="1803"/>
      <c r="DI465" s="1803"/>
      <c r="DJ465" s="1803"/>
      <c r="DK465" s="1803"/>
      <c r="DL465" s="1803"/>
      <c r="DM465" s="1803"/>
      <c r="DN465" s="1803"/>
      <c r="DO465" s="1803"/>
      <c r="DP465" s="1803"/>
      <c r="DQ465" s="1803"/>
      <c r="DR465" s="1803"/>
      <c r="DS465" s="1804"/>
      <c r="DT465" s="1974"/>
      <c r="DU465" s="1974"/>
      <c r="DV465" s="1974"/>
      <c r="DW465" s="1975"/>
      <c r="DX465" s="1974"/>
      <c r="DY465" s="1974"/>
      <c r="DZ465" s="1830"/>
      <c r="EA465"/>
      <c r="EB465"/>
      <c r="EC465"/>
      <c r="ED465"/>
      <c r="EE465"/>
      <c r="EF465"/>
    </row>
    <row r="466" spans="1:136" s="1785" customFormat="1" ht="5.25" hidden="1" customHeight="1" outlineLevel="1">
      <c r="A466" s="1829"/>
      <c r="B466" s="1913"/>
      <c r="C466" s="1914"/>
      <c r="D466" s="1915"/>
      <c r="E466" s="1916"/>
      <c r="F466" s="1917"/>
      <c r="G466" s="1918"/>
      <c r="H466" s="1918"/>
      <c r="I466" s="1919"/>
      <c r="J466" s="1920"/>
      <c r="K466" s="1921"/>
      <c r="L466" s="1921"/>
      <c r="M466" s="1922"/>
      <c r="N466" s="1921"/>
      <c r="O466" s="1921"/>
      <c r="P466" s="1921"/>
      <c r="Q466" s="1921"/>
      <c r="R466" s="1920"/>
      <c r="S466" s="1921"/>
      <c r="T466" s="1921"/>
      <c r="U466" s="1921"/>
      <c r="V466" s="1920"/>
      <c r="W466" s="1921"/>
      <c r="X466" s="1921"/>
      <c r="Y466" s="1921"/>
      <c r="Z466" s="1920"/>
      <c r="AA466" s="1921"/>
      <c r="AB466" s="1921"/>
      <c r="AC466" s="1921"/>
      <c r="AD466" s="1920"/>
      <c r="AE466" s="1921"/>
      <c r="AF466" s="1921"/>
      <c r="AG466" s="1921"/>
      <c r="AH466" s="1920"/>
      <c r="AI466" s="1921"/>
      <c r="AJ466" s="1921"/>
      <c r="AK466" s="1921"/>
      <c r="AL466" s="1920"/>
      <c r="AM466" s="1921"/>
      <c r="AN466" s="1921"/>
      <c r="AO466" s="1922"/>
      <c r="AP466" s="1921"/>
      <c r="AQ466" s="1921"/>
      <c r="AR466" s="1921"/>
      <c r="AS466" s="1922"/>
      <c r="AT466" s="1921"/>
      <c r="AU466" s="1921"/>
      <c r="AV466" s="1921"/>
      <c r="AW466" s="1922"/>
      <c r="AX466" s="1921"/>
      <c r="AY466" s="1921"/>
      <c r="AZ466" s="1921"/>
      <c r="BA466" s="1922"/>
      <c r="BB466" s="1920"/>
      <c r="BC466" s="1921"/>
      <c r="BD466" s="1921"/>
      <c r="BE466" s="1922"/>
      <c r="BF466" s="1920"/>
      <c r="BG466" s="1923"/>
      <c r="BH466" s="1921"/>
      <c r="BI466" s="1922"/>
      <c r="BJ466" s="1920"/>
      <c r="BK466" s="1921"/>
      <c r="BL466" s="1921"/>
      <c r="BM466" s="1922"/>
      <c r="BN466" s="1921"/>
      <c r="BO466" s="1921"/>
      <c r="BP466" s="1921"/>
      <c r="BQ466" s="1922"/>
      <c r="BR466" s="1921"/>
      <c r="BS466" s="1921"/>
      <c r="BT466" s="1921"/>
      <c r="BU466" s="1922"/>
      <c r="BV466" s="1921"/>
      <c r="BW466" s="1921"/>
      <c r="BX466" s="1921"/>
      <c r="BY466" s="1922"/>
      <c r="BZ466" s="1921"/>
      <c r="CA466" s="1921"/>
      <c r="CB466" s="1921"/>
      <c r="CC466" s="1922"/>
      <c r="CD466" s="1837"/>
      <c r="CE466" s="1921"/>
      <c r="CF466" s="1921"/>
      <c r="CG466" s="1921"/>
      <c r="CH466" s="1921"/>
      <c r="CI466" s="1921"/>
      <c r="CJ466" s="1921"/>
      <c r="CK466" s="1923"/>
      <c r="CL466" s="1923"/>
      <c r="CM466" s="1921"/>
      <c r="CN466" s="1921"/>
      <c r="CO466" s="1924"/>
      <c r="CP466" s="1924"/>
      <c r="CQ466" s="1924"/>
      <c r="CR466" s="1921"/>
      <c r="CS466" s="1921"/>
      <c r="CT466" s="1921"/>
      <c r="CU466" s="1921"/>
      <c r="CV466" s="1921"/>
      <c r="CW466" s="1921"/>
      <c r="CX466" s="1921"/>
      <c r="CY466" s="1921"/>
      <c r="CZ466" s="1921"/>
      <c r="DA466" s="1921"/>
      <c r="DB466" s="1921"/>
      <c r="DC466" s="1921"/>
      <c r="DD466" s="1925"/>
      <c r="DE466" s="1839"/>
      <c r="DF466" s="1829"/>
      <c r="DG466" s="1926"/>
      <c r="DH466" s="1927"/>
      <c r="DI466" s="1927"/>
      <c r="DJ466" s="1927"/>
      <c r="DK466" s="1927"/>
      <c r="DL466" s="1927"/>
      <c r="DM466" s="1927"/>
      <c r="DN466" s="1927"/>
      <c r="DO466" s="1927"/>
      <c r="DP466" s="1927"/>
      <c r="DQ466" s="1927"/>
      <c r="DR466" s="1927"/>
      <c r="DS466" s="1926"/>
      <c r="DT466" s="1928"/>
      <c r="DU466" s="1928"/>
      <c r="DV466" s="1928"/>
      <c r="DW466" s="1929"/>
      <c r="DX466" s="1874"/>
      <c r="DY466" s="1874"/>
      <c r="DZ466" s="1829"/>
      <c r="EA466"/>
      <c r="EB466"/>
      <c r="EC466"/>
      <c r="ED466"/>
      <c r="EE466"/>
      <c r="EF466"/>
    </row>
    <row r="467" spans="1:136" s="1785" customFormat="1" ht="3.75" hidden="1" customHeight="1" outlineLevel="1">
      <c r="A467" s="1829"/>
      <c r="B467" s="1930"/>
      <c r="C467" s="1860"/>
      <c r="D467" s="1931"/>
      <c r="E467" s="1932"/>
      <c r="F467" s="1780"/>
      <c r="G467" s="1781"/>
      <c r="H467" s="1781"/>
      <c r="I467" s="1933"/>
      <c r="J467" s="1934"/>
      <c r="K467" s="1934"/>
      <c r="L467" s="1934"/>
      <c r="M467" s="1935"/>
      <c r="N467" s="1934"/>
      <c r="O467" s="1934"/>
      <c r="P467" s="1934"/>
      <c r="Q467" s="1934"/>
      <c r="R467" s="1934"/>
      <c r="S467" s="1934"/>
      <c r="T467" s="1934"/>
      <c r="U467" s="1934"/>
      <c r="V467" s="1934"/>
      <c r="W467" s="1934"/>
      <c r="X467" s="1934"/>
      <c r="Y467" s="1934"/>
      <c r="Z467" s="1934"/>
      <c r="AA467" s="1934"/>
      <c r="AB467" s="1934"/>
      <c r="AC467" s="1934"/>
      <c r="AD467" s="1934"/>
      <c r="AE467" s="1934"/>
      <c r="AF467" s="1934"/>
      <c r="AG467" s="1934"/>
      <c r="AH467" s="1936"/>
      <c r="AI467" s="1934"/>
      <c r="AJ467" s="1934"/>
      <c r="AK467" s="1934"/>
      <c r="AL467" s="1934"/>
      <c r="AM467" s="1934"/>
      <c r="AN467" s="1934"/>
      <c r="AO467" s="1935"/>
      <c r="AP467" s="1934"/>
      <c r="AQ467" s="1934"/>
      <c r="AR467" s="1934"/>
      <c r="AS467" s="2024"/>
      <c r="AT467" s="1934"/>
      <c r="AU467" s="1934"/>
      <c r="AV467" s="1934"/>
      <c r="AW467" s="1935"/>
      <c r="AX467" s="1934"/>
      <c r="AY467" s="1934"/>
      <c r="AZ467" s="1934"/>
      <c r="BA467" s="1935"/>
      <c r="BB467" s="1936"/>
      <c r="BC467" s="1934"/>
      <c r="BD467" s="1934"/>
      <c r="BE467" s="1935"/>
      <c r="BF467" s="1936"/>
      <c r="BG467" s="1937"/>
      <c r="BH467" s="1934"/>
      <c r="BI467" s="1935"/>
      <c r="BJ467" s="1936"/>
      <c r="BK467" s="1934"/>
      <c r="BL467" s="1934"/>
      <c r="BM467" s="1935"/>
      <c r="BN467" s="1934"/>
      <c r="BO467" s="1934"/>
      <c r="BP467" s="1934"/>
      <c r="BQ467" s="1935"/>
      <c r="BR467" s="1934"/>
      <c r="BS467" s="1934"/>
      <c r="BT467" s="1934"/>
      <c r="BU467" s="1935"/>
      <c r="BV467" s="1934"/>
      <c r="BW467" s="1934"/>
      <c r="BX467" s="1934"/>
      <c r="BY467" s="1935"/>
      <c r="BZ467" s="1934"/>
      <c r="CA467" s="1934"/>
      <c r="CB467" s="1934"/>
      <c r="CC467" s="1935"/>
      <c r="CD467" s="1837"/>
      <c r="CE467" s="1934"/>
      <c r="CF467" s="1934"/>
      <c r="CG467" s="1934"/>
      <c r="CH467" s="1934"/>
      <c r="CI467" s="1934"/>
      <c r="CJ467" s="1934"/>
      <c r="CK467" s="1937"/>
      <c r="CL467" s="1937"/>
      <c r="CM467" s="1934"/>
      <c r="CN467" s="1934"/>
      <c r="CO467" s="1938"/>
      <c r="CP467" s="1938"/>
      <c r="CQ467" s="1938"/>
      <c r="CR467" s="1934"/>
      <c r="CS467" s="1934"/>
      <c r="CT467" s="1934"/>
      <c r="CU467" s="1934"/>
      <c r="CV467" s="1934"/>
      <c r="CW467" s="1934"/>
      <c r="CX467" s="1934"/>
      <c r="CY467" s="1934"/>
      <c r="CZ467" s="1934"/>
      <c r="DA467" s="1934"/>
      <c r="DB467" s="1934"/>
      <c r="DC467" s="1934"/>
      <c r="DD467" s="1837"/>
      <c r="DE467" s="1839"/>
      <c r="DF467" s="1829"/>
      <c r="DG467" s="1804"/>
      <c r="DH467" s="1803"/>
      <c r="DI467" s="1803"/>
      <c r="DJ467" s="1803"/>
      <c r="DK467" s="1803"/>
      <c r="DL467" s="1803"/>
      <c r="DM467" s="1939"/>
      <c r="DN467" s="1939"/>
      <c r="DO467" s="1939"/>
      <c r="DP467" s="1939"/>
      <c r="DQ467" s="1939"/>
      <c r="DR467" s="1939"/>
      <c r="DS467" s="1940"/>
      <c r="DT467" s="1941"/>
      <c r="DU467" s="1874"/>
      <c r="DV467" s="1874"/>
      <c r="DW467" s="1942"/>
      <c r="DX467" s="1874"/>
      <c r="DY467" s="1874"/>
      <c r="DZ467" s="1829"/>
      <c r="EA467"/>
      <c r="EB467"/>
      <c r="EC467"/>
      <c r="ED467"/>
      <c r="EE467"/>
      <c r="EF467"/>
    </row>
    <row r="468" spans="1:136" s="1785" customFormat="1" ht="11.25" hidden="1" customHeight="1" outlineLevel="1">
      <c r="A468" s="1830"/>
      <c r="B468" s="1943"/>
      <c r="C468" s="1944" t="s">
        <v>189</v>
      </c>
      <c r="D468" s="1829"/>
      <c r="E468" s="1841"/>
      <c r="F468" s="1968"/>
      <c r="G468" s="1938"/>
      <c r="H468" s="1938"/>
      <c r="I468" s="1969"/>
      <c r="J468" s="1938"/>
      <c r="K468" s="1938"/>
      <c r="L468" s="1938"/>
      <c r="M468" s="1969"/>
      <c r="N468" s="1938"/>
      <c r="O468" s="1938"/>
      <c r="P468" s="1938"/>
      <c r="Q468" s="1969"/>
      <c r="R468" s="1938"/>
      <c r="S468" s="1938"/>
      <c r="T468" s="1938"/>
      <c r="U468" s="1969"/>
      <c r="V468" s="1938"/>
      <c r="W468" s="1938"/>
      <c r="X468" s="1938"/>
      <c r="Y468" s="1969"/>
      <c r="Z468" s="1938"/>
      <c r="AA468" s="1938"/>
      <c r="AB468" s="1938"/>
      <c r="AC468" s="1969"/>
      <c r="AD468" s="1938"/>
      <c r="AE468" s="1938"/>
      <c r="AF468" s="1938"/>
      <c r="AG468" s="1938"/>
      <c r="AH468" s="1968"/>
      <c r="AI468" s="1938"/>
      <c r="AJ468" s="1938"/>
      <c r="AK468" s="1969"/>
      <c r="AL468" s="1938"/>
      <c r="AM468" s="1938"/>
      <c r="AN468" s="1938"/>
      <c r="AO468" s="1969"/>
      <c r="AP468" s="1897">
        <f t="shared" ref="AP468:AU468" si="932">AP478+AP488</f>
        <v>504.56</v>
      </c>
      <c r="AQ468" s="1871">
        <f t="shared" si="932"/>
        <v>736.40300000000002</v>
      </c>
      <c r="AR468" s="1871">
        <f t="shared" si="932"/>
        <v>659.68450000000007</v>
      </c>
      <c r="AS468" s="1871">
        <f t="shared" si="932"/>
        <v>604.28099999999995</v>
      </c>
      <c r="AT468" s="1897">
        <f t="shared" si="932"/>
        <v>621.46249999999998</v>
      </c>
      <c r="AU468" s="1871">
        <f t="shared" si="932"/>
        <v>722.58749999999998</v>
      </c>
      <c r="AV468" s="1948">
        <f>AV478+AV488</f>
        <v>611.64656249999996</v>
      </c>
      <c r="AW468" s="1871">
        <f t="shared" ref="AW468:BD468" si="933">AW478+AW488</f>
        <v>614.46950218749998</v>
      </c>
      <c r="AX468" s="1897">
        <f t="shared" si="933"/>
        <v>756.76210854374995</v>
      </c>
      <c r="AY468" s="1871">
        <f t="shared" si="933"/>
        <v>455.655026479225</v>
      </c>
      <c r="AZ468" s="1871">
        <f t="shared" si="933"/>
        <v>481.79245051866587</v>
      </c>
      <c r="BA468" s="1872">
        <f t="shared" si="933"/>
        <v>629.55456749601467</v>
      </c>
      <c r="BB468" s="1897">
        <f>BB478+BB488</f>
        <v>852.36058184013723</v>
      </c>
      <c r="BC468" s="1871">
        <f t="shared" si="933"/>
        <v>862.14564146007592</v>
      </c>
      <c r="BD468" s="1871">
        <f t="shared" si="933"/>
        <v>795.86017309889496</v>
      </c>
      <c r="BE468" s="1872">
        <f t="shared" ref="BE468:BM468" si="934">BE478+BE488</f>
        <v>681.73718819285773</v>
      </c>
      <c r="BF468" s="1897">
        <f t="shared" si="934"/>
        <v>805.80273432442243</v>
      </c>
      <c r="BG468" s="1894">
        <f t="shared" si="934"/>
        <v>932.30364728663312</v>
      </c>
      <c r="BH468" s="1871">
        <f t="shared" si="934"/>
        <v>846.45733382456115</v>
      </c>
      <c r="BI468" s="1872">
        <f>BI478+BI488</f>
        <v>905.57641215534034</v>
      </c>
      <c r="BJ468" s="1897">
        <f t="shared" si="934"/>
        <v>966.5271290489984</v>
      </c>
      <c r="BK468" s="1871">
        <f t="shared" si="934"/>
        <v>957.65991648939541</v>
      </c>
      <c r="BL468" s="1871">
        <f>BL478+BL488</f>
        <v>855.85928035631673</v>
      </c>
      <c r="BM468" s="1872">
        <f t="shared" si="934"/>
        <v>776.19300235427943</v>
      </c>
      <c r="BN468" s="1871">
        <f>BN478+BN488</f>
        <v>917.24844784194352</v>
      </c>
      <c r="BO468" s="1871">
        <f>BO478+BO488</f>
        <v>868.42559940579974</v>
      </c>
      <c r="BP468" s="1871">
        <f>BP478+BP488</f>
        <v>733.85700429405665</v>
      </c>
      <c r="BQ468" s="1872">
        <f>BQ478+BQ488</f>
        <v>866.74373073517427</v>
      </c>
      <c r="BR468" s="1871">
        <f>BR478+BR488</f>
        <v>1009.983090807737</v>
      </c>
      <c r="BS468" s="1871"/>
      <c r="BT468" s="1871"/>
      <c r="BU468" s="1872"/>
      <c r="BV468" s="1871"/>
      <c r="BW468" s="1871"/>
      <c r="BX468" s="1871"/>
      <c r="BY468" s="1872"/>
      <c r="BZ468" s="1871"/>
      <c r="CA468" s="1871"/>
      <c r="CB468" s="1871"/>
      <c r="CC468" s="1872"/>
      <c r="CD468" s="1837"/>
      <c r="CE468" s="1934"/>
      <c r="CF468" s="1934"/>
      <c r="CG468" s="1934"/>
      <c r="CH468" s="1934"/>
      <c r="CI468" s="1934"/>
      <c r="CJ468" s="1934"/>
      <c r="CK468" s="1937"/>
      <c r="CL468" s="1951"/>
      <c r="CM468" s="1950"/>
      <c r="CN468" s="1950">
        <f>SUM(AP468:AS468)</f>
        <v>2504.9285</v>
      </c>
      <c r="CO468" s="1946">
        <f>SUM(AT468:AW468)</f>
        <v>2570.1660646874998</v>
      </c>
      <c r="CP468" s="1946">
        <f>SUM(AX468:BA468)</f>
        <v>2323.7641530376554</v>
      </c>
      <c r="CQ468" s="1946">
        <f>SUM(BB468:BE468)</f>
        <v>3192.103584591966</v>
      </c>
      <c r="CR468" s="1946">
        <f>SUM(BF468:BI468)</f>
        <v>3490.1401275909566</v>
      </c>
      <c r="CS468" s="1946">
        <f>SUM(BJ468:BM468)</f>
        <v>3556.2393282489898</v>
      </c>
      <c r="CT468" s="1946">
        <f>SUM(BN468:BQ468)</f>
        <v>3386.2747822769738</v>
      </c>
      <c r="CU468" s="1871">
        <f>SUM(BR468:BU468)</f>
        <v>1009.983090807737</v>
      </c>
      <c r="CV468" s="1948"/>
      <c r="CW468" s="1871"/>
      <c r="CX468" s="1871"/>
      <c r="CY468" s="1871"/>
      <c r="CZ468" s="1871"/>
      <c r="DA468" s="1871"/>
      <c r="DB468" s="1871"/>
      <c r="DC468" s="1871"/>
      <c r="DD468" s="1837"/>
      <c r="DE468" s="1839"/>
      <c r="DF468" s="1829"/>
      <c r="DG468" s="1804"/>
      <c r="DH468" s="1803"/>
      <c r="DI468" s="1803"/>
      <c r="DJ468" s="1803"/>
      <c r="DK468" s="1803"/>
      <c r="DL468" s="1803"/>
      <c r="DM468" s="1955"/>
      <c r="DN468" s="1955"/>
      <c r="DO468" s="1955"/>
      <c r="DP468" s="1955">
        <f>SUM(AR468:AU468)</f>
        <v>2608.0155</v>
      </c>
      <c r="DQ468" s="1955">
        <f>SUM(AV468:AY468)</f>
        <v>2438.5331997104749</v>
      </c>
      <c r="DR468" s="1955">
        <f>SUM(AZ468:BC468)</f>
        <v>2825.8532413148937</v>
      </c>
      <c r="DS468" s="1954">
        <f>SUM(BD468:BG468)</f>
        <v>3215.7037429028087</v>
      </c>
      <c r="DT468" s="1955">
        <f>SUM(BH468:BK468)</f>
        <v>3676.2207915182958</v>
      </c>
      <c r="DU468" s="1955">
        <f>SUM(BL468:BO468)</f>
        <v>3417.7263299583396</v>
      </c>
      <c r="DV468" s="1955">
        <f>SUM(BP468:BS468)</f>
        <v>2610.5838258369677</v>
      </c>
      <c r="DW468" s="1956"/>
      <c r="DX468" s="1955"/>
      <c r="DY468" s="1955"/>
      <c r="DZ468" s="1830"/>
      <c r="EA468"/>
      <c r="EB468"/>
      <c r="EC468"/>
      <c r="ED468"/>
      <c r="EE468"/>
      <c r="EF468"/>
    </row>
    <row r="469" spans="1:136" s="1785" customFormat="1" ht="11.25" hidden="1" customHeight="1" outlineLevel="1">
      <c r="A469" s="1830"/>
      <c r="B469" s="1943"/>
      <c r="C469" s="1829"/>
      <c r="D469" s="1967" t="s">
        <v>76</v>
      </c>
      <c r="E469" s="1841"/>
      <c r="F469" s="1968"/>
      <c r="G469" s="1938"/>
      <c r="H469" s="1938"/>
      <c r="I469" s="1969"/>
      <c r="J469" s="1938"/>
      <c r="K469" s="1938"/>
      <c r="L469" s="1938"/>
      <c r="M469" s="1969"/>
      <c r="N469" s="1938"/>
      <c r="O469" s="1938"/>
      <c r="P469" s="1938"/>
      <c r="Q469" s="1969"/>
      <c r="R469" s="1938"/>
      <c r="S469" s="1938"/>
      <c r="T469" s="1938"/>
      <c r="U469" s="1969"/>
      <c r="V469" s="1938"/>
      <c r="W469" s="1938"/>
      <c r="X469" s="1938"/>
      <c r="Y469" s="1969"/>
      <c r="Z469" s="1938"/>
      <c r="AA469" s="1938"/>
      <c r="AB469" s="1938"/>
      <c r="AC469" s="1969"/>
      <c r="AD469" s="1938"/>
      <c r="AE469" s="1938"/>
      <c r="AF469" s="1938"/>
      <c r="AG469" s="1938"/>
      <c r="AH469" s="1968"/>
      <c r="AI469" s="1938"/>
      <c r="AJ469" s="1938"/>
      <c r="AK469" s="1969"/>
      <c r="AL469" s="1938"/>
      <c r="AM469" s="1938"/>
      <c r="AN469" s="1938"/>
      <c r="AO469" s="1969"/>
      <c r="AP469" s="1851"/>
      <c r="AQ469" s="1852"/>
      <c r="AR469" s="1852"/>
      <c r="AS469" s="1852"/>
      <c r="AT469" s="1851">
        <f>AT468/AP468-1</f>
        <v>0.23169196924052637</v>
      </c>
      <c r="AU469" s="1852">
        <f>AU468/AQ468-1</f>
        <v>-1.8760787231991261E-2</v>
      </c>
      <c r="AV469" s="1852">
        <f t="shared" ref="AV469:BD469" si="935">AV468/AR468-1</f>
        <v>-7.2819563746002958E-2</v>
      </c>
      <c r="AW469" s="1852">
        <f t="shared" si="935"/>
        <v>1.6860537047334034E-2</v>
      </c>
      <c r="AX469" s="1851">
        <f t="shared" si="935"/>
        <v>0.2177116214473922</v>
      </c>
      <c r="AY469" s="1852">
        <f t="shared" si="935"/>
        <v>-0.36941197228124623</v>
      </c>
      <c r="AZ469" s="1852">
        <f t="shared" si="935"/>
        <v>-0.21230252885028533</v>
      </c>
      <c r="BA469" s="1825">
        <f t="shared" si="935"/>
        <v>2.4549738033884827E-2</v>
      </c>
      <c r="BB469" s="1851">
        <f t="shared" si="935"/>
        <v>0.12632566062318973</v>
      </c>
      <c r="BC469" s="1852">
        <f t="shared" si="935"/>
        <v>0.89210168078631824</v>
      </c>
      <c r="BD469" s="1852">
        <f t="shared" si="935"/>
        <v>0.65187348253822686</v>
      </c>
      <c r="BE469" s="1825">
        <f t="shared" ref="BE469:BO469" si="936">BE468/BA468-1</f>
        <v>8.2888161552689299E-2</v>
      </c>
      <c r="BF469" s="1851">
        <f t="shared" si="936"/>
        <v>-5.4622243810480309E-2</v>
      </c>
      <c r="BG469" s="1854">
        <f t="shared" si="936"/>
        <v>8.1376048839894466E-2</v>
      </c>
      <c r="BH469" s="1852">
        <f t="shared" si="936"/>
        <v>6.3575440053310617E-2</v>
      </c>
      <c r="BI469" s="1825">
        <f t="shared" si="936"/>
        <v>0.32833653178849387</v>
      </c>
      <c r="BJ469" s="1851">
        <f t="shared" si="936"/>
        <v>0.19945873583976592</v>
      </c>
      <c r="BK469" s="1852">
        <f t="shared" si="936"/>
        <v>2.7197436453840984E-2</v>
      </c>
      <c r="BL469" s="1852">
        <f t="shared" si="936"/>
        <v>1.1107407492442212E-2</v>
      </c>
      <c r="BM469" s="1825">
        <f t="shared" si="936"/>
        <v>-0.14287409440482068</v>
      </c>
      <c r="BN469" s="1852">
        <f t="shared" si="936"/>
        <v>-5.0985305767404565E-2</v>
      </c>
      <c r="BO469" s="1852">
        <f t="shared" si="936"/>
        <v>-9.3179546879974096E-2</v>
      </c>
      <c r="BP469" s="1852">
        <f>BP468/BL468-1</f>
        <v>-0.14254945744289571</v>
      </c>
      <c r="BQ469" s="1825">
        <f>BQ468/BM468-1</f>
        <v>0.1166600679292964</v>
      </c>
      <c r="BR469" s="1852">
        <f>BR468/BN468-1</f>
        <v>0.10110089930811528</v>
      </c>
      <c r="BS469" s="1852"/>
      <c r="BT469" s="1852"/>
      <c r="BU469" s="1825"/>
      <c r="BV469" s="1852"/>
      <c r="BW469" s="1852"/>
      <c r="BX469" s="1852"/>
      <c r="BY469" s="1825"/>
      <c r="BZ469" s="1852"/>
      <c r="CA469" s="1852"/>
      <c r="CB469" s="1852"/>
      <c r="CC469" s="1825"/>
      <c r="CD469" s="1837"/>
      <c r="CE469" s="1934"/>
      <c r="CF469" s="1934"/>
      <c r="CG469" s="1934"/>
      <c r="CH469" s="1934"/>
      <c r="CI469" s="1934"/>
      <c r="CJ469" s="1934"/>
      <c r="CK469" s="1937"/>
      <c r="CL469" s="1852"/>
      <c r="CM469" s="1852"/>
      <c r="CN469" s="1852"/>
      <c r="CO469" s="1852">
        <f t="shared" ref="CO469:CU469" si="937">CO468/CN468-1</f>
        <v>2.6043683357628744E-2</v>
      </c>
      <c r="CP469" s="1852">
        <f t="shared" si="937"/>
        <v>-9.5870035417265465E-2</v>
      </c>
      <c r="CQ469" s="1852">
        <f t="shared" si="937"/>
        <v>0.37367795282460392</v>
      </c>
      <c r="CR469" s="1852">
        <f t="shared" si="937"/>
        <v>9.3366814422185307E-2</v>
      </c>
      <c r="CS469" s="1852">
        <f t="shared" si="937"/>
        <v>1.8938838625845555E-2</v>
      </c>
      <c r="CT469" s="1852">
        <f t="shared" si="937"/>
        <v>-4.7793337366780264E-2</v>
      </c>
      <c r="CU469" s="1852">
        <f t="shared" si="937"/>
        <v>-0.70174213383575101</v>
      </c>
      <c r="CV469" s="1852"/>
      <c r="CW469" s="1852"/>
      <c r="CX469" s="1852"/>
      <c r="CY469" s="1852"/>
      <c r="CZ469" s="1852"/>
      <c r="DA469" s="1852"/>
      <c r="DB469" s="1852"/>
      <c r="DC469" s="1852"/>
      <c r="DD469" s="1837"/>
      <c r="DE469" s="1839"/>
      <c r="DF469" s="1829"/>
      <c r="DG469" s="1804"/>
      <c r="DH469" s="1803"/>
      <c r="DI469" s="1803"/>
      <c r="DJ469" s="1803"/>
      <c r="DK469" s="1803"/>
      <c r="DL469" s="1803"/>
      <c r="DM469" s="1852"/>
      <c r="DN469" s="1852"/>
      <c r="DO469" s="1852"/>
      <c r="DP469" s="1852"/>
      <c r="DQ469" s="1852">
        <f t="shared" ref="DQ469:DV469" si="938">DQ468/DP468-1</f>
        <v>-6.498515836639962E-2</v>
      </c>
      <c r="DR469" s="1852">
        <f t="shared" si="938"/>
        <v>0.15883320417798896</v>
      </c>
      <c r="DS469" s="1851">
        <f t="shared" si="938"/>
        <v>0.13795850962398681</v>
      </c>
      <c r="DT469" s="1852">
        <f t="shared" si="938"/>
        <v>0.14320879205115444</v>
      </c>
      <c r="DU469" s="1852">
        <f t="shared" si="938"/>
        <v>-7.0315271094801846E-2</v>
      </c>
      <c r="DV469" s="1852">
        <f t="shared" si="938"/>
        <v>-0.23616358543582117</v>
      </c>
      <c r="DW469" s="1825"/>
      <c r="DX469" s="1852"/>
      <c r="DY469" s="1852"/>
      <c r="DZ469" s="1830"/>
      <c r="EA469"/>
      <c r="EB469"/>
      <c r="EC469"/>
      <c r="ED469"/>
      <c r="EE469"/>
      <c r="EF469"/>
    </row>
    <row r="470" spans="1:136" s="1785" customFormat="1" ht="11.25" hidden="1" customHeight="1" outlineLevel="1">
      <c r="A470" s="1830"/>
      <c r="B470" s="1943"/>
      <c r="C470" s="1829"/>
      <c r="D470" s="1970" t="s">
        <v>77</v>
      </c>
      <c r="E470" s="1841"/>
      <c r="F470" s="1968"/>
      <c r="G470" s="1938"/>
      <c r="H470" s="1938"/>
      <c r="I470" s="1969"/>
      <c r="J470" s="1938"/>
      <c r="K470" s="1938"/>
      <c r="L470" s="1938"/>
      <c r="M470" s="1969"/>
      <c r="N470" s="1938"/>
      <c r="O470" s="1938"/>
      <c r="P470" s="1938"/>
      <c r="Q470" s="1969"/>
      <c r="R470" s="1938"/>
      <c r="S470" s="1938"/>
      <c r="T470" s="1938"/>
      <c r="U470" s="1969"/>
      <c r="V470" s="1938"/>
      <c r="W470" s="1938"/>
      <c r="X470" s="1938"/>
      <c r="Y470" s="1969"/>
      <c r="Z470" s="1938"/>
      <c r="AA470" s="1938"/>
      <c r="AB470" s="1938"/>
      <c r="AC470" s="1969"/>
      <c r="AD470" s="1938"/>
      <c r="AE470" s="1938"/>
      <c r="AF470" s="1938"/>
      <c r="AG470" s="1938"/>
      <c r="AH470" s="1968"/>
      <c r="AI470" s="1938"/>
      <c r="AJ470" s="1938"/>
      <c r="AK470" s="1969"/>
      <c r="AL470" s="1938"/>
      <c r="AM470" s="1938"/>
      <c r="AN470" s="1938"/>
      <c r="AO470" s="1969"/>
      <c r="AP470" s="1851"/>
      <c r="AQ470" s="1852">
        <f t="shared" ref="AQ470:BD470" si="939">AQ468/AP468-1</f>
        <v>0.45949540193435867</v>
      </c>
      <c r="AR470" s="1852">
        <f t="shared" si="939"/>
        <v>-0.10418004815298143</v>
      </c>
      <c r="AS470" s="1852">
        <f t="shared" si="939"/>
        <v>-8.3984844270253656E-2</v>
      </c>
      <c r="AT470" s="1851">
        <f t="shared" si="939"/>
        <v>2.8432964134235572E-2</v>
      </c>
      <c r="AU470" s="1852">
        <f t="shared" si="939"/>
        <v>0.16272100086489538</v>
      </c>
      <c r="AV470" s="1852">
        <f t="shared" si="939"/>
        <v>-0.15353287664123727</v>
      </c>
      <c r="AW470" s="1852">
        <f t="shared" si="939"/>
        <v>4.6153119474123816E-3</v>
      </c>
      <c r="AX470" s="1851">
        <f t="shared" si="939"/>
        <v>0.23156984333590347</v>
      </c>
      <c r="AY470" s="1852">
        <f t="shared" si="939"/>
        <v>-0.39788868742906591</v>
      </c>
      <c r="AZ470" s="1852">
        <f t="shared" si="939"/>
        <v>5.7362308150972652E-2</v>
      </c>
      <c r="BA470" s="1825">
        <f t="shared" si="939"/>
        <v>0.30669247062355964</v>
      </c>
      <c r="BB470" s="1851">
        <f t="shared" si="939"/>
        <v>0.35391056764199069</v>
      </c>
      <c r="BC470" s="1852">
        <f t="shared" si="939"/>
        <v>1.1479953236239515E-2</v>
      </c>
      <c r="BD470" s="1852">
        <f t="shared" si="939"/>
        <v>-7.6884304894152322E-2</v>
      </c>
      <c r="BE470" s="1825">
        <f t="shared" ref="BE470:BO470" si="940">BE468/BD468-1</f>
        <v>-0.14339577323195962</v>
      </c>
      <c r="BF470" s="1851">
        <f t="shared" si="940"/>
        <v>0.1819844190404758</v>
      </c>
      <c r="BG470" s="1854">
        <f t="shared" si="940"/>
        <v>0.15698744565351697</v>
      </c>
      <c r="BH470" s="1852">
        <f t="shared" si="940"/>
        <v>-9.2079778634265974E-2</v>
      </c>
      <c r="BI470" s="1825">
        <f t="shared" si="940"/>
        <v>6.9842951284573962E-2</v>
      </c>
      <c r="BJ470" s="1851">
        <f t="shared" si="940"/>
        <v>6.7305989947983313E-2</v>
      </c>
      <c r="BK470" s="1852">
        <f t="shared" si="940"/>
        <v>-9.174302813753199E-3</v>
      </c>
      <c r="BL470" s="1852">
        <f t="shared" si="940"/>
        <v>-0.1063014483327871</v>
      </c>
      <c r="BM470" s="1825">
        <f t="shared" si="940"/>
        <v>-9.3083383951705345E-2</v>
      </c>
      <c r="BN470" s="1852">
        <f t="shared" si="940"/>
        <v>0.18172728311106545</v>
      </c>
      <c r="BO470" s="1852">
        <f t="shared" si="940"/>
        <v>-5.3227507281164432E-2</v>
      </c>
      <c r="BP470" s="1852">
        <f>BP468/BO468-1</f>
        <v>-0.15495696488429012</v>
      </c>
      <c r="BQ470" s="1825">
        <f>BQ468/BP468-1</f>
        <v>0.18107986387477459</v>
      </c>
      <c r="BR470" s="1852">
        <f>BR468/BQ468-1</f>
        <v>0.16526148963438914</v>
      </c>
      <c r="BS470" s="1852"/>
      <c r="BT470" s="1852"/>
      <c r="BU470" s="1825"/>
      <c r="BV470" s="1852"/>
      <c r="BW470" s="1852"/>
      <c r="BX470" s="1852"/>
      <c r="BY470" s="1825"/>
      <c r="BZ470" s="1852"/>
      <c r="CA470" s="1852"/>
      <c r="CB470" s="1852"/>
      <c r="CC470" s="1825"/>
      <c r="CD470" s="1837"/>
      <c r="CE470" s="1934"/>
      <c r="CF470" s="1934"/>
      <c r="CG470" s="1934"/>
      <c r="CH470" s="1934"/>
      <c r="CI470" s="1934"/>
      <c r="CJ470" s="1934"/>
      <c r="CK470" s="1937"/>
      <c r="CL470" s="1937"/>
      <c r="CM470" s="1934"/>
      <c r="CN470" s="1934"/>
      <c r="CO470" s="1938"/>
      <c r="CP470" s="1938"/>
      <c r="CQ470" s="1938"/>
      <c r="CR470" s="1938"/>
      <c r="CS470" s="1938"/>
      <c r="CT470" s="1938"/>
      <c r="CU470" s="1852"/>
      <c r="CV470" s="1852"/>
      <c r="CW470" s="1852"/>
      <c r="CX470" s="1852"/>
      <c r="CY470" s="1852"/>
      <c r="CZ470" s="1852"/>
      <c r="DA470" s="1852"/>
      <c r="DB470" s="1852"/>
      <c r="DC470" s="1852"/>
      <c r="DD470" s="1837"/>
      <c r="DE470" s="1839"/>
      <c r="DF470" s="1829"/>
      <c r="DG470" s="1804"/>
      <c r="DH470" s="1803"/>
      <c r="DI470" s="1803"/>
      <c r="DJ470" s="1803"/>
      <c r="DK470" s="1803"/>
      <c r="DL470" s="1803"/>
      <c r="DM470" s="1848"/>
      <c r="DN470" s="1848"/>
      <c r="DO470" s="1848"/>
      <c r="DP470" s="1848"/>
      <c r="DQ470" s="1848"/>
      <c r="DR470" s="1848"/>
      <c r="DS470" s="1855"/>
      <c r="DT470" s="1848"/>
      <c r="DU470" s="1848"/>
      <c r="DV470" s="1848"/>
      <c r="DW470" s="1850"/>
      <c r="DX470" s="1848"/>
      <c r="DY470" s="1848"/>
      <c r="DZ470" s="1830"/>
      <c r="EA470"/>
      <c r="EB470"/>
      <c r="EC470"/>
      <c r="ED470"/>
      <c r="EE470"/>
      <c r="EF470"/>
    </row>
    <row r="471" spans="1:136" s="1858" customFormat="1" ht="11.25" hidden="1" customHeight="1" outlineLevel="1">
      <c r="A471" s="1830"/>
      <c r="B471" s="1943"/>
      <c r="C471" s="1957" t="s">
        <v>191</v>
      </c>
      <c r="D471" s="1830"/>
      <c r="E471" s="1841"/>
      <c r="F471" s="1968"/>
      <c r="G471" s="1938"/>
      <c r="H471" s="1938"/>
      <c r="I471" s="1969"/>
      <c r="J471" s="1938"/>
      <c r="K471" s="1938"/>
      <c r="L471" s="1938"/>
      <c r="M471" s="1969"/>
      <c r="N471" s="1938"/>
      <c r="O471" s="1938"/>
      <c r="P471" s="1938"/>
      <c r="Q471" s="1969"/>
      <c r="R471" s="1938"/>
      <c r="S471" s="1938"/>
      <c r="T471" s="1938"/>
      <c r="U471" s="1969"/>
      <c r="V471" s="1938"/>
      <c r="W471" s="1938"/>
      <c r="X471" s="1938"/>
      <c r="Y471" s="1969"/>
      <c r="Z471" s="1938"/>
      <c r="AA471" s="1938"/>
      <c r="AB471" s="1938"/>
      <c r="AC471" s="1969"/>
      <c r="AD471" s="1831">
        <f t="shared" ref="AD471:BD471" si="941">AD481+AD491</f>
        <v>3865</v>
      </c>
      <c r="AE471" s="1831">
        <f t="shared" si="941"/>
        <v>4968</v>
      </c>
      <c r="AF471" s="1831">
        <f t="shared" si="941"/>
        <v>5175</v>
      </c>
      <c r="AG471" s="1831">
        <f t="shared" si="941"/>
        <v>5009</v>
      </c>
      <c r="AH471" s="1843">
        <f t="shared" si="941"/>
        <v>6617</v>
      </c>
      <c r="AI471" s="1831">
        <f t="shared" si="941"/>
        <v>7467</v>
      </c>
      <c r="AJ471" s="1831">
        <f t="shared" si="941"/>
        <v>6565</v>
      </c>
      <c r="AK471" s="1844">
        <f t="shared" si="941"/>
        <v>8178</v>
      </c>
      <c r="AL471" s="1831">
        <f t="shared" si="941"/>
        <v>8309</v>
      </c>
      <c r="AM471" s="1831">
        <f t="shared" si="941"/>
        <v>9046</v>
      </c>
      <c r="AN471" s="1831">
        <f t="shared" si="941"/>
        <v>7999</v>
      </c>
      <c r="AO471" s="1844">
        <f t="shared" si="941"/>
        <v>7660</v>
      </c>
      <c r="AP471" s="1831">
        <f t="shared" si="941"/>
        <v>7603</v>
      </c>
      <c r="AQ471" s="1831">
        <f t="shared" si="941"/>
        <v>10302</v>
      </c>
      <c r="AR471" s="1831">
        <f t="shared" si="941"/>
        <v>10208</v>
      </c>
      <c r="AS471" s="1831">
        <f t="shared" si="941"/>
        <v>10311</v>
      </c>
      <c r="AT471" s="1843">
        <f t="shared" si="941"/>
        <v>10917</v>
      </c>
      <c r="AU471" s="1831">
        <f t="shared" si="941"/>
        <v>12136</v>
      </c>
      <c r="AV471" s="1831">
        <f t="shared" si="941"/>
        <v>11169</v>
      </c>
      <c r="AW471" s="1844">
        <f t="shared" si="941"/>
        <v>12131</v>
      </c>
      <c r="AX471" s="1831">
        <f t="shared" si="941"/>
        <v>14248</v>
      </c>
      <c r="AY471" s="1831">
        <f t="shared" si="941"/>
        <v>5543</v>
      </c>
      <c r="AZ471" s="1831">
        <f t="shared" si="941"/>
        <v>6569</v>
      </c>
      <c r="BA471" s="1844">
        <f t="shared" si="941"/>
        <v>9141</v>
      </c>
      <c r="BB471" s="1843">
        <f t="shared" si="941"/>
        <v>13786</v>
      </c>
      <c r="BC471" s="1831">
        <f t="shared" si="941"/>
        <v>13591</v>
      </c>
      <c r="BD471" s="1831">
        <f t="shared" si="941"/>
        <v>13034</v>
      </c>
      <c r="BE471" s="1844">
        <f t="shared" ref="BE471:BM471" si="942">BE481+BE491</f>
        <v>11825</v>
      </c>
      <c r="BF471" s="1843">
        <f t="shared" si="942"/>
        <v>14620</v>
      </c>
      <c r="BG471" s="1822">
        <f t="shared" si="942"/>
        <v>15812</v>
      </c>
      <c r="BH471" s="1831">
        <f t="shared" si="942"/>
        <v>14845</v>
      </c>
      <c r="BI471" s="1844">
        <f>BI481+BI491</f>
        <v>16918</v>
      </c>
      <c r="BJ471" s="1843">
        <f t="shared" si="942"/>
        <v>17265</v>
      </c>
      <c r="BK471" s="1831">
        <f t="shared" si="942"/>
        <v>16451</v>
      </c>
      <c r="BL471" s="1831">
        <f>BL481+BL491</f>
        <v>14700</v>
      </c>
      <c r="BM471" s="1844">
        <f t="shared" si="942"/>
        <v>14207</v>
      </c>
      <c r="BN471" s="1831">
        <f>BN481+BN491</f>
        <v>17059</v>
      </c>
      <c r="BO471" s="1831">
        <f>BO481+BO491</f>
        <v>14904</v>
      </c>
      <c r="BP471" s="1831">
        <f>BP481+BP491</f>
        <v>12475</v>
      </c>
      <c r="BQ471" s="1844">
        <f>BQ481+BQ491</f>
        <v>14747</v>
      </c>
      <c r="BR471" s="1831">
        <f>BR481+BR491</f>
        <v>17453</v>
      </c>
      <c r="BS471" s="1831"/>
      <c r="BT471" s="1831"/>
      <c r="BU471" s="1844"/>
      <c r="BV471" s="1831"/>
      <c r="BW471" s="1831"/>
      <c r="BX471" s="1831"/>
      <c r="BY471" s="1844"/>
      <c r="BZ471" s="1831"/>
      <c r="CA471" s="1831"/>
      <c r="CB471" s="1831"/>
      <c r="CC471" s="1844"/>
      <c r="CD471" s="1823"/>
      <c r="CE471" s="1934"/>
      <c r="CF471" s="1934"/>
      <c r="CG471" s="1934"/>
      <c r="CH471" s="1934"/>
      <c r="CI471" s="1934"/>
      <c r="CJ471" s="1934"/>
      <c r="CK471" s="1831">
        <f>SUM(AD471:AG471)</f>
        <v>19017</v>
      </c>
      <c r="CL471" s="1831">
        <f>SUM(AH471:AK471)</f>
        <v>28827</v>
      </c>
      <c r="CM471" s="1831">
        <f>SUM(AL471:AO471)</f>
        <v>33014</v>
      </c>
      <c r="CN471" s="1831">
        <f>SUM(AP471:AS471)</f>
        <v>38424</v>
      </c>
      <c r="CO471" s="1831">
        <f>SUM(AT471:AW471)</f>
        <v>46353</v>
      </c>
      <c r="CP471" s="1831">
        <f>SUM(AX471:BA471)</f>
        <v>35501</v>
      </c>
      <c r="CQ471" s="1831">
        <f>SUM(BB471:BE471)</f>
        <v>52236</v>
      </c>
      <c r="CR471" s="1831">
        <f>SUM(BF471:BI471)</f>
        <v>62195</v>
      </c>
      <c r="CS471" s="1831">
        <f>SUM(BJ471:BM471)</f>
        <v>62623</v>
      </c>
      <c r="CT471" s="1946">
        <f>SUM(BN471:BQ471)</f>
        <v>59185</v>
      </c>
      <c r="CU471" s="1831">
        <f>SUM(BR471:BU471)</f>
        <v>17453</v>
      </c>
      <c r="CV471" s="1959"/>
      <c r="CW471" s="1831"/>
      <c r="CX471" s="1831"/>
      <c r="CY471" s="1831"/>
      <c r="CZ471" s="1831"/>
      <c r="DA471" s="1831"/>
      <c r="DB471" s="1831"/>
      <c r="DC471" s="1831"/>
      <c r="DD471" s="1823"/>
      <c r="DE471" s="1829"/>
      <c r="DF471" s="1829"/>
      <c r="DG471" s="1804"/>
      <c r="DH471" s="1803"/>
      <c r="DI471" s="1803"/>
      <c r="DJ471" s="1803"/>
      <c r="DK471" s="1803"/>
      <c r="DL471" s="1803"/>
      <c r="DM471" s="1803">
        <f>SUM(AF471:AI471)</f>
        <v>24268</v>
      </c>
      <c r="DN471" s="1803">
        <f>SUM(AJ471:AM471)</f>
        <v>32098</v>
      </c>
      <c r="DO471" s="1803">
        <f>SUM(AN471:AQ471)</f>
        <v>33564</v>
      </c>
      <c r="DP471" s="1803">
        <f>SUM(AR471:AU471)</f>
        <v>43572</v>
      </c>
      <c r="DQ471" s="1803">
        <f>SUM(AV471:AY471)</f>
        <v>43091</v>
      </c>
      <c r="DR471" s="1803">
        <f>SUM(AZ471:BC471)</f>
        <v>43087</v>
      </c>
      <c r="DS471" s="1804">
        <f>SUM(BD471:BG471)</f>
        <v>55291</v>
      </c>
      <c r="DT471" s="1782">
        <f>SUM(BH471:BK471)</f>
        <v>65479</v>
      </c>
      <c r="DU471" s="1803">
        <f>SUM(BL471:BO471)</f>
        <v>60870</v>
      </c>
      <c r="DV471" s="1803">
        <f>SUM(BP471:BS471)</f>
        <v>44675</v>
      </c>
      <c r="DW471" s="1805"/>
      <c r="DX471" s="1803"/>
      <c r="DY471" s="1803"/>
      <c r="DZ471" s="1830"/>
      <c r="EA471"/>
      <c r="EB471"/>
      <c r="EC471"/>
      <c r="ED471"/>
      <c r="EE471"/>
      <c r="EF471"/>
    </row>
    <row r="472" spans="1:136" s="1785" customFormat="1" ht="11.25" hidden="1" customHeight="1" outlineLevel="1">
      <c r="A472" s="1830"/>
      <c r="B472" s="1943"/>
      <c r="C472" s="1829"/>
      <c r="D472" s="1860" t="s">
        <v>76</v>
      </c>
      <c r="E472" s="1841"/>
      <c r="F472" s="1968"/>
      <c r="G472" s="1938"/>
      <c r="H472" s="1938"/>
      <c r="I472" s="1969"/>
      <c r="J472" s="1938"/>
      <c r="K472" s="1938"/>
      <c r="L472" s="1938"/>
      <c r="M472" s="1969"/>
      <c r="N472" s="1938"/>
      <c r="O472" s="1938"/>
      <c r="P472" s="1938"/>
      <c r="Q472" s="1969"/>
      <c r="R472" s="1938"/>
      <c r="S472" s="1938"/>
      <c r="T472" s="1938"/>
      <c r="U472" s="1969"/>
      <c r="V472" s="1938"/>
      <c r="W472" s="1938"/>
      <c r="X472" s="1938"/>
      <c r="Y472" s="1969"/>
      <c r="Z472" s="1938"/>
      <c r="AA472" s="1938"/>
      <c r="AB472" s="1938"/>
      <c r="AC472" s="1969"/>
      <c r="AD472" s="1826"/>
      <c r="AE472" s="1826"/>
      <c r="AF472" s="1826"/>
      <c r="AG472" s="1826"/>
      <c r="AH472" s="1887">
        <f t="shared" ref="AH472:BD472" si="943">AH471/AD471-1</f>
        <v>0.71203104786545923</v>
      </c>
      <c r="AI472" s="1826">
        <f t="shared" si="943"/>
        <v>0.50301932367149749</v>
      </c>
      <c r="AJ472" s="1826">
        <f t="shared" si="943"/>
        <v>0.26859903381642503</v>
      </c>
      <c r="AK472" s="1828">
        <f t="shared" si="943"/>
        <v>0.63266120982231988</v>
      </c>
      <c r="AL472" s="1826">
        <f t="shared" si="943"/>
        <v>0.2557050022668883</v>
      </c>
      <c r="AM472" s="1826">
        <f t="shared" si="943"/>
        <v>0.21146377393866356</v>
      </c>
      <c r="AN472" s="1826">
        <f t="shared" si="943"/>
        <v>0.21843107387661842</v>
      </c>
      <c r="AO472" s="1828">
        <f t="shared" si="943"/>
        <v>-6.3340670090486717E-2</v>
      </c>
      <c r="AP472" s="1826">
        <f t="shared" si="943"/>
        <v>-8.4968106872066462E-2</v>
      </c>
      <c r="AQ472" s="1826">
        <f t="shared" si="943"/>
        <v>0.13884589873977449</v>
      </c>
      <c r="AR472" s="1826">
        <f t="shared" si="943"/>
        <v>0.27615951993999244</v>
      </c>
      <c r="AS472" s="1826">
        <f t="shared" si="943"/>
        <v>0.34608355091383802</v>
      </c>
      <c r="AT472" s="1887">
        <f t="shared" si="943"/>
        <v>0.43588057345784548</v>
      </c>
      <c r="AU472" s="1826">
        <f t="shared" si="943"/>
        <v>0.17802368472141339</v>
      </c>
      <c r="AV472" s="1826">
        <f t="shared" si="943"/>
        <v>9.4141849529780552E-2</v>
      </c>
      <c r="AW472" s="1828">
        <f t="shared" si="943"/>
        <v>0.17651052274270196</v>
      </c>
      <c r="AX472" s="1826">
        <f t="shared" si="943"/>
        <v>0.30512045433727208</v>
      </c>
      <c r="AY472" s="1826">
        <f t="shared" si="943"/>
        <v>-0.54325972313777193</v>
      </c>
      <c r="AZ472" s="1826">
        <f t="shared" si="943"/>
        <v>-0.41185423941266008</v>
      </c>
      <c r="BA472" s="1828">
        <f t="shared" si="943"/>
        <v>-0.24647597065369709</v>
      </c>
      <c r="BB472" s="1887">
        <f t="shared" si="943"/>
        <v>-3.2425603593486785E-2</v>
      </c>
      <c r="BC472" s="1826">
        <f t="shared" si="943"/>
        <v>1.4519213422334474</v>
      </c>
      <c r="BD472" s="1826">
        <f t="shared" si="943"/>
        <v>0.98416806210991026</v>
      </c>
      <c r="BE472" s="1828">
        <f t="shared" ref="BE472:BO472" si="944">BE471/BA471-1</f>
        <v>0.29362214199759329</v>
      </c>
      <c r="BF472" s="1887">
        <f t="shared" si="944"/>
        <v>6.0496155520092909E-2</v>
      </c>
      <c r="BG472" s="1886">
        <f t="shared" si="944"/>
        <v>0.16341696711058784</v>
      </c>
      <c r="BH472" s="1826">
        <f t="shared" si="944"/>
        <v>0.13894429952432108</v>
      </c>
      <c r="BI472" s="1828">
        <f t="shared" si="944"/>
        <v>0.43069767441860463</v>
      </c>
      <c r="BJ472" s="1887">
        <f t="shared" si="944"/>
        <v>0.18091655266757867</v>
      </c>
      <c r="BK472" s="1826">
        <f t="shared" si="944"/>
        <v>4.0412345054389176E-2</v>
      </c>
      <c r="BL472" s="1826">
        <f t="shared" si="944"/>
        <v>-9.7675985180195601E-3</v>
      </c>
      <c r="BM472" s="1828">
        <f t="shared" si="944"/>
        <v>-0.16024352760373561</v>
      </c>
      <c r="BN472" s="1826">
        <f t="shared" si="944"/>
        <v>-1.1931653634520756E-2</v>
      </c>
      <c r="BO472" s="1826">
        <f t="shared" si="944"/>
        <v>-9.4036836666464008E-2</v>
      </c>
      <c r="BP472" s="1826">
        <f>BP471/BL471-1</f>
        <v>-0.15136054421768708</v>
      </c>
      <c r="BQ472" s="1828">
        <f>BQ471/BM471-1</f>
        <v>3.8009431970155605E-2</v>
      </c>
      <c r="BR472" s="1826">
        <f>BR471/BN471-1</f>
        <v>2.3096312796764273E-2</v>
      </c>
      <c r="BS472" s="1826"/>
      <c r="BT472" s="1826"/>
      <c r="BU472" s="1828"/>
      <c r="BV472" s="1826"/>
      <c r="BW472" s="1826"/>
      <c r="BX472" s="1826"/>
      <c r="BY472" s="1828"/>
      <c r="BZ472" s="1826"/>
      <c r="CA472" s="1826"/>
      <c r="CB472" s="1826"/>
      <c r="CC472" s="1828"/>
      <c r="CD472" s="1837"/>
      <c r="CE472" s="1934"/>
      <c r="CF472" s="1934"/>
      <c r="CG472" s="1934"/>
      <c r="CH472" s="1934"/>
      <c r="CI472" s="1934"/>
      <c r="CJ472" s="1934"/>
      <c r="CK472" s="1852"/>
      <c r="CL472" s="1852">
        <f t="shared" ref="CL472:CT472" si="945">CL471/CK471-1</f>
        <v>0.51585423568386179</v>
      </c>
      <c r="CM472" s="1852">
        <f t="shared" si="945"/>
        <v>0.14524577652894854</v>
      </c>
      <c r="CN472" s="1852">
        <f t="shared" si="945"/>
        <v>0.16386987338704784</v>
      </c>
      <c r="CO472" s="1852">
        <f t="shared" si="945"/>
        <v>0.2063554028732042</v>
      </c>
      <c r="CP472" s="1852">
        <f t="shared" si="945"/>
        <v>-0.23411645416693638</v>
      </c>
      <c r="CQ472" s="1852">
        <f t="shared" si="945"/>
        <v>0.47139517196698688</v>
      </c>
      <c r="CR472" s="1852">
        <f t="shared" si="945"/>
        <v>0.19065395512673255</v>
      </c>
      <c r="CS472" s="1852">
        <f t="shared" si="945"/>
        <v>6.8815821207492966E-3</v>
      </c>
      <c r="CT472" s="1852">
        <f t="shared" si="945"/>
        <v>-5.4899956884850609E-2</v>
      </c>
      <c r="CU472" s="1852">
        <f>CU471/CT471-1</f>
        <v>-0.70511109233758551</v>
      </c>
      <c r="CV472" s="1852"/>
      <c r="CW472" s="1852"/>
      <c r="CX472" s="1852"/>
      <c r="CY472" s="1852"/>
      <c r="CZ472" s="1852"/>
      <c r="DA472" s="1852"/>
      <c r="DB472" s="1852"/>
      <c r="DC472" s="1852"/>
      <c r="DD472" s="1837"/>
      <c r="DE472" s="1839"/>
      <c r="DF472" s="1829"/>
      <c r="DG472" s="1804"/>
      <c r="DH472" s="1803"/>
      <c r="DI472" s="1803"/>
      <c r="DJ472" s="1803"/>
      <c r="DK472" s="1803"/>
      <c r="DL472" s="1803"/>
      <c r="DM472" s="1852"/>
      <c r="DN472" s="1852">
        <f t="shared" ref="DN472:DU472" si="946">DN471/DM471-1</f>
        <v>0.32264710730179669</v>
      </c>
      <c r="DO472" s="1852">
        <f t="shared" si="946"/>
        <v>4.5672627578042135E-2</v>
      </c>
      <c r="DP472" s="1852">
        <f t="shared" si="946"/>
        <v>0.29817661780479088</v>
      </c>
      <c r="DQ472" s="1852">
        <f t="shared" si="946"/>
        <v>-1.1039199485908369E-2</v>
      </c>
      <c r="DR472" s="1852">
        <f t="shared" si="946"/>
        <v>-9.2826808382295845E-5</v>
      </c>
      <c r="DS472" s="1851">
        <f t="shared" si="946"/>
        <v>0.28324088472160969</v>
      </c>
      <c r="DT472" s="1852">
        <f t="shared" si="946"/>
        <v>0.18426145303937358</v>
      </c>
      <c r="DU472" s="1852">
        <f t="shared" si="946"/>
        <v>-7.0388979672872165E-2</v>
      </c>
      <c r="DV472" s="1852">
        <f>DV471/DU471-1</f>
        <v>-0.26605881386561525</v>
      </c>
      <c r="DW472" s="1825"/>
      <c r="DX472" s="1852"/>
      <c r="DY472" s="1852"/>
      <c r="DZ472" s="1830"/>
      <c r="EA472"/>
      <c r="EB472"/>
      <c r="EC472"/>
      <c r="ED472"/>
      <c r="EE472"/>
      <c r="EF472"/>
    </row>
    <row r="473" spans="1:136" s="1785" customFormat="1" ht="11.25" hidden="1" customHeight="1" outlineLevel="1">
      <c r="A473" s="1830"/>
      <c r="B473" s="1943"/>
      <c r="C473" s="1829"/>
      <c r="D473" s="1779" t="s">
        <v>77</v>
      </c>
      <c r="E473" s="1841"/>
      <c r="F473" s="1968"/>
      <c r="G473" s="1938"/>
      <c r="H473" s="1938"/>
      <c r="I473" s="1969"/>
      <c r="J473" s="1938"/>
      <c r="K473" s="1938"/>
      <c r="L473" s="1938"/>
      <c r="M473" s="1969"/>
      <c r="N473" s="1938"/>
      <c r="O473" s="1938"/>
      <c r="P473" s="1938"/>
      <c r="Q473" s="1969"/>
      <c r="R473" s="1938"/>
      <c r="S473" s="1938"/>
      <c r="T473" s="1938"/>
      <c r="U473" s="1969"/>
      <c r="V473" s="1938"/>
      <c r="W473" s="1938"/>
      <c r="X473" s="1938"/>
      <c r="Y473" s="1969"/>
      <c r="Z473" s="1938"/>
      <c r="AA473" s="1938"/>
      <c r="AB473" s="1938"/>
      <c r="AC473" s="1969"/>
      <c r="AD473" s="1826"/>
      <c r="AE473" s="1826">
        <f t="shared" ref="AE473:AS473" si="947">AE471/AD471-1</f>
        <v>0.28538163001293659</v>
      </c>
      <c r="AF473" s="1826">
        <f t="shared" si="947"/>
        <v>4.1666666666666741E-2</v>
      </c>
      <c r="AG473" s="1826">
        <f t="shared" si="947"/>
        <v>-3.2077294685990299E-2</v>
      </c>
      <c r="AH473" s="1887">
        <f t="shared" si="947"/>
        <v>0.32102216011179885</v>
      </c>
      <c r="AI473" s="1826">
        <f t="shared" si="947"/>
        <v>0.12845700468490251</v>
      </c>
      <c r="AJ473" s="1826">
        <f t="shared" si="947"/>
        <v>-0.12079817865273867</v>
      </c>
      <c r="AK473" s="1828">
        <f t="shared" si="947"/>
        <v>0.24569687738004564</v>
      </c>
      <c r="AL473" s="1826">
        <f t="shared" si="947"/>
        <v>1.6018586451455041E-2</v>
      </c>
      <c r="AM473" s="1826">
        <f t="shared" si="947"/>
        <v>8.8699001083162754E-2</v>
      </c>
      <c r="AN473" s="1826">
        <f t="shared" si="947"/>
        <v>-0.1157417643157197</v>
      </c>
      <c r="AO473" s="1828">
        <f t="shared" si="947"/>
        <v>-4.2380297537192191E-2</v>
      </c>
      <c r="AP473" s="1826">
        <f t="shared" si="947"/>
        <v>-7.4412532637075923E-3</v>
      </c>
      <c r="AQ473" s="1826">
        <f t="shared" si="947"/>
        <v>0.35499145074312777</v>
      </c>
      <c r="AR473" s="1826">
        <f t="shared" si="947"/>
        <v>-9.1244418559502938E-3</v>
      </c>
      <c r="AS473" s="1826">
        <f t="shared" si="947"/>
        <v>1.0090125391849503E-2</v>
      </c>
      <c r="AT473" s="1887">
        <f>AT471/AS471-1</f>
        <v>5.8772185045097514E-2</v>
      </c>
      <c r="AU473" s="1826">
        <f t="shared" ref="AU473:BD473" si="948">AU471/AT471-1</f>
        <v>0.11166071264999533</v>
      </c>
      <c r="AV473" s="1826">
        <f t="shared" si="948"/>
        <v>-7.9680290046143742E-2</v>
      </c>
      <c r="AW473" s="1828">
        <f t="shared" si="948"/>
        <v>8.6131256155430158E-2</v>
      </c>
      <c r="AX473" s="1826">
        <f t="shared" si="948"/>
        <v>0.17451158189761773</v>
      </c>
      <c r="AY473" s="1826">
        <f t="shared" si="948"/>
        <v>-0.61096294216732172</v>
      </c>
      <c r="AZ473" s="1826">
        <f t="shared" si="948"/>
        <v>0.18509832220819056</v>
      </c>
      <c r="BA473" s="1828">
        <f t="shared" si="948"/>
        <v>0.39153600243568265</v>
      </c>
      <c r="BB473" s="1887">
        <f t="shared" si="948"/>
        <v>0.50815009298763814</v>
      </c>
      <c r="BC473" s="1826">
        <f t="shared" si="948"/>
        <v>-1.4144784564050439E-2</v>
      </c>
      <c r="BD473" s="1826">
        <f t="shared" si="948"/>
        <v>-4.0983003458170852E-2</v>
      </c>
      <c r="BE473" s="1828">
        <f t="shared" ref="BE473:BO473" si="949">BE471/BD471-1</f>
        <v>-9.275740371336505E-2</v>
      </c>
      <c r="BF473" s="1887">
        <f t="shared" si="949"/>
        <v>0.23636363636363633</v>
      </c>
      <c r="BG473" s="1886">
        <f t="shared" si="949"/>
        <v>8.153214774281814E-2</v>
      </c>
      <c r="BH473" s="1826">
        <f t="shared" si="949"/>
        <v>-6.1156083986845466E-2</v>
      </c>
      <c r="BI473" s="1828">
        <f t="shared" si="949"/>
        <v>0.13964297743347931</v>
      </c>
      <c r="BJ473" s="1887">
        <f t="shared" si="949"/>
        <v>2.0510698664144789E-2</v>
      </c>
      <c r="BK473" s="1826">
        <f t="shared" si="949"/>
        <v>-4.7147408050970174E-2</v>
      </c>
      <c r="BL473" s="1826">
        <f t="shared" si="949"/>
        <v>-0.10643729864445928</v>
      </c>
      <c r="BM473" s="1828">
        <f t="shared" si="949"/>
        <v>-3.353741496598639E-2</v>
      </c>
      <c r="BN473" s="1826">
        <f t="shared" si="949"/>
        <v>0.20074611107200679</v>
      </c>
      <c r="BO473" s="1826">
        <f t="shared" si="949"/>
        <v>-0.12632627938331675</v>
      </c>
      <c r="BP473" s="1826">
        <f>BP471/BO471-1</f>
        <v>-0.16297638217928068</v>
      </c>
      <c r="BQ473" s="1828">
        <f>BQ471/BP471-1</f>
        <v>0.18212424849699405</v>
      </c>
      <c r="BR473" s="1826">
        <f>BR471/BQ471-1</f>
        <v>0.1834949481250423</v>
      </c>
      <c r="BS473" s="1826"/>
      <c r="BT473" s="1826"/>
      <c r="BU473" s="1828"/>
      <c r="BV473" s="1826"/>
      <c r="BW473" s="1826"/>
      <c r="BX473" s="1826"/>
      <c r="BY473" s="1828"/>
      <c r="BZ473" s="1826"/>
      <c r="CA473" s="1826"/>
      <c r="CB473" s="1826"/>
      <c r="CC473" s="1828"/>
      <c r="CD473" s="1837"/>
      <c r="CE473" s="1934"/>
      <c r="CF473" s="1934"/>
      <c r="CG473" s="1934"/>
      <c r="CH473" s="1934"/>
      <c r="CI473" s="1934"/>
      <c r="CJ473" s="1934"/>
      <c r="CK473" s="1937"/>
      <c r="CL473" s="1937"/>
      <c r="CM473" s="1934"/>
      <c r="CN473" s="1934"/>
      <c r="CO473" s="1938"/>
      <c r="CP473" s="1938"/>
      <c r="CQ473" s="1938"/>
      <c r="CR473" s="1938"/>
      <c r="CS473" s="1938"/>
      <c r="CT473" s="1938"/>
      <c r="CU473" s="1852"/>
      <c r="CV473" s="1852"/>
      <c r="CW473" s="1852"/>
      <c r="CX473" s="1852"/>
      <c r="CY473" s="1852"/>
      <c r="CZ473" s="1852"/>
      <c r="DA473" s="1852"/>
      <c r="DB473" s="1852"/>
      <c r="DC473" s="1852"/>
      <c r="DD473" s="1837"/>
      <c r="DE473" s="1839"/>
      <c r="DF473" s="1829"/>
      <c r="DG473" s="1804"/>
      <c r="DH473" s="1803"/>
      <c r="DI473" s="1803"/>
      <c r="DJ473" s="1803"/>
      <c r="DK473" s="1803"/>
      <c r="DL473" s="1803"/>
      <c r="DM473" s="1848"/>
      <c r="DN473" s="1848"/>
      <c r="DO473" s="1848"/>
      <c r="DP473" s="1848"/>
      <c r="DQ473" s="1848"/>
      <c r="DR473" s="1848"/>
      <c r="DS473" s="1855"/>
      <c r="DT473" s="1848"/>
      <c r="DU473" s="1848"/>
      <c r="DV473" s="1848"/>
      <c r="DW473" s="1850"/>
      <c r="DX473" s="1848"/>
      <c r="DY473" s="1848"/>
      <c r="DZ473" s="1830"/>
      <c r="EA473"/>
      <c r="EB473"/>
      <c r="EC473"/>
      <c r="ED473"/>
      <c r="EE473"/>
      <c r="EF473"/>
    </row>
    <row r="474" spans="1:136" s="1785" customFormat="1" ht="11.25" hidden="1" customHeight="1" outlineLevel="1">
      <c r="A474" s="1830"/>
      <c r="B474" s="1943"/>
      <c r="C474" s="1840" t="s">
        <v>190</v>
      </c>
      <c r="D474" s="1830"/>
      <c r="E474" s="1841"/>
      <c r="F474" s="1958"/>
      <c r="G474" s="1959"/>
      <c r="H474" s="1959"/>
      <c r="I474" s="1960"/>
      <c r="J474" s="1959"/>
      <c r="K474" s="1959"/>
      <c r="L474" s="1959"/>
      <c r="M474" s="1960"/>
      <c r="N474" s="1959"/>
      <c r="O474" s="1959"/>
      <c r="P474" s="1959"/>
      <c r="Q474" s="1960"/>
      <c r="R474" s="1959"/>
      <c r="S474" s="1959"/>
      <c r="T474" s="1959"/>
      <c r="U474" s="1960"/>
      <c r="V474" s="1959"/>
      <c r="W474" s="1959"/>
      <c r="X474" s="1959"/>
      <c r="Y474" s="1960"/>
      <c r="Z474" s="1959"/>
      <c r="AA474" s="1959"/>
      <c r="AB474" s="1959"/>
      <c r="AC474" s="1960"/>
      <c r="AD474" s="1959"/>
      <c r="AE474" s="1959"/>
      <c r="AF474" s="1959"/>
      <c r="AG474" s="1959"/>
      <c r="AH474" s="1958"/>
      <c r="AI474" s="1959"/>
      <c r="AJ474" s="1959"/>
      <c r="AK474" s="1960"/>
      <c r="AL474" s="1959"/>
      <c r="AM474" s="1959"/>
      <c r="AN474" s="1959"/>
      <c r="AO474" s="1960"/>
      <c r="AP474" s="1971">
        <f>AP468*1000/AP471</f>
        <v>66.363277653557802</v>
      </c>
      <c r="AQ474" s="1972">
        <f>AQ468*1000/AQ471</f>
        <v>71.481556979227335</v>
      </c>
      <c r="AR474" s="1972">
        <f>AR468*1000/AR471</f>
        <v>64.624265282131674</v>
      </c>
      <c r="AS474" s="1972">
        <f t="shared" ref="AS474:BD474" si="950">AS468*1000/AS471</f>
        <v>58.605469886528951</v>
      </c>
      <c r="AT474" s="1971">
        <f t="shared" si="950"/>
        <v>56.926124393148299</v>
      </c>
      <c r="AU474" s="1972">
        <f t="shared" si="950"/>
        <v>59.540828938694794</v>
      </c>
      <c r="AV474" s="1972">
        <f t="shared" si="950"/>
        <v>54.762876040827287</v>
      </c>
      <c r="AW474" s="1972">
        <f t="shared" si="950"/>
        <v>50.652831768815432</v>
      </c>
      <c r="AX474" s="1971">
        <f t="shared" si="950"/>
        <v>53.113567416040844</v>
      </c>
      <c r="AY474" s="1972">
        <f t="shared" si="950"/>
        <v>82.20368509457424</v>
      </c>
      <c r="AZ474" s="1972">
        <f t="shared" si="950"/>
        <v>73.343347620439317</v>
      </c>
      <c r="BA474" s="1973">
        <f t="shared" si="950"/>
        <v>68.871520347447174</v>
      </c>
      <c r="BB474" s="1971">
        <f t="shared" si="950"/>
        <v>61.827983594961353</v>
      </c>
      <c r="BC474" s="1972">
        <f t="shared" si="950"/>
        <v>63.435040943276874</v>
      </c>
      <c r="BD474" s="1972">
        <f t="shared" si="950"/>
        <v>61.060317101342257</v>
      </c>
      <c r="BE474" s="1973">
        <f t="shared" ref="BE474:BM474" si="951">BE468*1000/BE471</f>
        <v>57.652193504681421</v>
      </c>
      <c r="BF474" s="1971">
        <f t="shared" si="951"/>
        <v>55.116466096061728</v>
      </c>
      <c r="BG474" s="2012">
        <f t="shared" si="951"/>
        <v>58.961778856984132</v>
      </c>
      <c r="BH474" s="1972">
        <f t="shared" si="951"/>
        <v>57.019692409872761</v>
      </c>
      <c r="BI474" s="1973">
        <f>BI468*1000/BI471</f>
        <v>53.527391663041747</v>
      </c>
      <c r="BJ474" s="1971">
        <f t="shared" si="951"/>
        <v>55.981878311555072</v>
      </c>
      <c r="BK474" s="1972">
        <f t="shared" si="951"/>
        <v>58.212869520965015</v>
      </c>
      <c r="BL474" s="1972">
        <f>BL468*1000/BL471</f>
        <v>58.22171975213039</v>
      </c>
      <c r="BM474" s="1973">
        <f t="shared" si="951"/>
        <v>54.634546516103285</v>
      </c>
      <c r="BN474" s="1972">
        <f>BN468*1000/BN471</f>
        <v>53.769180364730843</v>
      </c>
      <c r="BO474" s="1972">
        <f>BO468*1000/BO471</f>
        <v>58.267954871564662</v>
      </c>
      <c r="BP474" s="1972">
        <f>BP468*1000/BP471</f>
        <v>58.826212769062657</v>
      </c>
      <c r="BQ474" s="1973">
        <f>BQ468*1000/BQ471</f>
        <v>58.774240912400778</v>
      </c>
      <c r="BR474" s="1972">
        <f>BR468*1000/BR471</f>
        <v>57.868738372069956</v>
      </c>
      <c r="BS474" s="1972"/>
      <c r="BT474" s="1972"/>
      <c r="BU474" s="1973"/>
      <c r="BV474" s="1972"/>
      <c r="BW474" s="1972"/>
      <c r="BX474" s="1972"/>
      <c r="BY474" s="1973"/>
      <c r="BZ474" s="1972"/>
      <c r="CA474" s="1972"/>
      <c r="CB474" s="1972"/>
      <c r="CC474" s="1973"/>
      <c r="CD474" s="1845"/>
      <c r="CE474" s="1831"/>
      <c r="CF474" s="1831"/>
      <c r="CG474" s="1831"/>
      <c r="CH474" s="1831"/>
      <c r="CI474" s="1831"/>
      <c r="CJ474" s="1831"/>
      <c r="CK474" s="1822"/>
      <c r="CL474" s="1822"/>
      <c r="CM474" s="1831"/>
      <c r="CN474" s="1972">
        <f t="shared" ref="CN474:CS474" si="952">CN468*1000/CN471</f>
        <v>65.191768165729755</v>
      </c>
      <c r="CO474" s="1972">
        <f t="shared" si="952"/>
        <v>55.447674685295446</v>
      </c>
      <c r="CP474" s="1972">
        <f t="shared" si="952"/>
        <v>65.456301316516601</v>
      </c>
      <c r="CQ474" s="1972">
        <f t="shared" si="952"/>
        <v>61.109265345584774</v>
      </c>
      <c r="CR474" s="1972">
        <f t="shared" si="952"/>
        <v>56.11608855359686</v>
      </c>
      <c r="CS474" s="1972">
        <f t="shared" si="952"/>
        <v>56.788070329575234</v>
      </c>
      <c r="CT474" s="1946">
        <f>SUM(BN474:BQ474)</f>
        <v>229.63758891775896</v>
      </c>
      <c r="CU474" s="1972">
        <f>SUM(BR474:BU474)</f>
        <v>57.868738372069956</v>
      </c>
      <c r="CV474" s="1972"/>
      <c r="CW474" s="1972"/>
      <c r="CX474" s="1972"/>
      <c r="CY474" s="1972"/>
      <c r="CZ474" s="1972"/>
      <c r="DA474" s="1972"/>
      <c r="DB474" s="1972"/>
      <c r="DC474" s="1972"/>
      <c r="DD474" s="1845"/>
      <c r="DE474" s="1961"/>
      <c r="DF474" s="1830"/>
      <c r="DG474" s="1783"/>
      <c r="DH474" s="1782"/>
      <c r="DI474" s="1782"/>
      <c r="DJ474" s="1782"/>
      <c r="DK474" s="1782"/>
      <c r="DL474" s="1782"/>
      <c r="DM474" s="1963"/>
      <c r="DN474" s="1963"/>
      <c r="DO474" s="1963"/>
      <c r="DP474" s="1963">
        <f t="shared" ref="DP474:DU474" si="953">DP468/DP471*1000</f>
        <v>59.855308454971087</v>
      </c>
      <c r="DQ474" s="1963">
        <f t="shared" si="953"/>
        <v>56.590313515826395</v>
      </c>
      <c r="DR474" s="1963">
        <f t="shared" si="953"/>
        <v>65.584822366720672</v>
      </c>
      <c r="DS474" s="1964">
        <f t="shared" si="953"/>
        <v>58.159623499354481</v>
      </c>
      <c r="DT474" s="1963">
        <f t="shared" si="953"/>
        <v>56.143508476279351</v>
      </c>
      <c r="DU474" s="1963">
        <f t="shared" si="953"/>
        <v>56.147960078172169</v>
      </c>
      <c r="DV474" s="1963">
        <f>DV468/DV471*1000</f>
        <v>58.435004495511308</v>
      </c>
      <c r="DW474" s="1965"/>
      <c r="DX474" s="1963"/>
      <c r="DY474" s="1963"/>
      <c r="DZ474" s="1830"/>
      <c r="EA474"/>
      <c r="EB474"/>
      <c r="EC474"/>
      <c r="ED474"/>
      <c r="EE474"/>
      <c r="EF474"/>
    </row>
    <row r="475" spans="1:136" s="1785" customFormat="1" ht="11.25" hidden="1" customHeight="1" outlineLevel="1">
      <c r="A475" s="1830"/>
      <c r="B475" s="1943"/>
      <c r="C475" s="1829"/>
      <c r="D475" s="1860" t="s">
        <v>76</v>
      </c>
      <c r="E475" s="1841"/>
      <c r="F475" s="1968"/>
      <c r="G475" s="1938"/>
      <c r="H475" s="1938"/>
      <c r="I475" s="1969"/>
      <c r="J475" s="1938"/>
      <c r="K475" s="1938"/>
      <c r="L475" s="1938"/>
      <c r="M475" s="1969"/>
      <c r="N475" s="1938"/>
      <c r="O475" s="1938"/>
      <c r="P475" s="1938"/>
      <c r="Q475" s="1969"/>
      <c r="R475" s="1938"/>
      <c r="S475" s="1938"/>
      <c r="T475" s="1938"/>
      <c r="U475" s="1969"/>
      <c r="V475" s="1938"/>
      <c r="W475" s="1938"/>
      <c r="X475" s="1938"/>
      <c r="Y475" s="1969"/>
      <c r="Z475" s="1938"/>
      <c r="AA475" s="1938"/>
      <c r="AB475" s="1938"/>
      <c r="AC475" s="1969"/>
      <c r="AD475" s="1938"/>
      <c r="AE475" s="1938"/>
      <c r="AF475" s="1938"/>
      <c r="AG475" s="1938"/>
      <c r="AH475" s="1968"/>
      <c r="AI475" s="1938"/>
      <c r="AJ475" s="1938"/>
      <c r="AK475" s="1969"/>
      <c r="AL475" s="1938"/>
      <c r="AM475" s="1938"/>
      <c r="AN475" s="1938"/>
      <c r="AO475" s="1969"/>
      <c r="AP475" s="1851"/>
      <c r="AQ475" s="1852"/>
      <c r="AR475" s="1852"/>
      <c r="AS475" s="1852"/>
      <c r="AT475" s="1851">
        <f>AT474/AP474-1</f>
        <v>-0.14220444791282194</v>
      </c>
      <c r="AU475" s="1852">
        <f>AU474/AQ474-1</f>
        <v>-0.16704627802109207</v>
      </c>
      <c r="AV475" s="1852">
        <f t="shared" ref="AV475:BD475" si="954">AV474/AR474-1</f>
        <v>-0.15259576566561006</v>
      </c>
      <c r="AW475" s="1852">
        <f t="shared" si="954"/>
        <v>-0.13569788166721131</v>
      </c>
      <c r="AX475" s="1851">
        <f t="shared" si="954"/>
        <v>-6.6973766750338282E-2</v>
      </c>
      <c r="AY475" s="1852">
        <f t="shared" si="954"/>
        <v>0.38062715215493337</v>
      </c>
      <c r="AZ475" s="1852">
        <f t="shared" si="954"/>
        <v>0.33928955020112084</v>
      </c>
      <c r="BA475" s="1825">
        <f t="shared" si="954"/>
        <v>0.35967759239569563</v>
      </c>
      <c r="BB475" s="1851">
        <f t="shared" si="954"/>
        <v>0.16407137767004265</v>
      </c>
      <c r="BC475" s="1852">
        <f t="shared" si="954"/>
        <v>-0.22831876855282451</v>
      </c>
      <c r="BD475" s="1852">
        <f t="shared" si="954"/>
        <v>-0.16747300085978112</v>
      </c>
      <c r="BE475" s="1825">
        <f t="shared" ref="BE475:BO475" si="955">BE474/BA474-1</f>
        <v>-0.16290226767415361</v>
      </c>
      <c r="BF475" s="1851">
        <f t="shared" si="955"/>
        <v>-0.10855145370528596</v>
      </c>
      <c r="BG475" s="1854">
        <f t="shared" si="955"/>
        <v>-7.0517209727864683E-2</v>
      </c>
      <c r="BH475" s="1852">
        <f t="shared" si="955"/>
        <v>-6.6174315550363794E-2</v>
      </c>
      <c r="BI475" s="1825">
        <f t="shared" si="955"/>
        <v>-7.1546312306482007E-2</v>
      </c>
      <c r="BJ475" s="1851">
        <f t="shared" si="955"/>
        <v>1.5701518562257322E-2</v>
      </c>
      <c r="BK475" s="1852">
        <f t="shared" si="955"/>
        <v>-1.2701606880546223E-2</v>
      </c>
      <c r="BL475" s="1852">
        <f t="shared" si="955"/>
        <v>2.1080915933694211E-2</v>
      </c>
      <c r="BM475" s="1825">
        <f t="shared" si="955"/>
        <v>2.0683893211743687E-2</v>
      </c>
      <c r="BN475" s="1852">
        <f t="shared" si="955"/>
        <v>-3.952525377069227E-2</v>
      </c>
      <c r="BO475" s="1852">
        <f t="shared" si="955"/>
        <v>9.4627444159600671E-4</v>
      </c>
      <c r="BP475" s="1852">
        <f>BP474/BL474-1</f>
        <v>1.0382603253662026E-2</v>
      </c>
      <c r="BQ475" s="1825">
        <f>BQ474/BM474-1</f>
        <v>7.5770637083577563E-2</v>
      </c>
      <c r="BR475" s="1852">
        <f>BR474/BN474-1</f>
        <v>7.6243639563235099E-2</v>
      </c>
      <c r="BS475" s="1852"/>
      <c r="BT475" s="1852"/>
      <c r="BU475" s="1825"/>
      <c r="BV475" s="1852"/>
      <c r="BW475" s="1852"/>
      <c r="BX475" s="1852"/>
      <c r="BY475" s="1825"/>
      <c r="BZ475" s="1852"/>
      <c r="CA475" s="1852"/>
      <c r="CB475" s="1852"/>
      <c r="CC475" s="1825"/>
      <c r="CD475" s="1837"/>
      <c r="CE475" s="1934"/>
      <c r="CF475" s="1934"/>
      <c r="CG475" s="1934"/>
      <c r="CH475" s="1934"/>
      <c r="CI475" s="1934"/>
      <c r="CJ475" s="1934"/>
      <c r="CK475" s="1937"/>
      <c r="CL475" s="1937"/>
      <c r="CM475" s="1934"/>
      <c r="CN475" s="1852"/>
      <c r="CO475" s="1852">
        <f t="shared" ref="CO475:CU475" si="956">CO474/CN474-1</f>
        <v>-0.14946815763092958</v>
      </c>
      <c r="CP475" s="1852">
        <f t="shared" si="956"/>
        <v>0.1805057955636038</v>
      </c>
      <c r="CQ475" s="1852">
        <f t="shared" si="956"/>
        <v>-6.6411268029208603E-2</v>
      </c>
      <c r="CR475" s="1852">
        <f t="shared" si="956"/>
        <v>-8.1708997215897305E-2</v>
      </c>
      <c r="CS475" s="1852">
        <f t="shared" si="956"/>
        <v>1.1974850587395336E-2</v>
      </c>
      <c r="CT475" s="1852">
        <f t="shared" si="956"/>
        <v>3.0437646073380256</v>
      </c>
      <c r="CU475" s="1852">
        <f t="shared" si="956"/>
        <v>-0.7479997127439153</v>
      </c>
      <c r="CV475" s="1852"/>
      <c r="CW475" s="1852"/>
      <c r="CX475" s="1852"/>
      <c r="CY475" s="1852"/>
      <c r="CZ475" s="1852"/>
      <c r="DA475" s="1852"/>
      <c r="DB475" s="1852"/>
      <c r="DC475" s="1852"/>
      <c r="DD475" s="1837"/>
      <c r="DE475" s="1839"/>
      <c r="DF475" s="1829"/>
      <c r="DG475" s="1804"/>
      <c r="DH475" s="1803"/>
      <c r="DI475" s="1803"/>
      <c r="DJ475" s="1803"/>
      <c r="DK475" s="1803"/>
      <c r="DL475" s="1803"/>
      <c r="DM475" s="1852"/>
      <c r="DN475" s="1852"/>
      <c r="DO475" s="1852"/>
      <c r="DP475" s="1852"/>
      <c r="DQ475" s="1852">
        <f t="shared" ref="DQ475:DV475" si="957">DQ474/DP474-1</f>
        <v>-5.454812653084784E-2</v>
      </c>
      <c r="DR475" s="1852">
        <f t="shared" si="957"/>
        <v>0.15894078495216002</v>
      </c>
      <c r="DS475" s="1851">
        <f t="shared" si="957"/>
        <v>-0.11321520131361851</v>
      </c>
      <c r="DT475" s="1852">
        <f t="shared" si="957"/>
        <v>-3.4665200731526569E-2</v>
      </c>
      <c r="DU475" s="1852">
        <f t="shared" si="957"/>
        <v>7.928969908777006E-5</v>
      </c>
      <c r="DV475" s="1852">
        <f t="shared" si="957"/>
        <v>4.0732457851629711E-2</v>
      </c>
      <c r="DW475" s="1825"/>
      <c r="DX475" s="1852"/>
      <c r="DY475" s="1852"/>
      <c r="DZ475" s="1830"/>
      <c r="EA475"/>
      <c r="EB475"/>
      <c r="EC475"/>
      <c r="ED475"/>
      <c r="EE475"/>
      <c r="EF475"/>
    </row>
    <row r="476" spans="1:136" s="1785" customFormat="1" ht="11.25" hidden="1" customHeight="1" outlineLevel="1">
      <c r="A476" s="1830"/>
      <c r="B476" s="1943"/>
      <c r="C476" s="1829"/>
      <c r="D476" s="1779" t="s">
        <v>77</v>
      </c>
      <c r="E476" s="1841"/>
      <c r="F476" s="1968"/>
      <c r="G476" s="1938"/>
      <c r="H476" s="1938"/>
      <c r="I476" s="1969"/>
      <c r="J476" s="1938"/>
      <c r="K476" s="1938"/>
      <c r="L476" s="1938"/>
      <c r="M476" s="1969"/>
      <c r="N476" s="1938"/>
      <c r="O476" s="1938"/>
      <c r="P476" s="1938"/>
      <c r="Q476" s="1969"/>
      <c r="R476" s="1938"/>
      <c r="S476" s="1938"/>
      <c r="T476" s="1938"/>
      <c r="U476" s="1969"/>
      <c r="V476" s="1938"/>
      <c r="W476" s="1938"/>
      <c r="X476" s="1938"/>
      <c r="Y476" s="1969"/>
      <c r="Z476" s="1938"/>
      <c r="AA476" s="1938"/>
      <c r="AB476" s="1938"/>
      <c r="AC476" s="1969"/>
      <c r="AD476" s="1938"/>
      <c r="AE476" s="1938"/>
      <c r="AF476" s="1938"/>
      <c r="AG476" s="1938"/>
      <c r="AH476" s="1968"/>
      <c r="AI476" s="1938"/>
      <c r="AJ476" s="1938"/>
      <c r="AK476" s="1969"/>
      <c r="AL476" s="1938"/>
      <c r="AM476" s="1938"/>
      <c r="AN476" s="1938"/>
      <c r="AO476" s="1969"/>
      <c r="AP476" s="1851"/>
      <c r="AQ476" s="1852">
        <f t="shared" ref="AQ476:BD476" si="958">AQ474/AP474-1</f>
        <v>7.712517384070372E-2</v>
      </c>
      <c r="AR476" s="1852">
        <f t="shared" si="958"/>
        <v>-9.5930922420847664E-2</v>
      </c>
      <c r="AS476" s="1852">
        <f t="shared" si="958"/>
        <v>-9.3135223577805126E-2</v>
      </c>
      <c r="AT476" s="1851">
        <f t="shared" si="958"/>
        <v>-2.8655098178244742E-2</v>
      </c>
      <c r="AU476" s="1852">
        <f t="shared" si="958"/>
        <v>4.5931539752971595E-2</v>
      </c>
      <c r="AV476" s="1852">
        <f t="shared" si="958"/>
        <v>-8.024666406285752E-2</v>
      </c>
      <c r="AW476" s="1852">
        <f t="shared" si="958"/>
        <v>-7.5051651212542203E-2</v>
      </c>
      <c r="AX476" s="1851">
        <f t="shared" si="958"/>
        <v>4.8580416164222706E-2</v>
      </c>
      <c r="AY476" s="1852">
        <f t="shared" si="958"/>
        <v>0.54769655087690228</v>
      </c>
      <c r="AZ476" s="1852">
        <f t="shared" si="958"/>
        <v>-0.10778516150390605</v>
      </c>
      <c r="BA476" s="1825">
        <f t="shared" si="958"/>
        <v>-6.097113668896581E-2</v>
      </c>
      <c r="BB476" s="1851">
        <f t="shared" si="958"/>
        <v>-0.10227067323259553</v>
      </c>
      <c r="BC476" s="1852">
        <f t="shared" si="958"/>
        <v>2.5992394622529558E-2</v>
      </c>
      <c r="BD476" s="1852">
        <f t="shared" si="958"/>
        <v>-3.743552154491514E-2</v>
      </c>
      <c r="BE476" s="1825">
        <f t="shared" ref="BE476:BO476" si="959">BE474/BD474-1</f>
        <v>-5.5815687805950143E-2</v>
      </c>
      <c r="BF476" s="1851">
        <f t="shared" si="959"/>
        <v>-4.3983190481968193E-2</v>
      </c>
      <c r="BG476" s="1854">
        <f t="shared" si="959"/>
        <v>6.9767041200001101E-2</v>
      </c>
      <c r="BH476" s="1852">
        <f t="shared" si="959"/>
        <v>-3.2938057242506869E-2</v>
      </c>
      <c r="BI476" s="1825">
        <f t="shared" si="959"/>
        <v>-6.124727439298383E-2</v>
      </c>
      <c r="BJ476" s="1851">
        <f t="shared" si="959"/>
        <v>4.5854777754994469E-2</v>
      </c>
      <c r="BK476" s="1852">
        <f t="shared" si="959"/>
        <v>3.9852024917667928E-2</v>
      </c>
      <c r="BL476" s="1852">
        <f t="shared" si="959"/>
        <v>1.520322093413462E-4</v>
      </c>
      <c r="BM476" s="1825">
        <f t="shared" si="959"/>
        <v>-6.1612285780958009E-2</v>
      </c>
      <c r="BN476" s="1852">
        <f t="shared" si="959"/>
        <v>-1.5839175147493556E-2</v>
      </c>
      <c r="BO476" s="1852">
        <f t="shared" si="959"/>
        <v>8.3668273838608309E-2</v>
      </c>
      <c r="BP476" s="1852">
        <f>BP474/BO474-1</f>
        <v>9.5808733759150666E-3</v>
      </c>
      <c r="BQ476" s="1825">
        <f>BQ474/BP474-1</f>
        <v>-8.834812614217924E-4</v>
      </c>
      <c r="BR476" s="1852">
        <f>BR474/BQ474-1</f>
        <v>-1.5406452321186315E-2</v>
      </c>
      <c r="BS476" s="1852"/>
      <c r="BT476" s="1852"/>
      <c r="BU476" s="1825"/>
      <c r="BV476" s="1852"/>
      <c r="BW476" s="1852"/>
      <c r="BX476" s="1852"/>
      <c r="BY476" s="1825"/>
      <c r="BZ476" s="1852"/>
      <c r="CA476" s="1852"/>
      <c r="CB476" s="1852"/>
      <c r="CC476" s="1825"/>
      <c r="CD476" s="1837"/>
      <c r="CE476" s="1934"/>
      <c r="CF476" s="1934"/>
      <c r="CG476" s="1934"/>
      <c r="CH476" s="1934"/>
      <c r="CI476" s="1934"/>
      <c r="CJ476" s="1934"/>
      <c r="CK476" s="1937"/>
      <c r="CL476" s="1937"/>
      <c r="CM476" s="1934"/>
      <c r="CN476" s="1934"/>
      <c r="CO476" s="1938"/>
      <c r="CP476" s="1938"/>
      <c r="CQ476" s="1938"/>
      <c r="CR476" s="1938"/>
      <c r="CS476" s="1852"/>
      <c r="CT476" s="1852"/>
      <c r="CU476" s="1852"/>
      <c r="CV476" s="1852"/>
      <c r="CW476" s="1852"/>
      <c r="CX476" s="1852"/>
      <c r="CY476" s="1852"/>
      <c r="CZ476" s="1852"/>
      <c r="DA476" s="1852"/>
      <c r="DB476" s="1852"/>
      <c r="DC476" s="1852"/>
      <c r="DD476" s="1837"/>
      <c r="DE476" s="1839"/>
      <c r="DF476" s="1829"/>
      <c r="DG476" s="1804"/>
      <c r="DH476" s="1803"/>
      <c r="DI476" s="1803"/>
      <c r="DJ476" s="1803"/>
      <c r="DK476" s="1803"/>
      <c r="DL476" s="1803"/>
      <c r="DM476" s="1803"/>
      <c r="DN476" s="1803"/>
      <c r="DO476" s="1803"/>
      <c r="DP476" s="1803"/>
      <c r="DQ476" s="1803"/>
      <c r="DR476" s="1803"/>
      <c r="DS476" s="1804"/>
      <c r="DT476" s="1974"/>
      <c r="DU476" s="1974"/>
      <c r="DV476" s="1974"/>
      <c r="DW476" s="1975"/>
      <c r="DX476" s="1974"/>
      <c r="DY476" s="1974"/>
      <c r="DZ476" s="1830"/>
      <c r="EA476"/>
      <c r="EB476"/>
      <c r="EC476"/>
      <c r="ED476"/>
      <c r="EE476"/>
      <c r="EF476"/>
    </row>
    <row r="477" spans="1:136" s="1785" customFormat="1" ht="11.25" hidden="1" customHeight="1" outlineLevel="1">
      <c r="A477" s="1830"/>
      <c r="B477" s="1943"/>
      <c r="C477" s="1829"/>
      <c r="D477" s="1779"/>
      <c r="E477" s="1841"/>
      <c r="F477" s="1968"/>
      <c r="G477" s="1938"/>
      <c r="H477" s="1938"/>
      <c r="I477" s="1969"/>
      <c r="J477" s="1938"/>
      <c r="K477" s="1938"/>
      <c r="L477" s="1938"/>
      <c r="M477" s="1969"/>
      <c r="N477" s="1938"/>
      <c r="O477" s="1938"/>
      <c r="P477" s="1938"/>
      <c r="Q477" s="1969"/>
      <c r="R477" s="1938"/>
      <c r="S477" s="1938"/>
      <c r="T477" s="1938"/>
      <c r="U477" s="1969"/>
      <c r="V477" s="1938"/>
      <c r="W477" s="1938"/>
      <c r="X477" s="1938"/>
      <c r="Y477" s="1969"/>
      <c r="Z477" s="1938"/>
      <c r="AA477" s="1938"/>
      <c r="AB477" s="1938"/>
      <c r="AC477" s="1969"/>
      <c r="AD477" s="1938"/>
      <c r="AE477" s="1938"/>
      <c r="AF477" s="1938"/>
      <c r="AG477" s="1938"/>
      <c r="AH477" s="1968"/>
      <c r="AI477" s="1938"/>
      <c r="AJ477" s="1938"/>
      <c r="AK477" s="1969"/>
      <c r="AL477" s="1938"/>
      <c r="AM477" s="1938"/>
      <c r="AN477" s="1938"/>
      <c r="AO477" s="1969"/>
      <c r="AP477" s="1829"/>
      <c r="AQ477" s="1829"/>
      <c r="AR477" s="1829"/>
      <c r="AS477" s="1829"/>
      <c r="AT477" s="1873"/>
      <c r="AU477" s="1938"/>
      <c r="AV477" s="1938"/>
      <c r="AW477" s="1969"/>
      <c r="AX477" s="1938"/>
      <c r="AY477" s="1938"/>
      <c r="AZ477" s="1938"/>
      <c r="BA477" s="1969"/>
      <c r="BB477" s="1968"/>
      <c r="BC477" s="1938"/>
      <c r="BD477" s="1938"/>
      <c r="BE477" s="1969"/>
      <c r="BF477" s="1968"/>
      <c r="BG477" s="2002"/>
      <c r="BH477" s="1938"/>
      <c r="BI477" s="1969"/>
      <c r="BJ477" s="1968"/>
      <c r="BK477" s="1938"/>
      <c r="BL477" s="1938"/>
      <c r="BM477" s="1969"/>
      <c r="BN477" s="1976"/>
      <c r="BO477" s="1938"/>
      <c r="BP477" s="1977"/>
      <c r="BQ477" s="1978"/>
      <c r="BR477" s="1977"/>
      <c r="BS477" s="1977"/>
      <c r="BT477" s="1977"/>
      <c r="BU477" s="1978"/>
      <c r="BV477" s="1977"/>
      <c r="BW477" s="1977"/>
      <c r="BX477" s="1977"/>
      <c r="BY477" s="1978"/>
      <c r="BZ477" s="1977"/>
      <c r="CA477" s="1977"/>
      <c r="CB477" s="1977"/>
      <c r="CC477" s="1978"/>
      <c r="CD477" s="1837"/>
      <c r="CE477" s="1934"/>
      <c r="CF477" s="1934"/>
      <c r="CG477" s="1934"/>
      <c r="CH477" s="1934"/>
      <c r="CI477" s="1934"/>
      <c r="CJ477" s="1934"/>
      <c r="CK477" s="1937"/>
      <c r="CL477" s="1937"/>
      <c r="CM477" s="1934"/>
      <c r="CN477" s="1934"/>
      <c r="CO477" s="1938"/>
      <c r="CP477" s="1938"/>
      <c r="CQ477" s="1938"/>
      <c r="CR477" s="1938"/>
      <c r="CS477" s="1938"/>
      <c r="CT477" s="1938"/>
      <c r="CU477" s="1938"/>
      <c r="CV477" s="1938"/>
      <c r="CW477" s="1938"/>
      <c r="CX477" s="1938"/>
      <c r="CY477" s="1938"/>
      <c r="CZ477" s="1938"/>
      <c r="DA477" s="1938"/>
      <c r="DB477" s="1938"/>
      <c r="DC477" s="1938"/>
      <c r="DD477" s="1837"/>
      <c r="DE477" s="1839"/>
      <c r="DF477" s="1829"/>
      <c r="DG477" s="1804"/>
      <c r="DH477" s="1803"/>
      <c r="DI477" s="1803"/>
      <c r="DJ477" s="1803"/>
      <c r="DK477" s="1803"/>
      <c r="DL477" s="1803"/>
      <c r="DM477" s="1803"/>
      <c r="DN477" s="1803"/>
      <c r="DO477" s="1803"/>
      <c r="DP477" s="1803"/>
      <c r="DQ477" s="1803"/>
      <c r="DR477" s="1803"/>
      <c r="DS477" s="1804"/>
      <c r="DT477" s="1974"/>
      <c r="DU477" s="1974"/>
      <c r="DV477" s="1974"/>
      <c r="DW477" s="1975"/>
      <c r="DX477" s="1974"/>
      <c r="DY477" s="1974"/>
      <c r="DZ477" s="1830"/>
      <c r="EA477"/>
      <c r="EB477"/>
      <c r="EC477"/>
      <c r="ED477"/>
      <c r="EE477"/>
      <c r="EF477"/>
    </row>
    <row r="478" spans="1:136" s="1785" customFormat="1" ht="11.25" hidden="1" customHeight="1" outlineLevel="1">
      <c r="A478" s="1830"/>
      <c r="B478" s="1943"/>
      <c r="C478" s="1829"/>
      <c r="D478" s="1779"/>
      <c r="E478" s="1841" t="s">
        <v>576</v>
      </c>
      <c r="F478" s="1968"/>
      <c r="G478" s="1938"/>
      <c r="H478" s="1938"/>
      <c r="I478" s="1969"/>
      <c r="J478" s="1938"/>
      <c r="K478" s="1938"/>
      <c r="L478" s="1938"/>
      <c r="M478" s="1969"/>
      <c r="N478" s="1938"/>
      <c r="O478" s="1938"/>
      <c r="P478" s="1938"/>
      <c r="Q478" s="1969"/>
      <c r="R478" s="1938"/>
      <c r="S478" s="1938"/>
      <c r="T478" s="1938"/>
      <c r="U478" s="1969"/>
      <c r="V478" s="1938"/>
      <c r="W478" s="1938"/>
      <c r="X478" s="1938"/>
      <c r="Y478" s="1969"/>
      <c r="Z478" s="1938"/>
      <c r="AA478" s="1938"/>
      <c r="AB478" s="1938"/>
      <c r="AC478" s="1969"/>
      <c r="AD478" s="1938"/>
      <c r="AE478" s="1938"/>
      <c r="AF478" s="1938"/>
      <c r="AG478" s="1938"/>
      <c r="AH478" s="1968"/>
      <c r="AI478" s="1938"/>
      <c r="AJ478" s="1938"/>
      <c r="AK478" s="1969"/>
      <c r="AL478" s="1938"/>
      <c r="AM478" s="1938"/>
      <c r="AN478" s="1938"/>
      <c r="AO478" s="1969"/>
      <c r="AP478" s="1981">
        <f>AP481*AP484/1000</f>
        <v>122.56</v>
      </c>
      <c r="AQ478" s="1948">
        <f>AQ481*AQ484/1000</f>
        <v>167.40299999999999</v>
      </c>
      <c r="AR478" s="1948">
        <f>AR481*AR484/1000</f>
        <v>192.68450000000001</v>
      </c>
      <c r="AS478" s="1948">
        <f t="shared" ref="AS478:BD478" si="960">AS481*AS484/1000</f>
        <v>204.28100000000001</v>
      </c>
      <c r="AT478" s="1981">
        <f t="shared" si="960"/>
        <v>196.46250000000001</v>
      </c>
      <c r="AU478" s="1948">
        <f t="shared" si="960"/>
        <v>176.58750000000001</v>
      </c>
      <c r="AV478" s="1948">
        <f t="shared" si="960"/>
        <v>170.64656249999999</v>
      </c>
      <c r="AW478" s="1948">
        <f t="shared" si="960"/>
        <v>232.46950218749996</v>
      </c>
      <c r="AX478" s="1981">
        <f t="shared" si="960"/>
        <v>267.76210854374995</v>
      </c>
      <c r="AY478" s="1948">
        <f t="shared" si="960"/>
        <v>127.65502647922499</v>
      </c>
      <c r="AZ478" s="1948">
        <f t="shared" si="960"/>
        <v>191.79245051866587</v>
      </c>
      <c r="BA478" s="1980">
        <f t="shared" si="960"/>
        <v>194.6853945636839</v>
      </c>
      <c r="BB478" s="1981">
        <f t="shared" si="960"/>
        <v>364.46370965968606</v>
      </c>
      <c r="BC478" s="1948">
        <f t="shared" si="960"/>
        <v>279.3144608585722</v>
      </c>
      <c r="BD478" s="1948">
        <f t="shared" si="960"/>
        <v>275.78049654889503</v>
      </c>
      <c r="BE478" s="1980">
        <f t="shared" ref="BE478:BM478" si="961">BE481*BE484/1000</f>
        <v>270.83075078852505</v>
      </c>
      <c r="BF478" s="1981">
        <f t="shared" si="961"/>
        <v>341.93830801152382</v>
      </c>
      <c r="BG478" s="2004">
        <f t="shared" si="961"/>
        <v>376.141823164095</v>
      </c>
      <c r="BH478" s="1948">
        <f t="shared" si="961"/>
        <v>359.35530736707653</v>
      </c>
      <c r="BI478" s="1980">
        <f t="shared" si="961"/>
        <v>448.00494605184065</v>
      </c>
      <c r="BJ478" s="1981">
        <f t="shared" si="961"/>
        <v>439.71531916802627</v>
      </c>
      <c r="BK478" s="1948">
        <f t="shared" si="961"/>
        <v>394.68224275752402</v>
      </c>
      <c r="BL478" s="1948">
        <f>BL481*BL484/1000</f>
        <v>370.42178982207207</v>
      </c>
      <c r="BM478" s="1980">
        <f t="shared" si="961"/>
        <v>377.92143284202371</v>
      </c>
      <c r="BN478" s="1981">
        <f>BN481*BN484/1000</f>
        <v>484.03823234379183</v>
      </c>
      <c r="BO478" s="1948">
        <f>BO481*BO484/1000</f>
        <v>361.25812444714489</v>
      </c>
      <c r="BP478" s="1948">
        <f>BP481*BP484/1000</f>
        <v>321.82928298609295</v>
      </c>
      <c r="BQ478" s="1980">
        <f>BQ481*BQ484/1000</f>
        <v>467.93573150741543</v>
      </c>
      <c r="BR478" s="1948">
        <f>BR481*BR484/1000</f>
        <v>573.14901562897705</v>
      </c>
      <c r="BS478" s="1948"/>
      <c r="BT478" s="1948"/>
      <c r="BU478" s="1980"/>
      <c r="BV478" s="1948"/>
      <c r="BW478" s="1948"/>
      <c r="BX478" s="1948"/>
      <c r="BY478" s="1980"/>
      <c r="BZ478" s="1948"/>
      <c r="CA478" s="1948"/>
      <c r="CB478" s="1948"/>
      <c r="CC478" s="1980"/>
      <c r="CD478" s="1837"/>
      <c r="CE478" s="1934"/>
      <c r="CF478" s="1934"/>
      <c r="CG478" s="1934"/>
      <c r="CH478" s="1934"/>
      <c r="CI478" s="1934"/>
      <c r="CJ478" s="1934"/>
      <c r="CK478" s="1937"/>
      <c r="CL478" s="1951"/>
      <c r="CM478" s="1950"/>
      <c r="CN478" s="1950">
        <f>SUM(AP478:AS478)</f>
        <v>686.92849999999999</v>
      </c>
      <c r="CO478" s="1946">
        <f>SUM(AT478:AW478)</f>
        <v>776.16606468750001</v>
      </c>
      <c r="CP478" s="1946">
        <f>SUM(AX478:BA478)</f>
        <v>781.89498010532463</v>
      </c>
      <c r="CQ478" s="1946">
        <f>SUM(BB478:BE478)</f>
        <v>1190.3894178556784</v>
      </c>
      <c r="CR478" s="1946">
        <f>SUM(BF478:BI478)</f>
        <v>1525.4403845945362</v>
      </c>
      <c r="CS478" s="1946">
        <f>SUM(BJ478:BM478)</f>
        <v>1582.740784589646</v>
      </c>
      <c r="CT478" s="1946">
        <f>SUM(BN478:BQ478)</f>
        <v>1635.0613712844452</v>
      </c>
      <c r="CU478" s="1948">
        <f>SUM(BR478:BU478)</f>
        <v>573.14901562897705</v>
      </c>
      <c r="CV478" s="1948"/>
      <c r="CW478" s="1948"/>
      <c r="CX478" s="1948"/>
      <c r="CY478" s="1948"/>
      <c r="CZ478" s="1948"/>
      <c r="DA478" s="1948"/>
      <c r="DB478" s="1948"/>
      <c r="DC478" s="1948"/>
      <c r="DD478" s="1837"/>
      <c r="DE478" s="1839"/>
      <c r="DF478" s="1829"/>
      <c r="DG478" s="1804"/>
      <c r="DH478" s="1803"/>
      <c r="DI478" s="1803"/>
      <c r="DJ478" s="1803"/>
      <c r="DK478" s="1803"/>
      <c r="DL478" s="1803"/>
      <c r="DM478" s="1955"/>
      <c r="DN478" s="1955"/>
      <c r="DO478" s="1955"/>
      <c r="DP478" s="1955">
        <f>SUM(AR478:AU478)</f>
        <v>770.01549999999997</v>
      </c>
      <c r="DQ478" s="1955">
        <f>SUM(AV478:AY478)</f>
        <v>798.53319971047483</v>
      </c>
      <c r="DR478" s="1955">
        <f>SUM(AZ478:BC478)</f>
        <v>1030.256015600608</v>
      </c>
      <c r="DS478" s="1954">
        <f>SUM(BD478:BG478)</f>
        <v>1264.6913785130389</v>
      </c>
      <c r="DT478" s="1955">
        <f>SUM(BH478:BK478)</f>
        <v>1641.7578153444674</v>
      </c>
      <c r="DU478" s="1955">
        <f>SUM(BL478:BO478)</f>
        <v>1593.6395794550324</v>
      </c>
      <c r="DV478" s="1955">
        <f>SUM(BP478:BS478)</f>
        <v>1362.9140301224854</v>
      </c>
      <c r="DW478" s="1956"/>
      <c r="DX478" s="1955"/>
      <c r="DY478" s="1955"/>
      <c r="DZ478" s="1830"/>
      <c r="EA478"/>
      <c r="EB478"/>
      <c r="EC478"/>
      <c r="ED478"/>
      <c r="EE478"/>
      <c r="EF478"/>
    </row>
    <row r="479" spans="1:136" s="1785" customFormat="1" ht="11.25" hidden="1" customHeight="1" outlineLevel="1">
      <c r="A479" s="1830"/>
      <c r="B479" s="1943"/>
      <c r="C479" s="1829"/>
      <c r="D479" s="1779"/>
      <c r="E479" s="1932" t="s">
        <v>183</v>
      </c>
      <c r="F479" s="1968"/>
      <c r="G479" s="1938"/>
      <c r="H479" s="1938"/>
      <c r="I479" s="1969"/>
      <c r="J479" s="1938"/>
      <c r="K479" s="1938"/>
      <c r="L479" s="1938"/>
      <c r="M479" s="1969"/>
      <c r="N479" s="1938"/>
      <c r="O479" s="1938"/>
      <c r="P479" s="1938"/>
      <c r="Q479" s="1969"/>
      <c r="R479" s="1938"/>
      <c r="S479" s="1938"/>
      <c r="T479" s="1938"/>
      <c r="U479" s="1969"/>
      <c r="V479" s="1938"/>
      <c r="W479" s="1938"/>
      <c r="X479" s="1938"/>
      <c r="Y479" s="1969"/>
      <c r="Z479" s="1938"/>
      <c r="AA479" s="1938"/>
      <c r="AB479" s="1938"/>
      <c r="AC479" s="1969"/>
      <c r="AD479" s="1938"/>
      <c r="AE479" s="1938"/>
      <c r="AF479" s="1938"/>
      <c r="AG479" s="1938"/>
      <c r="AH479" s="1968"/>
      <c r="AI479" s="1938"/>
      <c r="AJ479" s="1938"/>
      <c r="AK479" s="1969"/>
      <c r="AL479" s="1938"/>
      <c r="AM479" s="1938"/>
      <c r="AN479" s="1938"/>
      <c r="AO479" s="1969"/>
      <c r="AP479" s="1851"/>
      <c r="AQ479" s="1852"/>
      <c r="AR479" s="1852"/>
      <c r="AS479" s="1852"/>
      <c r="AT479" s="1851">
        <f>AT478/AP478-1</f>
        <v>0.60299037206266326</v>
      </c>
      <c r="AU479" s="1852">
        <f>AU478/AQ478-1</f>
        <v>5.4864608161144135E-2</v>
      </c>
      <c r="AV479" s="1852">
        <f t="shared" ref="AV479:BD479" si="962">AV478/AR478-1</f>
        <v>-0.11437317220637899</v>
      </c>
      <c r="AW479" s="1852">
        <f t="shared" si="962"/>
        <v>0.13798885940200001</v>
      </c>
      <c r="AX479" s="1851">
        <f t="shared" si="962"/>
        <v>0.36291713962588257</v>
      </c>
      <c r="AY479" s="1852">
        <f t="shared" si="962"/>
        <v>-0.27710043757782976</v>
      </c>
      <c r="AZ479" s="1852">
        <f t="shared" si="962"/>
        <v>0.12391628468147942</v>
      </c>
      <c r="BA479" s="1825">
        <f t="shared" si="962"/>
        <v>-0.16253361093938679</v>
      </c>
      <c r="BB479" s="1851">
        <f t="shared" si="962"/>
        <v>0.36114744405717869</v>
      </c>
      <c r="BC479" s="1852">
        <f t="shared" si="962"/>
        <v>1.1880412276913264</v>
      </c>
      <c r="BD479" s="1852">
        <f t="shared" si="962"/>
        <v>0.43791111591253773</v>
      </c>
      <c r="BE479" s="1825">
        <f t="shared" ref="BE479:BQ479" si="963">BE478/BA478-1</f>
        <v>0.39112002415740088</v>
      </c>
      <c r="BF479" s="1851">
        <f t="shared" si="963"/>
        <v>-6.1804237434764375E-2</v>
      </c>
      <c r="BG479" s="1854">
        <f t="shared" si="963"/>
        <v>0.34666075651038453</v>
      </c>
      <c r="BH479" s="1852">
        <f t="shared" si="963"/>
        <v>0.30304830060150367</v>
      </c>
      <c r="BI479" s="1825">
        <f t="shared" si="963"/>
        <v>0.65418788209046452</v>
      </c>
      <c r="BJ479" s="1851">
        <f t="shared" si="963"/>
        <v>0.28594927466625708</v>
      </c>
      <c r="BK479" s="1852">
        <f t="shared" si="963"/>
        <v>4.9291034529123978E-2</v>
      </c>
      <c r="BL479" s="1852">
        <f t="shared" si="963"/>
        <v>3.079537780053232E-2</v>
      </c>
      <c r="BM479" s="1825">
        <f t="shared" si="963"/>
        <v>-0.15643468632979618</v>
      </c>
      <c r="BN479" s="1851">
        <f t="shared" si="963"/>
        <v>0.10079911079656667</v>
      </c>
      <c r="BO479" s="1852">
        <f t="shared" si="963"/>
        <v>-8.4686146700837184E-2</v>
      </c>
      <c r="BP479" s="1852">
        <f t="shared" si="963"/>
        <v>-0.13118155619117322</v>
      </c>
      <c r="BQ479" s="1825">
        <f t="shared" si="963"/>
        <v>0.23818257141033583</v>
      </c>
      <c r="BR479" s="1852">
        <f>BR478/BN478-1</f>
        <v>0.1840986462034131</v>
      </c>
      <c r="BS479" s="1852"/>
      <c r="BT479" s="1852"/>
      <c r="BU479" s="1825"/>
      <c r="BV479" s="1852"/>
      <c r="BW479" s="1852"/>
      <c r="BX479" s="1852"/>
      <c r="BY479" s="1825"/>
      <c r="BZ479" s="1852"/>
      <c r="CA479" s="1852"/>
      <c r="CB479" s="1852"/>
      <c r="CC479" s="1825"/>
      <c r="CD479" s="1837"/>
      <c r="CE479" s="1934"/>
      <c r="CF479" s="1934"/>
      <c r="CG479" s="1934"/>
      <c r="CH479" s="1934"/>
      <c r="CI479" s="1934"/>
      <c r="CJ479" s="1934"/>
      <c r="CK479" s="1937"/>
      <c r="CL479" s="1852"/>
      <c r="CM479" s="1852"/>
      <c r="CN479" s="1852"/>
      <c r="CO479" s="1852">
        <f t="shared" ref="CO479:CU479" si="964">CO478/CN478-1</f>
        <v>0.12990808313747348</v>
      </c>
      <c r="CP479" s="1852">
        <f t="shared" si="964"/>
        <v>7.3810434112848711E-3</v>
      </c>
      <c r="CQ479" s="1852">
        <f t="shared" si="964"/>
        <v>0.52244156586774326</v>
      </c>
      <c r="CR479" s="1852">
        <f t="shared" si="964"/>
        <v>0.2814633276414753</v>
      </c>
      <c r="CS479" s="1852">
        <f t="shared" si="964"/>
        <v>3.7563185407825772E-2</v>
      </c>
      <c r="CT479" s="1852">
        <f t="shared" si="964"/>
        <v>3.3056952347610302E-2</v>
      </c>
      <c r="CU479" s="1852">
        <f t="shared" si="964"/>
        <v>-0.64946330107552364</v>
      </c>
      <c r="CV479" s="1852"/>
      <c r="CW479" s="1852"/>
      <c r="CX479" s="1852"/>
      <c r="CY479" s="1852"/>
      <c r="CZ479" s="1852"/>
      <c r="DA479" s="1852"/>
      <c r="DB479" s="1852"/>
      <c r="DC479" s="1852"/>
      <c r="DD479" s="1837"/>
      <c r="DE479" s="1839"/>
      <c r="DF479" s="1829"/>
      <c r="DG479" s="1804"/>
      <c r="DH479" s="1803"/>
      <c r="DI479" s="1803"/>
      <c r="DJ479" s="1803"/>
      <c r="DK479" s="1803"/>
      <c r="DL479" s="1803"/>
      <c r="DM479" s="1852"/>
      <c r="DN479" s="1852"/>
      <c r="DO479" s="1852"/>
      <c r="DP479" s="1852"/>
      <c r="DQ479" s="1852">
        <f t="shared" ref="DQ479:DV479" si="965">DQ478/DP478-1</f>
        <v>3.7035228135634757E-2</v>
      </c>
      <c r="DR479" s="1852">
        <f t="shared" si="965"/>
        <v>0.29018557521985211</v>
      </c>
      <c r="DS479" s="1851">
        <f t="shared" si="965"/>
        <v>0.22755058874930456</v>
      </c>
      <c r="DT479" s="1852">
        <f t="shared" si="965"/>
        <v>0.29814897392181527</v>
      </c>
      <c r="DU479" s="1852">
        <f t="shared" si="965"/>
        <v>-2.9308973247883729E-2</v>
      </c>
      <c r="DV479" s="1852">
        <f t="shared" si="965"/>
        <v>-0.14477900292326251</v>
      </c>
      <c r="DW479" s="1825"/>
      <c r="DX479" s="1852"/>
      <c r="DY479" s="1852"/>
      <c r="DZ479" s="1830"/>
      <c r="EA479"/>
      <c r="EB479"/>
      <c r="EC479"/>
      <c r="ED479"/>
      <c r="EE479"/>
      <c r="EF479"/>
    </row>
    <row r="480" spans="1:136" s="1785" customFormat="1" ht="11.25" hidden="1" customHeight="1" outlineLevel="1">
      <c r="A480" s="1830"/>
      <c r="B480" s="1943"/>
      <c r="C480" s="1829"/>
      <c r="D480" s="1779"/>
      <c r="E480" s="1932" t="s">
        <v>184</v>
      </c>
      <c r="F480" s="1968"/>
      <c r="G480" s="1938"/>
      <c r="H480" s="1938"/>
      <c r="I480" s="1969"/>
      <c r="J480" s="1938"/>
      <c r="K480" s="1938"/>
      <c r="L480" s="1938"/>
      <c r="M480" s="1969"/>
      <c r="N480" s="1938"/>
      <c r="O480" s="1938"/>
      <c r="P480" s="1938"/>
      <c r="Q480" s="1969"/>
      <c r="R480" s="1938"/>
      <c r="S480" s="1938"/>
      <c r="T480" s="1938"/>
      <c r="U480" s="1969"/>
      <c r="V480" s="1938"/>
      <c r="W480" s="1938"/>
      <c r="X480" s="1938"/>
      <c r="Y480" s="1969"/>
      <c r="Z480" s="1938"/>
      <c r="AA480" s="1938"/>
      <c r="AB480" s="1938"/>
      <c r="AC480" s="1969"/>
      <c r="AD480" s="1938"/>
      <c r="AE480" s="1938"/>
      <c r="AF480" s="1938"/>
      <c r="AG480" s="1938"/>
      <c r="AH480" s="1968"/>
      <c r="AI480" s="1938"/>
      <c r="AJ480" s="1938"/>
      <c r="AK480" s="1969"/>
      <c r="AL480" s="1938"/>
      <c r="AM480" s="1938"/>
      <c r="AN480" s="1938"/>
      <c r="AO480" s="1969"/>
      <c r="AP480" s="1851"/>
      <c r="AQ480" s="1852">
        <f>AQ478/AP478-1</f>
        <v>0.365886096605744</v>
      </c>
      <c r="AR480" s="1852">
        <f>AR478/AQ478-1</f>
        <v>0.15102178575055425</v>
      </c>
      <c r="AS480" s="1852">
        <f t="shared" ref="AS480:BD480" si="966">AS478/AR478-1</f>
        <v>6.0183875713926138E-2</v>
      </c>
      <c r="AT480" s="1851">
        <f t="shared" si="966"/>
        <v>-3.82732608514742E-2</v>
      </c>
      <c r="AU480" s="1852">
        <f t="shared" si="966"/>
        <v>-0.10116434434052302</v>
      </c>
      <c r="AV480" s="1852">
        <f t="shared" si="966"/>
        <v>-3.364302399660235E-2</v>
      </c>
      <c r="AW480" s="1852">
        <f t="shared" si="966"/>
        <v>0.3622864637985308</v>
      </c>
      <c r="AX480" s="1851">
        <f t="shared" si="966"/>
        <v>0.15181607059916402</v>
      </c>
      <c r="AY480" s="1852">
        <f t="shared" si="966"/>
        <v>-0.52325208681135216</v>
      </c>
      <c r="AZ480" s="1852">
        <f t="shared" si="966"/>
        <v>0.50242772108843536</v>
      </c>
      <c r="BA480" s="1825">
        <f t="shared" si="966"/>
        <v>1.5083722206972183E-2</v>
      </c>
      <c r="BB480" s="1851">
        <f t="shared" si="966"/>
        <v>0.87206498194945836</v>
      </c>
      <c r="BC480" s="1852">
        <f t="shared" si="966"/>
        <v>-0.23362888140665916</v>
      </c>
      <c r="BD480" s="1852">
        <f t="shared" si="966"/>
        <v>-1.2652278363298075E-2</v>
      </c>
      <c r="BE480" s="1825">
        <f t="shared" ref="BE480:BQ480" si="967">BE478/BD478-1</f>
        <v>-1.7948135645235563E-2</v>
      </c>
      <c r="BF480" s="1851">
        <f t="shared" si="967"/>
        <v>0.26255348410757917</v>
      </c>
      <c r="BG480" s="1854">
        <f t="shared" si="967"/>
        <v>0.10002832192589106</v>
      </c>
      <c r="BH480" s="1852">
        <f t="shared" si="967"/>
        <v>-4.4628155560609395E-2</v>
      </c>
      <c r="BI480" s="1825">
        <f t="shared" si="967"/>
        <v>0.24669077335821754</v>
      </c>
      <c r="BJ480" s="1851">
        <f t="shared" si="967"/>
        <v>-1.8503427153804597E-2</v>
      </c>
      <c r="BK480" s="1852">
        <f t="shared" si="967"/>
        <v>-0.10241416309012874</v>
      </c>
      <c r="BL480" s="1852">
        <f t="shared" si="967"/>
        <v>-6.1468316299085557E-2</v>
      </c>
      <c r="BM480" s="1825">
        <f t="shared" si="967"/>
        <v>2.0246225319396016E-2</v>
      </c>
      <c r="BN480" s="1851">
        <f t="shared" si="967"/>
        <v>0.28079063604240306</v>
      </c>
      <c r="BO480" s="1852">
        <f t="shared" si="967"/>
        <v>-0.25365787182166522</v>
      </c>
      <c r="BP480" s="1852">
        <f t="shared" si="967"/>
        <v>-0.10914312728991848</v>
      </c>
      <c r="BQ480" s="1825">
        <f t="shared" si="967"/>
        <v>0.45398742825908767</v>
      </c>
      <c r="BR480" s="1852">
        <f>BR478/BQ478-1</f>
        <v>0.22484558677027278</v>
      </c>
      <c r="BS480" s="1852"/>
      <c r="BT480" s="1852"/>
      <c r="BU480" s="1825"/>
      <c r="BV480" s="1852"/>
      <c r="BW480" s="1852"/>
      <c r="BX480" s="1852"/>
      <c r="BY480" s="1825"/>
      <c r="BZ480" s="1852"/>
      <c r="CA480" s="1852"/>
      <c r="CB480" s="1852"/>
      <c r="CC480" s="1825"/>
      <c r="CD480" s="1837"/>
      <c r="CE480" s="1934"/>
      <c r="CF480" s="1934"/>
      <c r="CG480" s="1934"/>
      <c r="CH480" s="1934"/>
      <c r="CI480" s="1934"/>
      <c r="CJ480" s="1934"/>
      <c r="CK480" s="1937"/>
      <c r="CL480" s="1937"/>
      <c r="CM480" s="1934"/>
      <c r="CN480" s="1934"/>
      <c r="CO480" s="1938"/>
      <c r="CP480" s="1938"/>
      <c r="CQ480" s="1938"/>
      <c r="CR480" s="1938"/>
      <c r="CS480" s="1852"/>
      <c r="CT480" s="1852"/>
      <c r="CU480" s="1852"/>
      <c r="CV480" s="1852"/>
      <c r="CW480" s="1852"/>
      <c r="CX480" s="1852"/>
      <c r="CY480" s="1852"/>
      <c r="CZ480" s="1852"/>
      <c r="DA480" s="1852"/>
      <c r="DB480" s="1852"/>
      <c r="DC480" s="1852"/>
      <c r="DD480" s="1837"/>
      <c r="DE480" s="1839"/>
      <c r="DF480" s="1829"/>
      <c r="DG480" s="1804"/>
      <c r="DH480" s="1803"/>
      <c r="DI480" s="1803"/>
      <c r="DJ480" s="1803"/>
      <c r="DK480" s="1803"/>
      <c r="DL480" s="1803"/>
      <c r="DM480" s="1848"/>
      <c r="DN480" s="1848"/>
      <c r="DO480" s="1848"/>
      <c r="DP480" s="1848"/>
      <c r="DQ480" s="1848"/>
      <c r="DR480" s="1848"/>
      <c r="DS480" s="1855"/>
      <c r="DT480" s="1848"/>
      <c r="DU480" s="1848"/>
      <c r="DV480" s="1848"/>
      <c r="DW480" s="1850"/>
      <c r="DX480" s="1848"/>
      <c r="DY480" s="1848"/>
      <c r="DZ480" s="1830"/>
      <c r="EA480"/>
      <c r="EB480"/>
      <c r="EC480"/>
      <c r="ED480"/>
      <c r="EE480"/>
      <c r="EF480"/>
    </row>
    <row r="481" spans="1:136" s="1785" customFormat="1" ht="11.25" hidden="1" customHeight="1" outlineLevel="1">
      <c r="A481" s="1830"/>
      <c r="B481" s="1943"/>
      <c r="C481" s="1859"/>
      <c r="D481" s="1944"/>
      <c r="E481" s="1840" t="s">
        <v>805</v>
      </c>
      <c r="F481" s="1958"/>
      <c r="G481" s="1959"/>
      <c r="H481" s="1959"/>
      <c r="I481" s="1960"/>
      <c r="J481" s="1959"/>
      <c r="K481" s="1959"/>
      <c r="L481" s="1959"/>
      <c r="M481" s="1960"/>
      <c r="N481" s="1959"/>
      <c r="O481" s="1959"/>
      <c r="P481" s="1959"/>
      <c r="Q481" s="1960"/>
      <c r="R481" s="1959"/>
      <c r="S481" s="1959"/>
      <c r="T481" s="1959"/>
      <c r="U481" s="1960"/>
      <c r="V481" s="1959"/>
      <c r="W481" s="1959"/>
      <c r="X481" s="1959"/>
      <c r="Y481" s="1960"/>
      <c r="Z481" s="1959"/>
      <c r="AA481" s="1959"/>
      <c r="AB481" s="1959"/>
      <c r="AC481" s="1960"/>
      <c r="AD481" s="1831">
        <v>2461</v>
      </c>
      <c r="AE481" s="1831">
        <v>2714</v>
      </c>
      <c r="AF481" s="1831">
        <v>2579</v>
      </c>
      <c r="AG481" s="1831">
        <v>2692</v>
      </c>
      <c r="AH481" s="1843">
        <v>3707</v>
      </c>
      <c r="AI481" s="1831">
        <v>4077</v>
      </c>
      <c r="AJ481" s="1831">
        <v>3109</v>
      </c>
      <c r="AK481" s="1844">
        <v>4097</v>
      </c>
      <c r="AL481" s="1831">
        <v>3913</v>
      </c>
      <c r="AM481" s="1831">
        <v>4128</v>
      </c>
      <c r="AN481" s="1831">
        <v>3487</v>
      </c>
      <c r="AO481" s="1844">
        <v>3666</v>
      </c>
      <c r="AP481" s="1831">
        <v>3064</v>
      </c>
      <c r="AQ481" s="1831">
        <v>4083</v>
      </c>
      <c r="AR481" s="1831">
        <v>4643</v>
      </c>
      <c r="AS481" s="1831">
        <v>5306</v>
      </c>
      <c r="AT481" s="1843">
        <v>5239</v>
      </c>
      <c r="AU481" s="1959">
        <v>4709</v>
      </c>
      <c r="AV481" s="1959">
        <v>4765</v>
      </c>
      <c r="AW481" s="1960">
        <v>6459</v>
      </c>
      <c r="AX481" s="1959">
        <v>7188</v>
      </c>
      <c r="AY481" s="1959">
        <v>2352</v>
      </c>
      <c r="AZ481" s="1959">
        <v>3643</v>
      </c>
      <c r="BA481" s="1960">
        <v>4155</v>
      </c>
      <c r="BB481" s="1958">
        <v>8019</v>
      </c>
      <c r="BC481" s="1959">
        <v>6452</v>
      </c>
      <c r="BD481" s="1959">
        <v>6517</v>
      </c>
      <c r="BE481" s="1960">
        <v>6544</v>
      </c>
      <c r="BF481" s="1958">
        <v>8474</v>
      </c>
      <c r="BG481" s="2009">
        <v>8794</v>
      </c>
      <c r="BH481" s="1959">
        <v>8573</v>
      </c>
      <c r="BI481" s="1960">
        <v>10906</v>
      </c>
      <c r="BJ481" s="1958">
        <v>10485</v>
      </c>
      <c r="BK481" s="1959">
        <v>9295</v>
      </c>
      <c r="BL481" s="1959">
        <v>8610</v>
      </c>
      <c r="BM481" s="1960">
        <v>9056</v>
      </c>
      <c r="BN481" s="1958">
        <v>11484</v>
      </c>
      <c r="BO481" s="1959">
        <v>8461</v>
      </c>
      <c r="BP481" s="1959">
        <v>7318</v>
      </c>
      <c r="BQ481" s="1960">
        <v>10038</v>
      </c>
      <c r="BR481" s="1958">
        <v>12295</v>
      </c>
      <c r="BS481" s="1959"/>
      <c r="BT481" s="1959"/>
      <c r="BU481" s="1960"/>
      <c r="BV481" s="1959"/>
      <c r="BW481" s="1959"/>
      <c r="BX481" s="1959"/>
      <c r="BY481" s="1960"/>
      <c r="BZ481" s="1959"/>
      <c r="CA481" s="1959"/>
      <c r="CB481" s="1959"/>
      <c r="CC481" s="1960"/>
      <c r="CD481" s="1845"/>
      <c r="CE481" s="1831"/>
      <c r="CF481" s="1831"/>
      <c r="CG481" s="1831"/>
      <c r="CH481" s="1831"/>
      <c r="CI481" s="1831"/>
      <c r="CJ481" s="1831"/>
      <c r="CK481" s="1822">
        <f>SUM(AD481:AG481)</f>
        <v>10446</v>
      </c>
      <c r="CL481" s="1822">
        <f>SUM(AH481:AK481)</f>
        <v>14990</v>
      </c>
      <c r="CM481" s="1831">
        <f>SUM(AL481:AO481)</f>
        <v>15194</v>
      </c>
      <c r="CN481" s="1831">
        <f>SUM(AP481:AS481)</f>
        <v>17096</v>
      </c>
      <c r="CO481" s="1831">
        <f>SUM(AT481:AW481)</f>
        <v>21172</v>
      </c>
      <c r="CP481" s="1831">
        <f>SUM(AX481:BA481)</f>
        <v>17338</v>
      </c>
      <c r="CQ481" s="1831">
        <f>SUM(BB481:BE481)</f>
        <v>27532</v>
      </c>
      <c r="CR481" s="1831">
        <f>SUM(BF481:BI481)</f>
        <v>36747</v>
      </c>
      <c r="CS481" s="1831">
        <f>SUM(BJ481:BM481)</f>
        <v>37446</v>
      </c>
      <c r="CT481" s="1946">
        <f>SUM(BN481:BQ481)</f>
        <v>37301</v>
      </c>
      <c r="CU481" s="1959">
        <f>SUM(BR481:BU481)</f>
        <v>12295</v>
      </c>
      <c r="CV481" s="1959"/>
      <c r="CW481" s="1959"/>
      <c r="CX481" s="1959"/>
      <c r="CY481" s="1959"/>
      <c r="CZ481" s="1959"/>
      <c r="DA481" s="1959"/>
      <c r="DB481" s="1959"/>
      <c r="DC481" s="1959"/>
      <c r="DD481" s="1845"/>
      <c r="DE481" s="1961"/>
      <c r="DF481" s="1830"/>
      <c r="DG481" s="1783"/>
      <c r="DH481" s="1782"/>
      <c r="DI481" s="1782"/>
      <c r="DJ481" s="1782"/>
      <c r="DK481" s="1782"/>
      <c r="DL481" s="1782"/>
      <c r="DM481" s="1782">
        <f>SUM(AF481:AI481)</f>
        <v>13055</v>
      </c>
      <c r="DN481" s="1782">
        <f>SUM(AJ481:AM481)</f>
        <v>15247</v>
      </c>
      <c r="DO481" s="1782">
        <f>SUM(AN481:AQ481)</f>
        <v>14300</v>
      </c>
      <c r="DP481" s="1782">
        <f>SUM(AR481:AU481)</f>
        <v>19897</v>
      </c>
      <c r="DQ481" s="1782">
        <f>SUM(AV481:AY481)</f>
        <v>20764</v>
      </c>
      <c r="DR481" s="1782">
        <f>SUM(AZ481:BC481)</f>
        <v>22269</v>
      </c>
      <c r="DS481" s="1783">
        <f>SUM(BD481:BG481)</f>
        <v>30329</v>
      </c>
      <c r="DT481" s="1782">
        <f>SUM(BH481:BK481)</f>
        <v>39259</v>
      </c>
      <c r="DU481" s="1782">
        <f>SUM(BL481:BO481)</f>
        <v>37611</v>
      </c>
      <c r="DV481" s="1782">
        <f>SUM(BP481:BS481)</f>
        <v>29651</v>
      </c>
      <c r="DW481" s="1784"/>
      <c r="DX481" s="1782"/>
      <c r="DY481" s="1782"/>
      <c r="DZ481" s="1830"/>
      <c r="EA481"/>
      <c r="EB481"/>
      <c r="EC481"/>
      <c r="ED481"/>
      <c r="EE481"/>
      <c r="EF481"/>
    </row>
    <row r="482" spans="1:136" s="1785" customFormat="1" ht="11.25" hidden="1" customHeight="1" outlineLevel="1">
      <c r="A482" s="1830"/>
      <c r="B482" s="1943"/>
      <c r="C482" s="1859"/>
      <c r="D482" s="1779"/>
      <c r="E482" s="1932" t="s">
        <v>183</v>
      </c>
      <c r="F482" s="1968"/>
      <c r="G482" s="1938"/>
      <c r="H482" s="1938"/>
      <c r="I482" s="1969"/>
      <c r="J482" s="1938"/>
      <c r="K482" s="1938"/>
      <c r="L482" s="1938"/>
      <c r="M482" s="1969"/>
      <c r="N482" s="1938"/>
      <c r="O482" s="1938"/>
      <c r="P482" s="1938"/>
      <c r="Q482" s="1969"/>
      <c r="R482" s="1938"/>
      <c r="S482" s="1938"/>
      <c r="T482" s="1938"/>
      <c r="U482" s="1969"/>
      <c r="V482" s="1938"/>
      <c r="W482" s="1938"/>
      <c r="X482" s="1938"/>
      <c r="Y482" s="1969"/>
      <c r="Z482" s="1938"/>
      <c r="AA482" s="1938"/>
      <c r="AB482" s="1938"/>
      <c r="AC482" s="1969"/>
      <c r="AD482" s="1826"/>
      <c r="AE482" s="1826"/>
      <c r="AF482" s="1826"/>
      <c r="AG482" s="1826"/>
      <c r="AH482" s="1887">
        <f t="shared" ref="AH482:AV482" si="968">AH481/AD481-1</f>
        <v>0.5062982527427875</v>
      </c>
      <c r="AI482" s="1826">
        <f t="shared" si="968"/>
        <v>0.50221075902726597</v>
      </c>
      <c r="AJ482" s="1826">
        <f t="shared" si="968"/>
        <v>0.20550601008142699</v>
      </c>
      <c r="AK482" s="1828">
        <f t="shared" si="968"/>
        <v>0.52191679049034168</v>
      </c>
      <c r="AL482" s="1826">
        <f t="shared" si="968"/>
        <v>5.5570542217426411E-2</v>
      </c>
      <c r="AM482" s="1826">
        <f t="shared" si="968"/>
        <v>1.2509197939661432E-2</v>
      </c>
      <c r="AN482" s="1826">
        <f t="shared" si="968"/>
        <v>0.12158250241235113</v>
      </c>
      <c r="AO482" s="1828">
        <f t="shared" si="968"/>
        <v>-0.10519892604344638</v>
      </c>
      <c r="AP482" s="1826">
        <f t="shared" si="968"/>
        <v>-0.21696907743419369</v>
      </c>
      <c r="AQ482" s="1826">
        <f t="shared" si="968"/>
        <v>-1.0901162790697638E-2</v>
      </c>
      <c r="AR482" s="1826">
        <f t="shared" si="968"/>
        <v>0.33151706337826203</v>
      </c>
      <c r="AS482" s="1826">
        <f t="shared" si="968"/>
        <v>0.44735406437534087</v>
      </c>
      <c r="AT482" s="1887">
        <f t="shared" si="968"/>
        <v>0.70985639686684077</v>
      </c>
      <c r="AU482" s="1826">
        <f t="shared" si="968"/>
        <v>0.15331863825618419</v>
      </c>
      <c r="AV482" s="1826">
        <f t="shared" si="968"/>
        <v>2.6276114581089915E-2</v>
      </c>
      <c r="AW482" s="1852">
        <f t="shared" ref="AW482:BD482" si="969">AW481/AS481-1</f>
        <v>0.21730116848850356</v>
      </c>
      <c r="AX482" s="1851">
        <f t="shared" si="969"/>
        <v>0.3720175606031686</v>
      </c>
      <c r="AY482" s="1852">
        <f t="shared" si="969"/>
        <v>-0.5005308982798895</v>
      </c>
      <c r="AZ482" s="1852">
        <f t="shared" si="969"/>
        <v>-0.23546694648478494</v>
      </c>
      <c r="BA482" s="1825">
        <f t="shared" si="969"/>
        <v>-0.35671156525777981</v>
      </c>
      <c r="BB482" s="1851">
        <f t="shared" si="969"/>
        <v>0.11560934891485819</v>
      </c>
      <c r="BC482" s="1852">
        <f t="shared" si="969"/>
        <v>1.7431972789115648</v>
      </c>
      <c r="BD482" s="1852">
        <f t="shared" si="969"/>
        <v>0.78891023881416422</v>
      </c>
      <c r="BE482" s="1825">
        <f t="shared" ref="BE482:BR482" si="970">BE481/BA481-1</f>
        <v>0.57496991576413969</v>
      </c>
      <c r="BF482" s="1851">
        <f t="shared" si="970"/>
        <v>5.6740241925427037E-2</v>
      </c>
      <c r="BG482" s="1854">
        <f t="shared" si="970"/>
        <v>0.36298822070675762</v>
      </c>
      <c r="BH482" s="1852">
        <f t="shared" si="970"/>
        <v>0.31548258401104801</v>
      </c>
      <c r="BI482" s="1825">
        <f t="shared" si="970"/>
        <v>0.66656479217603914</v>
      </c>
      <c r="BJ482" s="1851">
        <f t="shared" si="970"/>
        <v>0.23731413736134055</v>
      </c>
      <c r="BK482" s="1852">
        <f t="shared" si="970"/>
        <v>5.6970661814873758E-2</v>
      </c>
      <c r="BL482" s="1852">
        <f t="shared" si="970"/>
        <v>4.3158754228391771E-3</v>
      </c>
      <c r="BM482" s="1825">
        <f t="shared" si="970"/>
        <v>-0.16963139556207596</v>
      </c>
      <c r="BN482" s="1851">
        <f t="shared" si="970"/>
        <v>9.5278969957081516E-2</v>
      </c>
      <c r="BO482" s="1852">
        <f t="shared" si="970"/>
        <v>-8.9725658956428145E-2</v>
      </c>
      <c r="BP482" s="1852">
        <f t="shared" si="970"/>
        <v>-0.15005807200929155</v>
      </c>
      <c r="BQ482" s="1825">
        <f t="shared" si="970"/>
        <v>0.10843639575971742</v>
      </c>
      <c r="BR482" s="1851">
        <f t="shared" si="970"/>
        <v>7.0619993033786077E-2</v>
      </c>
      <c r="BS482" s="1852"/>
      <c r="BT482" s="1852"/>
      <c r="BU482" s="1825"/>
      <c r="BV482" s="1852"/>
      <c r="BW482" s="1852"/>
      <c r="BX482" s="1852"/>
      <c r="BY482" s="1825"/>
      <c r="BZ482" s="1852"/>
      <c r="CA482" s="1852"/>
      <c r="CB482" s="1852"/>
      <c r="CC482" s="1825"/>
      <c r="CD482" s="1837"/>
      <c r="CE482" s="1934"/>
      <c r="CF482" s="1934"/>
      <c r="CG482" s="1934"/>
      <c r="CH482" s="1934"/>
      <c r="CI482" s="1934"/>
      <c r="CJ482" s="1934"/>
      <c r="CK482" s="1852"/>
      <c r="CL482" s="1852">
        <f t="shared" ref="CL482:CU482" si="971">CL481/CK481-1</f>
        <v>0.43499904269576861</v>
      </c>
      <c r="CM482" s="1852">
        <f t="shared" si="971"/>
        <v>1.3609072715143444E-2</v>
      </c>
      <c r="CN482" s="1852">
        <f t="shared" si="971"/>
        <v>0.1251809924970384</v>
      </c>
      <c r="CO482" s="1852">
        <f t="shared" si="971"/>
        <v>0.23841834347215718</v>
      </c>
      <c r="CP482" s="1852">
        <f t="shared" si="971"/>
        <v>-0.18108822973738903</v>
      </c>
      <c r="CQ482" s="1852">
        <f t="shared" si="971"/>
        <v>0.58795708847617956</v>
      </c>
      <c r="CR482" s="1852">
        <f t="shared" si="971"/>
        <v>0.33470143832631116</v>
      </c>
      <c r="CS482" s="1852">
        <f t="shared" si="971"/>
        <v>1.9021960976406183E-2</v>
      </c>
      <c r="CT482" s="1852">
        <f t="shared" si="971"/>
        <v>-3.8722426961491641E-3</v>
      </c>
      <c r="CU482" s="1852">
        <f t="shared" si="971"/>
        <v>-0.67038417200611244</v>
      </c>
      <c r="CV482" s="1852"/>
      <c r="CW482" s="1852"/>
      <c r="CX482" s="1991"/>
      <c r="CY482" s="1991"/>
      <c r="CZ482" s="1991"/>
      <c r="DA482" s="1991"/>
      <c r="DB482" s="1991"/>
      <c r="DC482" s="1991"/>
      <c r="DD482" s="1837"/>
      <c r="DE482" s="1839"/>
      <c r="DF482" s="1829"/>
      <c r="DG482" s="1804"/>
      <c r="DH482" s="1803"/>
      <c r="DI482" s="1803"/>
      <c r="DJ482" s="1803"/>
      <c r="DK482" s="1803"/>
      <c r="DL482" s="1803"/>
      <c r="DM482" s="1852"/>
      <c r="DN482" s="1852">
        <f t="shared" ref="DN482:DS482" si="972">DN481/DM481-1</f>
        <v>0.16790501723477602</v>
      </c>
      <c r="DO482" s="1852">
        <f t="shared" si="972"/>
        <v>-6.2110579130320698E-2</v>
      </c>
      <c r="DP482" s="1852">
        <f t="shared" si="972"/>
        <v>0.3913986013986015</v>
      </c>
      <c r="DQ482" s="1852">
        <f t="shared" si="972"/>
        <v>4.3574408202241566E-2</v>
      </c>
      <c r="DR482" s="1852">
        <f t="shared" si="972"/>
        <v>7.2481217491812799E-2</v>
      </c>
      <c r="DS482" s="1851">
        <f t="shared" si="972"/>
        <v>0.36193812025685923</v>
      </c>
      <c r="DT482" s="1852">
        <f>DT481/DS481-1</f>
        <v>0.29443766691944995</v>
      </c>
      <c r="DU482" s="1852">
        <f>DU481/DT481-1</f>
        <v>-4.197763570136781E-2</v>
      </c>
      <c r="DV482" s="1852">
        <f>DV481/DU481-1</f>
        <v>-0.21164021164021163</v>
      </c>
      <c r="DW482" s="1825"/>
      <c r="DX482" s="1852"/>
      <c r="DY482" s="1852"/>
      <c r="DZ482" s="1830"/>
      <c r="EA482"/>
      <c r="EB482"/>
      <c r="EC482"/>
      <c r="ED482"/>
      <c r="EE482"/>
      <c r="EF482"/>
    </row>
    <row r="483" spans="1:136" s="1785" customFormat="1" ht="11.25" hidden="1" customHeight="1" outlineLevel="1">
      <c r="A483" s="1830"/>
      <c r="B483" s="1943"/>
      <c r="C483" s="1859"/>
      <c r="D483" s="1779"/>
      <c r="E483" s="1932" t="s">
        <v>184</v>
      </c>
      <c r="F483" s="1968"/>
      <c r="G483" s="1938"/>
      <c r="H483" s="1938"/>
      <c r="I483" s="1969"/>
      <c r="J483" s="1938"/>
      <c r="K483" s="1938"/>
      <c r="L483" s="1938"/>
      <c r="M483" s="1969"/>
      <c r="N483" s="1938"/>
      <c r="O483" s="1938"/>
      <c r="P483" s="1938"/>
      <c r="Q483" s="1969"/>
      <c r="R483" s="1938"/>
      <c r="S483" s="1938"/>
      <c r="T483" s="1938"/>
      <c r="U483" s="1969"/>
      <c r="V483" s="1938"/>
      <c r="W483" s="1938"/>
      <c r="X483" s="1938"/>
      <c r="Y483" s="1969"/>
      <c r="Z483" s="1938"/>
      <c r="AA483" s="1938"/>
      <c r="AB483" s="1938"/>
      <c r="AC483" s="1969"/>
      <c r="AD483" s="1826"/>
      <c r="AE483" s="1826">
        <f t="shared" ref="AE483:AS483" si="973">AE481/AD481-1</f>
        <v>0.10280373831775691</v>
      </c>
      <c r="AF483" s="1826">
        <f t="shared" si="973"/>
        <v>-4.9742078113485633E-2</v>
      </c>
      <c r="AG483" s="1826">
        <f t="shared" si="973"/>
        <v>4.3815432338115468E-2</v>
      </c>
      <c r="AH483" s="1887">
        <f t="shared" si="973"/>
        <v>0.37704309063893016</v>
      </c>
      <c r="AI483" s="1826">
        <f t="shared" si="973"/>
        <v>9.9811168060426114E-2</v>
      </c>
      <c r="AJ483" s="1826">
        <f t="shared" si="973"/>
        <v>-0.2374294824625951</v>
      </c>
      <c r="AK483" s="1828">
        <f t="shared" si="973"/>
        <v>0.3177870697973626</v>
      </c>
      <c r="AL483" s="1826">
        <f t="shared" si="973"/>
        <v>-4.4910910422260142E-2</v>
      </c>
      <c r="AM483" s="1826">
        <f t="shared" si="973"/>
        <v>5.4945054945054972E-2</v>
      </c>
      <c r="AN483" s="1826">
        <f t="shared" si="973"/>
        <v>-0.15528100775193798</v>
      </c>
      <c r="AO483" s="1828">
        <f t="shared" si="973"/>
        <v>5.1333524519644458E-2</v>
      </c>
      <c r="AP483" s="1826">
        <f t="shared" si="973"/>
        <v>-0.16421167484997268</v>
      </c>
      <c r="AQ483" s="1826">
        <f t="shared" si="973"/>
        <v>0.33257180156657973</v>
      </c>
      <c r="AR483" s="1826">
        <f t="shared" si="973"/>
        <v>0.13715405339211362</v>
      </c>
      <c r="AS483" s="1826">
        <f t="shared" si="973"/>
        <v>0.1427956062890372</v>
      </c>
      <c r="AT483" s="1851">
        <f t="shared" ref="AT483:BR483" si="974">AT481/AS481-1</f>
        <v>-1.2627214474180137E-2</v>
      </c>
      <c r="AU483" s="1852">
        <f t="shared" si="974"/>
        <v>-0.10116434434052302</v>
      </c>
      <c r="AV483" s="1852">
        <f t="shared" si="974"/>
        <v>1.1892121469526451E-2</v>
      </c>
      <c r="AW483" s="1852">
        <f t="shared" si="974"/>
        <v>0.35550891920251826</v>
      </c>
      <c r="AX483" s="1851">
        <f t="shared" si="974"/>
        <v>0.11286576869484444</v>
      </c>
      <c r="AY483" s="1852">
        <f t="shared" si="974"/>
        <v>-0.67278797996661099</v>
      </c>
      <c r="AZ483" s="1852">
        <f t="shared" si="974"/>
        <v>0.54889455782312924</v>
      </c>
      <c r="BA483" s="1852">
        <f t="shared" si="974"/>
        <v>0.14054350809772176</v>
      </c>
      <c r="BB483" s="1851">
        <f t="shared" si="974"/>
        <v>0.9299638989169674</v>
      </c>
      <c r="BC483" s="1852">
        <f t="shared" si="974"/>
        <v>-0.19541089911460285</v>
      </c>
      <c r="BD483" s="1852">
        <f t="shared" si="974"/>
        <v>1.0074395536267877E-2</v>
      </c>
      <c r="BE483" s="1852">
        <f>BE481/BD481-1</f>
        <v>4.1430105876936185E-3</v>
      </c>
      <c r="BF483" s="1851">
        <f t="shared" si="974"/>
        <v>0.29492665036674826</v>
      </c>
      <c r="BG483" s="1854">
        <f t="shared" si="974"/>
        <v>3.7762567854614071E-2</v>
      </c>
      <c r="BH483" s="1852">
        <f t="shared" si="974"/>
        <v>-2.5130770980213768E-2</v>
      </c>
      <c r="BI483" s="1852">
        <f>BI481/BH481-1</f>
        <v>0.27213344220226299</v>
      </c>
      <c r="BJ483" s="1851">
        <f t="shared" si="974"/>
        <v>-3.8602604071153457E-2</v>
      </c>
      <c r="BK483" s="1854">
        <f t="shared" si="974"/>
        <v>-0.11349546971864566</v>
      </c>
      <c r="BL483" s="1854">
        <f t="shared" si="974"/>
        <v>-7.3695535233996745E-2</v>
      </c>
      <c r="BM483" s="1825">
        <f>BM481/BL481-1</f>
        <v>5.1800232288037096E-2</v>
      </c>
      <c r="BN483" s="1851">
        <f t="shared" si="974"/>
        <v>0.26810954063604231</v>
      </c>
      <c r="BO483" s="1854">
        <f t="shared" si="974"/>
        <v>-0.26323580633925459</v>
      </c>
      <c r="BP483" s="1854">
        <f t="shared" si="974"/>
        <v>-0.13509041484458106</v>
      </c>
      <c r="BQ483" s="1825">
        <f>BQ481/BP481-1</f>
        <v>0.37168625307461056</v>
      </c>
      <c r="BR483" s="1851">
        <f t="shared" si="974"/>
        <v>0.224845586770273</v>
      </c>
      <c r="BS483" s="1852"/>
      <c r="BT483" s="1852"/>
      <c r="BU483" s="1825"/>
      <c r="BV483" s="1852"/>
      <c r="BW483" s="1852"/>
      <c r="BX483" s="1852"/>
      <c r="BY483" s="1825"/>
      <c r="BZ483" s="1852"/>
      <c r="CA483" s="1852"/>
      <c r="CB483" s="1852"/>
      <c r="CC483" s="1825"/>
      <c r="CD483" s="1837"/>
      <c r="CE483" s="1934"/>
      <c r="CF483" s="1934"/>
      <c r="CG483" s="1934"/>
      <c r="CH483" s="1934"/>
      <c r="CI483" s="1934"/>
      <c r="CJ483" s="1934"/>
      <c r="CK483" s="1937"/>
      <c r="CL483" s="1937"/>
      <c r="CM483" s="1934"/>
      <c r="CN483" s="1934"/>
      <c r="CO483" s="1938"/>
      <c r="CP483" s="1938"/>
      <c r="CQ483" s="1938"/>
      <c r="CR483" s="1938"/>
      <c r="CS483" s="1852"/>
      <c r="CT483" s="1852"/>
      <c r="CU483" s="1852"/>
      <c r="CV483" s="1852"/>
      <c r="CW483" s="1852"/>
      <c r="CX483" s="1852"/>
      <c r="CY483" s="1852"/>
      <c r="CZ483" s="1852"/>
      <c r="DA483" s="1852"/>
      <c r="DB483" s="1852"/>
      <c r="DC483" s="1852"/>
      <c r="DD483" s="1837"/>
      <c r="DE483" s="1839"/>
      <c r="DF483" s="1829"/>
      <c r="DG483" s="1804"/>
      <c r="DH483" s="1803"/>
      <c r="DI483" s="1803"/>
      <c r="DJ483" s="1803"/>
      <c r="DK483" s="1803"/>
      <c r="DL483" s="1803"/>
      <c r="DM483" s="1848"/>
      <c r="DN483" s="1848"/>
      <c r="DO483" s="1848"/>
      <c r="DP483" s="1848"/>
      <c r="DQ483" s="1848"/>
      <c r="DR483" s="1848"/>
      <c r="DS483" s="1855"/>
      <c r="DT483" s="1848"/>
      <c r="DU483" s="1848"/>
      <c r="DV483" s="1848"/>
      <c r="DW483" s="1850"/>
      <c r="DX483" s="1848"/>
      <c r="DY483" s="1848"/>
      <c r="DZ483" s="1830"/>
      <c r="EA483"/>
      <c r="EB483"/>
      <c r="EC483"/>
      <c r="ED483"/>
      <c r="EE483"/>
      <c r="EF483"/>
    </row>
    <row r="484" spans="1:136" s="1785" customFormat="1" ht="11.25" hidden="1" customHeight="1" outlineLevel="1">
      <c r="A484" s="1830"/>
      <c r="B484" s="1943"/>
      <c r="C484" s="1859"/>
      <c r="D484" s="1779"/>
      <c r="E484" s="1840" t="s">
        <v>806</v>
      </c>
      <c r="F484" s="1968"/>
      <c r="G484" s="1938"/>
      <c r="H484" s="1938"/>
      <c r="I484" s="1969"/>
      <c r="J484" s="1938"/>
      <c r="K484" s="1938"/>
      <c r="L484" s="1938"/>
      <c r="M484" s="1969"/>
      <c r="N484" s="1938"/>
      <c r="O484" s="1938"/>
      <c r="P484" s="1938"/>
      <c r="Q484" s="1969"/>
      <c r="R484" s="1938"/>
      <c r="S484" s="1938"/>
      <c r="T484" s="1938"/>
      <c r="U484" s="1969"/>
      <c r="V484" s="1938"/>
      <c r="W484" s="1938"/>
      <c r="X484" s="1938"/>
      <c r="Y484" s="1969"/>
      <c r="Z484" s="1938"/>
      <c r="AA484" s="1938"/>
      <c r="AB484" s="1938"/>
      <c r="AC484" s="1969"/>
      <c r="AD484" s="1826"/>
      <c r="AE484" s="1826"/>
      <c r="AF484" s="1826"/>
      <c r="AG484" s="1826"/>
      <c r="AH484" s="1887"/>
      <c r="AI484" s="1826"/>
      <c r="AJ484" s="1826"/>
      <c r="AK484" s="1828"/>
      <c r="AL484" s="1826"/>
      <c r="AM484" s="1826"/>
      <c r="AN484" s="1826"/>
      <c r="AO484" s="1828"/>
      <c r="AP484" s="2011">
        <v>40</v>
      </c>
      <c r="AQ484" s="2010">
        <v>41</v>
      </c>
      <c r="AR484" s="2010">
        <v>41.5</v>
      </c>
      <c r="AS484" s="2010">
        <v>38.5</v>
      </c>
      <c r="AT484" s="2011">
        <v>37.5</v>
      </c>
      <c r="AU484" s="2010">
        <v>37.5</v>
      </c>
      <c r="AV484" s="1972">
        <f t="shared" ref="AV484:BI484" si="975">AU484*(1+AV486)</f>
        <v>35.8125</v>
      </c>
      <c r="AW484" s="1972">
        <f t="shared" si="975"/>
        <v>35.991562499999993</v>
      </c>
      <c r="AX484" s="1971">
        <f t="shared" si="975"/>
        <v>37.251267187499991</v>
      </c>
      <c r="AY484" s="1972">
        <f t="shared" si="975"/>
        <v>54.275096292187492</v>
      </c>
      <c r="AZ484" s="1972">
        <f t="shared" si="975"/>
        <v>52.646843403421869</v>
      </c>
      <c r="BA484" s="1973">
        <f t="shared" si="975"/>
        <v>46.855690629045462</v>
      </c>
      <c r="BB484" s="1971">
        <f t="shared" si="975"/>
        <v>45.450019910174099</v>
      </c>
      <c r="BC484" s="1972">
        <f t="shared" si="975"/>
        <v>43.291143964440828</v>
      </c>
      <c r="BD484" s="1972">
        <f t="shared" si="975"/>
        <v>42.31709322524091</v>
      </c>
      <c r="BE484" s="1973">
        <f t="shared" si="975"/>
        <v>41.386117174285609</v>
      </c>
      <c r="BF484" s="1971">
        <f t="shared" si="975"/>
        <v>40.351464244928465</v>
      </c>
      <c r="BG484" s="2012">
        <f t="shared" si="975"/>
        <v>42.772552099624178</v>
      </c>
      <c r="BH484" s="1972">
        <f t="shared" si="975"/>
        <v>41.917101057631697</v>
      </c>
      <c r="BI484" s="1973">
        <f t="shared" si="975"/>
        <v>41.078759036479063</v>
      </c>
      <c r="BJ484" s="1971">
        <f t="shared" ref="BJ484:BR484" si="976">BI484*(1+BJ486)</f>
        <v>41.937560244923823</v>
      </c>
      <c r="BK484" s="1972">
        <f t="shared" si="976"/>
        <v>42.461779747985368</v>
      </c>
      <c r="BL484" s="1972">
        <f t="shared" si="976"/>
        <v>43.022275240658779</v>
      </c>
      <c r="BM484" s="1973">
        <f t="shared" si="976"/>
        <v>41.731606983439015</v>
      </c>
      <c r="BN484" s="1971">
        <f t="shared" si="976"/>
        <v>42.148923053273407</v>
      </c>
      <c r="BO484" s="1972">
        <f t="shared" si="976"/>
        <v>42.696859052965955</v>
      </c>
      <c r="BP484" s="1972">
        <f t="shared" si="976"/>
        <v>43.977764824554932</v>
      </c>
      <c r="BQ484" s="1973">
        <f t="shared" si="976"/>
        <v>46.616430714028233</v>
      </c>
      <c r="BR484" s="1971">
        <f t="shared" si="976"/>
        <v>46.616430714028233</v>
      </c>
      <c r="BS484" s="1972"/>
      <c r="BT484" s="1972"/>
      <c r="BU484" s="1973"/>
      <c r="BV484" s="1972"/>
      <c r="BW484" s="1972"/>
      <c r="BX484" s="1972"/>
      <c r="BY484" s="1973"/>
      <c r="BZ484" s="1972"/>
      <c r="CA484" s="1972"/>
      <c r="CB484" s="1972"/>
      <c r="CC484" s="1973"/>
      <c r="CD484" s="1837"/>
      <c r="CE484" s="1934"/>
      <c r="CF484" s="1934"/>
      <c r="CG484" s="1934"/>
      <c r="CH484" s="1934"/>
      <c r="CI484" s="1934"/>
      <c r="CJ484" s="1934"/>
      <c r="CK484" s="1937"/>
      <c r="CL484" s="1822"/>
      <c r="CM484" s="1831"/>
      <c r="CN484" s="1972">
        <f t="shared" ref="CN484:CS484" si="977">CN478*1000/CN481</f>
        <v>40.180656293869909</v>
      </c>
      <c r="CO484" s="1972">
        <f t="shared" si="977"/>
        <v>36.660025726785378</v>
      </c>
      <c r="CP484" s="1972">
        <f t="shared" si="977"/>
        <v>45.097184225707963</v>
      </c>
      <c r="CQ484" s="1972">
        <f t="shared" si="977"/>
        <v>43.236576269638178</v>
      </c>
      <c r="CR484" s="1972">
        <f t="shared" si="977"/>
        <v>41.511970626024876</v>
      </c>
      <c r="CS484" s="1972">
        <f t="shared" si="977"/>
        <v>42.267285813962665</v>
      </c>
      <c r="CT484" s="1972">
        <f>CT478*1000/CT481</f>
        <v>43.834250322630631</v>
      </c>
      <c r="CU484" s="1972">
        <f>CU478*1000/CU481</f>
        <v>46.616430714028233</v>
      </c>
      <c r="CV484" s="1972"/>
      <c r="CW484" s="1972"/>
      <c r="CX484" s="1972"/>
      <c r="CY484" s="1972"/>
      <c r="CZ484" s="1972"/>
      <c r="DA484" s="1972"/>
      <c r="DB484" s="1972"/>
      <c r="DC484" s="1972"/>
      <c r="DD484" s="1837"/>
      <c r="DE484" s="1839"/>
      <c r="DF484" s="1829"/>
      <c r="DG484" s="1804"/>
      <c r="DH484" s="1803"/>
      <c r="DI484" s="1803"/>
      <c r="DJ484" s="1803"/>
      <c r="DK484" s="1803"/>
      <c r="DL484" s="1803"/>
      <c r="DM484" s="1963"/>
      <c r="DN484" s="1963"/>
      <c r="DO484" s="1963"/>
      <c r="DP484" s="1963">
        <f t="shared" ref="DP484:DU484" si="978">DP478/DP481*1000</f>
        <v>38.700080414132785</v>
      </c>
      <c r="DQ484" s="1963">
        <f t="shared" si="978"/>
        <v>38.457580413719654</v>
      </c>
      <c r="DR484" s="1963">
        <f t="shared" si="978"/>
        <v>46.264134698487041</v>
      </c>
      <c r="DS484" s="1964">
        <f t="shared" si="978"/>
        <v>41.699079379901704</v>
      </c>
      <c r="DT484" s="1963">
        <f t="shared" si="978"/>
        <v>41.818635608254603</v>
      </c>
      <c r="DU484" s="1963">
        <f t="shared" si="978"/>
        <v>42.371635411316703</v>
      </c>
      <c r="DV484" s="1963">
        <f>DV478/DV481*1000</f>
        <v>45.9651961189331</v>
      </c>
      <c r="DW484" s="1965"/>
      <c r="DX484" s="1963"/>
      <c r="DY484" s="1963"/>
      <c r="DZ484" s="1830"/>
      <c r="EA484"/>
      <c r="EB484"/>
      <c r="EC484"/>
      <c r="ED484"/>
      <c r="EE484"/>
      <c r="EF484"/>
    </row>
    <row r="485" spans="1:136" s="1785" customFormat="1" ht="11.25" hidden="1" customHeight="1" outlineLevel="1">
      <c r="A485" s="1830"/>
      <c r="B485" s="1943"/>
      <c r="C485" s="1859"/>
      <c r="D485" s="1779"/>
      <c r="E485" s="1932" t="s">
        <v>183</v>
      </c>
      <c r="F485" s="1968"/>
      <c r="G485" s="1938"/>
      <c r="H485" s="1938"/>
      <c r="I485" s="1969"/>
      <c r="J485" s="1938"/>
      <c r="K485" s="1938"/>
      <c r="L485" s="1938"/>
      <c r="M485" s="1969"/>
      <c r="N485" s="1938"/>
      <c r="O485" s="1938"/>
      <c r="P485" s="1938"/>
      <c r="Q485" s="1969"/>
      <c r="R485" s="1938"/>
      <c r="S485" s="1938"/>
      <c r="T485" s="1938"/>
      <c r="U485" s="1969"/>
      <c r="V485" s="1938"/>
      <c r="W485" s="1938"/>
      <c r="X485" s="1938"/>
      <c r="Y485" s="1969"/>
      <c r="Z485" s="1938"/>
      <c r="AA485" s="1938"/>
      <c r="AB485" s="1938"/>
      <c r="AC485" s="1969"/>
      <c r="AD485" s="1826"/>
      <c r="AE485" s="1826"/>
      <c r="AF485" s="1826"/>
      <c r="AG485" s="1826"/>
      <c r="AH485" s="1887"/>
      <c r="AI485" s="1826"/>
      <c r="AJ485" s="1826"/>
      <c r="AK485" s="1828"/>
      <c r="AL485" s="1826"/>
      <c r="AM485" s="1826"/>
      <c r="AN485" s="1826"/>
      <c r="AO485" s="1828"/>
      <c r="AP485" s="1873"/>
      <c r="AQ485" s="1829"/>
      <c r="AR485" s="1829"/>
      <c r="AS485" s="1829"/>
      <c r="AT485" s="1851">
        <f>AT484/AP484-1</f>
        <v>-6.25E-2</v>
      </c>
      <c r="AU485" s="1852">
        <f>AU484/AQ484-1</f>
        <v>-8.536585365853655E-2</v>
      </c>
      <c r="AV485" s="1852">
        <f t="shared" ref="AV485:BD485" si="979">AV484/AR484-1</f>
        <v>-0.13704819277108438</v>
      </c>
      <c r="AW485" s="1852">
        <f t="shared" si="979"/>
        <v>-6.515422077922095E-2</v>
      </c>
      <c r="AX485" s="1851">
        <f t="shared" si="979"/>
        <v>-6.6328750000002046E-3</v>
      </c>
      <c r="AY485" s="1852">
        <f t="shared" si="979"/>
        <v>0.44733590112499977</v>
      </c>
      <c r="AZ485" s="1852">
        <f t="shared" si="979"/>
        <v>0.47006892574999992</v>
      </c>
      <c r="BA485" s="1825">
        <f t="shared" si="979"/>
        <v>0.30185208350000003</v>
      </c>
      <c r="BB485" s="1851">
        <f t="shared" si="979"/>
        <v>0.22009325700000004</v>
      </c>
      <c r="BC485" s="1852">
        <f t="shared" si="979"/>
        <v>-0.20237554749999997</v>
      </c>
      <c r="BD485" s="1852">
        <f t="shared" si="979"/>
        <v>-0.19620834812499999</v>
      </c>
      <c r="BE485" s="1825">
        <f t="shared" ref="BE485:BR485" si="980">BE484/BA484-1</f>
        <v>-0.11673231962499997</v>
      </c>
      <c r="BF485" s="1851">
        <f t="shared" si="980"/>
        <v>-0.11217939343750016</v>
      </c>
      <c r="BG485" s="1854">
        <f t="shared" si="980"/>
        <v>-1.1979167499999943E-2</v>
      </c>
      <c r="BH485" s="1852">
        <f t="shared" si="980"/>
        <v>-9.4522599999998791E-3</v>
      </c>
      <c r="BI485" s="1825">
        <f t="shared" si="980"/>
        <v>-7.4265999999999499E-3</v>
      </c>
      <c r="BJ485" s="1851">
        <f t="shared" si="980"/>
        <v>3.9307024656353162E-2</v>
      </c>
      <c r="BK485" s="1852">
        <f t="shared" si="980"/>
        <v>-7.2656957881533923E-3</v>
      </c>
      <c r="BL485" s="1852">
        <f t="shared" si="980"/>
        <v>2.6365711252492874E-2</v>
      </c>
      <c r="BM485" s="1825">
        <f t="shared" si="980"/>
        <v>1.5892591749916418E-2</v>
      </c>
      <c r="BN485" s="1851">
        <f t="shared" si="980"/>
        <v>5.0399405000001174E-3</v>
      </c>
      <c r="BO485" s="1852">
        <f t="shared" si="980"/>
        <v>5.5362565199998937E-3</v>
      </c>
      <c r="BP485" s="1852">
        <f t="shared" si="980"/>
        <v>2.2209182999999744E-2</v>
      </c>
      <c r="BQ485" s="1825">
        <f t="shared" si="980"/>
        <v>0.11705333399999995</v>
      </c>
      <c r="BR485" s="1851">
        <f t="shared" si="980"/>
        <v>0.10599340000000002</v>
      </c>
      <c r="BS485" s="1852"/>
      <c r="BT485" s="1852"/>
      <c r="BU485" s="1825"/>
      <c r="BV485" s="1852"/>
      <c r="BW485" s="1852"/>
      <c r="BX485" s="1852"/>
      <c r="BY485" s="1825"/>
      <c r="BZ485" s="1852"/>
      <c r="CA485" s="1852"/>
      <c r="CB485" s="1852"/>
      <c r="CC485" s="1825"/>
      <c r="CD485" s="1837"/>
      <c r="CE485" s="1934"/>
      <c r="CF485" s="1934"/>
      <c r="CG485" s="1934"/>
      <c r="CH485" s="1934"/>
      <c r="CI485" s="1934"/>
      <c r="CJ485" s="1934"/>
      <c r="CK485" s="1937"/>
      <c r="CL485" s="1937"/>
      <c r="CM485" s="1934"/>
      <c r="CN485" s="1852"/>
      <c r="CO485" s="1852">
        <f t="shared" ref="CO485:CU485" si="981">CO484/CN484-1</f>
        <v>-8.7620036400989587E-2</v>
      </c>
      <c r="CP485" s="1852">
        <f t="shared" si="981"/>
        <v>0.23014600594669088</v>
      </c>
      <c r="CQ485" s="1852">
        <f t="shared" si="981"/>
        <v>-4.1257741209685839E-2</v>
      </c>
      <c r="CR485" s="1852">
        <f t="shared" si="981"/>
        <v>-3.9887655138512002E-2</v>
      </c>
      <c r="CS485" s="1852">
        <f t="shared" si="981"/>
        <v>1.8195117614201228E-2</v>
      </c>
      <c r="CT485" s="1852">
        <f t="shared" si="981"/>
        <v>3.7072749728120247E-2</v>
      </c>
      <c r="CU485" s="1852">
        <f t="shared" si="981"/>
        <v>6.3470468205115482E-2</v>
      </c>
      <c r="CV485" s="1852"/>
      <c r="CW485" s="1852"/>
      <c r="CX485" s="1991"/>
      <c r="CY485" s="1991"/>
      <c r="CZ485" s="1991"/>
      <c r="DA485" s="1991"/>
      <c r="DB485" s="1991"/>
      <c r="DC485" s="1991"/>
      <c r="DD485" s="1837"/>
      <c r="DE485" s="1839"/>
      <c r="DF485" s="1829"/>
      <c r="DG485" s="1804"/>
      <c r="DH485" s="1803"/>
      <c r="DI485" s="1803"/>
      <c r="DJ485" s="1803"/>
      <c r="DK485" s="1803"/>
      <c r="DL485" s="1803"/>
      <c r="DM485" s="1852"/>
      <c r="DN485" s="1852"/>
      <c r="DO485" s="1852"/>
      <c r="DP485" s="1852"/>
      <c r="DQ485" s="1852">
        <f t="shared" ref="DQ485:DV485" si="982">DQ484/DP484-1</f>
        <v>-6.2661368611671708E-3</v>
      </c>
      <c r="DR485" s="1852">
        <f t="shared" si="982"/>
        <v>0.20299130108514096</v>
      </c>
      <c r="DS485" s="1851">
        <f t="shared" si="982"/>
        <v>-9.8673742594274083E-2</v>
      </c>
      <c r="DT485" s="1852">
        <f t="shared" si="982"/>
        <v>2.8671191338225377E-3</v>
      </c>
      <c r="DU485" s="1852">
        <f t="shared" si="982"/>
        <v>1.3223764836386653E-2</v>
      </c>
      <c r="DV485" s="1852">
        <f t="shared" si="982"/>
        <v>8.4810526493311222E-2</v>
      </c>
      <c r="DW485" s="1825"/>
      <c r="DX485" s="1852"/>
      <c r="DY485" s="1852"/>
      <c r="DZ485" s="1830"/>
      <c r="EA485"/>
      <c r="EB485"/>
      <c r="EC485"/>
      <c r="ED485"/>
      <c r="EE485"/>
      <c r="EF485"/>
    </row>
    <row r="486" spans="1:136" s="1785" customFormat="1" ht="11.25" hidden="1" customHeight="1" outlineLevel="1">
      <c r="A486" s="1830"/>
      <c r="B486" s="1943"/>
      <c r="C486" s="1859"/>
      <c r="D486" s="1779"/>
      <c r="E486" s="1932" t="s">
        <v>184</v>
      </c>
      <c r="F486" s="1968"/>
      <c r="G486" s="1938"/>
      <c r="H486" s="1938"/>
      <c r="I486" s="1969"/>
      <c r="J486" s="1938"/>
      <c r="K486" s="1938"/>
      <c r="L486" s="1938"/>
      <c r="M486" s="1969"/>
      <c r="N486" s="1938"/>
      <c r="O486" s="1938"/>
      <c r="P486" s="1938"/>
      <c r="Q486" s="1969"/>
      <c r="R486" s="1938"/>
      <c r="S486" s="1938"/>
      <c r="T486" s="1938"/>
      <c r="U486" s="1969"/>
      <c r="V486" s="1938"/>
      <c r="W486" s="1938"/>
      <c r="X486" s="1938"/>
      <c r="Y486" s="1969"/>
      <c r="Z486" s="1938"/>
      <c r="AA486" s="1938"/>
      <c r="AB486" s="1938"/>
      <c r="AC486" s="1969"/>
      <c r="AD486" s="1826"/>
      <c r="AE486" s="1826"/>
      <c r="AF486" s="1826"/>
      <c r="AG486" s="1826"/>
      <c r="AH486" s="1887"/>
      <c r="AI486" s="1826"/>
      <c r="AJ486" s="1826"/>
      <c r="AK486" s="1828"/>
      <c r="AL486" s="1826"/>
      <c r="AM486" s="1826"/>
      <c r="AN486" s="1826"/>
      <c r="AO486" s="1828"/>
      <c r="AP486" s="1873"/>
      <c r="AQ486" s="1852">
        <f>AQ484/AP484-1</f>
        <v>2.4999999999999911E-2</v>
      </c>
      <c r="AR486" s="1852">
        <f>AR484/AQ484-1</f>
        <v>1.2195121951219523E-2</v>
      </c>
      <c r="AS486" s="1852">
        <f>AS484/AR484-1</f>
        <v>-7.2289156626506035E-2</v>
      </c>
      <c r="AT486" s="1851">
        <f>AT484/AS484-1</f>
        <v>-2.5974025974025983E-2</v>
      </c>
      <c r="AU486" s="1852">
        <f>AU484/AT484-1</f>
        <v>0</v>
      </c>
      <c r="AV486" s="1852">
        <v>-4.4999999999999998E-2</v>
      </c>
      <c r="AW486" s="1852">
        <v>5.0000000000000001E-3</v>
      </c>
      <c r="AX486" s="1851">
        <v>3.5000000000000003E-2</v>
      </c>
      <c r="AY486" s="1852">
        <v>0.45700000000000002</v>
      </c>
      <c r="AZ486" s="1852">
        <v>-0.03</v>
      </c>
      <c r="BA486" s="1825">
        <v>-0.11</v>
      </c>
      <c r="BB486" s="1851">
        <v>-0.03</v>
      </c>
      <c r="BC486" s="1852">
        <v>-4.7500000000000001E-2</v>
      </c>
      <c r="BD486" s="1852">
        <v>-2.2499999999999999E-2</v>
      </c>
      <c r="BE486" s="1825">
        <v>-2.1999999999999999E-2</v>
      </c>
      <c r="BF486" s="1851">
        <v>-2.5000000000000001E-2</v>
      </c>
      <c r="BG486" s="1854">
        <v>0.06</v>
      </c>
      <c r="BH486" s="1852">
        <v>-0.02</v>
      </c>
      <c r="BI486" s="1825">
        <v>-0.02</v>
      </c>
      <c r="BJ486" s="1851">
        <f>$BJ$424</f>
        <v>2.0906211107354095E-2</v>
      </c>
      <c r="BK486" s="1852">
        <v>1.2500000000000001E-2</v>
      </c>
      <c r="BL486" s="1852">
        <f>$BL$424</f>
        <v>1.32E-2</v>
      </c>
      <c r="BM486" s="1825">
        <v>-0.03</v>
      </c>
      <c r="BN486" s="1851">
        <v>0.01</v>
      </c>
      <c r="BO486" s="1852">
        <v>1.2999999999999999E-2</v>
      </c>
      <c r="BP486" s="1852">
        <v>0.03</v>
      </c>
      <c r="BQ486" s="1825">
        <v>0.06</v>
      </c>
      <c r="BR486" s="1851">
        <v>0</v>
      </c>
      <c r="BS486" s="1852"/>
      <c r="BT486" s="1852"/>
      <c r="BU486" s="1825"/>
      <c r="BV486" s="1852"/>
      <c r="BW486" s="1852"/>
      <c r="BX486" s="1852"/>
      <c r="BY486" s="1825"/>
      <c r="BZ486" s="1852"/>
      <c r="CA486" s="1852"/>
      <c r="CB486" s="1852"/>
      <c r="CC486" s="1825"/>
      <c r="CD486" s="1837"/>
      <c r="CE486" s="1934"/>
      <c r="CF486" s="1934"/>
      <c r="CG486" s="1934"/>
      <c r="CH486" s="1934"/>
      <c r="CI486" s="1934"/>
      <c r="CJ486" s="1934"/>
      <c r="CK486" s="1937"/>
      <c r="CL486" s="1937"/>
      <c r="CM486" s="1934"/>
      <c r="CN486" s="1934"/>
      <c r="CO486" s="1938"/>
      <c r="CP486" s="1938"/>
      <c r="CQ486" s="1938"/>
      <c r="CR486" s="1938"/>
      <c r="CS486" s="1852"/>
      <c r="CT486" s="1852"/>
      <c r="CU486" s="1852"/>
      <c r="CV486" s="1852"/>
      <c r="CW486" s="1852"/>
      <c r="CX486" s="1852"/>
      <c r="CY486" s="1852"/>
      <c r="CZ486" s="1852"/>
      <c r="DA486" s="1852"/>
      <c r="DB486" s="1852"/>
      <c r="DC486" s="1852"/>
      <c r="DD486" s="1837"/>
      <c r="DE486" s="1839"/>
      <c r="DF486" s="1829"/>
      <c r="DG486" s="1804"/>
      <c r="DH486" s="1803"/>
      <c r="DI486" s="1803"/>
      <c r="DJ486" s="1803"/>
      <c r="DK486" s="1803"/>
      <c r="DL486" s="1803"/>
      <c r="DM486" s="1803"/>
      <c r="DN486" s="1803"/>
      <c r="DO486" s="1803"/>
      <c r="DP486" s="1803"/>
      <c r="DQ486" s="1803"/>
      <c r="DR486" s="1803"/>
      <c r="DS486" s="1804"/>
      <c r="DT486" s="1974"/>
      <c r="DU486" s="1974"/>
      <c r="DV486" s="1974"/>
      <c r="DW486" s="1975"/>
      <c r="DX486" s="1974"/>
      <c r="DY486" s="1974"/>
      <c r="DZ486" s="1830"/>
      <c r="EA486"/>
      <c r="EB486"/>
      <c r="EC486"/>
      <c r="ED486"/>
      <c r="EE486"/>
      <c r="EF486"/>
    </row>
    <row r="487" spans="1:136" s="1785" customFormat="1" ht="11.25" hidden="1" customHeight="1" outlineLevel="1">
      <c r="A487" s="1830"/>
      <c r="B487" s="1943"/>
      <c r="C487" s="1859"/>
      <c r="D487" s="1779"/>
      <c r="E487" s="1932"/>
      <c r="F487" s="1968"/>
      <c r="G487" s="1938"/>
      <c r="H487" s="1938"/>
      <c r="I487" s="1969"/>
      <c r="J487" s="1938"/>
      <c r="K487" s="1938"/>
      <c r="L487" s="1938"/>
      <c r="M487" s="1969"/>
      <c r="N487" s="1938"/>
      <c r="O487" s="1938"/>
      <c r="P487" s="1938"/>
      <c r="Q487" s="1969"/>
      <c r="R487" s="1938"/>
      <c r="S487" s="1938"/>
      <c r="T487" s="1938"/>
      <c r="U487" s="1969"/>
      <c r="V487" s="1938"/>
      <c r="W487" s="1938"/>
      <c r="X487" s="1938"/>
      <c r="Y487" s="1969"/>
      <c r="Z487" s="1938"/>
      <c r="AA487" s="1938"/>
      <c r="AB487" s="1938"/>
      <c r="AC487" s="1969"/>
      <c r="AD487" s="1826"/>
      <c r="AE487" s="1826"/>
      <c r="AF487" s="1826"/>
      <c r="AG487" s="1826"/>
      <c r="AH487" s="1887"/>
      <c r="AI487" s="1826"/>
      <c r="AJ487" s="1826"/>
      <c r="AK487" s="1828"/>
      <c r="AL487" s="1826"/>
      <c r="AM487" s="1826"/>
      <c r="AN487" s="1826"/>
      <c r="AO487" s="1828"/>
      <c r="AP487" s="1826"/>
      <c r="AQ487" s="1826"/>
      <c r="AR487" s="1826"/>
      <c r="AS487" s="1826"/>
      <c r="AT487" s="1887"/>
      <c r="AU487" s="1826"/>
      <c r="AV487" s="1826"/>
      <c r="AW487" s="1828"/>
      <c r="AX487" s="1826"/>
      <c r="AY487" s="1826"/>
      <c r="AZ487" s="1934"/>
      <c r="BA487" s="1935"/>
      <c r="BB487" s="1936"/>
      <c r="BC487" s="1934"/>
      <c r="BD487" s="1934"/>
      <c r="BE487" s="1935"/>
      <c r="BF487" s="1936"/>
      <c r="BG487" s="1937"/>
      <c r="BH487" s="1934"/>
      <c r="BI487" s="1935"/>
      <c r="BJ487" s="1936"/>
      <c r="BK487" s="1934"/>
      <c r="BL487" s="1934"/>
      <c r="BM487" s="1935"/>
      <c r="BN487" s="1936"/>
      <c r="BO487" s="1977"/>
      <c r="BP487" s="1977"/>
      <c r="BQ487" s="1978"/>
      <c r="BR487" s="1977"/>
      <c r="BS487" s="1977"/>
      <c r="BT487" s="1977"/>
      <c r="BU487" s="1978"/>
      <c r="BV487" s="1977"/>
      <c r="BW487" s="1977"/>
      <c r="BX487" s="1977"/>
      <c r="BY487" s="1978"/>
      <c r="BZ487" s="1977"/>
      <c r="CA487" s="1977"/>
      <c r="CB487" s="1977"/>
      <c r="CC487" s="1978"/>
      <c r="CD487" s="1837"/>
      <c r="CE487" s="1934"/>
      <c r="CF487" s="1934"/>
      <c r="CG487" s="1934"/>
      <c r="CH487" s="1934"/>
      <c r="CI487" s="1934"/>
      <c r="CJ487" s="1934"/>
      <c r="CK487" s="1937"/>
      <c r="CL487" s="1937"/>
      <c r="CM487" s="1934"/>
      <c r="CN487" s="1934"/>
      <c r="CO487" s="1938"/>
      <c r="CP487" s="1938"/>
      <c r="CQ487" s="1938"/>
      <c r="CR487" s="1938"/>
      <c r="CS487" s="1934"/>
      <c r="CT487" s="1934"/>
      <c r="CU487" s="1934"/>
      <c r="CV487" s="1934"/>
      <c r="CW487" s="1934"/>
      <c r="CX487" s="1934"/>
      <c r="CY487" s="1934"/>
      <c r="CZ487" s="1934"/>
      <c r="DA487" s="1934"/>
      <c r="DB487" s="1934"/>
      <c r="DC487" s="1934"/>
      <c r="DD487" s="1837"/>
      <c r="DE487" s="1839"/>
      <c r="DF487" s="1829"/>
      <c r="DG487" s="1804"/>
      <c r="DH487" s="1803"/>
      <c r="DI487" s="1803"/>
      <c r="DJ487" s="1803"/>
      <c r="DK487" s="1803"/>
      <c r="DL487" s="1803"/>
      <c r="DM487" s="1803"/>
      <c r="DN487" s="1803"/>
      <c r="DO487" s="1803"/>
      <c r="DP487" s="1803"/>
      <c r="DQ487" s="1803"/>
      <c r="DR487" s="1803"/>
      <c r="DS487" s="1804"/>
      <c r="DT487" s="1974"/>
      <c r="DU487" s="1974"/>
      <c r="DV487" s="1974"/>
      <c r="DW487" s="1975"/>
      <c r="DX487" s="1974"/>
      <c r="DY487" s="1974"/>
      <c r="DZ487" s="1830"/>
      <c r="EA487"/>
      <c r="EB487"/>
      <c r="EC487"/>
      <c r="ED487"/>
      <c r="EE487"/>
      <c r="EF487"/>
    </row>
    <row r="488" spans="1:136" s="1785" customFormat="1" ht="11.25" hidden="1" customHeight="1" outlineLevel="1">
      <c r="A488" s="1830"/>
      <c r="B488" s="1943"/>
      <c r="C488" s="1944"/>
      <c r="D488" s="1830"/>
      <c r="E488" s="1841" t="s">
        <v>565</v>
      </c>
      <c r="F488" s="1945"/>
      <c r="G488" s="1946"/>
      <c r="H488" s="1946"/>
      <c r="I488" s="1947"/>
      <c r="J488" s="1946"/>
      <c r="K488" s="1946"/>
      <c r="L488" s="1946"/>
      <c r="M488" s="1947"/>
      <c r="N488" s="1946"/>
      <c r="O488" s="1946"/>
      <c r="P488" s="1946"/>
      <c r="Q488" s="1947"/>
      <c r="R488" s="1946"/>
      <c r="S488" s="1946"/>
      <c r="T488" s="1946"/>
      <c r="U488" s="1947"/>
      <c r="V488" s="1946"/>
      <c r="W488" s="1946"/>
      <c r="X488" s="1946"/>
      <c r="Y488" s="1947"/>
      <c r="Z488" s="1946">
        <v>20</v>
      </c>
      <c r="AA488" s="1946">
        <v>30</v>
      </c>
      <c r="AB488" s="1946">
        <v>50</v>
      </c>
      <c r="AC488" s="1947">
        <v>70</v>
      </c>
      <c r="AD488" s="1946">
        <v>138</v>
      </c>
      <c r="AE488" s="1946">
        <v>238</v>
      </c>
      <c r="AF488" s="1946">
        <v>266</v>
      </c>
      <c r="AG488" s="1946">
        <v>265</v>
      </c>
      <c r="AH488" s="1945">
        <v>321</v>
      </c>
      <c r="AI488" s="1946">
        <v>366</v>
      </c>
      <c r="AJ488" s="1946">
        <v>330</v>
      </c>
      <c r="AK488" s="1947">
        <v>383</v>
      </c>
      <c r="AL488" s="1946">
        <v>383</v>
      </c>
      <c r="AM488" s="1946">
        <v>401.01329955639699</v>
      </c>
      <c r="AN488" s="1946">
        <v>343</v>
      </c>
      <c r="AO488" s="1947">
        <v>327.79267879969888</v>
      </c>
      <c r="AP488" s="1981">
        <v>382</v>
      </c>
      <c r="AQ488" s="1948">
        <v>569</v>
      </c>
      <c r="AR488" s="1948">
        <v>467</v>
      </c>
      <c r="AS488" s="1948">
        <v>400</v>
      </c>
      <c r="AT488" s="1981">
        <v>425</v>
      </c>
      <c r="AU488" s="1948">
        <v>546</v>
      </c>
      <c r="AV488" s="1948">
        <v>441</v>
      </c>
      <c r="AW488" s="1948">
        <v>382</v>
      </c>
      <c r="AX488" s="1981">
        <v>489</v>
      </c>
      <c r="AY488" s="1948">
        <v>328</v>
      </c>
      <c r="AZ488" s="1948">
        <v>290</v>
      </c>
      <c r="BA488" s="1980">
        <f t="shared" ref="BA488:BI488" si="983">BA491*BA494/1000</f>
        <v>434.8691729323308</v>
      </c>
      <c r="BB488" s="1981">
        <f t="shared" si="983"/>
        <v>487.89687218045111</v>
      </c>
      <c r="BC488" s="1948">
        <f t="shared" si="983"/>
        <v>582.83118060150366</v>
      </c>
      <c r="BD488" s="1948">
        <f t="shared" si="983"/>
        <v>520.07967654999993</v>
      </c>
      <c r="BE488" s="1980">
        <f t="shared" si="983"/>
        <v>410.90643740433268</v>
      </c>
      <c r="BF488" s="1981">
        <f t="shared" si="983"/>
        <v>463.86442631289862</v>
      </c>
      <c r="BG488" s="2004">
        <f t="shared" si="983"/>
        <v>556.16182412253806</v>
      </c>
      <c r="BH488" s="1948">
        <f t="shared" si="983"/>
        <v>487.10202645748467</v>
      </c>
      <c r="BI488" s="1980">
        <f t="shared" si="983"/>
        <v>457.57146610349969</v>
      </c>
      <c r="BJ488" s="1981">
        <f t="shared" ref="BJ488:BR488" si="984">BJ491*BJ494/1000</f>
        <v>526.81180988097208</v>
      </c>
      <c r="BK488" s="1948">
        <f t="shared" si="984"/>
        <v>562.97767373187139</v>
      </c>
      <c r="BL488" s="1948">
        <f t="shared" si="984"/>
        <v>485.4374905342446</v>
      </c>
      <c r="BM488" s="1980">
        <f t="shared" si="984"/>
        <v>398.27156951225572</v>
      </c>
      <c r="BN488" s="1981">
        <f t="shared" si="984"/>
        <v>433.21021549815174</v>
      </c>
      <c r="BO488" s="1948">
        <f t="shared" si="984"/>
        <v>507.16747495865485</v>
      </c>
      <c r="BP488" s="1948">
        <f t="shared" si="984"/>
        <v>412.02772130796365</v>
      </c>
      <c r="BQ488" s="1980">
        <f>BQ491*BQ494/1000</f>
        <v>398.8079992277589</v>
      </c>
      <c r="BR488" s="1948">
        <f t="shared" si="984"/>
        <v>436.83407517875992</v>
      </c>
      <c r="BS488" s="1948"/>
      <c r="BT488" s="1948"/>
      <c r="BU488" s="1980"/>
      <c r="BV488" s="1948"/>
      <c r="BW488" s="1948"/>
      <c r="BX488" s="1948"/>
      <c r="BY488" s="1980"/>
      <c r="BZ488" s="1948"/>
      <c r="CA488" s="1948"/>
      <c r="CB488" s="1948"/>
      <c r="CC488" s="1980"/>
      <c r="CD488" s="1949"/>
      <c r="CE488" s="1950"/>
      <c r="CF488" s="1950"/>
      <c r="CG488" s="1950"/>
      <c r="CH488" s="1950"/>
      <c r="CI488" s="1950"/>
      <c r="CJ488" s="1950"/>
      <c r="CK488" s="1951"/>
      <c r="CL488" s="1951"/>
      <c r="CM488" s="1950"/>
      <c r="CN488" s="1950">
        <f>SUM(AP488:AS488)</f>
        <v>1818</v>
      </c>
      <c r="CO488" s="1946">
        <f>SUM(AT488:AW488)</f>
        <v>1794</v>
      </c>
      <c r="CP488" s="1946">
        <f>SUM(AX488:BA488)</f>
        <v>1541.8691729323309</v>
      </c>
      <c r="CQ488" s="1946">
        <f>SUM(BB488:BE488)</f>
        <v>2001.7141667362876</v>
      </c>
      <c r="CR488" s="1946">
        <f>SUM(BF488:BI488)</f>
        <v>1964.699742996421</v>
      </c>
      <c r="CS488" s="1946">
        <f>SUM(BJ488:BM488)</f>
        <v>1973.4985436593438</v>
      </c>
      <c r="CT488" s="1946">
        <f>SUM(BN488:BQ488)</f>
        <v>1751.2134109925291</v>
      </c>
      <c r="CU488" s="1948">
        <f>SUM(BR488:BU488)</f>
        <v>436.83407517875992</v>
      </c>
      <c r="CV488" s="1948"/>
      <c r="CW488" s="1948"/>
      <c r="CX488" s="1948"/>
      <c r="CY488" s="1948"/>
      <c r="CZ488" s="1948"/>
      <c r="DA488" s="1948"/>
      <c r="DB488" s="1948"/>
      <c r="DC488" s="1948"/>
      <c r="DD488" s="1949"/>
      <c r="DE488" s="1952"/>
      <c r="DF488" s="1953"/>
      <c r="DG488" s="1954"/>
      <c r="DH488" s="1955"/>
      <c r="DI488" s="1955"/>
      <c r="DJ488" s="1955"/>
      <c r="DK488" s="1955"/>
      <c r="DL488" s="1955"/>
      <c r="DM488" s="1955"/>
      <c r="DN488" s="1955"/>
      <c r="DO488" s="1955"/>
      <c r="DP488" s="1955">
        <f>SUM(AR488:AU488)</f>
        <v>1838</v>
      </c>
      <c r="DQ488" s="1955">
        <f>SUM(AV488:AY488)</f>
        <v>1640</v>
      </c>
      <c r="DR488" s="1955">
        <f>SUM(AZ488:BC488)</f>
        <v>1795.5972257142857</v>
      </c>
      <c r="DS488" s="1954">
        <f>SUM(BD488:BG488)</f>
        <v>1951.0123643897693</v>
      </c>
      <c r="DT488" s="1955">
        <f>SUM(BH488:BK488)</f>
        <v>2034.4629761738279</v>
      </c>
      <c r="DU488" s="1955">
        <f>SUM(BL488:BO488)</f>
        <v>1824.0867505033068</v>
      </c>
      <c r="DV488" s="1955">
        <f>SUM(BP488:BS488)</f>
        <v>1247.6697957144825</v>
      </c>
      <c r="DW488" s="1956"/>
      <c r="DX488" s="1955"/>
      <c r="DY488" s="1955"/>
      <c r="DZ488" s="1830"/>
      <c r="EA488"/>
      <c r="EB488"/>
      <c r="EC488"/>
      <c r="ED488"/>
      <c r="EE488"/>
      <c r="EF488"/>
    </row>
    <row r="489" spans="1:136" s="1785" customFormat="1" ht="11.25" hidden="1" customHeight="1" outlineLevel="1">
      <c r="A489" s="1830"/>
      <c r="B489" s="1943"/>
      <c r="C489" s="1859"/>
      <c r="D489" s="1779"/>
      <c r="E489" s="1932" t="s">
        <v>183</v>
      </c>
      <c r="F489" s="1968"/>
      <c r="G489" s="1938"/>
      <c r="H489" s="1938"/>
      <c r="I489" s="1969"/>
      <c r="J489" s="1938"/>
      <c r="K489" s="1938"/>
      <c r="L489" s="1938"/>
      <c r="M489" s="1969"/>
      <c r="N489" s="1938"/>
      <c r="O489" s="1938"/>
      <c r="P489" s="1938"/>
      <c r="Q489" s="1969"/>
      <c r="R489" s="1938"/>
      <c r="S489" s="1938"/>
      <c r="T489" s="1938"/>
      <c r="U489" s="1969"/>
      <c r="V489" s="1938"/>
      <c r="W489" s="1938"/>
      <c r="X489" s="1938"/>
      <c r="Y489" s="1969"/>
      <c r="Z489" s="1851"/>
      <c r="AA489" s="1852"/>
      <c r="AB489" s="1852"/>
      <c r="AC489" s="1852"/>
      <c r="AD489" s="1851">
        <f t="shared" ref="AD489:AU489" si="985">AD488/Z488-1</f>
        <v>5.9</v>
      </c>
      <c r="AE489" s="1852">
        <f t="shared" si="985"/>
        <v>6.9333333333333336</v>
      </c>
      <c r="AF489" s="1852">
        <f t="shared" si="985"/>
        <v>4.32</v>
      </c>
      <c r="AG489" s="1852">
        <f t="shared" si="985"/>
        <v>2.7857142857142856</v>
      </c>
      <c r="AH489" s="1851">
        <f t="shared" si="985"/>
        <v>1.3260869565217392</v>
      </c>
      <c r="AI489" s="1852">
        <f t="shared" si="985"/>
        <v>0.53781512605042026</v>
      </c>
      <c r="AJ489" s="1852">
        <f t="shared" si="985"/>
        <v>0.24060150375939848</v>
      </c>
      <c r="AK489" s="1852">
        <f t="shared" si="985"/>
        <v>0.44528301886792443</v>
      </c>
      <c r="AL489" s="1851">
        <f t="shared" si="985"/>
        <v>0.19314641744548289</v>
      </c>
      <c r="AM489" s="1852">
        <f t="shared" si="985"/>
        <v>9.5664752886330584E-2</v>
      </c>
      <c r="AN489" s="1852">
        <f t="shared" si="985"/>
        <v>3.9393939393939315E-2</v>
      </c>
      <c r="AO489" s="1852">
        <f t="shared" si="985"/>
        <v>-0.14414444177624319</v>
      </c>
      <c r="AP489" s="1851">
        <f t="shared" si="985"/>
        <v>-2.6109660574412663E-3</v>
      </c>
      <c r="AQ489" s="1852">
        <f t="shared" si="985"/>
        <v>0.41890555906607285</v>
      </c>
      <c r="AR489" s="1852">
        <f t="shared" si="985"/>
        <v>0.36151603498542273</v>
      </c>
      <c r="AS489" s="1852">
        <f t="shared" si="985"/>
        <v>0.22028350805365049</v>
      </c>
      <c r="AT489" s="1851">
        <f t="shared" si="985"/>
        <v>0.11256544502617793</v>
      </c>
      <c r="AU489" s="1852">
        <f t="shared" si="985"/>
        <v>-4.0421792618629215E-2</v>
      </c>
      <c r="AV489" s="1852">
        <f>AV488/AR488-1</f>
        <v>-5.5674518201284773E-2</v>
      </c>
      <c r="AW489" s="1852">
        <f t="shared" ref="AW489:BD489" si="986">AW488/AS488-1</f>
        <v>-4.500000000000004E-2</v>
      </c>
      <c r="AX489" s="1851">
        <f t="shared" si="986"/>
        <v>0.15058823529411769</v>
      </c>
      <c r="AY489" s="1852">
        <f t="shared" si="986"/>
        <v>-0.39926739926739929</v>
      </c>
      <c r="AZ489" s="1852">
        <f t="shared" si="986"/>
        <v>-0.34240362811791381</v>
      </c>
      <c r="BA489" s="1825">
        <f t="shared" si="986"/>
        <v>0.13840097626264614</v>
      </c>
      <c r="BB489" s="1851">
        <f t="shared" si="986"/>
        <v>-2.2558851115519474E-3</v>
      </c>
      <c r="BC489" s="1852">
        <f t="shared" si="986"/>
        <v>0.7769243311021452</v>
      </c>
      <c r="BD489" s="1852">
        <f t="shared" si="986"/>
        <v>0.79337819499999984</v>
      </c>
      <c r="BE489" s="1825">
        <f t="shared" ref="BE489:BQ489" si="987">BE488/BA488-1</f>
        <v>-5.5103320767524111E-2</v>
      </c>
      <c r="BF489" s="1851">
        <f t="shared" si="987"/>
        <v>-4.9257224708470715E-2</v>
      </c>
      <c r="BG489" s="1854">
        <f t="shared" si="987"/>
        <v>-4.5758287076271054E-2</v>
      </c>
      <c r="BH489" s="1852">
        <f t="shared" si="987"/>
        <v>-6.3408842105263097E-2</v>
      </c>
      <c r="BI489" s="1825">
        <f t="shared" si="987"/>
        <v>0.11356606869911001</v>
      </c>
      <c r="BJ489" s="1851">
        <f t="shared" si="987"/>
        <v>0.13570211466402138</v>
      </c>
      <c r="BK489" s="1852">
        <f t="shared" si="987"/>
        <v>1.2255155448842148E-2</v>
      </c>
      <c r="BL489" s="1852">
        <f t="shared" si="987"/>
        <v>-3.4172223329589357E-3</v>
      </c>
      <c r="BM489" s="1825">
        <f t="shared" si="987"/>
        <v>-0.12959701595079509</v>
      </c>
      <c r="BN489" s="1851">
        <f t="shared" si="987"/>
        <v>-0.17767558097068603</v>
      </c>
      <c r="BO489" s="1852">
        <f t="shared" si="987"/>
        <v>-9.9133946828231068E-2</v>
      </c>
      <c r="BP489" s="1852">
        <f t="shared" si="987"/>
        <v>-0.15122393852500016</v>
      </c>
      <c r="BQ489" s="1825">
        <f t="shared" si="987"/>
        <v>1.3468943217818108E-3</v>
      </c>
      <c r="BR489" s="1852">
        <f>BR488/BN488-1</f>
        <v>8.3651297937217262E-3</v>
      </c>
      <c r="BS489" s="1852"/>
      <c r="BT489" s="1852"/>
      <c r="BU489" s="1825"/>
      <c r="BV489" s="1852"/>
      <c r="BW489" s="1852"/>
      <c r="BX489" s="1852"/>
      <c r="BY489" s="1825"/>
      <c r="BZ489" s="1852"/>
      <c r="CA489" s="1852"/>
      <c r="CB489" s="1852"/>
      <c r="CC489" s="1825"/>
      <c r="CD489" s="1837"/>
      <c r="CE489" s="1934"/>
      <c r="CF489" s="1934"/>
      <c r="CG489" s="1934"/>
      <c r="CH489" s="1934"/>
      <c r="CI489" s="1934"/>
      <c r="CJ489" s="1934"/>
      <c r="CK489" s="1937"/>
      <c r="CL489" s="1852"/>
      <c r="CM489" s="1852"/>
      <c r="CN489" s="1852"/>
      <c r="CO489" s="1852">
        <f t="shared" ref="CO489:CU489" si="988">CO488/CN488-1</f>
        <v>-1.320132013201325E-2</v>
      </c>
      <c r="CP489" s="1852">
        <f t="shared" si="988"/>
        <v>-0.14054115221163266</v>
      </c>
      <c r="CQ489" s="1852">
        <f t="shared" si="988"/>
        <v>0.2982386585558503</v>
      </c>
      <c r="CR489" s="1852">
        <f t="shared" si="988"/>
        <v>-1.8491363230054514E-2</v>
      </c>
      <c r="CS489" s="1852">
        <f t="shared" si="988"/>
        <v>4.4784454694861697E-3</v>
      </c>
      <c r="CT489" s="1852">
        <f t="shared" si="988"/>
        <v>-0.11263506293480419</v>
      </c>
      <c r="CU489" s="1852">
        <f t="shared" si="988"/>
        <v>-0.75055348911976583</v>
      </c>
      <c r="CV489" s="1852"/>
      <c r="CW489" s="1852"/>
      <c r="CX489" s="1852"/>
      <c r="CY489" s="1852"/>
      <c r="CZ489" s="1852"/>
      <c r="DA489" s="1852"/>
      <c r="DB489" s="1852"/>
      <c r="DC489" s="1852"/>
      <c r="DD489" s="1837"/>
      <c r="DE489" s="1839"/>
      <c r="DF489" s="1829"/>
      <c r="DG489" s="1804"/>
      <c r="DH489" s="1803"/>
      <c r="DI489" s="1803"/>
      <c r="DJ489" s="1803"/>
      <c r="DK489" s="1803"/>
      <c r="DL489" s="1803"/>
      <c r="DM489" s="1852"/>
      <c r="DN489" s="1852"/>
      <c r="DO489" s="1852"/>
      <c r="DP489" s="1852"/>
      <c r="DQ489" s="1852">
        <f t="shared" ref="DQ489:DV489" si="989">DQ488/DP488-1</f>
        <v>-0.10772578890097928</v>
      </c>
      <c r="DR489" s="1852">
        <f t="shared" si="989"/>
        <v>9.4876357142857248E-2</v>
      </c>
      <c r="DS489" s="1851">
        <f t="shared" si="989"/>
        <v>8.6553452216244997E-2</v>
      </c>
      <c r="DT489" s="1852">
        <f t="shared" si="989"/>
        <v>4.2772979457851745E-2</v>
      </c>
      <c r="DU489" s="1852">
        <f t="shared" si="989"/>
        <v>-0.10340626894384253</v>
      </c>
      <c r="DV489" s="1852">
        <f t="shared" si="989"/>
        <v>-0.31600303802973073</v>
      </c>
      <c r="DW489" s="1825"/>
      <c r="DX489" s="1852"/>
      <c r="DY489" s="1852"/>
      <c r="DZ489" s="1830"/>
      <c r="EA489"/>
      <c r="EB489"/>
      <c r="EC489"/>
      <c r="ED489"/>
      <c r="EE489"/>
      <c r="EF489"/>
    </row>
    <row r="490" spans="1:136" s="1785" customFormat="1" ht="11.25" hidden="1" customHeight="1" outlineLevel="1">
      <c r="A490" s="1830"/>
      <c r="B490" s="1943"/>
      <c r="C490" s="1859"/>
      <c r="D490" s="1779"/>
      <c r="E490" s="1932" t="s">
        <v>184</v>
      </c>
      <c r="F490" s="1968"/>
      <c r="G490" s="1938"/>
      <c r="H490" s="1938"/>
      <c r="I490" s="1969"/>
      <c r="J490" s="1938"/>
      <c r="K490" s="1938"/>
      <c r="L490" s="1938"/>
      <c r="M490" s="1969"/>
      <c r="N490" s="1938"/>
      <c r="O490" s="1938"/>
      <c r="P490" s="1938"/>
      <c r="Q490" s="1969"/>
      <c r="R490" s="1938"/>
      <c r="S490" s="1938"/>
      <c r="T490" s="1938"/>
      <c r="U490" s="1969"/>
      <c r="V490" s="1938"/>
      <c r="W490" s="1938"/>
      <c r="X490" s="1938"/>
      <c r="Y490" s="1969"/>
      <c r="Z490" s="1851"/>
      <c r="AA490" s="1852">
        <f t="shared" ref="AA490:AS490" si="990">AA488/Z488-1</f>
        <v>0.5</v>
      </c>
      <c r="AB490" s="1852">
        <f t="shared" si="990"/>
        <v>0.66666666666666674</v>
      </c>
      <c r="AC490" s="1852">
        <f t="shared" si="990"/>
        <v>0.39999999999999991</v>
      </c>
      <c r="AD490" s="1851">
        <f t="shared" si="990"/>
        <v>0.97142857142857153</v>
      </c>
      <c r="AE490" s="1852">
        <f t="shared" si="990"/>
        <v>0.7246376811594204</v>
      </c>
      <c r="AF490" s="1852">
        <f t="shared" si="990"/>
        <v>0.11764705882352944</v>
      </c>
      <c r="AG490" s="1852">
        <f t="shared" si="990"/>
        <v>-3.7593984962406291E-3</v>
      </c>
      <c r="AH490" s="1851">
        <f t="shared" si="990"/>
        <v>0.21132075471698109</v>
      </c>
      <c r="AI490" s="1852">
        <f t="shared" si="990"/>
        <v>0.14018691588785037</v>
      </c>
      <c r="AJ490" s="1852">
        <f t="shared" si="990"/>
        <v>-9.8360655737704916E-2</v>
      </c>
      <c r="AK490" s="1852">
        <f t="shared" si="990"/>
        <v>0.16060606060606064</v>
      </c>
      <c r="AL490" s="1851">
        <f t="shared" si="990"/>
        <v>0</v>
      </c>
      <c r="AM490" s="1852">
        <f t="shared" si="990"/>
        <v>4.7032113724274183E-2</v>
      </c>
      <c r="AN490" s="1852">
        <f t="shared" si="990"/>
        <v>-0.14466677195138311</v>
      </c>
      <c r="AO490" s="1852">
        <f t="shared" si="990"/>
        <v>-4.4336213411956593E-2</v>
      </c>
      <c r="AP490" s="1851">
        <f t="shared" si="990"/>
        <v>0.16537075019123626</v>
      </c>
      <c r="AQ490" s="1852">
        <f t="shared" si="990"/>
        <v>0.48952879581151842</v>
      </c>
      <c r="AR490" s="1852">
        <f t="shared" si="990"/>
        <v>-0.17926186291739898</v>
      </c>
      <c r="AS490" s="1852">
        <f t="shared" si="990"/>
        <v>-0.14346895074946464</v>
      </c>
      <c r="AT490" s="1851">
        <f t="shared" ref="AT490:BD490" si="991">AT488/AS488-1</f>
        <v>6.25E-2</v>
      </c>
      <c r="AU490" s="1852">
        <f t="shared" si="991"/>
        <v>0.28470588235294114</v>
      </c>
      <c r="AV490" s="1852">
        <f>AV488/AU488-1</f>
        <v>-0.19230769230769229</v>
      </c>
      <c r="AW490" s="1852">
        <f t="shared" si="991"/>
        <v>-0.13378684807256236</v>
      </c>
      <c r="AX490" s="1851">
        <f t="shared" si="991"/>
        <v>0.28010471204188492</v>
      </c>
      <c r="AY490" s="1852">
        <f t="shared" si="991"/>
        <v>-0.32924335378323111</v>
      </c>
      <c r="AZ490" s="1852">
        <f t="shared" si="991"/>
        <v>-0.11585365853658536</v>
      </c>
      <c r="BA490" s="1825">
        <f t="shared" si="991"/>
        <v>0.49954887218045108</v>
      </c>
      <c r="BB490" s="1851">
        <f t="shared" si="991"/>
        <v>0.12193943040513444</v>
      </c>
      <c r="BC490" s="1852">
        <f t="shared" si="991"/>
        <v>0.19457863707300138</v>
      </c>
      <c r="BD490" s="1852">
        <f t="shared" si="991"/>
        <v>-0.10766669001260676</v>
      </c>
      <c r="BE490" s="1825">
        <f t="shared" ref="BE490:BQ490" si="992">BE488/BD488-1</f>
        <v>-0.20991637256406315</v>
      </c>
      <c r="BF490" s="1851">
        <f t="shared" si="992"/>
        <v>0.12888089377011913</v>
      </c>
      <c r="BG490" s="1854">
        <f t="shared" si="992"/>
        <v>0.19897494305239194</v>
      </c>
      <c r="BH490" s="1852">
        <f t="shared" si="992"/>
        <v>-0.12417212881162731</v>
      </c>
      <c r="BI490" s="1825">
        <f t="shared" si="992"/>
        <v>-6.0624999999999929E-2</v>
      </c>
      <c r="BJ490" s="1851">
        <f t="shared" si="992"/>
        <v>0.15132137579971094</v>
      </c>
      <c r="BK490" s="1852">
        <f t="shared" si="992"/>
        <v>6.8650442477875773E-2</v>
      </c>
      <c r="BL490" s="1852">
        <f t="shared" si="992"/>
        <v>-0.13773225265511457</v>
      </c>
      <c r="BM490" s="1825">
        <f t="shared" si="992"/>
        <v>-0.17956157635467973</v>
      </c>
      <c r="BN490" s="1851">
        <f t="shared" si="992"/>
        <v>8.7725684333139098E-2</v>
      </c>
      <c r="BO490" s="1852">
        <f t="shared" si="992"/>
        <v>0.17071910313901317</v>
      </c>
      <c r="BP490" s="1852">
        <f t="shared" si="992"/>
        <v>-0.18759040819494022</v>
      </c>
      <c r="BQ490" s="1825">
        <f t="shared" si="992"/>
        <v>-3.2084545278262655E-2</v>
      </c>
      <c r="BR490" s="1852">
        <f>BR488/BQ488-1</f>
        <v>9.5349331068167453E-2</v>
      </c>
      <c r="BS490" s="1852"/>
      <c r="BT490" s="1852"/>
      <c r="BU490" s="1825"/>
      <c r="BV490" s="1852"/>
      <c r="BW490" s="1852"/>
      <c r="BX490" s="1852"/>
      <c r="BY490" s="1825"/>
      <c r="BZ490" s="1852"/>
      <c r="CA490" s="1852"/>
      <c r="CB490" s="1852"/>
      <c r="CC490" s="1825"/>
      <c r="CD490" s="1837"/>
      <c r="CE490" s="1934"/>
      <c r="CF490" s="1934"/>
      <c r="CG490" s="1934"/>
      <c r="CH490" s="1934"/>
      <c r="CI490" s="1934"/>
      <c r="CJ490" s="1934"/>
      <c r="CK490" s="1937"/>
      <c r="CL490" s="1937"/>
      <c r="CM490" s="1934"/>
      <c r="CN490" s="1934"/>
      <c r="CO490" s="1938"/>
      <c r="CP490" s="1938"/>
      <c r="CQ490" s="1938"/>
      <c r="CR490" s="1938"/>
      <c r="CS490" s="1852"/>
      <c r="CT490" s="1852"/>
      <c r="CU490" s="1852"/>
      <c r="CV490" s="1852"/>
      <c r="CW490" s="1852"/>
      <c r="CX490" s="1852"/>
      <c r="CY490" s="1852"/>
      <c r="CZ490" s="1852"/>
      <c r="DA490" s="1852"/>
      <c r="DB490" s="1852"/>
      <c r="DC490" s="1852"/>
      <c r="DD490" s="1837"/>
      <c r="DE490" s="1839"/>
      <c r="DF490" s="1829"/>
      <c r="DG490" s="1804"/>
      <c r="DH490" s="1803"/>
      <c r="DI490" s="1803"/>
      <c r="DJ490" s="1803"/>
      <c r="DK490" s="1803"/>
      <c r="DL490" s="1803"/>
      <c r="DM490" s="1848"/>
      <c r="DN490" s="1848"/>
      <c r="DO490" s="1848"/>
      <c r="DP490" s="1848"/>
      <c r="DQ490" s="1848"/>
      <c r="DR490" s="1848"/>
      <c r="DS490" s="1855"/>
      <c r="DT490" s="1848"/>
      <c r="DU490" s="1848"/>
      <c r="DV490" s="1848"/>
      <c r="DW490" s="1850"/>
      <c r="DX490" s="1848"/>
      <c r="DY490" s="1848"/>
      <c r="DZ490" s="1830"/>
      <c r="EA490"/>
      <c r="EB490"/>
      <c r="EC490"/>
      <c r="ED490"/>
      <c r="EE490"/>
      <c r="EF490"/>
    </row>
    <row r="491" spans="1:136" s="1785" customFormat="1" ht="11.25" hidden="1" customHeight="1" outlineLevel="1">
      <c r="A491" s="1830"/>
      <c r="B491" s="1943"/>
      <c r="C491" s="1859"/>
      <c r="D491" s="2007"/>
      <c r="E491" s="1840" t="s">
        <v>805</v>
      </c>
      <c r="F491" s="1958"/>
      <c r="G491" s="1959"/>
      <c r="H491" s="1959"/>
      <c r="I491" s="1960"/>
      <c r="J491" s="1959"/>
      <c r="K491" s="1959"/>
      <c r="L491" s="1959"/>
      <c r="M491" s="1960"/>
      <c r="N491" s="1959"/>
      <c r="O491" s="1959"/>
      <c r="P491" s="1959"/>
      <c r="Q491" s="1960"/>
      <c r="R491" s="1959"/>
      <c r="S491" s="1959"/>
      <c r="T491" s="1959"/>
      <c r="U491" s="1960"/>
      <c r="V491" s="1959"/>
      <c r="W491" s="1959"/>
      <c r="X491" s="1959"/>
      <c r="Y491" s="1960"/>
      <c r="Z491" s="1959"/>
      <c r="AA491" s="1959"/>
      <c r="AB491" s="1959"/>
      <c r="AC491" s="1960"/>
      <c r="AD491" s="1831">
        <v>1404</v>
      </c>
      <c r="AE491" s="1831">
        <v>2254</v>
      </c>
      <c r="AF491" s="1831">
        <v>2596</v>
      </c>
      <c r="AG491" s="1831">
        <v>2317</v>
      </c>
      <c r="AH491" s="1843">
        <v>2910</v>
      </c>
      <c r="AI491" s="1831">
        <v>3390</v>
      </c>
      <c r="AJ491" s="1831">
        <v>3456</v>
      </c>
      <c r="AK491" s="1844">
        <v>4081</v>
      </c>
      <c r="AL491" s="1831">
        <v>4396</v>
      </c>
      <c r="AM491" s="1831">
        <v>4918</v>
      </c>
      <c r="AN491" s="1831">
        <v>4512</v>
      </c>
      <c r="AO491" s="1844">
        <v>3994</v>
      </c>
      <c r="AP491" s="1831">
        <v>4539</v>
      </c>
      <c r="AQ491" s="1831">
        <v>6219</v>
      </c>
      <c r="AR491" s="1831">
        <v>5565</v>
      </c>
      <c r="AS491" s="1831">
        <v>5005</v>
      </c>
      <c r="AT491" s="1843">
        <v>5678</v>
      </c>
      <c r="AU491" s="1959">
        <v>7427</v>
      </c>
      <c r="AV491" s="1959">
        <v>6404</v>
      </c>
      <c r="AW491" s="1960">
        <v>5672</v>
      </c>
      <c r="AX491" s="1959">
        <v>7060</v>
      </c>
      <c r="AY491" s="1959">
        <v>3191</v>
      </c>
      <c r="AZ491" s="1959">
        <v>2926</v>
      </c>
      <c r="BA491" s="1960">
        <v>4986</v>
      </c>
      <c r="BB491" s="1958">
        <v>5767</v>
      </c>
      <c r="BC491" s="1959">
        <v>7139</v>
      </c>
      <c r="BD491" s="1959">
        <v>6517</v>
      </c>
      <c r="BE491" s="1960">
        <v>5281</v>
      </c>
      <c r="BF491" s="1958">
        <v>6146</v>
      </c>
      <c r="BG491" s="2009">
        <v>7018</v>
      </c>
      <c r="BH491" s="1959">
        <v>6272</v>
      </c>
      <c r="BI491" s="1960">
        <v>6012</v>
      </c>
      <c r="BJ491" s="1958">
        <v>6780</v>
      </c>
      <c r="BK491" s="1959">
        <v>7156</v>
      </c>
      <c r="BL491" s="1959">
        <v>6090</v>
      </c>
      <c r="BM491" s="1960">
        <v>5151</v>
      </c>
      <c r="BN491" s="1958">
        <v>5575</v>
      </c>
      <c r="BO491" s="1959">
        <v>6443</v>
      </c>
      <c r="BP491" s="1959">
        <v>5157</v>
      </c>
      <c r="BQ491" s="1960">
        <v>4709</v>
      </c>
      <c r="BR491" s="1958">
        <v>5158</v>
      </c>
      <c r="BS491" s="1959"/>
      <c r="BT491" s="1959"/>
      <c r="BU491" s="1960"/>
      <c r="BV491" s="1959"/>
      <c r="BW491" s="1959"/>
      <c r="BX491" s="1959"/>
      <c r="BY491" s="1960"/>
      <c r="BZ491" s="1959"/>
      <c r="CA491" s="1959"/>
      <c r="CB491" s="1959"/>
      <c r="CC491" s="1960"/>
      <c r="CD491" s="1845"/>
      <c r="CE491" s="1831"/>
      <c r="CF491" s="1831"/>
      <c r="CG491" s="1831"/>
      <c r="CH491" s="1831"/>
      <c r="CI491" s="1831"/>
      <c r="CJ491" s="1831"/>
      <c r="CK491" s="1822">
        <f>SUM(AD491:AG491)</f>
        <v>8571</v>
      </c>
      <c r="CL491" s="1822">
        <f>SUM(AH491:AK491)</f>
        <v>13837</v>
      </c>
      <c r="CM491" s="1831">
        <f>SUM(AL491:AO491)</f>
        <v>17820</v>
      </c>
      <c r="CN491" s="1831">
        <f>SUM(AP491:AS491)</f>
        <v>21328</v>
      </c>
      <c r="CO491" s="1831">
        <f>SUM(AT491:AW491)</f>
        <v>25181</v>
      </c>
      <c r="CP491" s="1831">
        <f>SUM(AX491:BA491)</f>
        <v>18163</v>
      </c>
      <c r="CQ491" s="1831">
        <f>SUM(BB491:BE491)</f>
        <v>24704</v>
      </c>
      <c r="CR491" s="1831">
        <f>SUM(BF491:BI491)</f>
        <v>25448</v>
      </c>
      <c r="CS491" s="1831">
        <f>SUM(BJ491:BM491)</f>
        <v>25177</v>
      </c>
      <c r="CT491" s="1831">
        <f>SUM(BN491:BQ491)</f>
        <v>21884</v>
      </c>
      <c r="CU491" s="1959">
        <f>SUM(BR491:BU491)</f>
        <v>5158</v>
      </c>
      <c r="CV491" s="1959"/>
      <c r="CW491" s="1959"/>
      <c r="CX491" s="1959"/>
      <c r="CY491" s="1959"/>
      <c r="CZ491" s="1959"/>
      <c r="DA491" s="1959"/>
      <c r="DB491" s="1959"/>
      <c r="DC491" s="1959"/>
      <c r="DD491" s="1845"/>
      <c r="DE491" s="1961"/>
      <c r="DF491" s="1830"/>
      <c r="DG491" s="1783"/>
      <c r="DH491" s="1782"/>
      <c r="DI491" s="1782"/>
      <c r="DJ491" s="1782"/>
      <c r="DK491" s="1782"/>
      <c r="DL491" s="1782"/>
      <c r="DM491" s="1782">
        <f>SUM(AF491:AI491)</f>
        <v>11213</v>
      </c>
      <c r="DN491" s="1782">
        <f>SUM(AJ491:AM491)</f>
        <v>16851</v>
      </c>
      <c r="DO491" s="1782">
        <f>SUM(AN491:AQ491)</f>
        <v>19264</v>
      </c>
      <c r="DP491" s="1782">
        <f>SUM(AR491:AU491)</f>
        <v>23675</v>
      </c>
      <c r="DQ491" s="1782">
        <f>SUM(AV491:AY491)</f>
        <v>22327</v>
      </c>
      <c r="DR491" s="1782">
        <f>SUM(AZ491:BC491)</f>
        <v>20818</v>
      </c>
      <c r="DS491" s="1783">
        <f>SUM(BD491:BG491)</f>
        <v>24962</v>
      </c>
      <c r="DT491" s="1782">
        <f>SUM(BH491:BK491)</f>
        <v>26220</v>
      </c>
      <c r="DU491" s="1782">
        <f>SUM(BL491:BO491)</f>
        <v>23259</v>
      </c>
      <c r="DV491" s="1782">
        <f>SUM(BP491:BS491)</f>
        <v>15024</v>
      </c>
      <c r="DW491" s="1784"/>
      <c r="DX491" s="1782"/>
      <c r="DY491" s="1782"/>
      <c r="DZ491" s="1830"/>
      <c r="EA491"/>
      <c r="EB491"/>
      <c r="EC491"/>
      <c r="ED491"/>
      <c r="EE491"/>
      <c r="EF491"/>
    </row>
    <row r="492" spans="1:136" s="1785" customFormat="1" ht="11.25" hidden="1" customHeight="1" outlineLevel="1">
      <c r="A492" s="1830"/>
      <c r="B492" s="1943"/>
      <c r="C492" s="1859"/>
      <c r="D492" s="1970"/>
      <c r="E492" s="1932" t="s">
        <v>183</v>
      </c>
      <c r="F492" s="1968"/>
      <c r="G492" s="1938"/>
      <c r="H492" s="1938"/>
      <c r="I492" s="1969"/>
      <c r="J492" s="1938"/>
      <c r="K492" s="1938"/>
      <c r="L492" s="1938"/>
      <c r="M492" s="1969"/>
      <c r="N492" s="1938"/>
      <c r="O492" s="1938"/>
      <c r="P492" s="1938"/>
      <c r="Q492" s="1969"/>
      <c r="R492" s="1938"/>
      <c r="S492" s="1938"/>
      <c r="T492" s="1938"/>
      <c r="U492" s="1969"/>
      <c r="V492" s="1938"/>
      <c r="W492" s="1938"/>
      <c r="X492" s="1938"/>
      <c r="Y492" s="1969"/>
      <c r="Z492" s="1938"/>
      <c r="AA492" s="1852"/>
      <c r="AB492" s="1852"/>
      <c r="AC492" s="1825"/>
      <c r="AD492" s="1852"/>
      <c r="AE492" s="1852"/>
      <c r="AF492" s="1852"/>
      <c r="AG492" s="1852"/>
      <c r="AH492" s="1851">
        <f t="shared" ref="AH492:AV492" si="993">AH491/AD491-1</f>
        <v>1.0726495726495728</v>
      </c>
      <c r="AI492" s="1852">
        <f t="shared" si="993"/>
        <v>0.50399290150842946</v>
      </c>
      <c r="AJ492" s="1852">
        <f t="shared" si="993"/>
        <v>0.33127889060092452</v>
      </c>
      <c r="AK492" s="1825">
        <f t="shared" si="993"/>
        <v>0.76132930513595176</v>
      </c>
      <c r="AL492" s="1852">
        <f t="shared" si="993"/>
        <v>0.51065292096219927</v>
      </c>
      <c r="AM492" s="1852">
        <f t="shared" si="993"/>
        <v>0.45073746312684371</v>
      </c>
      <c r="AN492" s="1852">
        <f t="shared" si="993"/>
        <v>0.30555555555555558</v>
      </c>
      <c r="AO492" s="1825">
        <f t="shared" si="993"/>
        <v>-2.13183043371723E-2</v>
      </c>
      <c r="AP492" s="1852">
        <f t="shared" si="993"/>
        <v>3.2529572338489521E-2</v>
      </c>
      <c r="AQ492" s="1852">
        <f t="shared" si="993"/>
        <v>0.26453843025620172</v>
      </c>
      <c r="AR492" s="1852">
        <f t="shared" si="993"/>
        <v>0.2333776595744681</v>
      </c>
      <c r="AS492" s="1852">
        <f t="shared" si="993"/>
        <v>0.25312969454181267</v>
      </c>
      <c r="AT492" s="1851">
        <f t="shared" si="993"/>
        <v>0.25093632958801493</v>
      </c>
      <c r="AU492" s="1852">
        <f t="shared" si="993"/>
        <v>0.19424344749959799</v>
      </c>
      <c r="AV492" s="1852">
        <f t="shared" si="993"/>
        <v>0.15076370170709796</v>
      </c>
      <c r="AW492" s="1852">
        <f t="shared" ref="AW492:BD492" si="994">AW491/AS491-1</f>
        <v>0.13326673326673322</v>
      </c>
      <c r="AX492" s="1851">
        <f t="shared" si="994"/>
        <v>0.24339556181754141</v>
      </c>
      <c r="AY492" s="1852">
        <f t="shared" si="994"/>
        <v>-0.57035142049279663</v>
      </c>
      <c r="AZ492" s="1852">
        <f t="shared" si="994"/>
        <v>-0.54309806371018121</v>
      </c>
      <c r="BA492" s="1825">
        <f t="shared" si="994"/>
        <v>-0.1209449929478138</v>
      </c>
      <c r="BB492" s="1851">
        <f t="shared" si="994"/>
        <v>-0.18314447592067984</v>
      </c>
      <c r="BC492" s="1852">
        <f t="shared" si="994"/>
        <v>1.2372297085553119</v>
      </c>
      <c r="BD492" s="1852">
        <f t="shared" si="994"/>
        <v>1.2272727272727271</v>
      </c>
      <c r="BE492" s="1825">
        <f t="shared" ref="BE492:BR492" si="995">BE491/BA491-1</f>
        <v>5.9165663858804729E-2</v>
      </c>
      <c r="BF492" s="1851">
        <f t="shared" si="995"/>
        <v>6.5718744581238164E-2</v>
      </c>
      <c r="BG492" s="1854">
        <f t="shared" si="995"/>
        <v>-1.6949152542372836E-2</v>
      </c>
      <c r="BH492" s="1852">
        <f t="shared" si="995"/>
        <v>-3.7593984962406068E-2</v>
      </c>
      <c r="BI492" s="1825">
        <f t="shared" si="995"/>
        <v>0.13842075364514295</v>
      </c>
      <c r="BJ492" s="1851">
        <f t="shared" si="995"/>
        <v>0.10315652456882529</v>
      </c>
      <c r="BK492" s="1854">
        <f t="shared" si="995"/>
        <v>1.9663721858079297E-2</v>
      </c>
      <c r="BL492" s="1854">
        <f t="shared" si="995"/>
        <v>-2.9017857142857095E-2</v>
      </c>
      <c r="BM492" s="1825">
        <f t="shared" si="995"/>
        <v>-0.14321357285429137</v>
      </c>
      <c r="BN492" s="1851">
        <f t="shared" si="995"/>
        <v>-0.17772861356932157</v>
      </c>
      <c r="BO492" s="1854">
        <f t="shared" si="995"/>
        <v>-9.9636668529904937E-2</v>
      </c>
      <c r="BP492" s="1854">
        <f t="shared" si="995"/>
        <v>-0.15320197044334971</v>
      </c>
      <c r="BQ492" s="1825">
        <f t="shared" si="995"/>
        <v>-8.5808580858085848E-2</v>
      </c>
      <c r="BR492" s="1851">
        <f t="shared" si="995"/>
        <v>-7.4798206278026913E-2</v>
      </c>
      <c r="BS492" s="1852"/>
      <c r="BT492" s="1852"/>
      <c r="BU492" s="1825"/>
      <c r="BV492" s="1852"/>
      <c r="BW492" s="1852"/>
      <c r="BX492" s="1852"/>
      <c r="BY492" s="1825"/>
      <c r="BZ492" s="1852"/>
      <c r="CA492" s="1852"/>
      <c r="CB492" s="1852"/>
      <c r="CC492" s="1825"/>
      <c r="CD492" s="1837"/>
      <c r="CE492" s="1934"/>
      <c r="CF492" s="1934"/>
      <c r="CG492" s="1934"/>
      <c r="CH492" s="1934"/>
      <c r="CI492" s="1934"/>
      <c r="CJ492" s="1934"/>
      <c r="CK492" s="1852"/>
      <c r="CL492" s="1852">
        <f t="shared" ref="CL492:CU492" si="996">CL491/CK491-1</f>
        <v>0.61439738653599352</v>
      </c>
      <c r="CM492" s="1852">
        <f t="shared" si="996"/>
        <v>0.28785141287851412</v>
      </c>
      <c r="CN492" s="1852">
        <f t="shared" si="996"/>
        <v>0.19685746352413025</v>
      </c>
      <c r="CO492" s="1852">
        <f t="shared" si="996"/>
        <v>0.18065453863465875</v>
      </c>
      <c r="CP492" s="1852">
        <f t="shared" si="996"/>
        <v>-0.27870219610023428</v>
      </c>
      <c r="CQ492" s="1852">
        <f t="shared" si="996"/>
        <v>0.36012773220283001</v>
      </c>
      <c r="CR492" s="1852">
        <f t="shared" si="996"/>
        <v>3.0116580310880936E-2</v>
      </c>
      <c r="CS492" s="1852">
        <f t="shared" si="996"/>
        <v>-1.064916692863882E-2</v>
      </c>
      <c r="CT492" s="1852">
        <f t="shared" si="996"/>
        <v>-0.1307939786312905</v>
      </c>
      <c r="CU492" s="1852">
        <f t="shared" si="996"/>
        <v>-0.76430268689453484</v>
      </c>
      <c r="CV492" s="1852"/>
      <c r="CW492" s="1852"/>
      <c r="CX492" s="1991"/>
      <c r="CY492" s="1991"/>
      <c r="CZ492" s="1991"/>
      <c r="DA492" s="1991"/>
      <c r="DB492" s="1991"/>
      <c r="DC492" s="1991"/>
      <c r="DD492" s="1837"/>
      <c r="DE492" s="1839"/>
      <c r="DF492" s="1829"/>
      <c r="DG492" s="1804"/>
      <c r="DH492" s="1803"/>
      <c r="DI492" s="1803"/>
      <c r="DJ492" s="1803"/>
      <c r="DK492" s="1803"/>
      <c r="DL492" s="1803"/>
      <c r="DM492" s="1852"/>
      <c r="DN492" s="1852">
        <f t="shared" ref="DN492:DU492" si="997">DN491/DM491-1</f>
        <v>0.50280923927584054</v>
      </c>
      <c r="DO492" s="1852">
        <f t="shared" si="997"/>
        <v>0.14319624948074305</v>
      </c>
      <c r="DP492" s="1852">
        <f t="shared" si="997"/>
        <v>0.22897632890365438</v>
      </c>
      <c r="DQ492" s="1852">
        <f t="shared" si="997"/>
        <v>-5.6937697993664216E-2</v>
      </c>
      <c r="DR492" s="1852">
        <f t="shared" si="997"/>
        <v>-6.7586330451919197E-2</v>
      </c>
      <c r="DS492" s="1851">
        <f t="shared" si="997"/>
        <v>0.19905850706119699</v>
      </c>
      <c r="DT492" s="1852">
        <f t="shared" si="997"/>
        <v>5.03966028363112E-2</v>
      </c>
      <c r="DU492" s="1852">
        <f t="shared" si="997"/>
        <v>-0.11292906178489703</v>
      </c>
      <c r="DV492" s="1852">
        <f>DV491/DU491-1</f>
        <v>-0.35405649426028629</v>
      </c>
      <c r="DW492" s="1825"/>
      <c r="DX492" s="1852"/>
      <c r="DY492" s="1852"/>
      <c r="DZ492" s="1830"/>
      <c r="EA492"/>
      <c r="EB492"/>
      <c r="EC492"/>
      <c r="ED492"/>
      <c r="EE492"/>
      <c r="EF492"/>
    </row>
    <row r="493" spans="1:136" s="1785" customFormat="1" ht="11.25" hidden="1" customHeight="1" outlineLevel="1">
      <c r="A493" s="1830"/>
      <c r="B493" s="1943"/>
      <c r="C493" s="1859"/>
      <c r="D493" s="1860"/>
      <c r="E493" s="1932" t="s">
        <v>184</v>
      </c>
      <c r="F493" s="1968"/>
      <c r="G493" s="1938"/>
      <c r="H493" s="1938"/>
      <c r="I493" s="1969"/>
      <c r="J493" s="1938"/>
      <c r="K493" s="1938"/>
      <c r="L493" s="1938"/>
      <c r="M493" s="1969"/>
      <c r="N493" s="1938"/>
      <c r="O493" s="1938"/>
      <c r="P493" s="1938"/>
      <c r="Q493" s="1969"/>
      <c r="R493" s="1938"/>
      <c r="S493" s="1938"/>
      <c r="T493" s="1938"/>
      <c r="U493" s="1969"/>
      <c r="V493" s="1938"/>
      <c r="W493" s="1938"/>
      <c r="X493" s="1938"/>
      <c r="Y493" s="1969"/>
      <c r="Z493" s="1938"/>
      <c r="AA493" s="1852"/>
      <c r="AB493" s="1852"/>
      <c r="AC493" s="1825"/>
      <c r="AD493" s="1852"/>
      <c r="AE493" s="1852">
        <f t="shared" ref="AE493:AS493" si="998">AE491/AD491-1</f>
        <v>0.60541310541310533</v>
      </c>
      <c r="AF493" s="1852">
        <f t="shared" si="998"/>
        <v>0.15173025732031942</v>
      </c>
      <c r="AG493" s="1852">
        <f t="shared" si="998"/>
        <v>-0.10747303543913711</v>
      </c>
      <c r="AH493" s="1851">
        <f t="shared" si="998"/>
        <v>0.25593439792835571</v>
      </c>
      <c r="AI493" s="1852">
        <f t="shared" si="998"/>
        <v>0.1649484536082475</v>
      </c>
      <c r="AJ493" s="1852">
        <f t="shared" si="998"/>
        <v>1.9469026548672552E-2</v>
      </c>
      <c r="AK493" s="1825">
        <f t="shared" si="998"/>
        <v>0.18084490740740744</v>
      </c>
      <c r="AL493" s="1852">
        <f t="shared" si="998"/>
        <v>7.7186963979416712E-2</v>
      </c>
      <c r="AM493" s="1852">
        <f t="shared" si="998"/>
        <v>0.11874431301182886</v>
      </c>
      <c r="AN493" s="1852">
        <f t="shared" si="998"/>
        <v>-8.2553883692558006E-2</v>
      </c>
      <c r="AO493" s="1825">
        <f t="shared" si="998"/>
        <v>-0.11480496453900713</v>
      </c>
      <c r="AP493" s="1852">
        <f t="shared" si="998"/>
        <v>0.13645468202303457</v>
      </c>
      <c r="AQ493" s="1852">
        <f>AQ491/AP491-1</f>
        <v>0.37012557832121606</v>
      </c>
      <c r="AR493" s="1852">
        <f t="shared" si="998"/>
        <v>-0.1051616015436565</v>
      </c>
      <c r="AS493" s="1852">
        <f t="shared" si="998"/>
        <v>-0.10062893081761004</v>
      </c>
      <c r="AT493" s="1851">
        <f t="shared" ref="AT493:BR493" si="999">AT491/AS491-1</f>
        <v>0.13446553446553455</v>
      </c>
      <c r="AU493" s="1852">
        <f t="shared" si="999"/>
        <v>0.30803099682986956</v>
      </c>
      <c r="AV493" s="1852">
        <f t="shared" si="999"/>
        <v>-0.13774067591221217</v>
      </c>
      <c r="AW493" s="1852">
        <f t="shared" si="999"/>
        <v>-0.11430356027482824</v>
      </c>
      <c r="AX493" s="1851">
        <f t="shared" si="999"/>
        <v>0.24471086036671363</v>
      </c>
      <c r="AY493" s="1852">
        <f t="shared" si="999"/>
        <v>-0.54801699716713881</v>
      </c>
      <c r="AZ493" s="1852">
        <f t="shared" si="999"/>
        <v>-8.3046067063616391E-2</v>
      </c>
      <c r="BA493" s="1852">
        <f t="shared" si="999"/>
        <v>0.70403280929596712</v>
      </c>
      <c r="BB493" s="1851">
        <f t="shared" si="999"/>
        <v>0.15663858804653019</v>
      </c>
      <c r="BC493" s="1852">
        <f t="shared" si="999"/>
        <v>0.23790532339171144</v>
      </c>
      <c r="BD493" s="1852">
        <f t="shared" si="999"/>
        <v>-8.7127048606247426E-2</v>
      </c>
      <c r="BE493" s="1852">
        <f t="shared" si="999"/>
        <v>-0.18965781801442383</v>
      </c>
      <c r="BF493" s="1851">
        <f t="shared" si="999"/>
        <v>0.16379473584548387</v>
      </c>
      <c r="BG493" s="1854">
        <f t="shared" si="999"/>
        <v>0.14188089814513494</v>
      </c>
      <c r="BH493" s="1852">
        <f t="shared" si="999"/>
        <v>-0.10629809062410944</v>
      </c>
      <c r="BI493" s="1852">
        <f t="shared" si="999"/>
        <v>-4.1454081632653073E-2</v>
      </c>
      <c r="BJ493" s="1851">
        <f t="shared" si="999"/>
        <v>0.12774451097804396</v>
      </c>
      <c r="BK493" s="1854">
        <f t="shared" si="999"/>
        <v>5.5457227138643095E-2</v>
      </c>
      <c r="BL493" s="1854">
        <f t="shared" si="999"/>
        <v>-0.14896590273896027</v>
      </c>
      <c r="BM493" s="1825">
        <f t="shared" si="999"/>
        <v>-0.15418719211822662</v>
      </c>
      <c r="BN493" s="1851">
        <f t="shared" si="999"/>
        <v>8.231411376431752E-2</v>
      </c>
      <c r="BO493" s="1854">
        <f t="shared" si="999"/>
        <v>0.15569506726457405</v>
      </c>
      <c r="BP493" s="1854">
        <f t="shared" si="999"/>
        <v>-0.19959646127580322</v>
      </c>
      <c r="BQ493" s="1825">
        <f t="shared" si="999"/>
        <v>-8.6872212526662773E-2</v>
      </c>
      <c r="BR493" s="1851">
        <f t="shared" si="999"/>
        <v>9.5349331068167231E-2</v>
      </c>
      <c r="BS493" s="1852"/>
      <c r="BT493" s="1852"/>
      <c r="BU493" s="1825"/>
      <c r="BV493" s="1852"/>
      <c r="BW493" s="1852"/>
      <c r="BX493" s="1852"/>
      <c r="BY493" s="1825"/>
      <c r="BZ493" s="1852"/>
      <c r="CA493" s="1852"/>
      <c r="CB493" s="1852"/>
      <c r="CC493" s="1825"/>
      <c r="CD493" s="1837"/>
      <c r="CE493" s="1934"/>
      <c r="CF493" s="1934"/>
      <c r="CG493" s="1934"/>
      <c r="CH493" s="1934"/>
      <c r="CI493" s="1934"/>
      <c r="CJ493" s="1934"/>
      <c r="CK493" s="1937"/>
      <c r="CL493" s="1937"/>
      <c r="CM493" s="1934"/>
      <c r="CN493" s="1934"/>
      <c r="CO493" s="1938"/>
      <c r="CP493" s="1938"/>
      <c r="CQ493" s="1938"/>
      <c r="CR493" s="1938"/>
      <c r="CS493" s="1852"/>
      <c r="CT493" s="1852"/>
      <c r="CU493" s="1852"/>
      <c r="CV493" s="1852"/>
      <c r="CW493" s="1852"/>
      <c r="CX493" s="1852"/>
      <c r="CY493" s="1852"/>
      <c r="CZ493" s="1852"/>
      <c r="DA493" s="1852"/>
      <c r="DB493" s="1852"/>
      <c r="DC493" s="1852"/>
      <c r="DD493" s="1837"/>
      <c r="DE493" s="1839"/>
      <c r="DF493" s="1829"/>
      <c r="DG493" s="1804"/>
      <c r="DH493" s="1803"/>
      <c r="DI493" s="1803"/>
      <c r="DJ493" s="1803"/>
      <c r="DK493" s="1803"/>
      <c r="DL493" s="1803"/>
      <c r="DM493" s="1848"/>
      <c r="DN493" s="1848"/>
      <c r="DO493" s="1848"/>
      <c r="DP493" s="1848"/>
      <c r="DQ493" s="1848"/>
      <c r="DR493" s="1848"/>
      <c r="DS493" s="1855"/>
      <c r="DT493" s="1848"/>
      <c r="DU493" s="1848"/>
      <c r="DV493" s="1848"/>
      <c r="DW493" s="1850"/>
      <c r="DX493" s="1848"/>
      <c r="DY493" s="1848"/>
      <c r="DZ493" s="1830"/>
      <c r="EA493"/>
      <c r="EB493"/>
      <c r="EC493"/>
      <c r="ED493"/>
      <c r="EE493"/>
      <c r="EF493"/>
    </row>
    <row r="494" spans="1:136" s="1785" customFormat="1" ht="11.25" hidden="1" customHeight="1" outlineLevel="1">
      <c r="A494" s="1830"/>
      <c r="B494" s="1943"/>
      <c r="C494" s="1859"/>
      <c r="D494" s="1860"/>
      <c r="E494" s="1840" t="s">
        <v>806</v>
      </c>
      <c r="F494" s="1968"/>
      <c r="G494" s="1938"/>
      <c r="H494" s="1938"/>
      <c r="I494" s="1969"/>
      <c r="J494" s="1938"/>
      <c r="K494" s="1938"/>
      <c r="L494" s="1938"/>
      <c r="M494" s="1969"/>
      <c r="N494" s="1938"/>
      <c r="O494" s="1938"/>
      <c r="P494" s="1938"/>
      <c r="Q494" s="1969"/>
      <c r="R494" s="1938"/>
      <c r="S494" s="1938"/>
      <c r="T494" s="1938"/>
      <c r="U494" s="1969"/>
      <c r="V494" s="1938"/>
      <c r="W494" s="1938"/>
      <c r="X494" s="1938"/>
      <c r="Y494" s="1969"/>
      <c r="Z494" s="1938"/>
      <c r="AA494" s="1938"/>
      <c r="AB494" s="1938"/>
      <c r="AC494" s="1969"/>
      <c r="AD494" s="1998">
        <f t="shared" ref="AD494:AR494" si="1000">AD488/AD491*1000</f>
        <v>98.290598290598282</v>
      </c>
      <c r="AE494" s="1998">
        <f t="shared" si="1000"/>
        <v>105.59006211180125</v>
      </c>
      <c r="AF494" s="1998">
        <f t="shared" si="1000"/>
        <v>102.4653312788906</v>
      </c>
      <c r="AG494" s="1998">
        <f t="shared" si="1000"/>
        <v>114.37203280103581</v>
      </c>
      <c r="AH494" s="2000">
        <f t="shared" si="1000"/>
        <v>110.30927835051546</v>
      </c>
      <c r="AI494" s="1998">
        <f t="shared" si="1000"/>
        <v>107.9646017699115</v>
      </c>
      <c r="AJ494" s="1998">
        <f t="shared" si="1000"/>
        <v>95.4861111111111</v>
      </c>
      <c r="AK494" s="1999">
        <f t="shared" si="1000"/>
        <v>93.849546679735354</v>
      </c>
      <c r="AL494" s="1998">
        <f t="shared" si="1000"/>
        <v>87.124658780709737</v>
      </c>
      <c r="AM494" s="1998">
        <f t="shared" si="1000"/>
        <v>81.539914509230783</v>
      </c>
      <c r="AN494" s="1998">
        <f t="shared" si="1000"/>
        <v>76.019503546099287</v>
      </c>
      <c r="AO494" s="1999">
        <f t="shared" si="1000"/>
        <v>82.071276614846994</v>
      </c>
      <c r="AP494" s="1998">
        <f t="shared" si="1000"/>
        <v>84.159506499228897</v>
      </c>
      <c r="AQ494" s="1998">
        <f t="shared" si="1000"/>
        <v>91.493809294098725</v>
      </c>
      <c r="AR494" s="1998">
        <f t="shared" si="1000"/>
        <v>83.917340521114099</v>
      </c>
      <c r="AS494" s="1998">
        <f t="shared" ref="AS494:AY494" si="1001">AS488/AS491*1000</f>
        <v>79.920079920079914</v>
      </c>
      <c r="AT494" s="2000">
        <f t="shared" si="1001"/>
        <v>74.850299401197603</v>
      </c>
      <c r="AU494" s="1998">
        <f t="shared" si="1001"/>
        <v>73.51555136663525</v>
      </c>
      <c r="AV494" s="1998">
        <f t="shared" si="1001"/>
        <v>68.863210493441599</v>
      </c>
      <c r="AW494" s="1998">
        <f t="shared" si="1001"/>
        <v>67.348377997179128</v>
      </c>
      <c r="AX494" s="2000">
        <f t="shared" si="1001"/>
        <v>69.263456090651559</v>
      </c>
      <c r="AY494" s="1998">
        <f t="shared" si="1001"/>
        <v>102.78909432779693</v>
      </c>
      <c r="AZ494" s="1998">
        <f>AZ488/AZ491*1000</f>
        <v>99.111414900888576</v>
      </c>
      <c r="BA494" s="1973">
        <f t="shared" ref="BA494:BI494" si="1002">AZ494*(1+BA496)</f>
        <v>87.218045112781951</v>
      </c>
      <c r="BB494" s="1971">
        <f t="shared" si="1002"/>
        <v>84.601503759398497</v>
      </c>
      <c r="BC494" s="1972">
        <f t="shared" si="1002"/>
        <v>81.640451127819546</v>
      </c>
      <c r="BD494" s="1972">
        <f t="shared" si="1002"/>
        <v>79.803540977443603</v>
      </c>
      <c r="BE494" s="1973">
        <f t="shared" si="1002"/>
        <v>77.808452453007519</v>
      </c>
      <c r="BF494" s="1971">
        <f t="shared" si="1002"/>
        <v>75.474198879417287</v>
      </c>
      <c r="BG494" s="2012">
        <f t="shared" si="1002"/>
        <v>79.247908823388158</v>
      </c>
      <c r="BH494" s="1972">
        <f t="shared" si="1002"/>
        <v>77.662950646920393</v>
      </c>
      <c r="BI494" s="1973">
        <f t="shared" si="1002"/>
        <v>76.109691633981981</v>
      </c>
      <c r="BJ494" s="1971">
        <f t="shared" ref="BJ494:BR494" si="1003">BI494*(1+BJ496)</f>
        <v>77.700856914597637</v>
      </c>
      <c r="BK494" s="1972">
        <f t="shared" si="1003"/>
        <v>78.672117626030101</v>
      </c>
      <c r="BL494" s="1972">
        <f t="shared" si="1003"/>
        <v>79.7105895786937</v>
      </c>
      <c r="BM494" s="1973">
        <f t="shared" si="1003"/>
        <v>77.319271891332889</v>
      </c>
      <c r="BN494" s="1971">
        <f t="shared" si="1003"/>
        <v>77.70586825078955</v>
      </c>
      <c r="BO494" s="1972">
        <f t="shared" si="1003"/>
        <v>78.7160445380498</v>
      </c>
      <c r="BP494" s="1972">
        <f t="shared" si="1003"/>
        <v>79.896785206120541</v>
      </c>
      <c r="BQ494" s="1973">
        <f t="shared" si="1003"/>
        <v>84.690592318487774</v>
      </c>
      <c r="BR494" s="1971">
        <f t="shared" si="1003"/>
        <v>84.690592318487774</v>
      </c>
      <c r="BS494" s="1972"/>
      <c r="BT494" s="1972"/>
      <c r="BU494" s="1973"/>
      <c r="BV494" s="1972"/>
      <c r="BW494" s="1972"/>
      <c r="BX494" s="1972"/>
      <c r="BY494" s="1973"/>
      <c r="BZ494" s="1972"/>
      <c r="CA494" s="1972"/>
      <c r="CB494" s="1972"/>
      <c r="CC494" s="1973"/>
      <c r="CD494" s="1837"/>
      <c r="CE494" s="1934"/>
      <c r="CF494" s="1934"/>
      <c r="CG494" s="1934"/>
      <c r="CH494" s="1934"/>
      <c r="CI494" s="1934"/>
      <c r="CJ494" s="1934"/>
      <c r="CK494" s="1937"/>
      <c r="CL494" s="1822"/>
      <c r="CM494" s="1831"/>
      <c r="CN494" s="1972">
        <f t="shared" ref="CN494:CS494" si="1004">CN488*1000/CN491</f>
        <v>85.240060015003749</v>
      </c>
      <c r="CO494" s="1972">
        <f t="shared" si="1004"/>
        <v>71.244192049561178</v>
      </c>
      <c r="CP494" s="1972">
        <f t="shared" si="1004"/>
        <v>84.890666350951435</v>
      </c>
      <c r="CQ494" s="1972">
        <f t="shared" si="1004"/>
        <v>81.027937448845833</v>
      </c>
      <c r="CR494" s="1972">
        <f t="shared" si="1004"/>
        <v>77.204485342518893</v>
      </c>
      <c r="CS494" s="1972">
        <f t="shared" si="1004"/>
        <v>78.384976115476178</v>
      </c>
      <c r="CT494" s="1972">
        <f>CT488*1000/CT491</f>
        <v>80.022546654749092</v>
      </c>
      <c r="CU494" s="1972">
        <f>CU488*1000/CU491</f>
        <v>84.690592318487774</v>
      </c>
      <c r="CV494" s="1972"/>
      <c r="CW494" s="1972"/>
      <c r="CX494" s="1972"/>
      <c r="CY494" s="1972"/>
      <c r="CZ494" s="1972"/>
      <c r="DA494" s="1972"/>
      <c r="DB494" s="1972"/>
      <c r="DC494" s="1972"/>
      <c r="DD494" s="1837"/>
      <c r="DE494" s="1839"/>
      <c r="DF494" s="1829"/>
      <c r="DG494" s="1804"/>
      <c r="DH494" s="1803"/>
      <c r="DI494" s="1803"/>
      <c r="DJ494" s="1803"/>
      <c r="DK494" s="1803"/>
      <c r="DL494" s="1803"/>
      <c r="DM494" s="1963"/>
      <c r="DN494" s="1963"/>
      <c r="DO494" s="1963"/>
      <c r="DP494" s="1963">
        <f t="shared" ref="DP494:DU494" si="1005">DP488/DP491*1000</f>
        <v>77.634635691657863</v>
      </c>
      <c r="DQ494" s="1963">
        <f t="shared" si="1005"/>
        <v>73.453665964975144</v>
      </c>
      <c r="DR494" s="1963">
        <f t="shared" si="1005"/>
        <v>86.252148415519542</v>
      </c>
      <c r="DS494" s="1964">
        <f t="shared" si="1005"/>
        <v>78.159296706584783</v>
      </c>
      <c r="DT494" s="1963">
        <f t="shared" si="1005"/>
        <v>77.592028076805022</v>
      </c>
      <c r="DU494" s="1963">
        <f t="shared" si="1005"/>
        <v>78.424986048553535</v>
      </c>
      <c r="DV494" s="1963">
        <f>DV488/DV491*1000</f>
        <v>83.045114198248299</v>
      </c>
      <c r="DW494" s="1965"/>
      <c r="DX494" s="1963"/>
      <c r="DY494" s="1963"/>
      <c r="DZ494" s="1830"/>
      <c r="EA494"/>
      <c r="EB494"/>
      <c r="EC494"/>
      <c r="ED494"/>
      <c r="EE494"/>
      <c r="EF494"/>
    </row>
    <row r="495" spans="1:136" s="1785" customFormat="1" ht="11.25" hidden="1" customHeight="1" outlineLevel="1">
      <c r="A495" s="1830"/>
      <c r="B495" s="1943"/>
      <c r="C495" s="1859"/>
      <c r="D495" s="1860"/>
      <c r="E495" s="1932" t="s">
        <v>183</v>
      </c>
      <c r="F495" s="1968"/>
      <c r="G495" s="1938"/>
      <c r="H495" s="1938"/>
      <c r="I495" s="1969"/>
      <c r="J495" s="1938"/>
      <c r="K495" s="1938"/>
      <c r="L495" s="1938"/>
      <c r="M495" s="1969"/>
      <c r="N495" s="1938"/>
      <c r="O495" s="1938"/>
      <c r="P495" s="1938"/>
      <c r="Q495" s="1969"/>
      <c r="R495" s="1852"/>
      <c r="S495" s="1852"/>
      <c r="T495" s="1852"/>
      <c r="U495" s="1825"/>
      <c r="V495" s="1852"/>
      <c r="W495" s="1852"/>
      <c r="X495" s="1852"/>
      <c r="Y495" s="1825"/>
      <c r="Z495" s="1852"/>
      <c r="AA495" s="1852"/>
      <c r="AB495" s="1852"/>
      <c r="AC495" s="1825"/>
      <c r="AD495" s="1852"/>
      <c r="AE495" s="1852"/>
      <c r="AF495" s="1852"/>
      <c r="AG495" s="1852"/>
      <c r="AH495" s="1851">
        <f t="shared" ref="AH495:AU495" si="1006">AH494/AD494-1</f>
        <v>0.12227700582698353</v>
      </c>
      <c r="AI495" s="1852">
        <f t="shared" si="1006"/>
        <v>2.2488287350338254E-2</v>
      </c>
      <c r="AJ495" s="1852">
        <f t="shared" si="1006"/>
        <v>-6.8112990810359375E-2</v>
      </c>
      <c r="AK495" s="1825">
        <f t="shared" si="1006"/>
        <v>-0.17943622770963463</v>
      </c>
      <c r="AL495" s="1852">
        <f t="shared" si="1006"/>
        <v>-0.2101783269412294</v>
      </c>
      <c r="AM495" s="1852">
        <f t="shared" si="1006"/>
        <v>-0.24475325085712463</v>
      </c>
      <c r="AN495" s="1852">
        <f t="shared" si="1006"/>
        <v>-0.20386847195357827</v>
      </c>
      <c r="AO495" s="1825">
        <f t="shared" si="1006"/>
        <v>-0.12550161915093838</v>
      </c>
      <c r="AP495" s="1852">
        <f t="shared" si="1006"/>
        <v>-3.4033444985351879E-2</v>
      </c>
      <c r="AQ495" s="1852">
        <f t="shared" si="1006"/>
        <v>0.12207389282632986</v>
      </c>
      <c r="AR495" s="1852">
        <f t="shared" si="1006"/>
        <v>0.10389224615529691</v>
      </c>
      <c r="AS495" s="1825">
        <f t="shared" si="1006"/>
        <v>-2.6211322444299801E-2</v>
      </c>
      <c r="AT495" s="1851">
        <f t="shared" si="1006"/>
        <v>-0.11061385083236663</v>
      </c>
      <c r="AU495" s="1852">
        <f t="shared" si="1006"/>
        <v>-0.19649698778716229</v>
      </c>
      <c r="AV495" s="1852">
        <f t="shared" ref="AV495:BD495" si="1007">AV494/AR494-1</f>
        <v>-0.17939236317772478</v>
      </c>
      <c r="AW495" s="1852">
        <f t="shared" si="1007"/>
        <v>-0.15730342031029609</v>
      </c>
      <c r="AX495" s="1851">
        <f t="shared" si="1007"/>
        <v>-7.4640226628895134E-2</v>
      </c>
      <c r="AY495" s="1852">
        <f t="shared" si="1007"/>
        <v>0.39819524463836586</v>
      </c>
      <c r="AZ495" s="1852">
        <f t="shared" si="1007"/>
        <v>0.43925056921834571</v>
      </c>
      <c r="BA495" s="1825">
        <f>BA494/AW494-1</f>
        <v>0.29502814628193508</v>
      </c>
      <c r="BB495" s="1851">
        <f t="shared" si="1007"/>
        <v>0.22144502360194962</v>
      </c>
      <c r="BC495" s="1852">
        <f t="shared" si="1007"/>
        <v>-0.20574792820465804</v>
      </c>
      <c r="BD495" s="1852">
        <f t="shared" si="1007"/>
        <v>-0.19480978999999998</v>
      </c>
      <c r="BE495" s="1825">
        <f t="shared" ref="BE495:BR495" si="1008">BE494/BA494-1</f>
        <v>-0.10788584687499991</v>
      </c>
      <c r="BF495" s="1851">
        <f t="shared" si="1008"/>
        <v>-0.10788584687500014</v>
      </c>
      <c r="BG495" s="1854">
        <f t="shared" si="1008"/>
        <v>-2.9305843750000005E-2</v>
      </c>
      <c r="BH495" s="1852">
        <f t="shared" si="1008"/>
        <v>-2.6823249999999965E-2</v>
      </c>
      <c r="BI495" s="1825">
        <f t="shared" si="1008"/>
        <v>-2.1832600000000091E-2</v>
      </c>
      <c r="BJ495" s="1851">
        <f t="shared" si="1008"/>
        <v>2.9502241404878005E-2</v>
      </c>
      <c r="BK495" s="1852">
        <f t="shared" si="1008"/>
        <v>-7.2656957881533923E-3</v>
      </c>
      <c r="BL495" s="1852">
        <f t="shared" si="1008"/>
        <v>2.6365711252492874E-2</v>
      </c>
      <c r="BM495" s="1825">
        <f t="shared" si="1008"/>
        <v>1.5892591749916418E-2</v>
      </c>
      <c r="BN495" s="1851">
        <f t="shared" si="1008"/>
        <v>6.4495249999962923E-5</v>
      </c>
      <c r="BO495" s="1852">
        <f t="shared" si="1008"/>
        <v>5.5835425999983812E-4</v>
      </c>
      <c r="BP495" s="1852">
        <f t="shared" si="1008"/>
        <v>2.3358957499997057E-3</v>
      </c>
      <c r="BQ495" s="1825">
        <f t="shared" si="1008"/>
        <v>9.5336133499999587E-2</v>
      </c>
      <c r="BR495" s="1851">
        <f t="shared" si="1008"/>
        <v>8.9886699999999653E-2</v>
      </c>
      <c r="BS495" s="1852"/>
      <c r="BT495" s="1852"/>
      <c r="BU495" s="1825"/>
      <c r="BV495" s="1852"/>
      <c r="BW495" s="1852"/>
      <c r="BX495" s="1852"/>
      <c r="BY495" s="1825"/>
      <c r="BZ495" s="1852"/>
      <c r="CA495" s="1852"/>
      <c r="CB495" s="1852"/>
      <c r="CC495" s="1825"/>
      <c r="CD495" s="1837"/>
      <c r="CE495" s="1934"/>
      <c r="CF495" s="1934"/>
      <c r="CG495" s="1934"/>
      <c r="CH495" s="1934"/>
      <c r="CI495" s="1934"/>
      <c r="CJ495" s="1934"/>
      <c r="CK495" s="1937"/>
      <c r="CL495" s="1937"/>
      <c r="CM495" s="1934"/>
      <c r="CN495" s="1852"/>
      <c r="CO495" s="1852">
        <f t="shared" ref="CO495:CU495" si="1009">CO494/CN494-1</f>
        <v>-0.16419354893672122</v>
      </c>
      <c r="CP495" s="1852">
        <f t="shared" si="1009"/>
        <v>0.19154507769415163</v>
      </c>
      <c r="CQ495" s="1852">
        <f t="shared" si="1009"/>
        <v>-4.5502398180460424E-2</v>
      </c>
      <c r="CR495" s="1852">
        <f t="shared" si="1009"/>
        <v>-4.7186837363850542E-2</v>
      </c>
      <c r="CS495" s="1852">
        <f t="shared" si="1009"/>
        <v>1.529044287673198E-2</v>
      </c>
      <c r="CT495" s="1852">
        <f t="shared" si="1009"/>
        <v>2.0891382767795452E-2</v>
      </c>
      <c r="CU495" s="1852">
        <f t="shared" si="1009"/>
        <v>5.8334130303033138E-2</v>
      </c>
      <c r="CV495" s="1852"/>
      <c r="CW495" s="1852"/>
      <c r="CX495" s="1991"/>
      <c r="CY495" s="1991"/>
      <c r="CZ495" s="1991"/>
      <c r="DA495" s="1991"/>
      <c r="DB495" s="1991"/>
      <c r="DC495" s="1991"/>
      <c r="DD495" s="1837"/>
      <c r="DE495" s="1839"/>
      <c r="DF495" s="1829"/>
      <c r="DG495" s="1804"/>
      <c r="DH495" s="1803"/>
      <c r="DI495" s="1803"/>
      <c r="DJ495" s="1803"/>
      <c r="DK495" s="1803"/>
      <c r="DL495" s="1803"/>
      <c r="DM495" s="1852"/>
      <c r="DN495" s="1852"/>
      <c r="DO495" s="1852"/>
      <c r="DP495" s="1852"/>
      <c r="DQ495" s="1852">
        <f t="shared" ref="DQ495:DV495" si="1010">DQ494/DP494-1</f>
        <v>-5.3854438672042093E-2</v>
      </c>
      <c r="DR495" s="1852">
        <f t="shared" si="1010"/>
        <v>0.17423885223981994</v>
      </c>
      <c r="DS495" s="1851">
        <f t="shared" si="1010"/>
        <v>-9.3827827568392475E-2</v>
      </c>
      <c r="DT495" s="1852">
        <f t="shared" si="1010"/>
        <v>-7.2578522796760137E-3</v>
      </c>
      <c r="DU495" s="1852">
        <f t="shared" si="1010"/>
        <v>1.0735097308244068E-2</v>
      </c>
      <c r="DV495" s="1852">
        <f t="shared" si="1010"/>
        <v>5.8911430941593013E-2</v>
      </c>
      <c r="DW495" s="1825"/>
      <c r="DX495" s="1852"/>
      <c r="DY495" s="1852"/>
      <c r="DZ495" s="1830"/>
      <c r="EA495"/>
      <c r="EB495"/>
      <c r="EC495"/>
      <c r="ED495"/>
      <c r="EE495"/>
      <c r="EF495"/>
    </row>
    <row r="496" spans="1:136" s="1785" customFormat="1" ht="11.25" hidden="1" customHeight="1" outlineLevel="1">
      <c r="A496" s="1830"/>
      <c r="B496" s="1943"/>
      <c r="C496" s="1859"/>
      <c r="D496" s="1860"/>
      <c r="E496" s="1932" t="s">
        <v>184</v>
      </c>
      <c r="F496" s="1968"/>
      <c r="G496" s="1938"/>
      <c r="H496" s="1938"/>
      <c r="I496" s="1969"/>
      <c r="J496" s="1938"/>
      <c r="K496" s="1938"/>
      <c r="L496" s="1938"/>
      <c r="M496" s="1969"/>
      <c r="N496" s="1938"/>
      <c r="O496" s="1938"/>
      <c r="P496" s="1938"/>
      <c r="Q496" s="1969"/>
      <c r="R496" s="1852"/>
      <c r="S496" s="1852"/>
      <c r="T496" s="1852"/>
      <c r="U496" s="1825"/>
      <c r="V496" s="1852"/>
      <c r="W496" s="1852"/>
      <c r="X496" s="1852"/>
      <c r="Y496" s="1825"/>
      <c r="Z496" s="1852"/>
      <c r="AA496" s="1852"/>
      <c r="AB496" s="1852"/>
      <c r="AC496" s="1825"/>
      <c r="AD496" s="1852"/>
      <c r="AE496" s="1852">
        <f t="shared" ref="AE496:AO496" si="1011">AE494/AD494-1</f>
        <v>7.4264110180934484E-2</v>
      </c>
      <c r="AF496" s="1852">
        <f t="shared" si="1011"/>
        <v>-2.9593039064624294E-2</v>
      </c>
      <c r="AG496" s="1852">
        <f t="shared" si="1011"/>
        <v>0.11620224493040965</v>
      </c>
      <c r="AH496" s="1851">
        <f t="shared" si="1011"/>
        <v>-3.5522271931530791E-2</v>
      </c>
      <c r="AI496" s="1852">
        <f t="shared" si="1011"/>
        <v>-2.125547928211069E-2</v>
      </c>
      <c r="AJ496" s="1852">
        <f t="shared" si="1011"/>
        <v>-0.11557946265938068</v>
      </c>
      <c r="AK496" s="1825">
        <f t="shared" si="1011"/>
        <v>-1.713929295404415E-2</v>
      </c>
      <c r="AL496" s="1852">
        <f t="shared" si="1011"/>
        <v>-7.1656050955413941E-2</v>
      </c>
      <c r="AM496" s="1852">
        <f t="shared" si="1011"/>
        <v>-6.4100615711283226E-2</v>
      </c>
      <c r="AN496" s="1852">
        <f t="shared" si="1011"/>
        <v>-6.7701946909774491E-2</v>
      </c>
      <c r="AO496" s="1825">
        <f t="shared" si="1011"/>
        <v>7.9608163516587949E-2</v>
      </c>
      <c r="AP496" s="1852">
        <f t="shared" ref="AP496:AZ496" si="1012">AP494/AO494-1</f>
        <v>2.5444101402026131E-2</v>
      </c>
      <c r="AQ496" s="1852">
        <f t="shared" si="1012"/>
        <v>8.7147644989304052E-2</v>
      </c>
      <c r="AR496" s="1852">
        <f t="shared" si="1012"/>
        <v>-8.2808540068877612E-2</v>
      </c>
      <c r="AS496" s="1825">
        <f t="shared" si="1012"/>
        <v>-4.7633308875278835E-2</v>
      </c>
      <c r="AT496" s="1851">
        <f t="shared" si="1012"/>
        <v>-6.343562874251496E-2</v>
      </c>
      <c r="AU496" s="1852">
        <f t="shared" si="1012"/>
        <v>-1.7832233741753023E-2</v>
      </c>
      <c r="AV496" s="1852">
        <f t="shared" si="1012"/>
        <v>-6.3283764954595645E-2</v>
      </c>
      <c r="AW496" s="1852">
        <f t="shared" si="1012"/>
        <v>-2.1997703641870481E-2</v>
      </c>
      <c r="AX496" s="1851">
        <f t="shared" si="1012"/>
        <v>2.8435400382658793E-2</v>
      </c>
      <c r="AY496" s="1852">
        <f t="shared" si="1012"/>
        <v>0.48403068702299867</v>
      </c>
      <c r="AZ496" s="1852">
        <f t="shared" si="1012"/>
        <v>-3.5778887351416322E-2</v>
      </c>
      <c r="BA496" s="1825">
        <v>-0.12</v>
      </c>
      <c r="BB496" s="1851">
        <v>-0.03</v>
      </c>
      <c r="BC496" s="1852">
        <v>-3.5000000000000003E-2</v>
      </c>
      <c r="BD496" s="1852">
        <v>-2.2499999999999999E-2</v>
      </c>
      <c r="BE496" s="1825">
        <v>-2.5000000000000001E-2</v>
      </c>
      <c r="BF496" s="1851">
        <v>-0.03</v>
      </c>
      <c r="BG496" s="1854">
        <v>0.05</v>
      </c>
      <c r="BH496" s="1852">
        <v>-0.02</v>
      </c>
      <c r="BI496" s="1825">
        <v>-0.02</v>
      </c>
      <c r="BJ496" s="1851">
        <f>$BJ$424</f>
        <v>2.0906211107354095E-2</v>
      </c>
      <c r="BK496" s="1852">
        <v>1.2500000000000001E-2</v>
      </c>
      <c r="BL496" s="1852">
        <f>$BL$424</f>
        <v>1.32E-2</v>
      </c>
      <c r="BM496" s="1825">
        <v>-0.03</v>
      </c>
      <c r="BN496" s="1851">
        <v>5.0000000000000001E-3</v>
      </c>
      <c r="BO496" s="1852">
        <v>1.2999999999999999E-2</v>
      </c>
      <c r="BP496" s="1852">
        <v>1.4999999999999999E-2</v>
      </c>
      <c r="BQ496" s="1825">
        <v>0.06</v>
      </c>
      <c r="BR496" s="1851">
        <v>0</v>
      </c>
      <c r="BS496" s="1852"/>
      <c r="BT496" s="1852"/>
      <c r="BU496" s="1825"/>
      <c r="BV496" s="1852"/>
      <c r="BW496" s="1852"/>
      <c r="BX496" s="1852"/>
      <c r="BY496" s="1825"/>
      <c r="BZ496" s="1852"/>
      <c r="CA496" s="1852"/>
      <c r="CB496" s="1852"/>
      <c r="CC496" s="1825"/>
      <c r="CD496" s="1837"/>
      <c r="CE496" s="1934"/>
      <c r="CF496" s="1934"/>
      <c r="CG496" s="1934"/>
      <c r="CH496" s="1934"/>
      <c r="CI496" s="1934"/>
      <c r="CJ496" s="1934"/>
      <c r="CK496" s="1937"/>
      <c r="CL496" s="1937"/>
      <c r="CM496" s="1934"/>
      <c r="CN496" s="1934"/>
      <c r="CO496" s="1938"/>
      <c r="CP496" s="1938"/>
      <c r="CQ496" s="1938"/>
      <c r="CR496" s="1938"/>
      <c r="CS496" s="1852"/>
      <c r="CT496" s="1852"/>
      <c r="CU496" s="1852"/>
      <c r="CV496" s="1852"/>
      <c r="CW496" s="1852"/>
      <c r="CX496" s="1852"/>
      <c r="CY496" s="1852"/>
      <c r="CZ496" s="1852"/>
      <c r="DA496" s="1852"/>
      <c r="DB496" s="1852"/>
      <c r="DC496" s="1852"/>
      <c r="DD496" s="1837"/>
      <c r="DE496" s="1839"/>
      <c r="DF496" s="1829"/>
      <c r="DG496" s="1804"/>
      <c r="DH496" s="1803"/>
      <c r="DI496" s="1803"/>
      <c r="DJ496" s="1803"/>
      <c r="DK496" s="1803"/>
      <c r="DL496" s="1803"/>
      <c r="DM496" s="1803"/>
      <c r="DN496" s="1803"/>
      <c r="DO496" s="1803"/>
      <c r="DP496" s="1803"/>
      <c r="DQ496" s="1803"/>
      <c r="DR496" s="1803"/>
      <c r="DS496" s="1804"/>
      <c r="DT496" s="1974"/>
      <c r="DU496" s="1974"/>
      <c r="DV496" s="1974"/>
      <c r="DW496" s="1975"/>
      <c r="DX496" s="1974"/>
      <c r="DY496" s="1974"/>
      <c r="DZ496" s="1830"/>
      <c r="EA496"/>
      <c r="EB496"/>
      <c r="EC496"/>
      <c r="ED496"/>
      <c r="EE496"/>
      <c r="EF496"/>
    </row>
    <row r="497" spans="1:136" s="1785" customFormat="1" ht="5.25" hidden="1" customHeight="1" outlineLevel="1">
      <c r="A497" s="1829"/>
      <c r="B497" s="1913"/>
      <c r="C497" s="1914"/>
      <c r="D497" s="1915"/>
      <c r="E497" s="1916"/>
      <c r="F497" s="1917"/>
      <c r="G497" s="1918"/>
      <c r="H497" s="1918"/>
      <c r="I497" s="1919"/>
      <c r="J497" s="1920"/>
      <c r="K497" s="1921"/>
      <c r="L497" s="1921"/>
      <c r="M497" s="1922"/>
      <c r="N497" s="1921"/>
      <c r="O497" s="1921"/>
      <c r="P497" s="1921"/>
      <c r="Q497" s="1921"/>
      <c r="R497" s="1920"/>
      <c r="S497" s="1921"/>
      <c r="T497" s="1921"/>
      <c r="U497" s="1921"/>
      <c r="V497" s="1920"/>
      <c r="W497" s="1921"/>
      <c r="X497" s="1921"/>
      <c r="Y497" s="1921"/>
      <c r="Z497" s="1920"/>
      <c r="AA497" s="1921"/>
      <c r="AB497" s="1921"/>
      <c r="AC497" s="1921"/>
      <c r="AD497" s="1920"/>
      <c r="AE497" s="1921"/>
      <c r="AF497" s="1921"/>
      <c r="AG497" s="1921"/>
      <c r="AH497" s="1920"/>
      <c r="AI497" s="1921"/>
      <c r="AJ497" s="1921"/>
      <c r="AK497" s="1921"/>
      <c r="AL497" s="1920"/>
      <c r="AM497" s="1921"/>
      <c r="AN497" s="1921"/>
      <c r="AO497" s="1922"/>
      <c r="AP497" s="1921"/>
      <c r="AQ497" s="1921"/>
      <c r="AR497" s="1921"/>
      <c r="AS497" s="1922"/>
      <c r="AT497" s="1921"/>
      <c r="AU497" s="1921"/>
      <c r="AV497" s="1921"/>
      <c r="AW497" s="1922"/>
      <c r="AX497" s="1921"/>
      <c r="AY497" s="1921"/>
      <c r="AZ497" s="1921"/>
      <c r="BA497" s="1922"/>
      <c r="BB497" s="1921"/>
      <c r="BC497" s="1921"/>
      <c r="BD497" s="1921"/>
      <c r="BE497" s="1922"/>
      <c r="BF497" s="1921"/>
      <c r="BG497" s="1923"/>
      <c r="BH497" s="1921"/>
      <c r="BI497" s="1922"/>
      <c r="BJ497" s="1921"/>
      <c r="BK497" s="1921"/>
      <c r="BL497" s="1921"/>
      <c r="BM497" s="1922"/>
      <c r="BN497" s="1921"/>
      <c r="BO497" s="1921"/>
      <c r="BP497" s="1921"/>
      <c r="BQ497" s="1922"/>
      <c r="BR497" s="1921"/>
      <c r="BS497" s="1921"/>
      <c r="BT497" s="1921"/>
      <c r="BU497" s="1922"/>
      <c r="BV497" s="1921"/>
      <c r="BW497" s="1921"/>
      <c r="BX497" s="1921"/>
      <c r="BY497" s="1922"/>
      <c r="BZ497" s="1921"/>
      <c r="CA497" s="1921"/>
      <c r="CB497" s="1921"/>
      <c r="CC497" s="1922"/>
      <c r="CD497" s="1837"/>
      <c r="CE497" s="1921"/>
      <c r="CF497" s="1921"/>
      <c r="CG497" s="1921"/>
      <c r="CH497" s="1921"/>
      <c r="CI497" s="1921"/>
      <c r="CJ497" s="1921"/>
      <c r="CK497" s="1923"/>
      <c r="CL497" s="1923"/>
      <c r="CM497" s="1921"/>
      <c r="CN497" s="1921"/>
      <c r="CO497" s="1924"/>
      <c r="CP497" s="1924"/>
      <c r="CQ497" s="1924"/>
      <c r="CR497" s="1921"/>
      <c r="CS497" s="1921"/>
      <c r="CT497" s="1921"/>
      <c r="CU497" s="1921"/>
      <c r="CV497" s="1921"/>
      <c r="CW497" s="1921"/>
      <c r="CX497" s="1921"/>
      <c r="CY497" s="1921"/>
      <c r="CZ497" s="1921"/>
      <c r="DA497" s="1921"/>
      <c r="DB497" s="1921"/>
      <c r="DC497" s="1921"/>
      <c r="DD497" s="1925"/>
      <c r="DE497" s="1839"/>
      <c r="DF497" s="1829"/>
      <c r="DG497" s="1926"/>
      <c r="DH497" s="1927"/>
      <c r="DI497" s="1927"/>
      <c r="DJ497" s="1927"/>
      <c r="DK497" s="1927"/>
      <c r="DL497" s="1927"/>
      <c r="DM497" s="1927"/>
      <c r="DN497" s="1927"/>
      <c r="DO497" s="1927"/>
      <c r="DP497" s="1927"/>
      <c r="DQ497" s="1927"/>
      <c r="DR497" s="1927"/>
      <c r="DS497" s="1926"/>
      <c r="DT497" s="1928"/>
      <c r="DU497" s="1928"/>
      <c r="DV497" s="1928"/>
      <c r="DW497" s="1929"/>
      <c r="DX497" s="1874"/>
      <c r="DY497" s="1874"/>
      <c r="DZ497" s="1829"/>
      <c r="EA497"/>
      <c r="EB497"/>
      <c r="EC497"/>
      <c r="ED497"/>
      <c r="EE497"/>
      <c r="EF497"/>
    </row>
    <row r="498" spans="1:136" s="1785" customFormat="1" ht="6.75" hidden="1" customHeight="1" outlineLevel="1">
      <c r="A498" s="1829"/>
      <c r="B498" s="2025"/>
      <c r="C498" s="1860"/>
      <c r="D498" s="1931"/>
      <c r="E498" s="2025"/>
      <c r="F498" s="1781"/>
      <c r="G498" s="1781"/>
      <c r="H498" s="1781"/>
      <c r="I498" s="1781"/>
      <c r="J498" s="1934"/>
      <c r="K498" s="1934"/>
      <c r="L498" s="1934"/>
      <c r="M498" s="1934"/>
      <c r="N498" s="1934"/>
      <c r="O498" s="1934"/>
      <c r="P498" s="1934"/>
      <c r="Q498" s="1934"/>
      <c r="R498" s="1934"/>
      <c r="S498" s="1934"/>
      <c r="T498" s="1934"/>
      <c r="U498" s="1934"/>
      <c r="V498" s="1934"/>
      <c r="W498" s="1934"/>
      <c r="X498" s="1934"/>
      <c r="Y498" s="1934"/>
      <c r="Z498" s="1934"/>
      <c r="AA498" s="1934"/>
      <c r="AB498" s="1934"/>
      <c r="AC498" s="1934"/>
      <c r="AD498" s="1934"/>
      <c r="AE498" s="1934"/>
      <c r="AF498" s="1934"/>
      <c r="AG498" s="1934"/>
      <c r="AH498" s="1934"/>
      <c r="AI498" s="1934"/>
      <c r="AJ498" s="1934"/>
      <c r="AK498" s="1934"/>
      <c r="AL498" s="1934"/>
      <c r="AM498" s="1934"/>
      <c r="AN498" s="1934"/>
      <c r="AO498" s="1934"/>
      <c r="AP498" s="1934"/>
      <c r="AQ498" s="1934"/>
      <c r="AR498" s="1934"/>
      <c r="AS498" s="1934"/>
      <c r="AT498" s="1934"/>
      <c r="AU498" s="1934"/>
      <c r="AV498" s="1934"/>
      <c r="AW498" s="1934"/>
      <c r="AX498" s="1934"/>
      <c r="AY498" s="1934"/>
      <c r="AZ498" s="1934"/>
      <c r="BA498" s="1934"/>
      <c r="BB498" s="1934"/>
      <c r="BC498" s="1934"/>
      <c r="BD498" s="1934"/>
      <c r="BE498" s="1934"/>
      <c r="BF498" s="1934"/>
      <c r="BG498" s="1937"/>
      <c r="BH498" s="1934"/>
      <c r="BI498" s="1934"/>
      <c r="BJ498" s="1934"/>
      <c r="BK498" s="1934"/>
      <c r="BL498" s="1934"/>
      <c r="BM498" s="1934"/>
      <c r="BN498" s="1934"/>
      <c r="BO498" s="1934"/>
      <c r="BP498" s="1934"/>
      <c r="BQ498" s="1935"/>
      <c r="BR498" s="1934"/>
      <c r="BS498" s="1934"/>
      <c r="BT498" s="1934"/>
      <c r="BU498" s="1935"/>
      <c r="BV498" s="1934"/>
      <c r="BW498" s="1934"/>
      <c r="BX498" s="1934"/>
      <c r="BY498" s="1935"/>
      <c r="BZ498" s="1934"/>
      <c r="CA498" s="1934"/>
      <c r="CB498" s="1934"/>
      <c r="CC498" s="1935"/>
      <c r="CD498" s="1839"/>
      <c r="CE498" s="1934"/>
      <c r="CF498" s="1934"/>
      <c r="CG498" s="1934"/>
      <c r="CH498" s="1934"/>
      <c r="CI498" s="1934"/>
      <c r="CJ498" s="1934"/>
      <c r="CK498" s="1937"/>
      <c r="CL498" s="1937"/>
      <c r="CM498" s="1934"/>
      <c r="CN498" s="1934"/>
      <c r="CO498" s="1938"/>
      <c r="CP498" s="1938"/>
      <c r="CQ498" s="1938"/>
      <c r="CR498" s="1934"/>
      <c r="CS498" s="1934"/>
      <c r="CT498" s="1934"/>
      <c r="CU498" s="2026"/>
      <c r="CV498" s="2026"/>
      <c r="CW498" s="2026"/>
      <c r="CX498" s="2026"/>
      <c r="CY498" s="2026"/>
      <c r="CZ498" s="2026"/>
      <c r="DA498" s="2026"/>
      <c r="DB498" s="2026"/>
      <c r="DC498" s="2026"/>
      <c r="DD498" s="2027"/>
      <c r="DE498" s="1839"/>
      <c r="DF498" s="1829"/>
      <c r="DG498" s="1803"/>
      <c r="DH498" s="1803"/>
      <c r="DI498" s="1803"/>
      <c r="DJ498" s="1803"/>
      <c r="DK498" s="1803"/>
      <c r="DL498" s="1803"/>
      <c r="DM498" s="1803"/>
      <c r="DN498" s="1803"/>
      <c r="DO498" s="1803"/>
      <c r="DP498" s="1803"/>
      <c r="DQ498" s="1803"/>
      <c r="DR498" s="1803"/>
      <c r="DS498" s="1803"/>
      <c r="DT498" s="1874"/>
      <c r="DU498" s="2028"/>
      <c r="DV498" s="2028"/>
      <c r="DW498" s="2028"/>
      <c r="DX498" s="1874"/>
      <c r="DY498" s="1874"/>
      <c r="DZ498" s="1829"/>
      <c r="EA498"/>
      <c r="EB498"/>
      <c r="EC498"/>
      <c r="ED498"/>
      <c r="EE498"/>
      <c r="EF498"/>
    </row>
    <row r="499" spans="1:136" s="1785" customFormat="1" ht="11.25" hidden="1" customHeight="1" outlineLevel="1">
      <c r="A499" s="1829"/>
      <c r="B499" s="2029" t="s">
        <v>920</v>
      </c>
      <c r="C499" s="2030"/>
      <c r="D499" s="2030"/>
      <c r="E499" s="2031"/>
      <c r="F499" s="2029"/>
      <c r="G499" s="2030"/>
      <c r="H499" s="2030"/>
      <c r="I499" s="2031"/>
      <c r="J499" s="2030"/>
      <c r="K499" s="2030"/>
      <c r="L499" s="2030"/>
      <c r="M499" s="2031"/>
      <c r="N499" s="2030"/>
      <c r="O499" s="2030"/>
      <c r="P499" s="2030"/>
      <c r="Q499" s="2031"/>
      <c r="R499" s="2030"/>
      <c r="S499" s="2030"/>
      <c r="T499" s="2030"/>
      <c r="U499" s="2031"/>
      <c r="V499" s="2032"/>
      <c r="W499" s="2032"/>
      <c r="X499" s="2032"/>
      <c r="Y499" s="2033"/>
      <c r="Z499" s="2032"/>
      <c r="AA499" s="2032"/>
      <c r="AB499" s="2032"/>
      <c r="AC499" s="2033"/>
      <c r="AD499" s="2032"/>
      <c r="AE499" s="2032"/>
      <c r="AF499" s="2032"/>
      <c r="AG499" s="2032"/>
      <c r="AH499" s="2034"/>
      <c r="AI499" s="2035"/>
      <c r="AJ499" s="2035"/>
      <c r="AK499" s="2036"/>
      <c r="AL499" s="2032"/>
      <c r="AM499" s="2032"/>
      <c r="AN499" s="2032"/>
      <c r="AO499" s="2033"/>
      <c r="AP499" s="2037"/>
      <c r="AQ499" s="2037"/>
      <c r="AR499" s="2037"/>
      <c r="AS499" s="2037"/>
      <c r="AT499" s="2038"/>
      <c r="AU499" s="2037"/>
      <c r="AV499" s="2037"/>
      <c r="AW499" s="2037"/>
      <c r="AX499" s="2038"/>
      <c r="AY499" s="2037"/>
      <c r="AZ499" s="2037"/>
      <c r="BA499" s="2037"/>
      <c r="BB499" s="2038"/>
      <c r="BC499" s="2037"/>
      <c r="BD499" s="2037"/>
      <c r="BE499" s="2037"/>
      <c r="BF499" s="2038"/>
      <c r="BG499" s="2037"/>
      <c r="BH499" s="2039"/>
      <c r="BI499" s="2039"/>
      <c r="BJ499" s="2039"/>
      <c r="BK499" s="2039"/>
      <c r="BL499" s="2039"/>
      <c r="BM499" s="2039"/>
      <c r="BN499" s="2039"/>
      <c r="BO499" s="2039"/>
      <c r="BP499" s="2039"/>
      <c r="BQ499" s="2040">
        <f>(DATE(2016, 6, 31)-DATE(2016, 5, 11))/(DATE(2016, 6, 30)-DATE(2016, 3, 31))</f>
        <v>0.56043956043956045</v>
      </c>
      <c r="BR499" s="2037"/>
      <c r="BS499" s="2037"/>
      <c r="BT499" s="2037"/>
      <c r="BU499" s="2041"/>
      <c r="BV499" s="2037"/>
      <c r="BW499" s="2037"/>
      <c r="BX499" s="2037"/>
      <c r="BY499" s="2041"/>
      <c r="BZ499" s="2037"/>
      <c r="CA499" s="2037"/>
      <c r="CB499" s="2037"/>
      <c r="CC499" s="2041"/>
      <c r="CD499" s="1823"/>
      <c r="CE499" s="2032"/>
      <c r="CF499" s="2032"/>
      <c r="CG499" s="2032"/>
      <c r="CH499" s="2032"/>
      <c r="CI499" s="2032"/>
      <c r="CJ499" s="2032"/>
      <c r="CK499" s="2032"/>
      <c r="CL499" s="2032"/>
      <c r="CM499" s="2032"/>
      <c r="CN499" s="2032"/>
      <c r="CO499" s="2032"/>
      <c r="CP499" s="2032"/>
      <c r="CQ499" s="2032"/>
      <c r="CR499" s="2032"/>
      <c r="CS499" s="2032"/>
      <c r="CT499" s="2032"/>
      <c r="CU499" s="2041"/>
      <c r="CV499" s="2041"/>
      <c r="CW499" s="2041"/>
      <c r="CX499" s="2041"/>
      <c r="CY499" s="2041"/>
      <c r="CZ499" s="2041"/>
      <c r="DA499" s="2041"/>
      <c r="DB499" s="2041"/>
      <c r="DC499" s="2041"/>
      <c r="DD499" s="2042"/>
      <c r="DE499" s="1839"/>
      <c r="DF499" s="1829"/>
      <c r="DG499" s="2043"/>
      <c r="DH499" s="2044"/>
      <c r="DI499" s="2044"/>
      <c r="DJ499" s="2044"/>
      <c r="DK499" s="2044"/>
      <c r="DL499" s="2045"/>
      <c r="DM499" s="2046"/>
      <c r="DN499" s="2046"/>
      <c r="DO499" s="2046"/>
      <c r="DP499" s="2044"/>
      <c r="DQ499" s="2044"/>
      <c r="DR499" s="2044"/>
      <c r="DS499" s="2043"/>
      <c r="DT499" s="2044"/>
      <c r="DU499" s="2044"/>
      <c r="DV499" s="2044"/>
      <c r="DW499" s="2047"/>
      <c r="DX499" s="1829"/>
      <c r="DY499" s="1829"/>
      <c r="DZ499" s="1829"/>
      <c r="EA499"/>
      <c r="EB499"/>
      <c r="EC499"/>
      <c r="ED499"/>
      <c r="EE499"/>
      <c r="EF499"/>
    </row>
    <row r="500" spans="1:136" s="1785" customFormat="1" ht="11.25" hidden="1" customHeight="1" outlineLevel="1">
      <c r="A500" s="1830"/>
      <c r="B500" s="1770" t="s">
        <v>574</v>
      </c>
      <c r="C500" s="1771"/>
      <c r="D500" s="1771"/>
      <c r="E500" s="1772"/>
      <c r="F500" s="2048"/>
      <c r="G500" s="1846"/>
      <c r="H500" s="1846"/>
      <c r="I500" s="2049"/>
      <c r="J500" s="1846"/>
      <c r="K500" s="1846"/>
      <c r="L500" s="1846"/>
      <c r="M500" s="2049"/>
      <c r="N500" s="1846"/>
      <c r="O500" s="1846"/>
      <c r="P500" s="1846"/>
      <c r="Q500" s="2049"/>
      <c r="R500" s="1846"/>
      <c r="S500" s="1846"/>
      <c r="T500" s="1846"/>
      <c r="U500" s="2049"/>
      <c r="V500" s="1846"/>
      <c r="W500" s="1846"/>
      <c r="X500" s="1846"/>
      <c r="Y500" s="2049"/>
      <c r="Z500" s="1846"/>
      <c r="AA500" s="1846"/>
      <c r="AB500" s="1846">
        <v>623.26</v>
      </c>
      <c r="AC500" s="2049">
        <v>719.18499999999995</v>
      </c>
      <c r="AD500" s="1846">
        <v>751.38499999999999</v>
      </c>
      <c r="AE500" s="1846">
        <v>1163.6950000000004</v>
      </c>
      <c r="AF500" s="1846">
        <f>SUM(AF503, AF506, AF509)</f>
        <v>786.08600000000001</v>
      </c>
      <c r="AG500" s="2050">
        <f t="shared" ref="AG500:BQ500" si="1013">SUM(AG503, AG506, AG509)</f>
        <v>827.03199999999993</v>
      </c>
      <c r="AH500" s="1846">
        <f t="shared" si="1013"/>
        <v>1037.423</v>
      </c>
      <c r="AI500" s="1846">
        <f t="shared" si="1013"/>
        <v>1245.825</v>
      </c>
      <c r="AJ500" s="1846">
        <f t="shared" si="1013"/>
        <v>849.9670000000001</v>
      </c>
      <c r="AK500" s="1846">
        <f t="shared" si="1013"/>
        <v>816.01099999999997</v>
      </c>
      <c r="AL500" s="2051">
        <f t="shared" si="1013"/>
        <v>821.49700000000007</v>
      </c>
      <c r="AM500" s="1846">
        <f t="shared" si="1013"/>
        <v>863.87700000000007</v>
      </c>
      <c r="AN500" s="1846">
        <f t="shared" si="1013"/>
        <v>659.471</v>
      </c>
      <c r="AO500" s="1846">
        <f t="shared" si="1013"/>
        <v>730.57299999999998</v>
      </c>
      <c r="AP500" s="2048">
        <f t="shared" si="1013"/>
        <v>935.17100000000005</v>
      </c>
      <c r="AQ500" s="1846">
        <f t="shared" si="1013"/>
        <v>1241.5909999999999</v>
      </c>
      <c r="AR500" s="1846">
        <f t="shared" si="1013"/>
        <v>1086.663</v>
      </c>
      <c r="AS500" s="1846">
        <f t="shared" si="1013"/>
        <v>1179.068</v>
      </c>
      <c r="AT500" s="2048">
        <f t="shared" si="1013"/>
        <v>1233.673</v>
      </c>
      <c r="AU500" s="1846">
        <f t="shared" si="1013"/>
        <v>1327.403</v>
      </c>
      <c r="AV500" s="1846">
        <f t="shared" si="1013"/>
        <v>1294.2</v>
      </c>
      <c r="AW500" s="1846">
        <f t="shared" si="1013"/>
        <v>1374.9929999999999</v>
      </c>
      <c r="AX500" s="2048">
        <f t="shared" si="1013"/>
        <v>1416.0319999999999</v>
      </c>
      <c r="AY500" s="1846">
        <f t="shared" si="1013"/>
        <v>1576.92</v>
      </c>
      <c r="AZ500" s="1846">
        <f t="shared" si="1013"/>
        <v>1205.5609999999999</v>
      </c>
      <c r="BA500" s="2049">
        <f t="shared" si="1013"/>
        <v>1032.2549999999999</v>
      </c>
      <c r="BB500" s="1846">
        <f t="shared" si="1013"/>
        <v>1273.1899999999996</v>
      </c>
      <c r="BC500" s="1846">
        <f t="shared" si="1013"/>
        <v>1541.5030000000002</v>
      </c>
      <c r="BD500" s="1846">
        <f t="shared" si="1013"/>
        <v>1340.729</v>
      </c>
      <c r="BE500" s="2049">
        <f t="shared" si="1013"/>
        <v>1476.2629999999999</v>
      </c>
      <c r="BF500" s="1846">
        <f t="shared" si="1013"/>
        <v>1625.153</v>
      </c>
      <c r="BG500" s="1846">
        <f t="shared" si="1013"/>
        <v>1727.8579999999997</v>
      </c>
      <c r="BH500" s="1846">
        <v>1511.9449999999999</v>
      </c>
      <c r="BI500" s="2049">
        <v>1634.011</v>
      </c>
      <c r="BJ500" s="1846">
        <v>1746.491</v>
      </c>
      <c r="BK500" s="1846">
        <v>1735.2539999999999</v>
      </c>
      <c r="BL500" s="1846">
        <v>1332.241</v>
      </c>
      <c r="BM500" s="2049">
        <v>1237.1959999999999</v>
      </c>
      <c r="BN500" s="1846">
        <v>1452.2850000000001</v>
      </c>
      <c r="BO500" s="1846">
        <v>1543.15</v>
      </c>
      <c r="BP500" s="1846">
        <v>1365.7360000000001</v>
      </c>
      <c r="BQ500" s="2049">
        <f t="shared" si="1013"/>
        <v>1322.9034155592597</v>
      </c>
      <c r="BR500" s="1846">
        <f>SUM(BR503, BR506, BR509)</f>
        <v>1546.8723095648675</v>
      </c>
      <c r="BS500" s="1846"/>
      <c r="BT500" s="1846"/>
      <c r="BU500" s="2049"/>
      <c r="BV500" s="1846"/>
      <c r="BW500" s="1846"/>
      <c r="BX500" s="1846"/>
      <c r="BY500" s="2049"/>
      <c r="BZ500" s="1846"/>
      <c r="CA500" s="1846"/>
      <c r="CB500" s="1846"/>
      <c r="CC500" s="2049"/>
      <c r="CD500" s="1824"/>
      <c r="CE500" s="1846"/>
      <c r="CF500" s="1846"/>
      <c r="CG500" s="1846"/>
      <c r="CH500" s="1846"/>
      <c r="CI500" s="1846"/>
      <c r="CJ500" s="1846">
        <f>SUM(Z500:AC500)</f>
        <v>1342.4449999999999</v>
      </c>
      <c r="CK500" s="1846">
        <f>SUM(AD500:AG500)</f>
        <v>3528.1980000000003</v>
      </c>
      <c r="CL500" s="1846">
        <f>SUM(AH500:AK500)</f>
        <v>3949.2260000000001</v>
      </c>
      <c r="CM500" s="1846">
        <f>SUM(AL500:AO500)</f>
        <v>3075.4180000000001</v>
      </c>
      <c r="CN500" s="1846">
        <f>SUM(AP500:AS500)</f>
        <v>4442.4929999999995</v>
      </c>
      <c r="CO500" s="1846">
        <f>SUM(AT500:AW500)</f>
        <v>5230.2690000000002</v>
      </c>
      <c r="CP500" s="1846">
        <f>SUM(AX500:BA500)</f>
        <v>5230.768</v>
      </c>
      <c r="CQ500" s="1846">
        <f>SUM(BB500:BE500)</f>
        <v>5631.6849999999995</v>
      </c>
      <c r="CR500" s="1846">
        <f>SUM(BF500:BI500)</f>
        <v>6498.9669999999987</v>
      </c>
      <c r="CS500" s="1846">
        <f>SUM(BJ500:BM500)</f>
        <v>6051.1819999999998</v>
      </c>
      <c r="CT500" s="1846">
        <f>SUM(BN500:BQ500)</f>
        <v>5684.0744155592602</v>
      </c>
      <c r="CU500" s="1846">
        <f>SUM(BR500:BU500)</f>
        <v>1546.8723095648675</v>
      </c>
      <c r="CV500" s="1846"/>
      <c r="CW500" s="1846"/>
      <c r="CX500" s="1846"/>
      <c r="CY500" s="1846"/>
      <c r="CZ500" s="1846"/>
      <c r="DA500" s="1846"/>
      <c r="DB500" s="1846"/>
      <c r="DC500" s="1846"/>
      <c r="DD500" s="1824"/>
      <c r="DE500" s="1839"/>
      <c r="DF500" s="1830"/>
      <c r="DG500" s="2052"/>
      <c r="DH500" s="2053"/>
      <c r="DI500" s="2053"/>
      <c r="DJ500" s="2053"/>
      <c r="DK500" s="2053"/>
      <c r="DL500" s="2053"/>
      <c r="DM500" s="2053"/>
      <c r="DN500" s="2053"/>
      <c r="DO500" s="2053"/>
      <c r="DP500" s="2053"/>
      <c r="DQ500" s="2053"/>
      <c r="DR500" s="1955"/>
      <c r="DS500" s="1954"/>
      <c r="DT500" s="1955"/>
      <c r="DU500" s="1955"/>
      <c r="DV500" s="1955"/>
      <c r="DW500" s="1956"/>
      <c r="DX500" s="1955"/>
      <c r="DY500" s="1955"/>
      <c r="DZ500" s="1830"/>
      <c r="EA500"/>
      <c r="EB500"/>
      <c r="EC500"/>
      <c r="ED500"/>
      <c r="EE500"/>
      <c r="EF500"/>
    </row>
    <row r="501" spans="1:136" s="1785" customFormat="1" ht="11.25" hidden="1" customHeight="1" outlineLevel="1">
      <c r="A501" s="1830"/>
      <c r="B501" s="1930"/>
      <c r="C501" s="2054" t="s">
        <v>76</v>
      </c>
      <c r="D501" s="2055"/>
      <c r="E501" s="2055"/>
      <c r="F501" s="2056"/>
      <c r="G501" s="1976"/>
      <c r="H501" s="1976"/>
      <c r="I501" s="2057"/>
      <c r="J501" s="1976"/>
      <c r="K501" s="1976"/>
      <c r="L501" s="1976"/>
      <c r="M501" s="2057"/>
      <c r="N501" s="1976"/>
      <c r="O501" s="1852"/>
      <c r="P501" s="1852"/>
      <c r="Q501" s="1825"/>
      <c r="R501" s="1852"/>
      <c r="S501" s="1852"/>
      <c r="T501" s="1852"/>
      <c r="U501" s="1825"/>
      <c r="V501" s="1852"/>
      <c r="W501" s="1852"/>
      <c r="X501" s="1852"/>
      <c r="Y501" s="1825"/>
      <c r="Z501" s="1852"/>
      <c r="AA501" s="1852"/>
      <c r="AB501" s="1852"/>
      <c r="AC501" s="1825"/>
      <c r="AD501" s="1852"/>
      <c r="AE501" s="1852"/>
      <c r="AF501" s="1852">
        <f t="shared" ref="AF501:BR501" si="1014">AF500/AB500-1</f>
        <v>0.26124891698488595</v>
      </c>
      <c r="AG501" s="1825">
        <f t="shared" si="1014"/>
        <v>0.14995724326842197</v>
      </c>
      <c r="AH501" s="1852">
        <f t="shared" si="1014"/>
        <v>0.38068100906991753</v>
      </c>
      <c r="AI501" s="1852">
        <f t="shared" si="1014"/>
        <v>7.0576912335276631E-2</v>
      </c>
      <c r="AJ501" s="1852">
        <f t="shared" si="1014"/>
        <v>8.1264645344148123E-2</v>
      </c>
      <c r="AK501" s="1852">
        <f t="shared" si="1014"/>
        <v>-1.3325965621644564E-2</v>
      </c>
      <c r="AL501" s="1851">
        <f t="shared" si="1014"/>
        <v>-0.20813689305133964</v>
      </c>
      <c r="AM501" s="1852">
        <f t="shared" si="1014"/>
        <v>-0.30658238516645597</v>
      </c>
      <c r="AN501" s="1852">
        <f t="shared" si="1014"/>
        <v>-0.22412164236964505</v>
      </c>
      <c r="AO501" s="1852">
        <f t="shared" si="1014"/>
        <v>-0.10470201994826045</v>
      </c>
      <c r="AP501" s="1851">
        <f t="shared" si="1014"/>
        <v>0.13837421195695176</v>
      </c>
      <c r="AQ501" s="1852">
        <f t="shared" si="1014"/>
        <v>0.43723122620465626</v>
      </c>
      <c r="AR501" s="1852">
        <f t="shared" si="1014"/>
        <v>0.64777981139428431</v>
      </c>
      <c r="AS501" s="1852">
        <f t="shared" si="1014"/>
        <v>0.61389484692152596</v>
      </c>
      <c r="AT501" s="1851">
        <f t="shared" si="1014"/>
        <v>0.31919509907813648</v>
      </c>
      <c r="AU501" s="1852">
        <f t="shared" si="1014"/>
        <v>6.9114547383156033E-2</v>
      </c>
      <c r="AV501" s="1852">
        <f t="shared" si="1014"/>
        <v>0.19098561375513845</v>
      </c>
      <c r="AW501" s="1852">
        <f t="shared" si="1014"/>
        <v>0.16616938124009817</v>
      </c>
      <c r="AX501" s="1851">
        <f t="shared" si="1014"/>
        <v>0.14781793878929017</v>
      </c>
      <c r="AY501" s="1852">
        <f t="shared" si="1014"/>
        <v>0.18797381051572137</v>
      </c>
      <c r="AZ501" s="1852">
        <f t="shared" si="1014"/>
        <v>-6.8489414309998553E-2</v>
      </c>
      <c r="BA501" s="1825">
        <f t="shared" si="1014"/>
        <v>-0.249265268986824</v>
      </c>
      <c r="BB501" s="1852">
        <f t="shared" si="1014"/>
        <v>-0.10087483898668981</v>
      </c>
      <c r="BC501" s="1852">
        <f t="shared" si="1014"/>
        <v>-2.2459604799228816E-2</v>
      </c>
      <c r="BD501" s="1852">
        <f t="shared" si="1014"/>
        <v>0.11212041530872363</v>
      </c>
      <c r="BE501" s="1825">
        <f t="shared" si="1014"/>
        <v>0.4301340269603926</v>
      </c>
      <c r="BF501" s="1852">
        <f t="shared" si="1014"/>
        <v>0.27644185078425099</v>
      </c>
      <c r="BG501" s="1854">
        <f t="shared" si="1014"/>
        <v>0.12089175304880984</v>
      </c>
      <c r="BH501" s="1852">
        <f t="shared" si="1014"/>
        <v>0.12770365972541797</v>
      </c>
      <c r="BI501" s="1825">
        <f t="shared" si="1014"/>
        <v>0.1068562986405539</v>
      </c>
      <c r="BJ501" s="1852">
        <f t="shared" si="1014"/>
        <v>7.4662508699181007E-2</v>
      </c>
      <c r="BK501" s="1852">
        <f t="shared" si="1014"/>
        <v>4.2804443420698668E-3</v>
      </c>
      <c r="BL501" s="1852">
        <f t="shared" si="1014"/>
        <v>-0.11885617532383785</v>
      </c>
      <c r="BM501" s="1825">
        <f t="shared" si="1014"/>
        <v>-0.24284720237501467</v>
      </c>
      <c r="BN501" s="1852">
        <f t="shared" si="1014"/>
        <v>-0.16845549161146545</v>
      </c>
      <c r="BO501" s="1852">
        <f t="shared" si="1014"/>
        <v>-0.1107065593855423</v>
      </c>
      <c r="BP501" s="1852">
        <f t="shared" si="1014"/>
        <v>2.5141847458530542E-2</v>
      </c>
      <c r="BQ501" s="1825">
        <f t="shared" si="1014"/>
        <v>6.927553561380706E-2</v>
      </c>
      <c r="BR501" s="1852">
        <f t="shared" si="1014"/>
        <v>6.5129991403111154E-2</v>
      </c>
      <c r="BS501" s="1852"/>
      <c r="BT501" s="1852"/>
      <c r="BU501" s="1825"/>
      <c r="BV501" s="1852"/>
      <c r="BW501" s="1852"/>
      <c r="BX501" s="1852"/>
      <c r="BY501" s="1825"/>
      <c r="BZ501" s="1852"/>
      <c r="CA501" s="1852"/>
      <c r="CB501" s="1852"/>
      <c r="CC501" s="1825"/>
      <c r="CD501" s="1983"/>
      <c r="CE501" s="1852"/>
      <c r="CF501" s="1852"/>
      <c r="CG501" s="1852"/>
      <c r="CH501" s="1852"/>
      <c r="CI501" s="1852"/>
      <c r="CJ501" s="1852"/>
      <c r="CK501" s="1852">
        <f t="shared" ref="CK501:CU501" si="1015">CK500/CJ500-1</f>
        <v>1.6281881194387857</v>
      </c>
      <c r="CL501" s="1852">
        <f t="shared" si="1015"/>
        <v>0.11933230504637193</v>
      </c>
      <c r="CM501" s="1852">
        <f t="shared" si="1015"/>
        <v>-0.22126057105873398</v>
      </c>
      <c r="CN501" s="1852">
        <f t="shared" si="1015"/>
        <v>0.44451681039780588</v>
      </c>
      <c r="CO501" s="1852">
        <f t="shared" si="1015"/>
        <v>0.1773274600545236</v>
      </c>
      <c r="CP501" s="1852">
        <f t="shared" si="1015"/>
        <v>9.5406182741175627E-5</v>
      </c>
      <c r="CQ501" s="1852">
        <f t="shared" si="1015"/>
        <v>7.6645915093156436E-2</v>
      </c>
      <c r="CR501" s="1852">
        <f t="shared" si="1015"/>
        <v>0.15400044569254123</v>
      </c>
      <c r="CS501" s="1852">
        <f t="shared" si="1015"/>
        <v>-6.8900949950968959E-2</v>
      </c>
      <c r="CT501" s="1852">
        <f t="shared" si="1015"/>
        <v>-6.0667086932890024E-2</v>
      </c>
      <c r="CU501" s="1852">
        <f t="shared" si="1015"/>
        <v>-0.72785854011155315</v>
      </c>
      <c r="CV501" s="1991"/>
      <c r="CW501" s="1991"/>
      <c r="CX501" s="1991"/>
      <c r="CY501" s="1991"/>
      <c r="CZ501" s="1991"/>
      <c r="DA501" s="1991"/>
      <c r="DB501" s="1991"/>
      <c r="DC501" s="1991"/>
      <c r="DD501" s="1823"/>
      <c r="DE501" s="1839"/>
      <c r="DF501" s="1829"/>
      <c r="DG501" s="1873"/>
      <c r="DH501" s="1852"/>
      <c r="DI501" s="1852"/>
      <c r="DJ501" s="1852"/>
      <c r="DK501" s="1852"/>
      <c r="DL501" s="1852"/>
      <c r="DM501" s="1852"/>
      <c r="DN501" s="1852"/>
      <c r="DO501" s="1852"/>
      <c r="DP501" s="1852"/>
      <c r="DQ501" s="1852"/>
      <c r="DR501" s="1852"/>
      <c r="DS501" s="1851"/>
      <c r="DT501" s="1852"/>
      <c r="DU501" s="1852"/>
      <c r="DV501" s="1852"/>
      <c r="DW501" s="1825"/>
      <c r="DX501" s="1852"/>
      <c r="DY501" s="1852"/>
      <c r="DZ501" s="1830"/>
      <c r="EA501"/>
      <c r="EB501"/>
      <c r="EC501"/>
      <c r="ED501"/>
      <c r="EE501"/>
      <c r="EF501"/>
    </row>
    <row r="502" spans="1:136" s="1785" customFormat="1" ht="11.25" hidden="1" customHeight="1" outlineLevel="1">
      <c r="A502" s="1830"/>
      <c r="B502" s="1930"/>
      <c r="C502" s="2054" t="s">
        <v>77</v>
      </c>
      <c r="D502" s="2055"/>
      <c r="E502" s="2055"/>
      <c r="F502" s="2056"/>
      <c r="G502" s="1976"/>
      <c r="H502" s="1976"/>
      <c r="I502" s="2057"/>
      <c r="J502" s="1976"/>
      <c r="K502" s="1976"/>
      <c r="L502" s="1976"/>
      <c r="M502" s="2057"/>
      <c r="N502" s="1976"/>
      <c r="O502" s="1852"/>
      <c r="P502" s="1852"/>
      <c r="Q502" s="1825"/>
      <c r="R502" s="1852"/>
      <c r="S502" s="1852"/>
      <c r="T502" s="1852"/>
      <c r="U502" s="1825"/>
      <c r="V502" s="1852"/>
      <c r="W502" s="1852"/>
      <c r="X502" s="1852"/>
      <c r="Y502" s="1825"/>
      <c r="Z502" s="1852"/>
      <c r="AA502" s="1852"/>
      <c r="AB502" s="1852"/>
      <c r="AC502" s="1825"/>
      <c r="AD502" s="1852"/>
      <c r="AE502" s="1852"/>
      <c r="AF502" s="1852">
        <f t="shared" ref="AF502:BR502" si="1016">AF500/AE500-1</f>
        <v>-0.32449138305140113</v>
      </c>
      <c r="AG502" s="1825">
        <f t="shared" si="1016"/>
        <v>5.2088448337713533E-2</v>
      </c>
      <c r="AH502" s="1852">
        <f t="shared" si="1016"/>
        <v>0.25439281672293235</v>
      </c>
      <c r="AI502" s="1852">
        <f t="shared" si="1016"/>
        <v>0.20088430659432088</v>
      </c>
      <c r="AJ502" s="1852">
        <f t="shared" si="1016"/>
        <v>-0.31774767724198816</v>
      </c>
      <c r="AK502" s="1852">
        <f t="shared" si="1016"/>
        <v>-3.9949786285820688E-2</v>
      </c>
      <c r="AL502" s="1851">
        <f t="shared" si="1016"/>
        <v>6.7229485877029482E-3</v>
      </c>
      <c r="AM502" s="1852">
        <f t="shared" si="1016"/>
        <v>5.158874591142748E-2</v>
      </c>
      <c r="AN502" s="1852">
        <f t="shared" si="1016"/>
        <v>-0.23661470325057854</v>
      </c>
      <c r="AO502" s="1852">
        <f t="shared" si="1016"/>
        <v>0.10781671976478102</v>
      </c>
      <c r="AP502" s="1851">
        <f t="shared" si="1016"/>
        <v>0.28005141170013137</v>
      </c>
      <c r="AQ502" s="1852">
        <f t="shared" si="1016"/>
        <v>0.32766199978399646</v>
      </c>
      <c r="AR502" s="1852">
        <f t="shared" si="1016"/>
        <v>-0.12478183234253459</v>
      </c>
      <c r="AS502" s="1852">
        <f t="shared" si="1016"/>
        <v>8.5035563003433401E-2</v>
      </c>
      <c r="AT502" s="1851">
        <f t="shared" si="1016"/>
        <v>4.6312002361186932E-2</v>
      </c>
      <c r="AU502" s="1852">
        <f t="shared" si="1016"/>
        <v>7.5976372993491914E-2</v>
      </c>
      <c r="AV502" s="1852">
        <f t="shared" si="1016"/>
        <v>-2.5013503811577964E-2</v>
      </c>
      <c r="AW502" s="1852">
        <f t="shared" si="1016"/>
        <v>6.242698191933238E-2</v>
      </c>
      <c r="AX502" s="1851">
        <f t="shared" si="1016"/>
        <v>2.9846697401368472E-2</v>
      </c>
      <c r="AY502" s="1852">
        <f t="shared" si="1016"/>
        <v>0.11361890126776797</v>
      </c>
      <c r="AZ502" s="1852">
        <f t="shared" si="1016"/>
        <v>-0.23549641072470395</v>
      </c>
      <c r="BA502" s="1825">
        <f t="shared" si="1016"/>
        <v>-0.14375547981396219</v>
      </c>
      <c r="BB502" s="1852">
        <f t="shared" si="1016"/>
        <v>0.23340647417547</v>
      </c>
      <c r="BC502" s="1852">
        <f t="shared" si="1016"/>
        <v>0.21074073783174607</v>
      </c>
      <c r="BD502" s="1852">
        <f t="shared" si="1016"/>
        <v>-0.1302456109394533</v>
      </c>
      <c r="BE502" s="1825">
        <f t="shared" si="1016"/>
        <v>0.1010897802613353</v>
      </c>
      <c r="BF502" s="1852">
        <f t="shared" si="1016"/>
        <v>0.10085601278362999</v>
      </c>
      <c r="BG502" s="1854">
        <f t="shared" si="1016"/>
        <v>6.3197126670534898E-2</v>
      </c>
      <c r="BH502" s="1852">
        <f t="shared" si="1016"/>
        <v>-0.12495992147502855</v>
      </c>
      <c r="BI502" s="1825">
        <f t="shared" si="1016"/>
        <v>8.0734418249341022E-2</v>
      </c>
      <c r="BJ502" s="1852">
        <f t="shared" si="1016"/>
        <v>6.8836745897059348E-2</v>
      </c>
      <c r="BK502" s="1852">
        <f t="shared" si="1016"/>
        <v>-6.4340440345813654E-3</v>
      </c>
      <c r="BL502" s="1852">
        <f t="shared" si="1016"/>
        <v>-0.23225014896954566</v>
      </c>
      <c r="BM502" s="1825">
        <f t="shared" si="1016"/>
        <v>-7.1342197094970139E-2</v>
      </c>
      <c r="BN502" s="1852">
        <f t="shared" si="1016"/>
        <v>0.17385200081474572</v>
      </c>
      <c r="BO502" s="1852">
        <f t="shared" si="1016"/>
        <v>6.2566920404741433E-2</v>
      </c>
      <c r="BP502" s="1852">
        <f t="shared" si="1016"/>
        <v>-0.11496873278683206</v>
      </c>
      <c r="BQ502" s="1825">
        <f t="shared" si="1016"/>
        <v>-3.1362272387006285E-2</v>
      </c>
      <c r="BR502" s="1852">
        <f t="shared" si="1016"/>
        <v>0.16930101727110936</v>
      </c>
      <c r="BS502" s="1852"/>
      <c r="BT502" s="1852"/>
      <c r="BU502" s="1825"/>
      <c r="BV502" s="1852"/>
      <c r="BW502" s="1852"/>
      <c r="BX502" s="1852"/>
      <c r="BY502" s="1825"/>
      <c r="BZ502" s="1852"/>
      <c r="CA502" s="1852"/>
      <c r="CB502" s="1852"/>
      <c r="CC502" s="1825"/>
      <c r="CD502" s="1983"/>
      <c r="CE502" s="1852"/>
      <c r="CF502" s="1852"/>
      <c r="CG502" s="1852"/>
      <c r="CH502" s="1852"/>
      <c r="CI502" s="1852"/>
      <c r="CJ502" s="1852"/>
      <c r="CK502" s="1852"/>
      <c r="CL502" s="1852"/>
      <c r="CM502" s="1852"/>
      <c r="CN502" s="1852"/>
      <c r="CO502" s="1852"/>
      <c r="CP502" s="1852"/>
      <c r="CQ502" s="1852"/>
      <c r="CR502" s="1852"/>
      <c r="CS502" s="1852"/>
      <c r="CT502" s="1852"/>
      <c r="CU502" s="1852"/>
      <c r="CV502" s="1852"/>
      <c r="CW502" s="1852"/>
      <c r="CX502" s="1852"/>
      <c r="CY502" s="1852"/>
      <c r="CZ502" s="1852"/>
      <c r="DA502" s="1852"/>
      <c r="DB502" s="1852"/>
      <c r="DC502" s="1852"/>
      <c r="DD502" s="1823"/>
      <c r="DE502" s="1839"/>
      <c r="DF502" s="1829"/>
      <c r="DG502" s="1873"/>
      <c r="DH502" s="1829"/>
      <c r="DI502" s="1829"/>
      <c r="DJ502" s="1829"/>
      <c r="DK502" s="1829"/>
      <c r="DL502" s="1838"/>
      <c r="DM502" s="1974"/>
      <c r="DN502" s="1974"/>
      <c r="DO502" s="1974"/>
      <c r="DP502" s="1974"/>
      <c r="DQ502" s="1974"/>
      <c r="DR502" s="1848"/>
      <c r="DS502" s="1855"/>
      <c r="DT502" s="1848"/>
      <c r="DU502" s="1848"/>
      <c r="DV502" s="1848"/>
      <c r="DW502" s="1850"/>
      <c r="DX502" s="1848"/>
      <c r="DY502" s="1848"/>
      <c r="DZ502" s="1830"/>
      <c r="EA502"/>
      <c r="EB502"/>
      <c r="EC502"/>
      <c r="ED502"/>
      <c r="EE502"/>
      <c r="EF502"/>
    </row>
    <row r="503" spans="1:136" s="1785" customFormat="1" ht="11.25" hidden="1" customHeight="1" outlineLevel="1">
      <c r="A503" s="1830"/>
      <c r="B503" s="1943" t="s">
        <v>53</v>
      </c>
      <c r="C503" s="1957"/>
      <c r="D503" s="1957"/>
      <c r="E503" s="2055"/>
      <c r="F503" s="1958"/>
      <c r="G503" s="1959"/>
      <c r="H503" s="1959"/>
      <c r="I503" s="1960"/>
      <c r="J503" s="1959"/>
      <c r="K503" s="1959"/>
      <c r="L503" s="1959"/>
      <c r="M503" s="1960"/>
      <c r="N503" s="1959"/>
      <c r="O503" s="1959"/>
      <c r="P503" s="1959"/>
      <c r="Q503" s="1960"/>
      <c r="R503" s="1959"/>
      <c r="S503" s="1959"/>
      <c r="T503" s="1959"/>
      <c r="U503" s="1960"/>
      <c r="V503" s="1959"/>
      <c r="W503" s="1959"/>
      <c r="X503" s="1959"/>
      <c r="Y503" s="1960"/>
      <c r="Z503" s="1959"/>
      <c r="AA503" s="1959"/>
      <c r="AB503" s="1959"/>
      <c r="AC503" s="1960"/>
      <c r="AD503" s="1959"/>
      <c r="AE503" s="1959"/>
      <c r="AF503" s="1959">
        <v>689.35699999999997</v>
      </c>
      <c r="AG503" s="1960">
        <v>719.99099999999999</v>
      </c>
      <c r="AH503" s="1959">
        <v>918.81</v>
      </c>
      <c r="AI503" s="1959">
        <v>1117.9670000000001</v>
      </c>
      <c r="AJ503" s="1959">
        <v>724.05100000000004</v>
      </c>
      <c r="AK503" s="1960">
        <v>687.50800000000004</v>
      </c>
      <c r="AL503" s="1959">
        <v>689.55600000000004</v>
      </c>
      <c r="AM503" s="1959">
        <v>742.12800000000004</v>
      </c>
      <c r="AN503" s="1959">
        <v>588.09900000000005</v>
      </c>
      <c r="AO503" s="1960">
        <v>610.43200000000002</v>
      </c>
      <c r="AP503" s="1959">
        <v>813.81100000000004</v>
      </c>
      <c r="AQ503" s="1959">
        <v>1141.972</v>
      </c>
      <c r="AR503" s="1959">
        <v>993.19500000000005</v>
      </c>
      <c r="AS503" s="1960">
        <v>1091.3150000000001</v>
      </c>
      <c r="AT503" s="1959">
        <v>1137.5930000000001</v>
      </c>
      <c r="AU503" s="1959">
        <v>1240.827</v>
      </c>
      <c r="AV503" s="1959">
        <v>1210.2470000000001</v>
      </c>
      <c r="AW503" s="1960">
        <v>1281.96</v>
      </c>
      <c r="AX503" s="1959">
        <v>1321.904</v>
      </c>
      <c r="AY503" s="1959">
        <v>1473.444</v>
      </c>
      <c r="AZ503" s="1959">
        <v>1106.422</v>
      </c>
      <c r="BA503" s="1960">
        <v>945.20399999999995</v>
      </c>
      <c r="BB503" s="1959">
        <v>1182.2</v>
      </c>
      <c r="BC503" s="1959">
        <v>1444.7190000000001</v>
      </c>
      <c r="BD503" s="1959">
        <v>1238.729</v>
      </c>
      <c r="BE503" s="1960">
        <v>1352.6920680000019</v>
      </c>
      <c r="BF503" s="1959">
        <v>1515.1503853668019</v>
      </c>
      <c r="BG503" s="1959">
        <v>1595.1503257141692</v>
      </c>
      <c r="BH503" s="1959">
        <v>1392.5662343484698</v>
      </c>
      <c r="BI503" s="1960">
        <v>1532.3798842770559</v>
      </c>
      <c r="BJ503" s="1959">
        <v>1620.1852516461315</v>
      </c>
      <c r="BK503" s="1959">
        <v>1617.5929552434975</v>
      </c>
      <c r="BL503" s="1959">
        <v>1237.4586107612756</v>
      </c>
      <c r="BM503" s="1960">
        <v>1151.5789831744428</v>
      </c>
      <c r="BN503" s="1959">
        <v>1338.3650942453376</v>
      </c>
      <c r="BO503" s="1959">
        <v>1481.5701593295885</v>
      </c>
      <c r="BP503" s="1959">
        <v>1281.2618737882281</v>
      </c>
      <c r="BQ503" s="1960">
        <v>1238.4292893474876</v>
      </c>
      <c r="BR503" s="1959">
        <v>1457.1359018462542</v>
      </c>
      <c r="BS503" s="1959"/>
      <c r="BT503" s="1959"/>
      <c r="BU503" s="1960"/>
      <c r="BV503" s="1959"/>
      <c r="BW503" s="1959"/>
      <c r="BX503" s="1959"/>
      <c r="BY503" s="1960"/>
      <c r="BZ503" s="1959"/>
      <c r="CA503" s="1959"/>
      <c r="CB503" s="1959"/>
      <c r="CC503" s="1960"/>
      <c r="CD503" s="1824"/>
      <c r="CE503" s="1831"/>
      <c r="CF503" s="1831"/>
      <c r="CG503" s="1831"/>
      <c r="CH503" s="1831"/>
      <c r="CI503" s="1831"/>
      <c r="CJ503" s="1959"/>
      <c r="CK503" s="1959"/>
      <c r="CL503" s="1959">
        <f>SUM(AH503:AK503)</f>
        <v>3448.3360000000002</v>
      </c>
      <c r="CM503" s="1959">
        <f>SUM(AL503:AO503)</f>
        <v>2630.2150000000001</v>
      </c>
      <c r="CN503" s="1959">
        <f>SUM(AP503:AS503)</f>
        <v>4040.2930000000001</v>
      </c>
      <c r="CO503" s="1959">
        <f>SUM(AT503:AW503)</f>
        <v>4870.6270000000004</v>
      </c>
      <c r="CP503" s="1959">
        <f>SUM(AX503:BA503)</f>
        <v>4846.9740000000002</v>
      </c>
      <c r="CQ503" s="1959">
        <f>SUM(BB503:BE503)</f>
        <v>5218.3400680000022</v>
      </c>
      <c r="CR503" s="1959">
        <f>SUM(BF503:BI503)</f>
        <v>6035.246829706497</v>
      </c>
      <c r="CS503" s="1959">
        <f>SUM(BJ503:BM503)</f>
        <v>5626.8158008253467</v>
      </c>
      <c r="CT503" s="1959">
        <f>SUM(BN503:BQ503)</f>
        <v>5339.626416710641</v>
      </c>
      <c r="CU503" s="1959">
        <f>SUM(BR503:BU503)</f>
        <v>1457.1359018462542</v>
      </c>
      <c r="CV503" s="1959"/>
      <c r="CW503" s="1959"/>
      <c r="CX503" s="1959"/>
      <c r="CY503" s="1959"/>
      <c r="CZ503" s="1959"/>
      <c r="DA503" s="1959"/>
      <c r="DB503" s="1959"/>
      <c r="DC503" s="1959"/>
      <c r="DD503" s="1824"/>
      <c r="DE503" s="1839"/>
      <c r="DF503" s="1830"/>
      <c r="DG503" s="1783"/>
      <c r="DH503" s="1782"/>
      <c r="DI503" s="1782"/>
      <c r="DJ503" s="1782"/>
      <c r="DK503" s="1782"/>
      <c r="DL503" s="1782"/>
      <c r="DM503" s="1782"/>
      <c r="DN503" s="1782"/>
      <c r="DO503" s="1782"/>
      <c r="DP503" s="1782"/>
      <c r="DQ503" s="1782"/>
      <c r="DR503" s="1782"/>
      <c r="DS503" s="1783"/>
      <c r="DT503" s="1782"/>
      <c r="DU503" s="1782"/>
      <c r="DV503" s="1782"/>
      <c r="DW503" s="1784"/>
      <c r="DX503" s="1782"/>
      <c r="DY503" s="1782"/>
      <c r="DZ503" s="1830"/>
      <c r="EA503"/>
      <c r="EB503"/>
      <c r="EC503"/>
      <c r="ED503"/>
      <c r="EE503"/>
      <c r="EF503"/>
    </row>
    <row r="504" spans="1:136" s="1785" customFormat="1" ht="11.25" hidden="1" customHeight="1" outlineLevel="1">
      <c r="A504" s="1830"/>
      <c r="B504" s="1930"/>
      <c r="C504" s="1970" t="s">
        <v>76</v>
      </c>
      <c r="D504" s="1957"/>
      <c r="E504" s="2055"/>
      <c r="F504" s="1851"/>
      <c r="G504" s="1852"/>
      <c r="H504" s="1852"/>
      <c r="I504" s="1825"/>
      <c r="J504" s="1852"/>
      <c r="K504" s="1852"/>
      <c r="L504" s="1852"/>
      <c r="M504" s="1825"/>
      <c r="N504" s="1852"/>
      <c r="O504" s="1852"/>
      <c r="P504" s="1852"/>
      <c r="Q504" s="1825"/>
      <c r="R504" s="1852"/>
      <c r="S504" s="1852"/>
      <c r="T504" s="1852"/>
      <c r="U504" s="1825"/>
      <c r="V504" s="1852"/>
      <c r="W504" s="1852"/>
      <c r="X504" s="1852"/>
      <c r="Y504" s="1825"/>
      <c r="Z504" s="1852"/>
      <c r="AA504" s="1852"/>
      <c r="AB504" s="1852"/>
      <c r="AC504" s="1825"/>
      <c r="AD504" s="1852"/>
      <c r="AE504" s="1852"/>
      <c r="AF504" s="1852"/>
      <c r="AG504" s="1825"/>
      <c r="AH504" s="1852"/>
      <c r="AI504" s="1852"/>
      <c r="AJ504" s="1852">
        <f t="shared" ref="AJ504:BR504" si="1017">AJ503/AF503-1</f>
        <v>5.0328059336454123E-2</v>
      </c>
      <c r="AK504" s="1852">
        <f t="shared" si="1017"/>
        <v>-4.5115841725799299E-2</v>
      </c>
      <c r="AL504" s="1851">
        <f t="shared" si="1017"/>
        <v>-0.24951186861266195</v>
      </c>
      <c r="AM504" s="1852">
        <f t="shared" si="1017"/>
        <v>-0.33618076383292173</v>
      </c>
      <c r="AN504" s="1852">
        <f t="shared" si="1017"/>
        <v>-0.18776577892993729</v>
      </c>
      <c r="AO504" s="1852">
        <f t="shared" si="1017"/>
        <v>-0.11210924091065122</v>
      </c>
      <c r="AP504" s="1851">
        <f t="shared" si="1017"/>
        <v>0.18019566213621507</v>
      </c>
      <c r="AQ504" s="1852">
        <f t="shared" si="1017"/>
        <v>0.53878037211909535</v>
      </c>
      <c r="AR504" s="1852">
        <f t="shared" si="1017"/>
        <v>0.68882280024281628</v>
      </c>
      <c r="AS504" s="1852">
        <f t="shared" si="1017"/>
        <v>0.78777488729293355</v>
      </c>
      <c r="AT504" s="1851">
        <f t="shared" si="1017"/>
        <v>0.39785896233892148</v>
      </c>
      <c r="AU504" s="1852">
        <f t="shared" si="1017"/>
        <v>8.6565169723951119E-2</v>
      </c>
      <c r="AV504" s="1852">
        <f t="shared" si="1017"/>
        <v>0.21853915897683729</v>
      </c>
      <c r="AW504" s="1852">
        <f t="shared" si="1017"/>
        <v>0.1746929163440436</v>
      </c>
      <c r="AX504" s="1851">
        <f t="shared" si="1017"/>
        <v>0.16201840201196727</v>
      </c>
      <c r="AY504" s="1852">
        <f t="shared" si="1017"/>
        <v>0.18746932489380064</v>
      </c>
      <c r="AZ504" s="1852">
        <f t="shared" si="1017"/>
        <v>-8.5788272972376789E-2</v>
      </c>
      <c r="BA504" s="1825">
        <f t="shared" si="1017"/>
        <v>-0.26268838341289902</v>
      </c>
      <c r="BB504" s="1852">
        <f t="shared" si="1017"/>
        <v>-0.10568392258439341</v>
      </c>
      <c r="BC504" s="1852">
        <f t="shared" si="1017"/>
        <v>-1.9495141993859266E-2</v>
      </c>
      <c r="BD504" s="1852">
        <f t="shared" si="1017"/>
        <v>0.11958095554860626</v>
      </c>
      <c r="BE504" s="1825">
        <f t="shared" si="1017"/>
        <v>0.43111123947846375</v>
      </c>
      <c r="BF504" s="1852">
        <f t="shared" si="1017"/>
        <v>0.28163625898054634</v>
      </c>
      <c r="BG504" s="1854">
        <f t="shared" si="1017"/>
        <v>0.10412497220163175</v>
      </c>
      <c r="BH504" s="1852">
        <f t="shared" si="1017"/>
        <v>0.12418958008448167</v>
      </c>
      <c r="BI504" s="1825">
        <f t="shared" si="1017"/>
        <v>0.13283719223897594</v>
      </c>
      <c r="BJ504" s="1852">
        <f t="shared" si="1017"/>
        <v>6.9323063435648313E-2</v>
      </c>
      <c r="BK504" s="1852">
        <f t="shared" si="1017"/>
        <v>1.4069288121344004E-2</v>
      </c>
      <c r="BL504" s="1852">
        <f t="shared" si="1017"/>
        <v>-0.11138258257408007</v>
      </c>
      <c r="BM504" s="1825">
        <f t="shared" si="1017"/>
        <v>-0.24850293651712019</v>
      </c>
      <c r="BN504" s="1852">
        <f t="shared" si="1017"/>
        <v>-0.17394316922368025</v>
      </c>
      <c r="BO504" s="1852">
        <f t="shared" si="1017"/>
        <v>-8.4089631741400273E-2</v>
      </c>
      <c r="BP504" s="1852">
        <f t="shared" si="1017"/>
        <v>3.53977600915516E-2</v>
      </c>
      <c r="BQ504" s="1825">
        <f t="shared" si="1017"/>
        <v>7.5418453655374362E-2</v>
      </c>
      <c r="BR504" s="1852">
        <f t="shared" si="1017"/>
        <v>8.8743204759003325E-2</v>
      </c>
      <c r="BS504" s="1852"/>
      <c r="BT504" s="1852"/>
      <c r="BU504" s="1825"/>
      <c r="BV504" s="1852"/>
      <c r="BW504" s="1852"/>
      <c r="BX504" s="1852"/>
      <c r="BY504" s="1825"/>
      <c r="BZ504" s="1852"/>
      <c r="CA504" s="1852"/>
      <c r="CB504" s="1852"/>
      <c r="CC504" s="1825"/>
      <c r="CD504" s="1983"/>
      <c r="CE504" s="1852"/>
      <c r="CF504" s="1852"/>
      <c r="CG504" s="1852"/>
      <c r="CH504" s="1852"/>
      <c r="CI504" s="1852"/>
      <c r="CJ504" s="1852"/>
      <c r="CK504" s="1852"/>
      <c r="CL504" s="1852"/>
      <c r="CM504" s="1852">
        <f t="shared" ref="CM504:CU504" si="1018">CM503/CL503-1</f>
        <v>-0.23725095234339111</v>
      </c>
      <c r="CN504" s="1852">
        <f t="shared" si="1018"/>
        <v>0.53610750451959244</v>
      </c>
      <c r="CO504" s="1852">
        <f t="shared" si="1018"/>
        <v>0.20551331301962517</v>
      </c>
      <c r="CP504" s="1852">
        <f t="shared" si="1018"/>
        <v>-4.8562536199138195E-3</v>
      </c>
      <c r="CQ504" s="1852">
        <f t="shared" si="1018"/>
        <v>7.6618126691003985E-2</v>
      </c>
      <c r="CR504" s="1852">
        <f t="shared" si="1018"/>
        <v>0.15654532879448491</v>
      </c>
      <c r="CS504" s="1852">
        <f t="shared" si="1018"/>
        <v>-6.767428746588855E-2</v>
      </c>
      <c r="CT504" s="1852">
        <f t="shared" si="1018"/>
        <v>-5.1039414525099747E-2</v>
      </c>
      <c r="CU504" s="1852">
        <f t="shared" si="1018"/>
        <v>-0.72710901697428287</v>
      </c>
      <c r="CV504" s="1852"/>
      <c r="CW504" s="1852"/>
      <c r="CX504" s="1852"/>
      <c r="CY504" s="1852"/>
      <c r="CZ504" s="1852"/>
      <c r="DA504" s="1852"/>
      <c r="DB504" s="1852"/>
      <c r="DC504" s="1852"/>
      <c r="DD504" s="1823"/>
      <c r="DE504" s="1839"/>
      <c r="DF504" s="1829"/>
      <c r="DG504" s="1873"/>
      <c r="DH504" s="1852"/>
      <c r="DI504" s="1852"/>
      <c r="DJ504" s="1852"/>
      <c r="DK504" s="1852"/>
      <c r="DL504" s="1852"/>
      <c r="DM504" s="1852"/>
      <c r="DN504" s="1852"/>
      <c r="DO504" s="1852"/>
      <c r="DP504" s="1852"/>
      <c r="DQ504" s="1852"/>
      <c r="DR504" s="1852"/>
      <c r="DS504" s="1851"/>
      <c r="DT504" s="1852"/>
      <c r="DU504" s="1852"/>
      <c r="DV504" s="1852"/>
      <c r="DW504" s="1825"/>
      <c r="DX504" s="1852"/>
      <c r="DY504" s="1852"/>
      <c r="DZ504" s="1830"/>
      <c r="EA504"/>
      <c r="EB504"/>
      <c r="EC504"/>
      <c r="ED504"/>
      <c r="EE504"/>
      <c r="EF504"/>
    </row>
    <row r="505" spans="1:136" s="1785" customFormat="1" ht="11.25" hidden="1" customHeight="1" outlineLevel="1">
      <c r="A505" s="1830"/>
      <c r="B505" s="1930"/>
      <c r="C505" s="1970" t="s">
        <v>77</v>
      </c>
      <c r="D505" s="1957"/>
      <c r="E505" s="2055"/>
      <c r="F505" s="1851"/>
      <c r="G505" s="1852"/>
      <c r="H505" s="1852"/>
      <c r="I505" s="1825"/>
      <c r="J505" s="1852"/>
      <c r="K505" s="1852"/>
      <c r="L505" s="1852"/>
      <c r="M505" s="1825"/>
      <c r="N505" s="1852"/>
      <c r="O505" s="1852"/>
      <c r="P505" s="1852"/>
      <c r="Q505" s="1825"/>
      <c r="R505" s="1852"/>
      <c r="S505" s="1852"/>
      <c r="T505" s="1852"/>
      <c r="U505" s="1825"/>
      <c r="V505" s="1852"/>
      <c r="W505" s="1852"/>
      <c r="X505" s="1852"/>
      <c r="Y505" s="1825"/>
      <c r="Z505" s="1852"/>
      <c r="AA505" s="1852"/>
      <c r="AB505" s="1852"/>
      <c r="AC505" s="1825"/>
      <c r="AD505" s="1852"/>
      <c r="AE505" s="1852"/>
      <c r="AF505" s="1852"/>
      <c r="AG505" s="1825">
        <f t="shared" ref="AG505:BP505" si="1019">AG503/AF503-1</f>
        <v>4.4438512991091805E-2</v>
      </c>
      <c r="AH505" s="1852">
        <f t="shared" si="1019"/>
        <v>0.2761409517618969</v>
      </c>
      <c r="AI505" s="1852">
        <f t="shared" si="1019"/>
        <v>0.21675536835689657</v>
      </c>
      <c r="AJ505" s="1852">
        <f t="shared" si="1019"/>
        <v>-0.35235029298718124</v>
      </c>
      <c r="AK505" s="1852">
        <f t="shared" si="1019"/>
        <v>-5.0470201684687965E-2</v>
      </c>
      <c r="AL505" s="1851">
        <f t="shared" si="1019"/>
        <v>2.9788744276431078E-3</v>
      </c>
      <c r="AM505" s="1852">
        <f t="shared" si="1019"/>
        <v>7.6240363364251884E-2</v>
      </c>
      <c r="AN505" s="1852">
        <f t="shared" si="1019"/>
        <v>-0.20755044951814239</v>
      </c>
      <c r="AO505" s="1852">
        <f t="shared" si="1019"/>
        <v>3.797489878404825E-2</v>
      </c>
      <c r="AP505" s="1851">
        <f t="shared" si="1019"/>
        <v>0.33317224522960798</v>
      </c>
      <c r="AQ505" s="1852">
        <f t="shared" si="1019"/>
        <v>0.40323981858195568</v>
      </c>
      <c r="AR505" s="1852">
        <f t="shared" si="1019"/>
        <v>-0.13028077746214439</v>
      </c>
      <c r="AS505" s="1852">
        <f t="shared" si="1019"/>
        <v>9.879228147544028E-2</v>
      </c>
      <c r="AT505" s="1851">
        <f t="shared" si="1019"/>
        <v>4.2405721537777774E-2</v>
      </c>
      <c r="AU505" s="1852">
        <f t="shared" si="1019"/>
        <v>9.0747745459052398E-2</v>
      </c>
      <c r="AV505" s="1852">
        <f t="shared" si="1019"/>
        <v>-2.4644853795089849E-2</v>
      </c>
      <c r="AW505" s="1852">
        <f t="shared" si="1019"/>
        <v>5.9254846324758415E-2</v>
      </c>
      <c r="AX505" s="1851">
        <f t="shared" si="1019"/>
        <v>3.1158538487940257E-2</v>
      </c>
      <c r="AY505" s="1852">
        <f t="shared" si="1019"/>
        <v>0.11463767414275172</v>
      </c>
      <c r="AZ505" s="1852">
        <f t="shared" si="1019"/>
        <v>-0.24909124473003386</v>
      </c>
      <c r="BA505" s="1825">
        <f t="shared" si="1019"/>
        <v>-0.14571113011129577</v>
      </c>
      <c r="BB505" s="1852">
        <f t="shared" si="1019"/>
        <v>0.25073529100596281</v>
      </c>
      <c r="BC505" s="1852">
        <f t="shared" si="1019"/>
        <v>0.22205971916765344</v>
      </c>
      <c r="BD505" s="1852">
        <f t="shared" si="1019"/>
        <v>-0.14258136011224332</v>
      </c>
      <c r="BE505" s="1825">
        <f t="shared" si="1019"/>
        <v>9.2000000000001414E-2</v>
      </c>
      <c r="BF505" s="1852">
        <f t="shared" si="1019"/>
        <v>0.12009999999999987</v>
      </c>
      <c r="BG505" s="1854">
        <f t="shared" si="1019"/>
        <v>5.280000000000018E-2</v>
      </c>
      <c r="BH505" s="1852">
        <f t="shared" si="1019"/>
        <v>-0.12699999999999989</v>
      </c>
      <c r="BI505" s="1825">
        <f t="shared" si="1019"/>
        <v>0.10039999999999982</v>
      </c>
      <c r="BJ505" s="1852">
        <f t="shared" si="1019"/>
        <v>5.7300000000000129E-2</v>
      </c>
      <c r="BK505" s="1852">
        <f t="shared" si="1019"/>
        <v>-1.6000000000001569E-3</v>
      </c>
      <c r="BL505" s="1852">
        <f t="shared" si="1019"/>
        <v>-0.23499999999999999</v>
      </c>
      <c r="BM505" s="1825">
        <f t="shared" si="1019"/>
        <v>-6.9400000000000239E-2</v>
      </c>
      <c r="BN505" s="1852">
        <f t="shared" si="1019"/>
        <v>0.16220000000000012</v>
      </c>
      <c r="BO505" s="1852">
        <f t="shared" si="1019"/>
        <v>0.10699999999999976</v>
      </c>
      <c r="BP505" s="1852">
        <f t="shared" si="1019"/>
        <v>-0.13519999999999999</v>
      </c>
      <c r="BQ505" s="1825">
        <f>BQ503/BP503-1</f>
        <v>-3.342999999999996E-2</v>
      </c>
      <c r="BR505" s="1852">
        <f>BR503/BQ503-1</f>
        <v>0.17660000000000031</v>
      </c>
      <c r="BS505" s="1852"/>
      <c r="BT505" s="1852"/>
      <c r="BU505" s="1825"/>
      <c r="BV505" s="1852"/>
      <c r="BW505" s="1852"/>
      <c r="BX505" s="1852"/>
      <c r="BY505" s="1825"/>
      <c r="BZ505" s="1852"/>
      <c r="CA505" s="1852"/>
      <c r="CB505" s="1852"/>
      <c r="CC505" s="1825"/>
      <c r="CD505" s="1983"/>
      <c r="CE505" s="1852"/>
      <c r="CF505" s="1852"/>
      <c r="CG505" s="1852"/>
      <c r="CH505" s="1852"/>
      <c r="CI505" s="1852"/>
      <c r="CJ505" s="1852"/>
      <c r="CK505" s="1852"/>
      <c r="CL505" s="1852"/>
      <c r="CM505" s="1852"/>
      <c r="CN505" s="1852"/>
      <c r="CO505" s="1852"/>
      <c r="CP505" s="1852"/>
      <c r="CQ505" s="1852"/>
      <c r="CR505" s="1852"/>
      <c r="CS505" s="1852"/>
      <c r="CT505" s="1852"/>
      <c r="CU505" s="1852"/>
      <c r="CV505" s="1852"/>
      <c r="CW505" s="1852"/>
      <c r="CX505" s="1852"/>
      <c r="CY505" s="1852"/>
      <c r="CZ505" s="1852"/>
      <c r="DA505" s="1852"/>
      <c r="DB505" s="1852"/>
      <c r="DC505" s="1852"/>
      <c r="DD505" s="1823"/>
      <c r="DE505" s="1839"/>
      <c r="DF505" s="1829"/>
      <c r="DG505" s="1873"/>
      <c r="DH505" s="1829"/>
      <c r="DI505" s="1829"/>
      <c r="DJ505" s="1829"/>
      <c r="DK505" s="1829"/>
      <c r="DL505" s="1838"/>
      <c r="DM505" s="1974"/>
      <c r="DN505" s="1974"/>
      <c r="DO505" s="1974"/>
      <c r="DP505" s="1974"/>
      <c r="DQ505" s="1974"/>
      <c r="DR505" s="1848"/>
      <c r="DS505" s="1855"/>
      <c r="DT505" s="1848"/>
      <c r="DU505" s="1848"/>
      <c r="DV505" s="1848"/>
      <c r="DW505" s="1850"/>
      <c r="DX505" s="1848"/>
      <c r="DY505" s="1848"/>
      <c r="DZ505" s="1830"/>
      <c r="EA505"/>
      <c r="EB505"/>
      <c r="EC505"/>
      <c r="ED505"/>
      <c r="EE505"/>
      <c r="EF505"/>
    </row>
    <row r="506" spans="1:136" s="1785" customFormat="1" ht="11.25" hidden="1" customHeight="1" outlineLevel="1">
      <c r="A506" s="1830"/>
      <c r="B506" s="1943" t="s">
        <v>921</v>
      </c>
      <c r="C506" s="1957"/>
      <c r="D506" s="1957"/>
      <c r="E506" s="2055"/>
      <c r="F506" s="1958"/>
      <c r="G506" s="1959"/>
      <c r="H506" s="1959"/>
      <c r="I506" s="1960"/>
      <c r="J506" s="1959"/>
      <c r="K506" s="1959"/>
      <c r="L506" s="1959"/>
      <c r="M506" s="1960"/>
      <c r="N506" s="1959"/>
      <c r="O506" s="1959"/>
      <c r="P506" s="1959"/>
      <c r="Q506" s="1960"/>
      <c r="R506" s="1959"/>
      <c r="S506" s="1959"/>
      <c r="T506" s="1959"/>
      <c r="U506" s="1960"/>
      <c r="V506" s="1959"/>
      <c r="W506" s="1959"/>
      <c r="X506" s="1959"/>
      <c r="Y506" s="1960"/>
      <c r="Z506" s="1959"/>
      <c r="AA506" s="1959"/>
      <c r="AB506" s="1959"/>
      <c r="AC506" s="1960"/>
      <c r="AD506" s="1959"/>
      <c r="AE506" s="1959"/>
      <c r="AF506" s="1959">
        <v>96.728999999999999</v>
      </c>
      <c r="AG506" s="1960">
        <v>107.041</v>
      </c>
      <c r="AH506" s="1959">
        <v>118.613</v>
      </c>
      <c r="AI506" s="1959">
        <v>127.858</v>
      </c>
      <c r="AJ506" s="1959">
        <v>125.916</v>
      </c>
      <c r="AK506" s="1960">
        <v>128.50299999999999</v>
      </c>
      <c r="AL506" s="1959">
        <v>131.941</v>
      </c>
      <c r="AM506" s="1959">
        <v>121.749</v>
      </c>
      <c r="AN506" s="1959">
        <v>71.372</v>
      </c>
      <c r="AO506" s="1960">
        <v>120.14100000000001</v>
      </c>
      <c r="AP506" s="1959">
        <v>121.36</v>
      </c>
      <c r="AQ506" s="1959">
        <v>99.619</v>
      </c>
      <c r="AR506" s="1959">
        <v>93.468000000000004</v>
      </c>
      <c r="AS506" s="1960">
        <v>87.753</v>
      </c>
      <c r="AT506" s="1959">
        <v>96.08</v>
      </c>
      <c r="AU506" s="1959">
        <v>86.575999999999993</v>
      </c>
      <c r="AV506" s="1959">
        <v>83.953000000000003</v>
      </c>
      <c r="AW506" s="1960">
        <v>93.033000000000001</v>
      </c>
      <c r="AX506" s="1959">
        <v>94.128</v>
      </c>
      <c r="AY506" s="1959">
        <v>103.476</v>
      </c>
      <c r="AZ506" s="1959">
        <v>99.138999999999996</v>
      </c>
      <c r="BA506" s="1960">
        <v>87.051000000000002</v>
      </c>
      <c r="BB506" s="1959">
        <v>90.989999999999569</v>
      </c>
      <c r="BC506" s="1959">
        <v>96.784000000000006</v>
      </c>
      <c r="BD506" s="1959">
        <v>102</v>
      </c>
      <c r="BE506" s="1960">
        <v>82.080383827654799</v>
      </c>
      <c r="BF506" s="1959">
        <v>97.509180000000001</v>
      </c>
      <c r="BG506" s="1959">
        <v>103.67147999999999</v>
      </c>
      <c r="BH506" s="1959">
        <v>110.09103469758537</v>
      </c>
      <c r="BI506" s="1960">
        <v>73.5</v>
      </c>
      <c r="BJ506" s="1959">
        <v>101.35465320883119</v>
      </c>
      <c r="BK506" s="1959">
        <v>109.64746565952503</v>
      </c>
      <c r="BL506" s="1959">
        <v>91.497967666847856</v>
      </c>
      <c r="BM506" s="1960">
        <v>80</v>
      </c>
      <c r="BN506" s="1959">
        <v>78</v>
      </c>
      <c r="BO506" s="1959">
        <v>58</v>
      </c>
      <c r="BP506" s="1959">
        <v>65</v>
      </c>
      <c r="BQ506" s="1960">
        <v>65</v>
      </c>
      <c r="BR506" s="1959">
        <v>65</v>
      </c>
      <c r="BS506" s="1959"/>
      <c r="BT506" s="1959"/>
      <c r="BU506" s="1960"/>
      <c r="BV506" s="1959"/>
      <c r="BW506" s="1959"/>
      <c r="BX506" s="1959"/>
      <c r="BY506" s="1960"/>
      <c r="BZ506" s="1959"/>
      <c r="CA506" s="1959"/>
      <c r="CB506" s="1959"/>
      <c r="CC506" s="1960"/>
      <c r="CD506" s="1824"/>
      <c r="CE506" s="1831"/>
      <c r="CF506" s="1831"/>
      <c r="CG506" s="1831"/>
      <c r="CH506" s="1831"/>
      <c r="CI506" s="1831"/>
      <c r="CJ506" s="1959"/>
      <c r="CK506" s="1959"/>
      <c r="CL506" s="1959">
        <f>SUM(AH506:AK506)</f>
        <v>500.89</v>
      </c>
      <c r="CM506" s="1959">
        <f>SUM(AL506:AO506)</f>
        <v>445.20300000000003</v>
      </c>
      <c r="CN506" s="1959">
        <f>SUM(AP506:AS506)</f>
        <v>402.2</v>
      </c>
      <c r="CO506" s="1959">
        <f>SUM(AT506:AW506)</f>
        <v>359.64200000000005</v>
      </c>
      <c r="CP506" s="1959">
        <f>SUM(AX506:BA506)</f>
        <v>383.79399999999998</v>
      </c>
      <c r="CQ506" s="1959">
        <f>SUM(BB506:BE506)</f>
        <v>371.85438382765437</v>
      </c>
      <c r="CR506" s="1959">
        <f>SUM(BF506:BI506)</f>
        <v>384.77169469758536</v>
      </c>
      <c r="CS506" s="1959">
        <f>SUM(BJ506:BM506)</f>
        <v>382.50008653520405</v>
      </c>
      <c r="CT506" s="1959">
        <f>SUM(BN506:BQ506)</f>
        <v>266</v>
      </c>
      <c r="CU506" s="1959">
        <f>SUM(BR506:BU506)</f>
        <v>65</v>
      </c>
      <c r="CV506" s="1959"/>
      <c r="CW506" s="1959"/>
      <c r="CX506" s="1959"/>
      <c r="CY506" s="1959"/>
      <c r="CZ506" s="1959"/>
      <c r="DA506" s="1959"/>
      <c r="DB506" s="1959"/>
      <c r="DC506" s="1959"/>
      <c r="DD506" s="1824"/>
      <c r="DE506" s="1839"/>
      <c r="DF506" s="1830"/>
      <c r="DG506" s="1783"/>
      <c r="DH506" s="1782"/>
      <c r="DI506" s="1782"/>
      <c r="DJ506" s="1782"/>
      <c r="DK506" s="1782"/>
      <c r="DL506" s="1782"/>
      <c r="DM506" s="1782"/>
      <c r="DN506" s="1782"/>
      <c r="DO506" s="1782"/>
      <c r="DP506" s="1782"/>
      <c r="DQ506" s="1782"/>
      <c r="DR506" s="1782"/>
      <c r="DS506" s="1783"/>
      <c r="DT506" s="1782"/>
      <c r="DU506" s="1782"/>
      <c r="DV506" s="1782"/>
      <c r="DW506" s="1784"/>
      <c r="DX506" s="1782"/>
      <c r="DY506" s="1782"/>
      <c r="DZ506" s="1830"/>
      <c r="EA506"/>
      <c r="EB506"/>
      <c r="EC506"/>
      <c r="ED506"/>
      <c r="EE506"/>
      <c r="EF506"/>
    </row>
    <row r="507" spans="1:136" s="1785" customFormat="1" ht="11.25" hidden="1" customHeight="1" outlineLevel="1">
      <c r="A507" s="1830"/>
      <c r="B507" s="1930"/>
      <c r="C507" s="1970" t="s">
        <v>76</v>
      </c>
      <c r="D507" s="1957"/>
      <c r="E507" s="2055"/>
      <c r="F507" s="1851"/>
      <c r="G507" s="1852"/>
      <c r="H507" s="1852"/>
      <c r="I507" s="1825"/>
      <c r="J507" s="1852"/>
      <c r="K507" s="1852"/>
      <c r="L507" s="1852"/>
      <c r="M507" s="1825"/>
      <c r="N507" s="1852"/>
      <c r="O507" s="1852"/>
      <c r="P507" s="1852"/>
      <c r="Q507" s="1825"/>
      <c r="R507" s="1852"/>
      <c r="S507" s="1852"/>
      <c r="T507" s="1852"/>
      <c r="U507" s="1825"/>
      <c r="V507" s="1852"/>
      <c r="W507" s="1852"/>
      <c r="X507" s="1852"/>
      <c r="Y507" s="1825"/>
      <c r="Z507" s="1852"/>
      <c r="AA507" s="1852"/>
      <c r="AB507" s="1852"/>
      <c r="AC507" s="1825"/>
      <c r="AD507" s="1852"/>
      <c r="AE507" s="1852"/>
      <c r="AF507" s="1852"/>
      <c r="AG507" s="1825"/>
      <c r="AH507" s="1852"/>
      <c r="AI507" s="1852"/>
      <c r="AJ507" s="1852">
        <f t="shared" ref="AJ507:BR507" si="1020">AJ506/AF506-1</f>
        <v>0.30173991253915577</v>
      </c>
      <c r="AK507" s="1852">
        <f t="shared" si="1020"/>
        <v>0.20050261114899892</v>
      </c>
      <c r="AL507" s="1851">
        <f t="shared" si="1020"/>
        <v>0.1123654236888032</v>
      </c>
      <c r="AM507" s="1852">
        <f t="shared" si="1020"/>
        <v>-4.7779567958203706E-2</v>
      </c>
      <c r="AN507" s="1852">
        <f t="shared" si="1020"/>
        <v>-0.43317767400489215</v>
      </c>
      <c r="AO507" s="1852">
        <f t="shared" si="1020"/>
        <v>-6.507241076083814E-2</v>
      </c>
      <c r="AP507" s="1851">
        <f t="shared" si="1020"/>
        <v>-8.0194935615161334E-2</v>
      </c>
      <c r="AQ507" s="1852">
        <f t="shared" si="1020"/>
        <v>-0.18176740671381286</v>
      </c>
      <c r="AR507" s="1852">
        <f t="shared" si="1020"/>
        <v>0.30958919464215673</v>
      </c>
      <c r="AS507" s="1852">
        <f t="shared" si="1020"/>
        <v>-0.26958323969336029</v>
      </c>
      <c r="AT507" s="1851">
        <f t="shared" si="1020"/>
        <v>-0.20830586684245223</v>
      </c>
      <c r="AU507" s="1852">
        <f t="shared" si="1020"/>
        <v>-0.13092883887611806</v>
      </c>
      <c r="AV507" s="1852">
        <f t="shared" si="1020"/>
        <v>-0.10179954636881072</v>
      </c>
      <c r="AW507" s="1852">
        <f t="shared" si="1020"/>
        <v>6.0168883115107263E-2</v>
      </c>
      <c r="AX507" s="1851">
        <f t="shared" si="1020"/>
        <v>-2.0316402997502037E-2</v>
      </c>
      <c r="AY507" s="1852">
        <f t="shared" si="1020"/>
        <v>0.19520421363888385</v>
      </c>
      <c r="AZ507" s="1852">
        <f t="shared" si="1020"/>
        <v>0.18088692482698643</v>
      </c>
      <c r="BA507" s="1825">
        <f t="shared" si="1020"/>
        <v>-6.4299764599658138E-2</v>
      </c>
      <c r="BB507" s="1852">
        <f t="shared" si="1020"/>
        <v>-3.3337582865889392E-2</v>
      </c>
      <c r="BC507" s="1852">
        <f t="shared" si="1020"/>
        <v>-6.4672001237001786E-2</v>
      </c>
      <c r="BD507" s="1852">
        <f t="shared" si="1020"/>
        <v>2.8858471439090705E-2</v>
      </c>
      <c r="BE507" s="1825">
        <f t="shared" si="1020"/>
        <v>-5.7100046781142111E-2</v>
      </c>
      <c r="BF507" s="1852">
        <f t="shared" si="1020"/>
        <v>7.1647213979563196E-2</v>
      </c>
      <c r="BG507" s="1854">
        <f t="shared" si="1020"/>
        <v>7.1163415440568478E-2</v>
      </c>
      <c r="BH507" s="1852">
        <f t="shared" si="1020"/>
        <v>7.9323869584170259E-2</v>
      </c>
      <c r="BI507" s="1825">
        <f t="shared" si="1020"/>
        <v>-0.1045363511660854</v>
      </c>
      <c r="BJ507" s="1852">
        <f t="shared" si="1020"/>
        <v>3.9437037711025802E-2</v>
      </c>
      <c r="BK507" s="1852">
        <f t="shared" si="1020"/>
        <v>5.7643487481080058E-2</v>
      </c>
      <c r="BL507" s="1852">
        <f t="shared" si="1020"/>
        <v>-0.16888811229553569</v>
      </c>
      <c r="BM507" s="1825">
        <f t="shared" si="1020"/>
        <v>8.8435374149659962E-2</v>
      </c>
      <c r="BN507" s="1852">
        <f t="shared" si="1020"/>
        <v>-0.23042507146377633</v>
      </c>
      <c r="BO507" s="1852">
        <f t="shared" si="1020"/>
        <v>-0.47103200560877201</v>
      </c>
      <c r="BP507" s="1852">
        <f t="shared" si="1020"/>
        <v>-0.2896017074753976</v>
      </c>
      <c r="BQ507" s="1825">
        <f t="shared" si="1020"/>
        <v>-0.1875</v>
      </c>
      <c r="BR507" s="1852">
        <f t="shared" si="1020"/>
        <v>-0.16666666666666663</v>
      </c>
      <c r="BS507" s="1852"/>
      <c r="BT507" s="1852"/>
      <c r="BU507" s="1825"/>
      <c r="BV507" s="1852"/>
      <c r="BW507" s="1852"/>
      <c r="BX507" s="1852"/>
      <c r="BY507" s="1825"/>
      <c r="BZ507" s="1852"/>
      <c r="CA507" s="1852"/>
      <c r="CB507" s="1852"/>
      <c r="CC507" s="1825"/>
      <c r="CD507" s="1983"/>
      <c r="CE507" s="1852"/>
      <c r="CF507" s="1852"/>
      <c r="CG507" s="1852"/>
      <c r="CH507" s="1852"/>
      <c r="CI507" s="1852"/>
      <c r="CJ507" s="1852"/>
      <c r="CK507" s="1852"/>
      <c r="CL507" s="1852"/>
      <c r="CM507" s="1852">
        <f t="shared" ref="CM507:CU507" si="1021">CM506/CL506-1</f>
        <v>-0.1111761065303758</v>
      </c>
      <c r="CN507" s="1852">
        <f t="shared" si="1021"/>
        <v>-9.6591891788689765E-2</v>
      </c>
      <c r="CO507" s="1852">
        <f t="shared" si="1021"/>
        <v>-0.10581302834410722</v>
      </c>
      <c r="CP507" s="1852">
        <f t="shared" si="1021"/>
        <v>6.7155671473298151E-2</v>
      </c>
      <c r="CQ507" s="1852">
        <f t="shared" si="1021"/>
        <v>-3.1109439366810321E-2</v>
      </c>
      <c r="CR507" s="1852">
        <f t="shared" si="1021"/>
        <v>3.4737551664626443E-2</v>
      </c>
      <c r="CS507" s="1852">
        <f t="shared" si="1021"/>
        <v>-5.9037818885474547E-3</v>
      </c>
      <c r="CT507" s="1852">
        <f t="shared" si="1021"/>
        <v>-0.30457532072867066</v>
      </c>
      <c r="CU507" s="1852">
        <f t="shared" si="1021"/>
        <v>-0.75563909774436089</v>
      </c>
      <c r="CV507" s="1852"/>
      <c r="CW507" s="1852"/>
      <c r="CX507" s="1852"/>
      <c r="CY507" s="1852"/>
      <c r="CZ507" s="1852"/>
      <c r="DA507" s="1852"/>
      <c r="DB507" s="1852"/>
      <c r="DC507" s="1852"/>
      <c r="DD507" s="1823"/>
      <c r="DE507" s="1839"/>
      <c r="DF507" s="1829"/>
      <c r="DG507" s="1873"/>
      <c r="DH507" s="1852"/>
      <c r="DI507" s="1852"/>
      <c r="DJ507" s="1852"/>
      <c r="DK507" s="1852"/>
      <c r="DL507" s="1852"/>
      <c r="DM507" s="1852"/>
      <c r="DN507" s="1852"/>
      <c r="DO507" s="1852"/>
      <c r="DP507" s="1852"/>
      <c r="DQ507" s="1852"/>
      <c r="DR507" s="1852"/>
      <c r="DS507" s="1851"/>
      <c r="DT507" s="1852"/>
      <c r="DU507" s="1852"/>
      <c r="DV507" s="1852"/>
      <c r="DW507" s="1825"/>
      <c r="DX507" s="1852"/>
      <c r="DY507" s="1852"/>
      <c r="DZ507" s="1830"/>
      <c r="EA507"/>
      <c r="EB507"/>
      <c r="EC507"/>
      <c r="ED507"/>
      <c r="EE507"/>
      <c r="EF507"/>
    </row>
    <row r="508" spans="1:136" s="1785" customFormat="1" ht="11.25" hidden="1" customHeight="1" outlineLevel="1">
      <c r="A508" s="1830"/>
      <c r="B508" s="1930"/>
      <c r="C508" s="1970" t="s">
        <v>77</v>
      </c>
      <c r="D508" s="1957"/>
      <c r="E508" s="2055"/>
      <c r="F508" s="1851"/>
      <c r="G508" s="1852"/>
      <c r="H508" s="1852"/>
      <c r="I508" s="1825"/>
      <c r="J508" s="1852"/>
      <c r="K508" s="1852"/>
      <c r="L508" s="1852"/>
      <c r="M508" s="1825"/>
      <c r="N508" s="1852"/>
      <c r="O508" s="1852"/>
      <c r="P508" s="1852"/>
      <c r="Q508" s="1825"/>
      <c r="R508" s="1852"/>
      <c r="S508" s="1852"/>
      <c r="T508" s="1852"/>
      <c r="U508" s="1825"/>
      <c r="V508" s="1852"/>
      <c r="W508" s="1852"/>
      <c r="X508" s="1852"/>
      <c r="Y508" s="1825"/>
      <c r="Z508" s="1852"/>
      <c r="AA508" s="1852"/>
      <c r="AB508" s="1852"/>
      <c r="AC508" s="1825"/>
      <c r="AD508" s="1852"/>
      <c r="AE508" s="1852"/>
      <c r="AF508" s="1852"/>
      <c r="AG508" s="1825">
        <f t="shared" ref="AG508:BP508" si="1022">AG506/AF506-1</f>
        <v>0.10660711885783991</v>
      </c>
      <c r="AH508" s="1852">
        <f t="shared" si="1022"/>
        <v>0.10810810810810811</v>
      </c>
      <c r="AI508" s="1852">
        <f t="shared" si="1022"/>
        <v>7.7942552671292464E-2</v>
      </c>
      <c r="AJ508" s="1852">
        <f t="shared" si="1022"/>
        <v>-1.5188724991787805E-2</v>
      </c>
      <c r="AK508" s="1852">
        <f t="shared" si="1022"/>
        <v>2.0545442993741725E-2</v>
      </c>
      <c r="AL508" s="1851">
        <f t="shared" si="1022"/>
        <v>2.6754239200641461E-2</v>
      </c>
      <c r="AM508" s="1852">
        <f t="shared" si="1022"/>
        <v>-7.724664812302473E-2</v>
      </c>
      <c r="AN508" s="1852">
        <f t="shared" si="1022"/>
        <v>-0.41377752589343653</v>
      </c>
      <c r="AO508" s="1852">
        <f t="shared" si="1022"/>
        <v>0.6833071792859946</v>
      </c>
      <c r="AP508" s="1851">
        <f t="shared" si="1022"/>
        <v>1.014641130005578E-2</v>
      </c>
      <c r="AQ508" s="1852">
        <f t="shared" si="1022"/>
        <v>-0.17914469347396178</v>
      </c>
      <c r="AR508" s="1852">
        <f t="shared" si="1022"/>
        <v>-6.1745249400214752E-2</v>
      </c>
      <c r="AS508" s="1852">
        <f t="shared" si="1022"/>
        <v>-6.1143920914109695E-2</v>
      </c>
      <c r="AT508" s="1851">
        <f t="shared" si="1022"/>
        <v>9.489134274611688E-2</v>
      </c>
      <c r="AU508" s="1852">
        <f t="shared" si="1022"/>
        <v>-9.8917568692756142E-2</v>
      </c>
      <c r="AV508" s="1852">
        <f t="shared" si="1022"/>
        <v>-3.0297080022176903E-2</v>
      </c>
      <c r="AW508" s="1852">
        <f t="shared" si="1022"/>
        <v>0.10815575381463427</v>
      </c>
      <c r="AX508" s="1851">
        <f t="shared" si="1022"/>
        <v>1.1770017090709795E-2</v>
      </c>
      <c r="AY508" s="1852">
        <f t="shared" si="1022"/>
        <v>9.9311575726670043E-2</v>
      </c>
      <c r="AZ508" s="1852">
        <f t="shared" si="1022"/>
        <v>-4.1913100622366528E-2</v>
      </c>
      <c r="BA508" s="1825">
        <f t="shared" si="1022"/>
        <v>-0.12192981571329142</v>
      </c>
      <c r="BB508" s="1852">
        <f t="shared" si="1022"/>
        <v>4.5249336595783785E-2</v>
      </c>
      <c r="BC508" s="1852">
        <f t="shared" si="1022"/>
        <v>6.3677327178816023E-2</v>
      </c>
      <c r="BD508" s="1852">
        <f t="shared" si="1022"/>
        <v>5.3893205488510398E-2</v>
      </c>
      <c r="BE508" s="1825">
        <f t="shared" si="1022"/>
        <v>-0.19529035463083533</v>
      </c>
      <c r="BF508" s="1852">
        <f t="shared" si="1022"/>
        <v>0.18797178391296554</v>
      </c>
      <c r="BG508" s="1854">
        <f t="shared" si="1022"/>
        <v>6.3197126670534898E-2</v>
      </c>
      <c r="BH508" s="1852">
        <f t="shared" si="1022"/>
        <v>6.1922089832086691E-2</v>
      </c>
      <c r="BI508" s="1825">
        <f t="shared" si="1022"/>
        <v>-0.33237070391879897</v>
      </c>
      <c r="BJ508" s="1852">
        <f t="shared" si="1022"/>
        <v>0.37897487358953996</v>
      </c>
      <c r="BK508" s="1852">
        <f t="shared" si="1022"/>
        <v>8.1819750629577026E-2</v>
      </c>
      <c r="BL508" s="1852">
        <f t="shared" si="1022"/>
        <v>-0.165525923317139</v>
      </c>
      <c r="BM508" s="1825">
        <f t="shared" si="1022"/>
        <v>-0.12566363996972008</v>
      </c>
      <c r="BN508" s="1852">
        <f t="shared" si="1022"/>
        <v>-2.5000000000000022E-2</v>
      </c>
      <c r="BO508" s="1852">
        <f t="shared" si="1022"/>
        <v>-0.25641025641025639</v>
      </c>
      <c r="BP508" s="1852">
        <f t="shared" si="1022"/>
        <v>0.1206896551724137</v>
      </c>
      <c r="BQ508" s="1825">
        <f>BQ506/BP506-1</f>
        <v>0</v>
      </c>
      <c r="BR508" s="1852">
        <f>BR506/BQ506-1</f>
        <v>0</v>
      </c>
      <c r="BS508" s="1852"/>
      <c r="BT508" s="1852"/>
      <c r="BU508" s="1825"/>
      <c r="BV508" s="1852"/>
      <c r="BW508" s="1852"/>
      <c r="BX508" s="1852"/>
      <c r="BY508" s="1825"/>
      <c r="BZ508" s="1852"/>
      <c r="CA508" s="1852"/>
      <c r="CB508" s="1852"/>
      <c r="CC508" s="1825"/>
      <c r="CD508" s="1983"/>
      <c r="CE508" s="1852"/>
      <c r="CF508" s="1852"/>
      <c r="CG508" s="1852"/>
      <c r="CH508" s="1852"/>
      <c r="CI508" s="1852"/>
      <c r="CJ508" s="1852"/>
      <c r="CK508" s="1852"/>
      <c r="CL508" s="1852"/>
      <c r="CM508" s="1852"/>
      <c r="CN508" s="1852"/>
      <c r="CO508" s="1852"/>
      <c r="CP508" s="1852"/>
      <c r="CQ508" s="1852"/>
      <c r="CR508" s="1852"/>
      <c r="CS508" s="1852"/>
      <c r="CT508" s="1852"/>
      <c r="CU508" s="1852"/>
      <c r="CV508" s="1852"/>
      <c r="CW508" s="1852"/>
      <c r="CX508" s="1852"/>
      <c r="CY508" s="1852"/>
      <c r="CZ508" s="1852"/>
      <c r="DA508" s="1852"/>
      <c r="DB508" s="1852"/>
      <c r="DC508" s="1852"/>
      <c r="DD508" s="1823"/>
      <c r="DE508" s="1839"/>
      <c r="DF508" s="1829"/>
      <c r="DG508" s="1873"/>
      <c r="DH508" s="1829"/>
      <c r="DI508" s="1829"/>
      <c r="DJ508" s="1829"/>
      <c r="DK508" s="1829"/>
      <c r="DL508" s="1838"/>
      <c r="DM508" s="1974"/>
      <c r="DN508" s="1974"/>
      <c r="DO508" s="1974"/>
      <c r="DP508" s="1974"/>
      <c r="DQ508" s="1974"/>
      <c r="DR508" s="1848"/>
      <c r="DS508" s="1855"/>
      <c r="DT508" s="1848"/>
      <c r="DU508" s="1848"/>
      <c r="DV508" s="1848"/>
      <c r="DW508" s="1850"/>
      <c r="DX508" s="1848"/>
      <c r="DY508" s="1848"/>
      <c r="DZ508" s="1830"/>
      <c r="EA508"/>
      <c r="EB508"/>
      <c r="EC508"/>
      <c r="ED508"/>
      <c r="EE508"/>
      <c r="EF508"/>
    </row>
    <row r="509" spans="1:136" s="1785" customFormat="1" ht="11.25" hidden="1" customHeight="1" outlineLevel="1">
      <c r="A509" s="1830"/>
      <c r="B509" s="1943" t="s">
        <v>922</v>
      </c>
      <c r="C509" s="1957"/>
      <c r="D509" s="1957"/>
      <c r="E509" s="2055"/>
      <c r="F509" s="2048"/>
      <c r="G509" s="1846"/>
      <c r="H509" s="1846"/>
      <c r="I509" s="2049"/>
      <c r="J509" s="1846"/>
      <c r="K509" s="1846"/>
      <c r="L509" s="1846"/>
      <c r="M509" s="2049"/>
      <c r="N509" s="1846"/>
      <c r="O509" s="1846"/>
      <c r="P509" s="1846"/>
      <c r="Q509" s="2049"/>
      <c r="R509" s="1846"/>
      <c r="S509" s="1846"/>
      <c r="T509" s="1846"/>
      <c r="U509" s="2049"/>
      <c r="V509" s="1846"/>
      <c r="W509" s="1846"/>
      <c r="X509" s="1846"/>
      <c r="Y509" s="2049"/>
      <c r="Z509" s="1846"/>
      <c r="AA509" s="1846"/>
      <c r="AB509" s="1846"/>
      <c r="AC509" s="2049"/>
      <c r="AD509" s="1846"/>
      <c r="AE509" s="1846"/>
      <c r="AF509" s="1846"/>
      <c r="AG509" s="2049"/>
      <c r="AH509" s="1846"/>
      <c r="AI509" s="1846"/>
      <c r="AJ509" s="1846"/>
      <c r="AK509" s="2049"/>
      <c r="AL509" s="1846"/>
      <c r="AM509" s="1846"/>
      <c r="AN509" s="1846"/>
      <c r="AO509" s="2049"/>
      <c r="AP509" s="1846"/>
      <c r="AQ509" s="1846"/>
      <c r="AR509" s="1846"/>
      <c r="AS509" s="2049"/>
      <c r="AT509" s="1846"/>
      <c r="AU509" s="1846"/>
      <c r="AV509" s="1846"/>
      <c r="AW509" s="2049"/>
      <c r="AX509" s="1846"/>
      <c r="AY509" s="1846"/>
      <c r="AZ509" s="1846"/>
      <c r="BA509" s="2049"/>
      <c r="BB509" s="1846"/>
      <c r="BC509" s="1846"/>
      <c r="BD509" s="1846"/>
      <c r="BE509" s="1960">
        <v>41.490548172343324</v>
      </c>
      <c r="BF509" s="1959">
        <v>12.493434633198149</v>
      </c>
      <c r="BG509" s="1959">
        <v>29.036194285830561</v>
      </c>
      <c r="BH509" s="1959">
        <v>9.3000000000000007</v>
      </c>
      <c r="BI509" s="1960">
        <v>28.1</v>
      </c>
      <c r="BJ509" s="1959">
        <v>25.815788522641515</v>
      </c>
      <c r="BK509" s="1959">
        <v>8</v>
      </c>
      <c r="BL509" s="1959">
        <v>3.3</v>
      </c>
      <c r="BM509" s="1960">
        <v>5</v>
      </c>
      <c r="BN509" s="1959">
        <v>35.9</v>
      </c>
      <c r="BO509" s="1959">
        <v>3.5798406704116101</v>
      </c>
      <c r="BP509" s="1959">
        <v>19.474126211771999</v>
      </c>
      <c r="BQ509" s="1960">
        <v>19.474126211771999</v>
      </c>
      <c r="BR509" s="1959">
        <v>24.736407718613222</v>
      </c>
      <c r="BS509" s="1959"/>
      <c r="BT509" s="1959"/>
      <c r="BU509" s="1960"/>
      <c r="BV509" s="1959"/>
      <c r="BW509" s="1959"/>
      <c r="BX509" s="1959"/>
      <c r="BY509" s="1960"/>
      <c r="BZ509" s="1959"/>
      <c r="CA509" s="1959"/>
      <c r="CB509" s="1959"/>
      <c r="CC509" s="1960"/>
      <c r="CD509" s="1824"/>
      <c r="CE509" s="1846"/>
      <c r="CF509" s="1846"/>
      <c r="CG509" s="1846"/>
      <c r="CH509" s="1846"/>
      <c r="CI509" s="1846"/>
      <c r="CJ509" s="1846"/>
      <c r="CK509" s="1847"/>
      <c r="CL509" s="1847"/>
      <c r="CM509" s="1846"/>
      <c r="CN509" s="1846"/>
      <c r="CO509" s="1846"/>
      <c r="CP509" s="1846"/>
      <c r="CQ509" s="1959"/>
      <c r="CR509" s="1959">
        <f>SUM(BF509:BI509)</f>
        <v>78.929628919028715</v>
      </c>
      <c r="CS509" s="1959">
        <f>SUM(BJ509:BM509)</f>
        <v>42.115788522641509</v>
      </c>
      <c r="CT509" s="1959">
        <f>SUM(BN509:BQ509)</f>
        <v>78.42809309395561</v>
      </c>
      <c r="CU509" s="1959">
        <f>SUM(BR509:BU509)</f>
        <v>24.736407718613222</v>
      </c>
      <c r="CV509" s="1846"/>
      <c r="CW509" s="1846"/>
      <c r="CX509" s="1846"/>
      <c r="CY509" s="1846"/>
      <c r="CZ509" s="1846"/>
      <c r="DA509" s="1846"/>
      <c r="DB509" s="1846"/>
      <c r="DC509" s="1846"/>
      <c r="DD509" s="1824"/>
      <c r="DE509" s="1839"/>
      <c r="DF509" s="1830"/>
      <c r="DG509" s="2048"/>
      <c r="DH509" s="1846"/>
      <c r="DI509" s="1846"/>
      <c r="DJ509" s="1846"/>
      <c r="DK509" s="1846"/>
      <c r="DL509" s="1846"/>
      <c r="DM509" s="1846"/>
      <c r="DN509" s="1846"/>
      <c r="DO509" s="1846"/>
      <c r="DP509" s="1846"/>
      <c r="DQ509" s="1846"/>
      <c r="DR509" s="1998"/>
      <c r="DS509" s="2000"/>
      <c r="DT509" s="1998"/>
      <c r="DU509" s="2058"/>
      <c r="DV509" s="2058"/>
      <c r="DW509" s="2059"/>
      <c r="DX509" s="2058"/>
      <c r="DY509" s="2058"/>
      <c r="DZ509" s="1830"/>
      <c r="EA509"/>
      <c r="EB509"/>
      <c r="EC509"/>
      <c r="ED509"/>
      <c r="EE509"/>
      <c r="EF509"/>
    </row>
    <row r="510" spans="1:136" s="1785" customFormat="1" ht="11.25" hidden="1" customHeight="1" outlineLevel="1">
      <c r="A510" s="1830"/>
      <c r="B510" s="1930"/>
      <c r="C510" s="1970" t="s">
        <v>76</v>
      </c>
      <c r="D510" s="1957"/>
      <c r="E510" s="2055"/>
      <c r="F510" s="1851"/>
      <c r="G510" s="1852"/>
      <c r="H510" s="1852"/>
      <c r="I510" s="1825"/>
      <c r="J510" s="1852"/>
      <c r="K510" s="1852"/>
      <c r="L510" s="1852"/>
      <c r="M510" s="1825"/>
      <c r="N510" s="1852"/>
      <c r="O510" s="1852"/>
      <c r="P510" s="1852"/>
      <c r="Q510" s="1825"/>
      <c r="R510" s="1852"/>
      <c r="S510" s="1852"/>
      <c r="T510" s="1852"/>
      <c r="U510" s="1825"/>
      <c r="V510" s="1852"/>
      <c r="W510" s="1852"/>
      <c r="X510" s="1852"/>
      <c r="Y510" s="1825"/>
      <c r="Z510" s="1852"/>
      <c r="AA510" s="1852"/>
      <c r="AB510" s="1852"/>
      <c r="AC510" s="1825"/>
      <c r="AD510" s="1852"/>
      <c r="AE510" s="1852"/>
      <c r="AF510" s="1852"/>
      <c r="AG510" s="1825"/>
      <c r="AH510" s="1852"/>
      <c r="AI510" s="1852"/>
      <c r="AJ510" s="1852"/>
      <c r="AK510" s="1852"/>
      <c r="AL510" s="1851"/>
      <c r="AM510" s="1852"/>
      <c r="AN510" s="1852"/>
      <c r="AO510" s="1852"/>
      <c r="AP510" s="1851"/>
      <c r="AQ510" s="1852"/>
      <c r="AR510" s="1852"/>
      <c r="AS510" s="1852"/>
      <c r="AT510" s="1851"/>
      <c r="AU510" s="1852"/>
      <c r="AV510" s="1852"/>
      <c r="AW510" s="1852"/>
      <c r="AX510" s="1851"/>
      <c r="AY510" s="1852"/>
      <c r="AZ510" s="1852"/>
      <c r="BA510" s="1825"/>
      <c r="BB510" s="1852"/>
      <c r="BC510" s="1852"/>
      <c r="BD510" s="1852"/>
      <c r="BE510" s="1825"/>
      <c r="BF510" s="1852"/>
      <c r="BG510" s="1854"/>
      <c r="BH510" s="1852"/>
      <c r="BI510" s="1825">
        <f t="shared" ref="BI510:BR510" si="1023">BI509/BE509-1</f>
        <v>-0.32273731638159375</v>
      </c>
      <c r="BJ510" s="1852">
        <f t="shared" si="1023"/>
        <v>1.0663483886202578</v>
      </c>
      <c r="BK510" s="1852">
        <f t="shared" si="1023"/>
        <v>-0.72448179946557467</v>
      </c>
      <c r="BL510" s="1852">
        <f t="shared" si="1023"/>
        <v>-0.64516129032258074</v>
      </c>
      <c r="BM510" s="1825">
        <f t="shared" si="1023"/>
        <v>-0.8220640569395018</v>
      </c>
      <c r="BN510" s="1852">
        <f t="shared" si="1023"/>
        <v>0.39062186570494295</v>
      </c>
      <c r="BO510" s="1852">
        <f t="shared" si="1023"/>
        <v>-0.55251991619854879</v>
      </c>
      <c r="BP510" s="1852">
        <f t="shared" si="1023"/>
        <v>4.9012503672036365</v>
      </c>
      <c r="BQ510" s="1825">
        <f t="shared" si="1023"/>
        <v>2.8948252423543996</v>
      </c>
      <c r="BR510" s="1852">
        <f t="shared" si="1023"/>
        <v>-0.31096357329768176</v>
      </c>
      <c r="BS510" s="1852"/>
      <c r="BT510" s="1852"/>
      <c r="BU510" s="1825"/>
      <c r="BV510" s="1852"/>
      <c r="BW510" s="1852"/>
      <c r="BX510" s="1852"/>
      <c r="BY510" s="1825"/>
      <c r="BZ510" s="1852"/>
      <c r="CA510" s="1852"/>
      <c r="CB510" s="1852"/>
      <c r="CC510" s="1825"/>
      <c r="CD510" s="1983"/>
      <c r="CE510" s="1852"/>
      <c r="CF510" s="1852"/>
      <c r="CG510" s="1852"/>
      <c r="CH510" s="1852"/>
      <c r="CI510" s="1852"/>
      <c r="CJ510" s="1852"/>
      <c r="CK510" s="1852"/>
      <c r="CL510" s="1852"/>
      <c r="CM510" s="1852"/>
      <c r="CN510" s="1852"/>
      <c r="CO510" s="1852"/>
      <c r="CP510" s="1852"/>
      <c r="CQ510" s="1852"/>
      <c r="CR510" s="1852"/>
      <c r="CS510" s="1852">
        <f>CS509/CR509-1</f>
        <v>-0.46641344829016362</v>
      </c>
      <c r="CT510" s="1852">
        <f>CT509/CS509-1</f>
        <v>0.86220170261783302</v>
      </c>
      <c r="CU510" s="1852">
        <f>CU509/CT509-1</f>
        <v>-0.68459761365127925</v>
      </c>
      <c r="CV510" s="1852"/>
      <c r="CW510" s="1852"/>
      <c r="CX510" s="1852"/>
      <c r="CY510" s="1852"/>
      <c r="CZ510" s="1852"/>
      <c r="DA510" s="1852"/>
      <c r="DB510" s="1852"/>
      <c r="DC510" s="1852"/>
      <c r="DD510" s="1823"/>
      <c r="DE510" s="1839"/>
      <c r="DF510" s="1829"/>
      <c r="DG510" s="1873"/>
      <c r="DH510" s="1852"/>
      <c r="DI510" s="1852"/>
      <c r="DJ510" s="1852"/>
      <c r="DK510" s="1852"/>
      <c r="DL510" s="1852"/>
      <c r="DM510" s="1852"/>
      <c r="DN510" s="1852"/>
      <c r="DO510" s="1852"/>
      <c r="DP510" s="1852"/>
      <c r="DQ510" s="1852"/>
      <c r="DR510" s="1852"/>
      <c r="DS510" s="1851"/>
      <c r="DT510" s="1852"/>
      <c r="DU510" s="1852"/>
      <c r="DV510" s="1852"/>
      <c r="DW510" s="1825"/>
      <c r="DX510" s="1852"/>
      <c r="DY510" s="1852"/>
      <c r="DZ510" s="1830"/>
      <c r="EA510"/>
      <c r="EB510"/>
      <c r="EC510"/>
      <c r="ED510"/>
      <c r="EE510"/>
      <c r="EF510"/>
    </row>
    <row r="511" spans="1:136" s="1785" customFormat="1" ht="11.25" hidden="1" customHeight="1" outlineLevel="1">
      <c r="A511" s="1830"/>
      <c r="B511" s="1930"/>
      <c r="C511" s="1970" t="s">
        <v>77</v>
      </c>
      <c r="D511" s="1957"/>
      <c r="E511" s="2055"/>
      <c r="F511" s="1851"/>
      <c r="G511" s="1852"/>
      <c r="H511" s="1852"/>
      <c r="I511" s="1825"/>
      <c r="J511" s="1852"/>
      <c r="K511" s="1852"/>
      <c r="L511" s="1852"/>
      <c r="M511" s="1825"/>
      <c r="N511" s="1852"/>
      <c r="O511" s="1852"/>
      <c r="P511" s="1852"/>
      <c r="Q511" s="1825"/>
      <c r="R511" s="1852"/>
      <c r="S511" s="1852"/>
      <c r="T511" s="1852"/>
      <c r="U511" s="1825"/>
      <c r="V511" s="1852"/>
      <c r="W511" s="1852"/>
      <c r="X511" s="1852"/>
      <c r="Y511" s="1825"/>
      <c r="Z511" s="1852"/>
      <c r="AA511" s="1852"/>
      <c r="AB511" s="1852"/>
      <c r="AC511" s="1825"/>
      <c r="AD511" s="1852"/>
      <c r="AE511" s="1852"/>
      <c r="AF511" s="1852"/>
      <c r="AG511" s="1825"/>
      <c r="AH511" s="1852"/>
      <c r="AI511" s="1852"/>
      <c r="AJ511" s="1852"/>
      <c r="AK511" s="1852"/>
      <c r="AL511" s="1851"/>
      <c r="AM511" s="1852"/>
      <c r="AN511" s="1852"/>
      <c r="AO511" s="1852"/>
      <c r="AP511" s="1851"/>
      <c r="AQ511" s="1852"/>
      <c r="AR511" s="1852"/>
      <c r="AS511" s="1852"/>
      <c r="AT511" s="1851"/>
      <c r="AU511" s="1852"/>
      <c r="AV511" s="1852"/>
      <c r="AW511" s="1852"/>
      <c r="AX511" s="1851"/>
      <c r="AY511" s="1852"/>
      <c r="AZ511" s="1852"/>
      <c r="BA511" s="1825"/>
      <c r="BB511" s="1852"/>
      <c r="BC511" s="1852"/>
      <c r="BD511" s="1852"/>
      <c r="BE511" s="1825"/>
      <c r="BF511" s="1852">
        <f t="shared" ref="BF511:BP511" si="1024">BF509/BE509-1</f>
        <v>-0.69888480187576807</v>
      </c>
      <c r="BG511" s="1854">
        <f t="shared" si="1024"/>
        <v>1.3241162369132828</v>
      </c>
      <c r="BH511" s="1852">
        <f t="shared" si="1024"/>
        <v>-0.67971009187873044</v>
      </c>
      <c r="BI511" s="1825">
        <f t="shared" si="1024"/>
        <v>2.021505376344086</v>
      </c>
      <c r="BJ511" s="1852">
        <f t="shared" si="1024"/>
        <v>-8.1288664674679212E-2</v>
      </c>
      <c r="BK511" s="1852">
        <f t="shared" si="1024"/>
        <v>-0.69011211906296532</v>
      </c>
      <c r="BL511" s="1852">
        <f t="shared" si="1024"/>
        <v>-0.58750000000000002</v>
      </c>
      <c r="BM511" s="1825">
        <f t="shared" si="1024"/>
        <v>0.51515151515151514</v>
      </c>
      <c r="BN511" s="1852">
        <f t="shared" si="1024"/>
        <v>6.18</v>
      </c>
      <c r="BO511" s="1852">
        <f t="shared" si="1024"/>
        <v>-0.90028298968212783</v>
      </c>
      <c r="BP511" s="1852">
        <f t="shared" si="1024"/>
        <v>4.4399421663458734</v>
      </c>
      <c r="BQ511" s="1825">
        <f>BQ509/BP509-1</f>
        <v>0</v>
      </c>
      <c r="BR511" s="1852">
        <f>BR509/BQ509-1</f>
        <v>0.27021913330623293</v>
      </c>
      <c r="BS511" s="1852"/>
      <c r="BT511" s="1852"/>
      <c r="BU511" s="1825"/>
      <c r="BV511" s="1852"/>
      <c r="BW511" s="1852"/>
      <c r="BX511" s="1852"/>
      <c r="BY511" s="1825"/>
      <c r="BZ511" s="1852"/>
      <c r="CA511" s="1852"/>
      <c r="CB511" s="1852"/>
      <c r="CC511" s="1825"/>
      <c r="CD511" s="1983"/>
      <c r="CE511" s="1852"/>
      <c r="CF511" s="1852"/>
      <c r="CG511" s="1852"/>
      <c r="CH511" s="1852"/>
      <c r="CI511" s="1852"/>
      <c r="CJ511" s="1852"/>
      <c r="CK511" s="1852"/>
      <c r="CL511" s="1852"/>
      <c r="CM511" s="1852"/>
      <c r="CN511" s="1852"/>
      <c r="CO511" s="1852"/>
      <c r="CP511" s="1852"/>
      <c r="CQ511" s="1852"/>
      <c r="CR511" s="1852"/>
      <c r="CS511" s="1852"/>
      <c r="CT511" s="1852"/>
      <c r="CU511" s="1852"/>
      <c r="CV511" s="1852"/>
      <c r="CW511" s="1852"/>
      <c r="CX511" s="1852"/>
      <c r="CY511" s="1852"/>
      <c r="CZ511" s="1852"/>
      <c r="DA511" s="1852"/>
      <c r="DB511" s="1852"/>
      <c r="DC511" s="1852"/>
      <c r="DD511" s="1823"/>
      <c r="DE511" s="1839"/>
      <c r="DF511" s="1829"/>
      <c r="DG511" s="1873"/>
      <c r="DH511" s="1829"/>
      <c r="DI511" s="1829"/>
      <c r="DJ511" s="1829"/>
      <c r="DK511" s="1829"/>
      <c r="DL511" s="1838"/>
      <c r="DM511" s="1974"/>
      <c r="DN511" s="1974"/>
      <c r="DO511" s="1974"/>
      <c r="DP511" s="1974"/>
      <c r="DQ511" s="1974"/>
      <c r="DR511" s="1974"/>
      <c r="DS511" s="2060"/>
      <c r="DT511" s="1974"/>
      <c r="DU511" s="1974"/>
      <c r="DV511" s="1974"/>
      <c r="DW511" s="1975"/>
      <c r="DX511" s="1974"/>
      <c r="DY511" s="1974"/>
      <c r="DZ511" s="1830"/>
      <c r="EA511"/>
      <c r="EB511"/>
      <c r="EC511"/>
      <c r="ED511"/>
      <c r="EE511"/>
      <c r="EF511"/>
    </row>
    <row r="512" spans="1:136" s="1785" customFormat="1" ht="5.25" hidden="1" customHeight="1" outlineLevel="1">
      <c r="A512" s="1829"/>
      <c r="B512" s="1913"/>
      <c r="C512" s="1914"/>
      <c r="D512" s="1915"/>
      <c r="E512" s="1916"/>
      <c r="F512" s="1917"/>
      <c r="G512" s="1918"/>
      <c r="H512" s="1918"/>
      <c r="I512" s="1919"/>
      <c r="J512" s="1920"/>
      <c r="K512" s="1921"/>
      <c r="L512" s="1921"/>
      <c r="M512" s="1922"/>
      <c r="N512" s="1921"/>
      <c r="O512" s="1921"/>
      <c r="P512" s="1921"/>
      <c r="Q512" s="1921"/>
      <c r="R512" s="1920"/>
      <c r="S512" s="1921"/>
      <c r="T512" s="1921"/>
      <c r="U512" s="1921"/>
      <c r="V512" s="1920"/>
      <c r="W512" s="1921"/>
      <c r="X512" s="1921"/>
      <c r="Y512" s="1921"/>
      <c r="Z512" s="1920"/>
      <c r="AA512" s="1921"/>
      <c r="AB512" s="1921"/>
      <c r="AC512" s="1921"/>
      <c r="AD512" s="1920"/>
      <c r="AE512" s="1921"/>
      <c r="AF512" s="1921"/>
      <c r="AG512" s="1921"/>
      <c r="AH512" s="1920"/>
      <c r="AI512" s="1921"/>
      <c r="AJ512" s="1921"/>
      <c r="AK512" s="1921"/>
      <c r="AL512" s="1920"/>
      <c r="AM512" s="1921"/>
      <c r="AN512" s="1921"/>
      <c r="AO512" s="1922"/>
      <c r="AP512" s="1921"/>
      <c r="AQ512" s="1921"/>
      <c r="AR512" s="1921"/>
      <c r="AS512" s="1922"/>
      <c r="AT512" s="1921"/>
      <c r="AU512" s="1921"/>
      <c r="AV512" s="1921"/>
      <c r="AW512" s="1922"/>
      <c r="AX512" s="1921"/>
      <c r="AY512" s="1921"/>
      <c r="AZ512" s="1921"/>
      <c r="BA512" s="1922"/>
      <c r="BB512" s="1921"/>
      <c r="BC512" s="1921"/>
      <c r="BD512" s="1921"/>
      <c r="BE512" s="1922"/>
      <c r="BF512" s="1921"/>
      <c r="BG512" s="1923"/>
      <c r="BH512" s="1921"/>
      <c r="BI512" s="1922"/>
      <c r="BJ512" s="1921"/>
      <c r="BK512" s="1921"/>
      <c r="BL512" s="1921"/>
      <c r="BM512" s="1922"/>
      <c r="BN512" s="1921"/>
      <c r="BO512" s="1921"/>
      <c r="BP512" s="1921"/>
      <c r="BQ512" s="1922"/>
      <c r="BR512" s="1921"/>
      <c r="BS512" s="1921"/>
      <c r="BT512" s="1921"/>
      <c r="BU512" s="1922"/>
      <c r="BV512" s="1921"/>
      <c r="BW512" s="1921"/>
      <c r="BX512" s="1921"/>
      <c r="BY512" s="1922"/>
      <c r="BZ512" s="1921"/>
      <c r="CA512" s="1921"/>
      <c r="CB512" s="1921"/>
      <c r="CC512" s="1922"/>
      <c r="CD512" s="1837"/>
      <c r="CE512" s="1921"/>
      <c r="CF512" s="1921"/>
      <c r="CG512" s="1921"/>
      <c r="CH512" s="1921"/>
      <c r="CI512" s="1921"/>
      <c r="CJ512" s="1921"/>
      <c r="CK512" s="1923"/>
      <c r="CL512" s="1923"/>
      <c r="CM512" s="1921"/>
      <c r="CN512" s="1921"/>
      <c r="CO512" s="1924"/>
      <c r="CP512" s="1924"/>
      <c r="CQ512" s="1924"/>
      <c r="CR512" s="1921"/>
      <c r="CS512" s="1921"/>
      <c r="CT512" s="1921"/>
      <c r="CU512" s="1921"/>
      <c r="CV512" s="1921"/>
      <c r="CW512" s="1921"/>
      <c r="CX512" s="1921"/>
      <c r="CY512" s="1921"/>
      <c r="CZ512" s="1921"/>
      <c r="DA512" s="1921"/>
      <c r="DB512" s="1921"/>
      <c r="DC512" s="1921"/>
      <c r="DD512" s="1925"/>
      <c r="DE512" s="1839"/>
      <c r="DF512" s="1829"/>
      <c r="DG512" s="1926"/>
      <c r="DH512" s="1927"/>
      <c r="DI512" s="1927"/>
      <c r="DJ512" s="1927"/>
      <c r="DK512" s="1927"/>
      <c r="DL512" s="1927"/>
      <c r="DM512" s="1927"/>
      <c r="DN512" s="1927"/>
      <c r="DO512" s="1927"/>
      <c r="DP512" s="1927"/>
      <c r="DQ512" s="1927"/>
      <c r="DR512" s="1927"/>
      <c r="DS512" s="1926"/>
      <c r="DT512" s="1928"/>
      <c r="DU512" s="1928"/>
      <c r="DV512" s="1928"/>
      <c r="DW512" s="1929"/>
      <c r="DX512" s="1874"/>
      <c r="DY512" s="1874"/>
      <c r="DZ512" s="1829"/>
      <c r="EA512"/>
      <c r="EB512"/>
      <c r="EC512"/>
      <c r="ED512"/>
      <c r="EE512"/>
      <c r="EF512"/>
    </row>
    <row r="513" spans="1:136" ht="12" customHeight="1" collapsed="1">
      <c r="A513" s="3"/>
      <c r="B513" s="196"/>
      <c r="C513" s="24"/>
      <c r="D513" s="213"/>
      <c r="E513" s="213"/>
      <c r="F513" s="684"/>
      <c r="G513" s="684"/>
      <c r="H513" s="684"/>
      <c r="I513" s="684"/>
      <c r="J513" s="684"/>
      <c r="K513" s="684"/>
      <c r="L513" s="684"/>
      <c r="M513" s="684"/>
      <c r="N513" s="684"/>
      <c r="O513" s="684"/>
      <c r="P513" s="684"/>
      <c r="Q513" s="684"/>
      <c r="R513" s="684"/>
      <c r="S513" s="684"/>
      <c r="T513" s="684"/>
      <c r="U513" s="684"/>
      <c r="V513" s="684"/>
      <c r="W513" s="684"/>
      <c r="X513" s="684"/>
      <c r="Y513" s="684"/>
      <c r="Z513" s="684"/>
      <c r="AA513" s="684"/>
      <c r="AB513" s="684"/>
      <c r="AC513" s="684"/>
      <c r="AD513" s="684"/>
      <c r="AE513" s="684"/>
      <c r="AF513" s="684"/>
      <c r="AG513" s="684"/>
      <c r="AH513" s="684"/>
      <c r="AI513" s="684"/>
      <c r="AJ513" s="684"/>
      <c r="AK513" s="684"/>
      <c r="AL513" s="684"/>
      <c r="AM513" s="684"/>
      <c r="AN513" s="684"/>
      <c r="AO513" s="684"/>
      <c r="AP513" s="684"/>
      <c r="AQ513" s="684"/>
      <c r="AR513" s="684"/>
      <c r="AS513" s="684"/>
      <c r="AT513" s="684"/>
      <c r="AU513" s="917"/>
      <c r="AV513" s="917"/>
      <c r="AW513" s="917"/>
      <c r="AX513" s="917"/>
      <c r="AY513" s="917"/>
      <c r="AZ513" s="917"/>
      <c r="BA513" s="917"/>
      <c r="BB513" s="2099"/>
      <c r="BC513" s="2099"/>
      <c r="BD513" s="2099"/>
      <c r="BE513" s="2099"/>
      <c r="BF513" s="2099"/>
      <c r="BG513" s="1583"/>
      <c r="BH513" s="2099"/>
      <c r="BI513" s="2099"/>
      <c r="BJ513" s="2099"/>
      <c r="BK513" s="2099"/>
      <c r="BL513" s="2099"/>
      <c r="BM513" s="2099"/>
      <c r="BN513" s="2099"/>
      <c r="BO513" s="2099"/>
      <c r="BP513" s="2099"/>
      <c r="BQ513" s="2099"/>
      <c r="BR513" s="2099"/>
      <c r="BS513" s="2099"/>
      <c r="BT513" s="2099"/>
      <c r="BU513" s="2099"/>
      <c r="BV513" s="917"/>
      <c r="BW513" s="917"/>
      <c r="BX513" s="917"/>
      <c r="BY513" s="917"/>
      <c r="BZ513" s="917"/>
      <c r="CA513" s="917"/>
      <c r="CB513" s="917"/>
      <c r="CC513" s="917"/>
      <c r="CD513" s="3"/>
      <c r="CE513" s="335"/>
      <c r="CF513" s="335"/>
      <c r="CG513" s="335"/>
      <c r="CH513" s="335"/>
      <c r="CI513" s="335"/>
      <c r="CJ513" s="335"/>
      <c r="CK513" s="335"/>
      <c r="CL513" s="335"/>
      <c r="CM513" s="335"/>
      <c r="CN513" s="335"/>
      <c r="CO513" s="335"/>
      <c r="CP513" s="335"/>
      <c r="CQ513" s="335"/>
      <c r="CR513" s="335"/>
      <c r="CS513" s="333"/>
      <c r="CT513" s="333"/>
      <c r="CU513" s="333"/>
      <c r="CW513" s="333"/>
      <c r="CX513" s="333"/>
      <c r="CY513" s="333"/>
      <c r="CZ513" s="333"/>
      <c r="DA513" s="333"/>
      <c r="DB513" s="333"/>
      <c r="DC513" s="333"/>
      <c r="DD513" s="1517"/>
      <c r="DE513" s="1483"/>
      <c r="DF513" s="24"/>
      <c r="DG513" s="24"/>
      <c r="DH513" s="24"/>
      <c r="DI513" s="24"/>
      <c r="DJ513" s="24"/>
      <c r="DK513" s="24"/>
      <c r="DL513" s="141"/>
      <c r="DM513" s="732"/>
      <c r="DN513" s="732"/>
      <c r="DO513" s="732"/>
      <c r="DP513" s="732"/>
      <c r="DQ513" s="732"/>
      <c r="DR513" s="732"/>
      <c r="DS513" s="732"/>
      <c r="DT513" s="732"/>
      <c r="DU513" s="732"/>
      <c r="DV513" s="732"/>
      <c r="DW513" s="732"/>
      <c r="DX513" s="732"/>
      <c r="DY513" s="732"/>
      <c r="DZ513" s="1561"/>
    </row>
    <row r="514" spans="1:136">
      <c r="A514" s="3" t="s">
        <v>25</v>
      </c>
      <c r="B514" s="234" t="s">
        <v>27</v>
      </c>
      <c r="C514" s="235"/>
      <c r="D514" s="235"/>
      <c r="E514" s="236"/>
      <c r="F514" s="814"/>
      <c r="G514" s="814"/>
      <c r="H514" s="814"/>
      <c r="I514" s="813"/>
      <c r="J514" s="814"/>
      <c r="K514" s="814"/>
      <c r="L514" s="814"/>
      <c r="M514" s="813"/>
      <c r="N514" s="814"/>
      <c r="O514" s="814"/>
      <c r="P514" s="814"/>
      <c r="Q514" s="813"/>
      <c r="R514" s="814"/>
      <c r="S514" s="814"/>
      <c r="T514" s="814"/>
      <c r="U514" s="813"/>
      <c r="V514" s="815"/>
      <c r="W514" s="156"/>
      <c r="X514" s="781"/>
      <c r="Y514" s="782"/>
      <c r="Z514" s="815"/>
      <c r="AA514" s="781"/>
      <c r="AB514" s="156"/>
      <c r="AC514" s="782"/>
      <c r="AD514" s="346"/>
      <c r="AE514" s="248"/>
      <c r="AF514" s="248"/>
      <c r="AG514" s="248"/>
      <c r="AH514" s="346"/>
      <c r="AI514" s="248"/>
      <c r="AJ514" s="248"/>
      <c r="AK514" s="248"/>
      <c r="AL514" s="346"/>
      <c r="AM514" s="248"/>
      <c r="AN514" s="248"/>
      <c r="AO514" s="249"/>
      <c r="AP514" s="248"/>
      <c r="AQ514" s="248"/>
      <c r="AR514" s="248"/>
      <c r="AS514" s="248"/>
      <c r="AT514" s="346"/>
      <c r="AU514" s="248"/>
      <c r="AV514" s="248"/>
      <c r="AW514" s="248"/>
      <c r="AX514" s="346"/>
      <c r="AY514" s="248"/>
      <c r="AZ514" s="248"/>
      <c r="BA514" s="249"/>
      <c r="BB514" s="346"/>
      <c r="BC514" s="248"/>
      <c r="BD514" s="248"/>
      <c r="BE514" s="249"/>
      <c r="BF514" s="346"/>
      <c r="BG514" s="248"/>
      <c r="BH514" s="248"/>
      <c r="BI514" s="249"/>
      <c r="BJ514" s="346"/>
      <c r="BK514" s="248"/>
      <c r="BL514" s="248"/>
      <c r="BM514" s="249"/>
      <c r="BN514" s="248"/>
      <c r="BO514" s="248"/>
      <c r="BP514" s="248"/>
      <c r="BQ514" s="249"/>
      <c r="BR514" s="248"/>
      <c r="BS514" s="248"/>
      <c r="BT514" s="248"/>
      <c r="BU514" s="249"/>
      <c r="BV514" s="248"/>
      <c r="BW514" s="248"/>
      <c r="BX514" s="248"/>
      <c r="BY514" s="249"/>
      <c r="BZ514" s="248"/>
      <c r="CA514" s="248"/>
      <c r="CB514" s="248"/>
      <c r="CC514" s="249"/>
      <c r="CD514" s="9"/>
      <c r="CE514" s="248"/>
      <c r="CF514" s="248"/>
      <c r="CG514" s="248"/>
      <c r="CH514" s="248"/>
      <c r="CI514" s="248"/>
      <c r="CJ514" s="248"/>
      <c r="CK514" s="250"/>
      <c r="CL514" s="248"/>
      <c r="CM514" s="248"/>
      <c r="CN514" s="248"/>
      <c r="CO514" s="781"/>
      <c r="CP514" s="781"/>
      <c r="CQ514" s="781"/>
      <c r="CR514" s="781"/>
      <c r="CS514" s="781"/>
      <c r="CT514" s="781"/>
      <c r="CU514" s="782"/>
      <c r="CV514" s="782"/>
      <c r="CW514" s="782"/>
      <c r="CX514" s="782"/>
      <c r="CY514" s="782"/>
      <c r="CZ514" s="782"/>
      <c r="DA514" s="782"/>
      <c r="DB514" s="782"/>
      <c r="DC514" s="782"/>
      <c r="DD514" s="1527"/>
      <c r="DE514" s="1483"/>
      <c r="DF514" s="24"/>
      <c r="DG514" s="24"/>
      <c r="DH514" s="24"/>
      <c r="DI514" s="24"/>
      <c r="DJ514" s="24"/>
      <c r="DK514" s="24"/>
      <c r="DL514" s="141"/>
      <c r="DM514" s="149"/>
      <c r="DN514" s="149"/>
      <c r="DO514" s="149"/>
      <c r="DP514" s="19"/>
      <c r="DQ514" s="19"/>
      <c r="DR514" s="19"/>
      <c r="DS514" s="19"/>
      <c r="DT514" s="19"/>
      <c r="DU514" s="19"/>
      <c r="DV514" s="19"/>
      <c r="DW514" s="19"/>
      <c r="DX514" s="19"/>
      <c r="DY514" s="19"/>
      <c r="DZ514" s="1684"/>
    </row>
    <row r="515" spans="1:136">
      <c r="A515" s="3"/>
      <c r="B515" s="413" t="s">
        <v>17</v>
      </c>
      <c r="C515" s="180"/>
      <c r="D515" s="180"/>
      <c r="E515" s="544"/>
      <c r="F515" s="1027">
        <f t="shared" ref="F515:BA515" si="1025">F53/F11</f>
        <v>6.1117054617947669E-2</v>
      </c>
      <c r="G515" s="1027">
        <f t="shared" si="1025"/>
        <v>0.12027173816265123</v>
      </c>
      <c r="H515" s="1027">
        <f t="shared" si="1025"/>
        <v>0.12368996507876323</v>
      </c>
      <c r="I515" s="1028">
        <f t="shared" si="1025"/>
        <v>0.11183302503878369</v>
      </c>
      <c r="J515" s="1027">
        <f t="shared" si="1025"/>
        <v>0.12701641708792294</v>
      </c>
      <c r="K515" s="1027">
        <f t="shared" si="1025"/>
        <v>0.12278003027824655</v>
      </c>
      <c r="L515" s="1027">
        <f t="shared" si="1025"/>
        <v>0.13619473469869442</v>
      </c>
      <c r="M515" s="1028">
        <f t="shared" si="1025"/>
        <v>0.13690000591856055</v>
      </c>
      <c r="N515" s="1027">
        <f t="shared" si="1025"/>
        <v>0.14349279002431911</v>
      </c>
      <c r="O515" s="1027">
        <f t="shared" si="1025"/>
        <v>0.1922369999697093</v>
      </c>
      <c r="P515" s="1027">
        <f t="shared" si="1025"/>
        <v>0.17287173873953893</v>
      </c>
      <c r="Q515" s="1028">
        <f t="shared" si="1025"/>
        <v>0.16416807876078574</v>
      </c>
      <c r="R515" s="1027">
        <f t="shared" si="1025"/>
        <v>0.13472631055007775</v>
      </c>
      <c r="S515" s="1027">
        <f t="shared" si="1025"/>
        <v>0.16985762590379297</v>
      </c>
      <c r="T515" s="1027">
        <f t="shared" si="1025"/>
        <v>0.16369669361148362</v>
      </c>
      <c r="U515" s="1028">
        <f t="shared" si="1025"/>
        <v>0.13475035963469645</v>
      </c>
      <c r="V515" s="1027">
        <f t="shared" si="1025"/>
        <v>0.13732786278869502</v>
      </c>
      <c r="W515" s="1027">
        <f t="shared" si="1025"/>
        <v>0.15731609113964792</v>
      </c>
      <c r="X515" s="1027">
        <f t="shared" si="1025"/>
        <v>0.18153750113126355</v>
      </c>
      <c r="Y515" s="1028">
        <f t="shared" si="1025"/>
        <v>0.16957958693665751</v>
      </c>
      <c r="Z515" s="1027">
        <f t="shared" si="1025"/>
        <v>0.17655617197126788</v>
      </c>
      <c r="AA515" s="1027">
        <f t="shared" si="1025"/>
        <v>0.20434525338118276</v>
      </c>
      <c r="AB515" s="1027">
        <f t="shared" si="1025"/>
        <v>0.19301539303738274</v>
      </c>
      <c r="AC515" s="1029">
        <f t="shared" si="1025"/>
        <v>0.17633993126416531</v>
      </c>
      <c r="AD515" s="1030">
        <f t="shared" si="1025"/>
        <v>0.17246759068875236</v>
      </c>
      <c r="AE515" s="1027">
        <f t="shared" si="1025"/>
        <v>0.17855417791887285</v>
      </c>
      <c r="AF515" s="1027">
        <f t="shared" si="1025"/>
        <v>0.15746459940727742</v>
      </c>
      <c r="AG515" s="1120">
        <f t="shared" si="1025"/>
        <v>0.14978167107850018</v>
      </c>
      <c r="AH515" s="1030">
        <f t="shared" si="1025"/>
        <v>0.18289391989293718</v>
      </c>
      <c r="AI515" s="1027">
        <f t="shared" si="1025"/>
        <v>0.23288542630710296</v>
      </c>
      <c r="AJ515" s="1027">
        <f t="shared" si="1025"/>
        <v>0.22577014768380305</v>
      </c>
      <c r="AK515" s="1027">
        <f t="shared" si="1025"/>
        <v>0.21327198904478756</v>
      </c>
      <c r="AL515" s="1118">
        <f t="shared" si="1025"/>
        <v>0.20103926929272514</v>
      </c>
      <c r="AM515" s="1027">
        <f t="shared" si="1025"/>
        <v>0.15898051168607427</v>
      </c>
      <c r="AN515" s="1027">
        <f t="shared" si="1025"/>
        <v>0.15886253956509946</v>
      </c>
      <c r="AO515" s="1027">
        <f t="shared" si="1025"/>
        <v>0.19198690486193468</v>
      </c>
      <c r="AP515" s="1118">
        <f t="shared" si="1025"/>
        <v>0.23321958838768106</v>
      </c>
      <c r="AQ515" s="1027">
        <f t="shared" si="1025"/>
        <v>0.26267280460099279</v>
      </c>
      <c r="AR515" s="1027">
        <f t="shared" si="1025"/>
        <v>0.25211633907610753</v>
      </c>
      <c r="AS515" s="1027">
        <f t="shared" si="1025"/>
        <v>0.22525832900860149</v>
      </c>
      <c r="AT515" s="1030">
        <f t="shared" si="1025"/>
        <v>0.18266094354025331</v>
      </c>
      <c r="AU515" s="1027">
        <f t="shared" si="1025"/>
        <v>0.19215441120202006</v>
      </c>
      <c r="AV515" s="1027">
        <f t="shared" si="1025"/>
        <v>0.1820839794772201</v>
      </c>
      <c r="AW515" s="1027">
        <f t="shared" si="1025"/>
        <v>0.19530334321564194</v>
      </c>
      <c r="AX515" s="1030">
        <f t="shared" si="1025"/>
        <v>0.20097795622301559</v>
      </c>
      <c r="AY515" s="1027">
        <f t="shared" si="1025"/>
        <v>0.32500184026892254</v>
      </c>
      <c r="AZ515" s="1027">
        <f t="shared" si="1025"/>
        <v>0.35491662647238559</v>
      </c>
      <c r="BA515" s="1029">
        <f t="shared" si="1025"/>
        <v>0.31785870656711335</v>
      </c>
      <c r="BB515" s="1030">
        <f t="shared" ref="BB515:BY515" si="1026">BB21/BB11</f>
        <v>0.30505576208178442</v>
      </c>
      <c r="BC515" s="1027">
        <f t="shared" si="1026"/>
        <v>0.28688689853556482</v>
      </c>
      <c r="BD515" s="1027">
        <f t="shared" si="1026"/>
        <v>0.29190223166843787</v>
      </c>
      <c r="BE515" s="1029">
        <f t="shared" si="1026"/>
        <v>0.29110461373390556</v>
      </c>
      <c r="BF515" s="1030">
        <f t="shared" si="1026"/>
        <v>0.29838859095688752</v>
      </c>
      <c r="BG515" s="1027">
        <f t="shared" si="1026"/>
        <v>0.30106344410876135</v>
      </c>
      <c r="BH515" s="1027">
        <f t="shared" si="1026"/>
        <v>0.30110937078044825</v>
      </c>
      <c r="BI515" s="1029">
        <f t="shared" si="1026"/>
        <v>0.29534648041632428</v>
      </c>
      <c r="BJ515" s="1030">
        <f t="shared" si="1026"/>
        <v>0.3026107025107786</v>
      </c>
      <c r="BK515" s="1027">
        <f t="shared" si="1026"/>
        <v>0.30733127572016461</v>
      </c>
      <c r="BL515" s="1027">
        <f t="shared" si="1026"/>
        <v>0.30137915492957745</v>
      </c>
      <c r="BM515" s="1029">
        <f t="shared" si="1026"/>
        <v>0.29864697586963329</v>
      </c>
      <c r="BN515" s="1030">
        <f t="shared" si="1026"/>
        <v>0.29084077380952378</v>
      </c>
      <c r="BO515" s="1027">
        <f t="shared" si="1026"/>
        <v>0.28496005426590293</v>
      </c>
      <c r="BP515" s="1027">
        <f t="shared" si="1026"/>
        <v>0.28216158752657683</v>
      </c>
      <c r="BQ515" s="1029">
        <f t="shared" si="1026"/>
        <v>0.31236909871244634</v>
      </c>
      <c r="BR515" s="1030">
        <f t="shared" si="1026"/>
        <v>0.33910818837505302</v>
      </c>
      <c r="BS515" s="1027">
        <f t="shared" si="1026"/>
        <v>0.36658203764320785</v>
      </c>
      <c r="BT515" s="1027">
        <f t="shared" si="1026"/>
        <v>0.39278898687889868</v>
      </c>
      <c r="BU515" s="1029">
        <f t="shared" si="1026"/>
        <v>0.41265530772408093</v>
      </c>
      <c r="BV515" s="1027">
        <f t="shared" si="1026"/>
        <v>0.4230582899054236</v>
      </c>
      <c r="BW515" s="1027">
        <f t="shared" si="1026"/>
        <v>0.43222638680659675</v>
      </c>
      <c r="BX515" s="1027">
        <f t="shared" si="1026"/>
        <v>0.42496671807562875</v>
      </c>
      <c r="BY515" s="1029">
        <f t="shared" si="1026"/>
        <v>0.39648044592086013</v>
      </c>
      <c r="BZ515" s="1027">
        <f>BZ21/BZ11</f>
        <v>0.3876481730141953</v>
      </c>
      <c r="CA515" s="1027">
        <f>CA21/CA11</f>
        <v>0.37260314198960864</v>
      </c>
      <c r="CB515" s="1027">
        <f>CB21/CB11</f>
        <v>0.36269018397317077</v>
      </c>
      <c r="CC515" s="1028">
        <f>CC21/CC11</f>
        <v>0.35415201604631624</v>
      </c>
      <c r="CD515" s="9"/>
      <c r="CE515" s="1031">
        <f t="shared" ref="CE515:CP515" si="1027">CE53/CE11</f>
        <v>0.10634731789625422</v>
      </c>
      <c r="CF515" s="1031">
        <f t="shared" si="1027"/>
        <v>0.13090695205894523</v>
      </c>
      <c r="CG515" s="1031">
        <f t="shared" si="1027"/>
        <v>0.16973324328463729</v>
      </c>
      <c r="CH515" s="1031">
        <f t="shared" si="1027"/>
        <v>0.15147933558538448</v>
      </c>
      <c r="CI515" s="1031">
        <f t="shared" si="1027"/>
        <v>0.16208461103538119</v>
      </c>
      <c r="CJ515" s="1031">
        <f t="shared" si="1027"/>
        <v>0.18793217444436067</v>
      </c>
      <c r="CK515" s="1031">
        <f t="shared" si="1027"/>
        <v>0.16451905223414059</v>
      </c>
      <c r="CL515" s="1031">
        <f t="shared" si="1027"/>
        <v>0.21524948588431217</v>
      </c>
      <c r="CM515" s="1031">
        <f t="shared" si="1027"/>
        <v>0.17939907224907964</v>
      </c>
      <c r="CN515" s="1031">
        <f t="shared" si="1027"/>
        <v>0.24419223529020187</v>
      </c>
      <c r="CO515" s="1032">
        <f t="shared" si="1027"/>
        <v>0.18815083555371062</v>
      </c>
      <c r="CP515" s="1032">
        <f t="shared" si="1027"/>
        <v>0.30277973535542968</v>
      </c>
      <c r="CQ515" s="1032">
        <f t="shared" ref="CQ515:DA515" si="1028">CQ21/CQ11</f>
        <v>0.2939165852387467</v>
      </c>
      <c r="CR515" s="1032">
        <f t="shared" si="1028"/>
        <v>0.29902261731658958</v>
      </c>
      <c r="CS515" s="1032">
        <f t="shared" si="1028"/>
        <v>0.30270220285478999</v>
      </c>
      <c r="CT515" s="1032">
        <f t="shared" si="1028"/>
        <v>0.29324515160843462</v>
      </c>
      <c r="CU515" s="1027">
        <f t="shared" si="1028"/>
        <v>0.37786424344000419</v>
      </c>
      <c r="CV515" s="1027">
        <f t="shared" si="1028"/>
        <v>0.4195030275013738</v>
      </c>
      <c r="CW515" s="1027">
        <f>CW21/CW11</f>
        <v>0.36995235514519531</v>
      </c>
      <c r="CX515" s="1027">
        <f t="shared" si="1028"/>
        <v>0.3663934349903572</v>
      </c>
      <c r="CY515" s="1027">
        <f t="shared" si="1028"/>
        <v>0.36204225285563002</v>
      </c>
      <c r="CZ515" s="1027">
        <f t="shared" si="1028"/>
        <v>0.36010825466015756</v>
      </c>
      <c r="DA515" s="1027">
        <f t="shared" si="1028"/>
        <v>0.35577469780854759</v>
      </c>
      <c r="DB515" s="1027">
        <f>DB21/DB11</f>
        <v>0.35157055461008613</v>
      </c>
      <c r="DC515" s="1027">
        <f>DC21/DC11</f>
        <v>0.34745469051227262</v>
      </c>
      <c r="DD515" s="1517"/>
      <c r="DE515" s="1483"/>
      <c r="DF515" s="24"/>
      <c r="DG515" s="24"/>
      <c r="DH515" s="24"/>
      <c r="DI515" s="24"/>
      <c r="DJ515" s="24"/>
      <c r="DK515" s="24"/>
      <c r="DL515" s="141"/>
      <c r="DM515" s="24"/>
      <c r="DN515" s="24"/>
      <c r="DO515" s="24"/>
      <c r="DP515" s="24"/>
      <c r="DQ515" s="24"/>
      <c r="DR515" s="24"/>
      <c r="DS515" s="24"/>
      <c r="DT515" s="24"/>
      <c r="DU515" s="24"/>
      <c r="DV515" s="24"/>
      <c r="DW515" s="24"/>
      <c r="DX515" s="24"/>
      <c r="DY515" s="24"/>
      <c r="DZ515" s="1561"/>
    </row>
    <row r="516" spans="1:136">
      <c r="A516" s="3"/>
      <c r="B516" s="413"/>
      <c r="C516" s="52" t="s">
        <v>943</v>
      </c>
      <c r="D516" s="52"/>
      <c r="E516" s="414"/>
      <c r="F516" s="1027"/>
      <c r="G516" s="1027"/>
      <c r="H516" s="1027"/>
      <c r="I516" s="1029"/>
      <c r="J516" s="1027"/>
      <c r="K516" s="1027"/>
      <c r="L516" s="1027"/>
      <c r="M516" s="1029"/>
      <c r="N516" s="1027"/>
      <c r="O516" s="1027"/>
      <c r="P516" s="1027"/>
      <c r="Q516" s="1029"/>
      <c r="R516" s="1027"/>
      <c r="S516" s="1027"/>
      <c r="T516" s="1027"/>
      <c r="U516" s="1029"/>
      <c r="V516" s="1027"/>
      <c r="W516" s="1027"/>
      <c r="X516" s="1027"/>
      <c r="Y516" s="1029"/>
      <c r="Z516" s="1027"/>
      <c r="AA516" s="1027"/>
      <c r="AB516" s="1027"/>
      <c r="AC516" s="1029"/>
      <c r="AD516" s="1027"/>
      <c r="AE516" s="1027"/>
      <c r="AF516" s="1027"/>
      <c r="AG516" s="1027"/>
      <c r="AH516" s="1030"/>
      <c r="AI516" s="1027"/>
      <c r="AJ516" s="1027"/>
      <c r="AK516" s="1027"/>
      <c r="AL516" s="1030"/>
      <c r="AM516" s="1027"/>
      <c r="AN516" s="1027"/>
      <c r="AO516" s="1027"/>
      <c r="AP516" s="1030"/>
      <c r="AQ516" s="1027"/>
      <c r="AR516" s="1027"/>
      <c r="AS516" s="1027"/>
      <c r="AT516" s="1030"/>
      <c r="AU516" s="1027"/>
      <c r="AV516" s="1027"/>
      <c r="AW516" s="1027"/>
      <c r="AX516" s="1030"/>
      <c r="AY516" s="1027"/>
      <c r="AZ516" s="1027"/>
      <c r="BA516" s="1027"/>
      <c r="BB516" s="1221">
        <v>0.2465</v>
      </c>
      <c r="BC516" s="546">
        <v>0.218</v>
      </c>
      <c r="BD516" s="546">
        <v>0.22</v>
      </c>
      <c r="BE516" s="546">
        <v>0.20399999999999999</v>
      </c>
      <c r="BF516" s="1221">
        <v>0.22339999999999999</v>
      </c>
      <c r="BG516" s="629">
        <v>0.22</v>
      </c>
      <c r="BH516" s="546">
        <v>0.22700000000000001</v>
      </c>
      <c r="BI516" s="546">
        <v>0.22800000000000001</v>
      </c>
      <c r="BJ516" s="1221">
        <v>0.23</v>
      </c>
      <c r="BK516" s="546">
        <v>0.23</v>
      </c>
      <c r="BL516" s="546">
        <v>0.21</v>
      </c>
      <c r="BM516" s="546">
        <v>0.2</v>
      </c>
      <c r="BN516" s="1221">
        <v>0.19</v>
      </c>
      <c r="BO516" s="546">
        <v>0.1825</v>
      </c>
      <c r="BP516" s="546">
        <v>0.18</v>
      </c>
      <c r="BQ516" s="742">
        <v>0.21249999999999999</v>
      </c>
      <c r="BR516" s="1221">
        <v>0.26</v>
      </c>
      <c r="BS516" s="546">
        <v>0.28999999999999998</v>
      </c>
      <c r="BT516" s="546">
        <v>0.32</v>
      </c>
      <c r="BU516" s="742">
        <v>0.33500000000000002</v>
      </c>
      <c r="BV516" s="546">
        <v>0.35</v>
      </c>
      <c r="BW516" s="546">
        <v>0.36</v>
      </c>
      <c r="BX516" s="1110">
        <v>0.36</v>
      </c>
      <c r="BY516" s="1203">
        <v>0.32</v>
      </c>
      <c r="BZ516" s="1110">
        <v>0.315</v>
      </c>
      <c r="CA516" s="1110">
        <v>0.3</v>
      </c>
      <c r="CB516" s="1110">
        <v>0.28999999999999998</v>
      </c>
      <c r="CC516" s="1203">
        <v>0.28000000000000003</v>
      </c>
      <c r="CD516" s="9"/>
      <c r="CE516" s="1031"/>
      <c r="CF516" s="1031"/>
      <c r="CG516" s="1031"/>
      <c r="CH516" s="1031"/>
      <c r="CI516" s="1031"/>
      <c r="CJ516" s="1031"/>
      <c r="CK516" s="1031"/>
      <c r="CL516" s="1031"/>
      <c r="CM516" s="1031"/>
      <c r="CN516" s="1031"/>
      <c r="CO516" s="1031"/>
      <c r="CP516" s="1031"/>
      <c r="CQ516" s="436">
        <f t="shared" ref="CQ516:CV518" si="1029">CQ23/CQ12</f>
        <v>0.22347953407359022</v>
      </c>
      <c r="CR516" s="436">
        <f t="shared" si="1029"/>
        <v>0.22455449541284403</v>
      </c>
      <c r="CS516" s="436">
        <f t="shared" si="1029"/>
        <v>0.21926329442282746</v>
      </c>
      <c r="CT516" s="436">
        <f t="shared" si="1029"/>
        <v>0.19162489927477841</v>
      </c>
      <c r="CU516" s="368">
        <f t="shared" si="1029"/>
        <v>0.30121533613445378</v>
      </c>
      <c r="CV516" s="368">
        <f t="shared" si="1029"/>
        <v>0.34785981956167195</v>
      </c>
      <c r="CW516" s="368">
        <f>CW23/CW12</f>
        <v>0.29699235019833281</v>
      </c>
      <c r="CX516" s="1110">
        <v>0.28999999999999998</v>
      </c>
      <c r="CY516" s="1110">
        <f t="shared" ref="CY516:CZ518" si="1030">CX516-1%</f>
        <v>0.27999999999999997</v>
      </c>
      <c r="CZ516" s="1110">
        <v>0.27500000000000002</v>
      </c>
      <c r="DA516" s="1110">
        <f t="shared" ref="DA516:DC518" si="1031">CZ516-1%</f>
        <v>0.26500000000000001</v>
      </c>
      <c r="DB516" s="1110">
        <f t="shared" si="1031"/>
        <v>0.255</v>
      </c>
      <c r="DC516" s="1110">
        <f t="shared" si="1031"/>
        <v>0.245</v>
      </c>
      <c r="DD516" s="1517"/>
      <c r="DE516" s="1483"/>
      <c r="DF516" s="24"/>
      <c r="DG516" s="24"/>
      <c r="DH516" s="24"/>
      <c r="DI516" s="24"/>
      <c r="DJ516" s="24"/>
      <c r="DK516" s="24"/>
      <c r="DL516" s="141"/>
      <c r="DM516" s="24"/>
      <c r="DN516" s="24"/>
      <c r="DO516" s="24"/>
      <c r="DP516" s="24"/>
      <c r="DQ516" s="24"/>
      <c r="DR516" s="24"/>
      <c r="DS516" s="24"/>
      <c r="DT516" s="24"/>
      <c r="DU516" s="24"/>
      <c r="DV516" s="24"/>
      <c r="DW516" s="24"/>
      <c r="DX516" s="24"/>
      <c r="DY516" s="24"/>
      <c r="DZ516" s="1561"/>
    </row>
    <row r="517" spans="1:136">
      <c r="A517" s="3"/>
      <c r="B517" s="413"/>
      <c r="C517" s="52" t="s">
        <v>944</v>
      </c>
      <c r="D517" s="52"/>
      <c r="E517" s="414"/>
      <c r="F517" s="1027"/>
      <c r="G517" s="1027"/>
      <c r="H517" s="1027"/>
      <c r="I517" s="1029"/>
      <c r="J517" s="1027"/>
      <c r="K517" s="1027"/>
      <c r="L517" s="1027"/>
      <c r="M517" s="1029"/>
      <c r="N517" s="1027"/>
      <c r="O517" s="1027"/>
      <c r="P517" s="1027"/>
      <c r="Q517" s="1029"/>
      <c r="R517" s="1027"/>
      <c r="S517" s="1027"/>
      <c r="T517" s="1027"/>
      <c r="U517" s="1029"/>
      <c r="V517" s="1027"/>
      <c r="W517" s="1027"/>
      <c r="X517" s="1027"/>
      <c r="Y517" s="1029"/>
      <c r="Z517" s="1027"/>
      <c r="AA517" s="1027"/>
      <c r="AB517" s="1027"/>
      <c r="AC517" s="1029"/>
      <c r="AD517" s="1027"/>
      <c r="AE517" s="1027"/>
      <c r="AF517" s="1027"/>
      <c r="AG517" s="1027"/>
      <c r="AH517" s="1030"/>
      <c r="AI517" s="1027"/>
      <c r="AJ517" s="1027"/>
      <c r="AK517" s="1027"/>
      <c r="AL517" s="1030"/>
      <c r="AM517" s="1027"/>
      <c r="AN517" s="1027"/>
      <c r="AO517" s="1027"/>
      <c r="AP517" s="1030"/>
      <c r="AQ517" s="1027"/>
      <c r="AR517" s="1027"/>
      <c r="AS517" s="1027"/>
      <c r="AT517" s="1030"/>
      <c r="AU517" s="1027"/>
      <c r="AV517" s="1027"/>
      <c r="AW517" s="1027"/>
      <c r="AX517" s="1030"/>
      <c r="AY517" s="1027"/>
      <c r="AZ517" s="1027"/>
      <c r="BA517" s="1027"/>
      <c r="BB517" s="1221">
        <v>0.35</v>
      </c>
      <c r="BC517" s="546">
        <v>0.3</v>
      </c>
      <c r="BD517" s="546">
        <v>0.28999999999999998</v>
      </c>
      <c r="BE517" s="742">
        <v>0.3</v>
      </c>
      <c r="BF517" s="1221">
        <v>0.31</v>
      </c>
      <c r="BG517" s="629">
        <v>0.33</v>
      </c>
      <c r="BH517" s="546">
        <v>0.33</v>
      </c>
      <c r="BI517" s="742">
        <v>0.31</v>
      </c>
      <c r="BJ517" s="1221">
        <v>0.32</v>
      </c>
      <c r="BK517" s="546">
        <v>0.318</v>
      </c>
      <c r="BL517" s="546">
        <v>0.3</v>
      </c>
      <c r="BM517" s="742">
        <v>0.3</v>
      </c>
      <c r="BN517" s="1221">
        <v>0.29499999999999998</v>
      </c>
      <c r="BO517" s="546">
        <v>0.28999999999999998</v>
      </c>
      <c r="BP517" s="546">
        <v>0.31</v>
      </c>
      <c r="BQ517" s="742">
        <v>0.33</v>
      </c>
      <c r="BR517" s="1221">
        <v>0.35</v>
      </c>
      <c r="BS517" s="546">
        <v>0.36</v>
      </c>
      <c r="BT517" s="546">
        <v>0.38</v>
      </c>
      <c r="BU517" s="742">
        <v>0.38400000000000001</v>
      </c>
      <c r="BV517" s="546">
        <v>0.4</v>
      </c>
      <c r="BW517" s="546">
        <v>0.41</v>
      </c>
      <c r="BX517" s="1110">
        <v>0.38</v>
      </c>
      <c r="BY517" s="1203">
        <v>0.35</v>
      </c>
      <c r="BZ517" s="1110">
        <v>0.33</v>
      </c>
      <c r="CA517" s="1110">
        <v>0.31</v>
      </c>
      <c r="CB517" s="1110">
        <v>0.3</v>
      </c>
      <c r="CC517" s="1203">
        <v>0.3</v>
      </c>
      <c r="CD517" s="9"/>
      <c r="CE517" s="1031"/>
      <c r="CF517" s="1031"/>
      <c r="CG517" s="1031"/>
      <c r="CH517" s="1031"/>
      <c r="CI517" s="1031"/>
      <c r="CJ517" s="1031"/>
      <c r="CK517" s="1031"/>
      <c r="CL517" s="1031"/>
      <c r="CM517" s="1031"/>
      <c r="CN517" s="1031"/>
      <c r="CO517" s="1031"/>
      <c r="CP517" s="1031"/>
      <c r="CQ517" s="436">
        <f t="shared" si="1029"/>
        <v>0.31015744032503811</v>
      </c>
      <c r="CR517" s="436">
        <f t="shared" si="1029"/>
        <v>0.32064029151483608</v>
      </c>
      <c r="CS517" s="436">
        <f t="shared" si="1029"/>
        <v>0.31058594594594596</v>
      </c>
      <c r="CT517" s="436">
        <f t="shared" si="1029"/>
        <v>0.3090133689839572</v>
      </c>
      <c r="CU517" s="368">
        <f t="shared" si="1029"/>
        <v>0.36850835791543751</v>
      </c>
      <c r="CV517" s="368">
        <f t="shared" si="1029"/>
        <v>0.38637834027758672</v>
      </c>
      <c r="CW517" s="368">
        <f>CW24/CW13</f>
        <v>0.31045317375255588</v>
      </c>
      <c r="CX517" s="1110">
        <v>0.33</v>
      </c>
      <c r="CY517" s="1110">
        <v>0.32</v>
      </c>
      <c r="CZ517" s="1110">
        <f t="shared" si="1030"/>
        <v>0.31</v>
      </c>
      <c r="DA517" s="1110">
        <f t="shared" si="1031"/>
        <v>0.3</v>
      </c>
      <c r="DB517" s="1110">
        <f t="shared" si="1031"/>
        <v>0.28999999999999998</v>
      </c>
      <c r="DC517" s="1110">
        <f t="shared" si="1031"/>
        <v>0.27999999999999997</v>
      </c>
      <c r="DD517" s="1517"/>
      <c r="DE517" s="1483"/>
      <c r="DF517" s="24"/>
      <c r="DG517" s="24"/>
      <c r="DH517" s="24"/>
      <c r="DI517" s="24"/>
      <c r="DJ517" s="24"/>
      <c r="DK517" s="24"/>
      <c r="DL517" s="141"/>
      <c r="DM517" s="24"/>
      <c r="DN517" s="24"/>
      <c r="DO517" s="24"/>
      <c r="DP517" s="24"/>
      <c r="DQ517" s="24"/>
      <c r="DR517" s="24"/>
      <c r="DS517" s="24"/>
      <c r="DT517" s="24"/>
      <c r="DU517" s="24"/>
      <c r="DV517" s="24"/>
      <c r="DW517" s="24"/>
      <c r="DX517" s="24"/>
      <c r="DY517" s="24"/>
      <c r="DZ517" s="1561"/>
    </row>
    <row r="518" spans="1:136" s="52" customFormat="1">
      <c r="A518" s="3"/>
      <c r="B518" s="227"/>
      <c r="C518" s="145" t="s">
        <v>945</v>
      </c>
      <c r="E518" s="228"/>
      <c r="F518" s="368"/>
      <c r="G518" s="368"/>
      <c r="H518" s="368"/>
      <c r="I518" s="378"/>
      <c r="J518" s="368"/>
      <c r="K518" s="368"/>
      <c r="L518" s="368"/>
      <c r="M518" s="378"/>
      <c r="N518" s="368"/>
      <c r="O518" s="368"/>
      <c r="P518" s="368"/>
      <c r="Q518" s="378"/>
      <c r="R518" s="368"/>
      <c r="S518" s="368"/>
      <c r="T518" s="368"/>
      <c r="U518" s="378"/>
      <c r="V518" s="368"/>
      <c r="W518" s="368"/>
      <c r="X518" s="368"/>
      <c r="Y518" s="378"/>
      <c r="Z518" s="368"/>
      <c r="AA518" s="368"/>
      <c r="AB518" s="368"/>
      <c r="AC518" s="378"/>
      <c r="AD518" s="368"/>
      <c r="AE518" s="368"/>
      <c r="AF518" s="368"/>
      <c r="AG518" s="368"/>
      <c r="AH518" s="943"/>
      <c r="AI518" s="368"/>
      <c r="AJ518" s="368"/>
      <c r="AK518" s="368"/>
      <c r="AL518" s="943"/>
      <c r="AM518" s="368"/>
      <c r="AN518" s="368"/>
      <c r="AO518" s="368"/>
      <c r="AP518" s="943"/>
      <c r="AQ518" s="368"/>
      <c r="AR518" s="368"/>
      <c r="AS518" s="368"/>
      <c r="AT518" s="943"/>
      <c r="AU518" s="368"/>
      <c r="AV518" s="368"/>
      <c r="AW518" s="368"/>
      <c r="AX518" s="943"/>
      <c r="AY518" s="368"/>
      <c r="AZ518" s="368"/>
      <c r="BA518" s="368"/>
      <c r="BB518" s="1221">
        <v>0.45500000000000002</v>
      </c>
      <c r="BC518" s="546">
        <v>0.4355</v>
      </c>
      <c r="BD518" s="546">
        <v>0.435</v>
      </c>
      <c r="BE518" s="742">
        <v>0.439</v>
      </c>
      <c r="BF518" s="1221">
        <v>0.437</v>
      </c>
      <c r="BG518" s="629">
        <v>0.438</v>
      </c>
      <c r="BH518" s="546">
        <v>0.432</v>
      </c>
      <c r="BI518" s="742">
        <v>0.43</v>
      </c>
      <c r="BJ518" s="1221">
        <v>0.4335</v>
      </c>
      <c r="BK518" s="546">
        <v>0.43</v>
      </c>
      <c r="BL518" s="546">
        <v>0.432</v>
      </c>
      <c r="BM518" s="742">
        <v>0.41749999999999998</v>
      </c>
      <c r="BN518" s="1221">
        <v>0.42</v>
      </c>
      <c r="BO518" s="546">
        <v>0.41</v>
      </c>
      <c r="BP518" s="546">
        <v>0.4</v>
      </c>
      <c r="BQ518" s="742">
        <v>0.43</v>
      </c>
      <c r="BR518" s="1221">
        <v>0.46899999999999997</v>
      </c>
      <c r="BS518" s="546">
        <v>0.50449999999999995</v>
      </c>
      <c r="BT518" s="546">
        <v>0.52949999999999997</v>
      </c>
      <c r="BU518" s="742">
        <v>0.56499999999999995</v>
      </c>
      <c r="BV518" s="546">
        <v>0.58499999999999996</v>
      </c>
      <c r="BW518" s="546">
        <v>0.58499999999999996</v>
      </c>
      <c r="BX518" s="1110">
        <v>0.57499999999999996</v>
      </c>
      <c r="BY518" s="1203">
        <v>0.56000000000000005</v>
      </c>
      <c r="BZ518" s="1110">
        <v>0.55000000000000004</v>
      </c>
      <c r="CA518" s="1110">
        <v>0.54</v>
      </c>
      <c r="CB518" s="1110">
        <v>0.53</v>
      </c>
      <c r="CC518" s="1203">
        <v>0.52</v>
      </c>
      <c r="CD518" s="9"/>
      <c r="CE518" s="436"/>
      <c r="CF518" s="436"/>
      <c r="CG518" s="436"/>
      <c r="CH518" s="436"/>
      <c r="CI518" s="436"/>
      <c r="CJ518" s="436"/>
      <c r="CK518" s="436"/>
      <c r="CL518" s="436"/>
      <c r="CM518" s="436"/>
      <c r="CN518" s="436"/>
      <c r="CO518" s="436"/>
      <c r="CP518" s="436"/>
      <c r="CQ518" s="436">
        <f t="shared" si="1029"/>
        <v>0.44049821258341287</v>
      </c>
      <c r="CR518" s="436">
        <f t="shared" si="1029"/>
        <v>0.43442793495210513</v>
      </c>
      <c r="CS518" s="436">
        <f t="shared" si="1029"/>
        <v>0.42814694732641662</v>
      </c>
      <c r="CT518" s="436">
        <f t="shared" si="1029"/>
        <v>0.41543809717422242</v>
      </c>
      <c r="CU518" s="368">
        <f t="shared" si="1029"/>
        <v>0.51732970027247949</v>
      </c>
      <c r="CV518" s="368">
        <f t="shared" si="1029"/>
        <v>0.57615877841708607</v>
      </c>
      <c r="CW518" s="368">
        <f>CW25/CW14</f>
        <v>0.535694724136906</v>
      </c>
      <c r="CX518" s="1110">
        <v>0.5</v>
      </c>
      <c r="CY518" s="1110">
        <f t="shared" si="1030"/>
        <v>0.49</v>
      </c>
      <c r="CZ518" s="1110">
        <f t="shared" si="1030"/>
        <v>0.48</v>
      </c>
      <c r="DA518" s="1110">
        <f t="shared" si="1031"/>
        <v>0.47</v>
      </c>
      <c r="DB518" s="1110">
        <f t="shared" si="1031"/>
        <v>0.45999999999999996</v>
      </c>
      <c r="DC518" s="1110">
        <f t="shared" si="1031"/>
        <v>0.44999999999999996</v>
      </c>
      <c r="DD518" s="1517"/>
      <c r="DE518" s="1483"/>
      <c r="DF518" s="24"/>
      <c r="DG518" s="24"/>
      <c r="DH518" s="24"/>
      <c r="DI518" s="24"/>
      <c r="DJ518" s="24"/>
      <c r="DK518" s="24"/>
      <c r="DL518" s="141"/>
      <c r="DM518" s="24"/>
      <c r="DN518" s="24"/>
      <c r="DO518" s="24"/>
      <c r="DP518" s="24"/>
      <c r="DQ518" s="24"/>
      <c r="DR518" s="24"/>
      <c r="DS518" s="24"/>
      <c r="DT518" s="24"/>
      <c r="DU518" s="24"/>
      <c r="DV518" s="24"/>
      <c r="DW518" s="24"/>
      <c r="DX518" s="24"/>
      <c r="DY518" s="24"/>
      <c r="DZ518" s="1561"/>
      <c r="EA518"/>
      <c r="EB518"/>
      <c r="EC518"/>
      <c r="ED518"/>
      <c r="EE518"/>
      <c r="EF518"/>
    </row>
    <row r="519" spans="1:136" s="1274" customFormat="1" ht="11.25" hidden="1" customHeight="1" outlineLevel="1">
      <c r="A519" s="24"/>
      <c r="B519" s="214"/>
      <c r="C519" s="181"/>
      <c r="D519" s="51"/>
      <c r="E519" s="1768"/>
      <c r="F519" s="1200"/>
      <c r="G519" s="1200"/>
      <c r="H519" s="1200"/>
      <c r="I519" s="1202"/>
      <c r="J519" s="1200"/>
      <c r="K519" s="1200"/>
      <c r="L519" s="1200"/>
      <c r="M519" s="1202"/>
      <c r="N519" s="1200"/>
      <c r="O519" s="1200"/>
      <c r="P519" s="1200"/>
      <c r="Q519" s="1202"/>
      <c r="R519" s="1200"/>
      <c r="S519" s="1200"/>
      <c r="T519" s="1200"/>
      <c r="U519" s="1202"/>
      <c r="V519" s="1200"/>
      <c r="W519" s="1200"/>
      <c r="X519" s="1200"/>
      <c r="Y519" s="1202"/>
      <c r="Z519" s="1200"/>
      <c r="AA519" s="1200"/>
      <c r="AB519" s="1200"/>
      <c r="AC519" s="1202"/>
      <c r="AD519" s="1200"/>
      <c r="AE519" s="1200"/>
      <c r="AF519" s="1200"/>
      <c r="AG519" s="1200"/>
      <c r="AH519" s="1201"/>
      <c r="AI519" s="1200"/>
      <c r="AJ519" s="1200"/>
      <c r="AK519" s="1200"/>
      <c r="AL519" s="1201"/>
      <c r="AM519" s="1200"/>
      <c r="AN519" s="1200"/>
      <c r="AO519" s="1200"/>
      <c r="AP519" s="1201"/>
      <c r="AQ519" s="1200"/>
      <c r="AR519" s="1200"/>
      <c r="AS519" s="1200"/>
      <c r="AT519" s="1201"/>
      <c r="AU519" s="1200"/>
      <c r="AV519" s="1200"/>
      <c r="AW519" s="1200"/>
      <c r="AX519" s="1221"/>
      <c r="AY519" s="546"/>
      <c r="AZ519" s="546"/>
      <c r="BA519" s="546"/>
      <c r="BB519" s="1221"/>
      <c r="BC519" s="546"/>
      <c r="BD519" s="546"/>
      <c r="BE519" s="742"/>
      <c r="BF519" s="1221"/>
      <c r="BG519" s="546"/>
      <c r="BH519" s="546"/>
      <c r="BI519" s="742"/>
      <c r="BJ519" s="1221"/>
      <c r="BK519" s="546"/>
      <c r="BL519" s="546"/>
      <c r="BM519" s="742"/>
      <c r="BN519" s="1221"/>
      <c r="BO519" s="546"/>
      <c r="BP519" s="546"/>
      <c r="BQ519" s="742"/>
      <c r="BR519" s="1221"/>
      <c r="BS519" s="546"/>
      <c r="BT519" s="546"/>
      <c r="BU519" s="742"/>
      <c r="BV519" s="546"/>
      <c r="BW519" s="546"/>
      <c r="BX519" s="546"/>
      <c r="BY519" s="742"/>
      <c r="BZ519" s="546"/>
      <c r="CA519" s="546"/>
      <c r="CB519" s="546"/>
      <c r="CC519" s="742"/>
      <c r="CD519" s="25"/>
      <c r="CE519" s="950"/>
      <c r="CF519" s="950"/>
      <c r="CG519" s="950"/>
      <c r="CH519" s="950"/>
      <c r="CI519" s="950"/>
      <c r="CJ519" s="950"/>
      <c r="CK519" s="950"/>
      <c r="CL519" s="950"/>
      <c r="CM519" s="950"/>
      <c r="CN519" s="950"/>
      <c r="CO519" s="950"/>
      <c r="CP519" s="950"/>
      <c r="CQ519" s="492"/>
      <c r="CR519" s="492"/>
      <c r="CS519" s="492"/>
      <c r="CT519" s="492"/>
      <c r="CU519" s="1180"/>
      <c r="CV519" s="1180"/>
      <c r="CW519" s="546"/>
      <c r="CX519" s="546"/>
      <c r="CY519" s="546"/>
      <c r="CZ519" s="546"/>
      <c r="DA519" s="546"/>
      <c r="DB519" s="546"/>
      <c r="DC519" s="546"/>
      <c r="DD519" s="1529"/>
      <c r="DE519" s="1561"/>
      <c r="DF519" s="24"/>
      <c r="DG519" s="24"/>
      <c r="DH519" s="24"/>
      <c r="DI519" s="24"/>
      <c r="DJ519" s="24"/>
      <c r="DK519" s="24"/>
      <c r="DL519" s="141"/>
      <c r="DM519" s="24"/>
      <c r="DN519" s="24"/>
      <c r="DO519" s="24"/>
      <c r="DP519" s="24"/>
      <c r="DQ519" s="24"/>
      <c r="DR519" s="24"/>
      <c r="DS519" s="24"/>
      <c r="DT519" s="24"/>
      <c r="DU519" s="24"/>
      <c r="DV519" s="24"/>
      <c r="DW519" s="24"/>
      <c r="DX519" s="24"/>
      <c r="DY519" s="24"/>
      <c r="DZ519" s="1561"/>
      <c r="EA519"/>
      <c r="EB519"/>
      <c r="EC519"/>
      <c r="ED519"/>
      <c r="EE519"/>
      <c r="EF519"/>
    </row>
    <row r="520" spans="1:136" s="1727" customFormat="1" ht="11.25" hidden="1" customHeight="1" outlineLevel="1">
      <c r="A520" s="2063"/>
      <c r="B520" s="1714" t="s">
        <v>958</v>
      </c>
      <c r="C520" s="1713"/>
      <c r="D520" s="1715"/>
      <c r="E520" s="1716"/>
      <c r="F520" s="1641"/>
      <c r="G520" s="1641"/>
      <c r="H520" s="1641"/>
      <c r="I520" s="2064"/>
      <c r="J520" s="1641"/>
      <c r="K520" s="1641"/>
      <c r="L520" s="1641"/>
      <c r="M520" s="2064"/>
      <c r="N520" s="1641"/>
      <c r="O520" s="1641"/>
      <c r="P520" s="1641"/>
      <c r="Q520" s="2064"/>
      <c r="R520" s="1641"/>
      <c r="S520" s="1641"/>
      <c r="T520" s="1641"/>
      <c r="U520" s="2064"/>
      <c r="V520" s="1641"/>
      <c r="W520" s="1641"/>
      <c r="X520" s="1641"/>
      <c r="Y520" s="2064"/>
      <c r="Z520" s="1641"/>
      <c r="AA520" s="1641"/>
      <c r="AB520" s="1641"/>
      <c r="AC520" s="2064"/>
      <c r="AD520" s="1641"/>
      <c r="AE520" s="1641"/>
      <c r="AF520" s="1641"/>
      <c r="AG520" s="1641"/>
      <c r="AH520" s="1642"/>
      <c r="AI520" s="1641"/>
      <c r="AJ520" s="1641"/>
      <c r="AK520" s="1641"/>
      <c r="AL520" s="1642"/>
      <c r="AM520" s="1641"/>
      <c r="AN520" s="1641"/>
      <c r="AO520" s="1641"/>
      <c r="AP520" s="1642"/>
      <c r="AQ520" s="1641"/>
      <c r="AR520" s="1641"/>
      <c r="AS520" s="1641"/>
      <c r="AT520" s="1642"/>
      <c r="AU520" s="1641"/>
      <c r="AV520" s="1641"/>
      <c r="AW520" s="1641"/>
      <c r="AX520" s="1642"/>
      <c r="AY520" s="1641"/>
      <c r="AZ520" s="1641"/>
      <c r="BA520" s="1641"/>
      <c r="BB520" s="1642"/>
      <c r="BC520" s="1641"/>
      <c r="BD520" s="1641"/>
      <c r="BE520" s="2064"/>
      <c r="BF520" s="1642"/>
      <c r="BG520" s="1641"/>
      <c r="BH520" s="1641"/>
      <c r="BI520" s="2064"/>
      <c r="BJ520" s="1642"/>
      <c r="BK520" s="1641"/>
      <c r="BL520" s="1641"/>
      <c r="BM520" s="2064"/>
      <c r="BN520" s="1642"/>
      <c r="BO520" s="1641"/>
      <c r="BP520" s="1641"/>
      <c r="BQ520" s="2064"/>
      <c r="BR520" s="1642"/>
      <c r="BS520" s="1641"/>
      <c r="BT520" s="1641"/>
      <c r="BU520" s="2064"/>
      <c r="BV520" s="1641"/>
      <c r="BW520" s="546"/>
      <c r="BX520" s="1641"/>
      <c r="BY520" s="2064"/>
      <c r="BZ520" s="1641"/>
      <c r="CA520" s="1641"/>
      <c r="CB520" s="1641"/>
      <c r="CC520" s="2064"/>
      <c r="CD520" s="2065"/>
      <c r="CE520" s="2066"/>
      <c r="CF520" s="2066"/>
      <c r="CG520" s="2066"/>
      <c r="CH520" s="2066"/>
      <c r="CI520" s="2066"/>
      <c r="CJ520" s="2066"/>
      <c r="CK520" s="2066"/>
      <c r="CL520" s="2066"/>
      <c r="CM520" s="2066"/>
      <c r="CN520" s="2066"/>
      <c r="CO520" s="2066"/>
      <c r="CP520" s="2066"/>
      <c r="CQ520" s="2066"/>
      <c r="CR520" s="2066"/>
      <c r="CS520" s="2066"/>
      <c r="CT520" s="2066"/>
      <c r="CU520" s="1641"/>
      <c r="CV520" s="1641"/>
      <c r="CW520" s="1641"/>
      <c r="CX520" s="1641"/>
      <c r="CY520" s="1641"/>
      <c r="CZ520" s="1641"/>
      <c r="DA520" s="1641"/>
      <c r="DB520" s="1641"/>
      <c r="DC520" s="1641"/>
      <c r="DD520" s="2065"/>
      <c r="DE520" s="2063"/>
      <c r="DF520" s="2067"/>
      <c r="DG520" s="2067"/>
      <c r="DH520" s="2067"/>
      <c r="DI520" s="2067"/>
      <c r="DJ520" s="2067"/>
      <c r="DK520" s="2067"/>
      <c r="DL520" s="1725"/>
      <c r="DM520" s="2067"/>
      <c r="DN520" s="2067"/>
      <c r="DO520" s="2067"/>
      <c r="DP520" s="2067"/>
      <c r="DQ520" s="2067"/>
      <c r="DR520" s="2067"/>
      <c r="DS520" s="2067"/>
      <c r="DT520" s="2067"/>
      <c r="DU520" s="2067"/>
      <c r="DV520" s="2067"/>
      <c r="DW520" s="2067"/>
      <c r="DX520" s="2067"/>
      <c r="DY520" s="2067"/>
      <c r="DZ520" s="2067"/>
      <c r="EA520"/>
      <c r="EB520"/>
      <c r="EC520"/>
      <c r="ED520"/>
      <c r="EE520"/>
      <c r="EF520"/>
    </row>
    <row r="521" spans="1:136" s="2071" customFormat="1" ht="11.25" hidden="1" customHeight="1" outlineLevel="1">
      <c r="A521" s="2063"/>
      <c r="B521" s="2068" t="s">
        <v>17</v>
      </c>
      <c r="C521" s="2069"/>
      <c r="D521" s="2069"/>
      <c r="E521" s="2070"/>
      <c r="F521" s="1641"/>
      <c r="G521" s="1641"/>
      <c r="H521" s="1641"/>
      <c r="I521" s="2064"/>
      <c r="J521" s="1641"/>
      <c r="K521" s="1641"/>
      <c r="L521" s="1641"/>
      <c r="M521" s="2064"/>
      <c r="N521" s="1641"/>
      <c r="O521" s="1641"/>
      <c r="P521" s="1641"/>
      <c r="Q521" s="2064"/>
      <c r="R521" s="1641"/>
      <c r="S521" s="1641"/>
      <c r="T521" s="1641"/>
      <c r="U521" s="2064"/>
      <c r="V521" s="1641"/>
      <c r="W521" s="1641"/>
      <c r="X521" s="1641"/>
      <c r="Y521" s="2064"/>
      <c r="Z521" s="1641"/>
      <c r="AA521" s="1641"/>
      <c r="AB521" s="1641"/>
      <c r="AC521" s="2064"/>
      <c r="AD521" s="1642"/>
      <c r="AE521" s="1641"/>
      <c r="AF521" s="1641"/>
      <c r="AG521" s="1641"/>
      <c r="AH521" s="1642"/>
      <c r="AI521" s="1641"/>
      <c r="AJ521" s="1641"/>
      <c r="AK521" s="1641"/>
      <c r="AL521" s="1642"/>
      <c r="AM521" s="1641"/>
      <c r="AN521" s="1641"/>
      <c r="AO521" s="1641"/>
      <c r="AP521" s="1642"/>
      <c r="AQ521" s="1641"/>
      <c r="AR521" s="1641"/>
      <c r="AS521" s="1641"/>
      <c r="AT521" s="1642"/>
      <c r="AU521" s="1641"/>
      <c r="AV521" s="1641"/>
      <c r="AW521" s="1641"/>
      <c r="AX521" s="1642"/>
      <c r="AY521" s="1641"/>
      <c r="AZ521" s="1641"/>
      <c r="BA521" s="2064"/>
      <c r="BB521" s="1642">
        <f t="shared" ref="BB521:BR521" si="1032">BB53/BB11</f>
        <v>0.305177318080536</v>
      </c>
      <c r="BC521" s="1641">
        <f t="shared" si="1032"/>
        <v>0.28685141223036331</v>
      </c>
      <c r="BD521" s="1641">
        <f t="shared" si="1032"/>
        <v>0.29197662061636559</v>
      </c>
      <c r="BE521" s="2064">
        <f t="shared" si="1032"/>
        <v>0.29104021936875601</v>
      </c>
      <c r="BF521" s="1642">
        <f t="shared" si="1032"/>
        <v>0.29837281304882812</v>
      </c>
      <c r="BG521" s="1641">
        <f t="shared" si="1032"/>
        <v>0.30110559164505801</v>
      </c>
      <c r="BH521" s="1641">
        <f t="shared" si="1032"/>
        <v>0.30111272754500856</v>
      </c>
      <c r="BI521" s="2064">
        <f t="shared" si="1032"/>
        <v>0.29525641021817978</v>
      </c>
      <c r="BJ521" s="1642">
        <f t="shared" si="1032"/>
        <v>0.30262617685640725</v>
      </c>
      <c r="BK521" s="1641">
        <f t="shared" si="1032"/>
        <v>0.30743387222351498</v>
      </c>
      <c r="BL521" s="1641">
        <f t="shared" si="1032"/>
        <v>0.3013801351015144</v>
      </c>
      <c r="BM521" s="2064">
        <f t="shared" si="1032"/>
        <v>0.29872654181805997</v>
      </c>
      <c r="BN521" s="1642">
        <f t="shared" si="1032"/>
        <v>0.29075900869579691</v>
      </c>
      <c r="BO521" s="1641">
        <f t="shared" si="1032"/>
        <v>0.28494130685446811</v>
      </c>
      <c r="BP521" s="1641">
        <f t="shared" si="1032"/>
        <v>0.28207973644590362</v>
      </c>
      <c r="BQ521" s="2064">
        <f t="shared" si="1032"/>
        <v>0.3124125251591986</v>
      </c>
      <c r="BR521" s="1642">
        <f t="shared" si="1032"/>
        <v>0.33918498459461943</v>
      </c>
      <c r="BS521" s="1641"/>
      <c r="BT521" s="1641"/>
      <c r="BU521" s="2064"/>
      <c r="BV521" s="1641"/>
      <c r="BW521" s="546"/>
      <c r="BX521" s="1641"/>
      <c r="BY521" s="2064"/>
      <c r="BZ521" s="1641"/>
      <c r="CA521" s="1641"/>
      <c r="CB521" s="1641"/>
      <c r="CC521" s="2064"/>
      <c r="CD521" s="2065"/>
      <c r="CE521" s="2066"/>
      <c r="CF521" s="2066"/>
      <c r="CG521" s="2066"/>
      <c r="CH521" s="2066"/>
      <c r="CI521" s="2066"/>
      <c r="CJ521" s="2066"/>
      <c r="CK521" s="2066"/>
      <c r="CL521" s="2066"/>
      <c r="CM521" s="2066"/>
      <c r="CN521" s="2066"/>
      <c r="CO521" s="2066"/>
      <c r="CP521" s="2066"/>
      <c r="CQ521" s="2066"/>
      <c r="CR521" s="2066"/>
      <c r="CS521" s="2066"/>
      <c r="CT521" s="2066"/>
      <c r="CU521" s="1641"/>
      <c r="CV521" s="1641"/>
      <c r="CW521" s="1641"/>
      <c r="CX521" s="1641"/>
      <c r="CY521" s="1641"/>
      <c r="CZ521" s="1641"/>
      <c r="DA521" s="1641"/>
      <c r="DB521" s="1641"/>
      <c r="DC521" s="1641"/>
      <c r="DD521" s="2065"/>
      <c r="DE521" s="2063"/>
      <c r="DF521" s="2067"/>
      <c r="DG521" s="2067"/>
      <c r="DH521" s="2067"/>
      <c r="DI521" s="2067"/>
      <c r="DJ521" s="2067"/>
      <c r="DK521" s="2067"/>
      <c r="DL521" s="1725"/>
      <c r="DM521" s="2067"/>
      <c r="DN521" s="2067"/>
      <c r="DO521" s="2067"/>
      <c r="DP521" s="2067"/>
      <c r="DQ521" s="2067"/>
      <c r="DR521" s="2067"/>
      <c r="DS521" s="2067"/>
      <c r="DT521" s="2067"/>
      <c r="DU521" s="2067"/>
      <c r="DV521" s="2067"/>
      <c r="DW521" s="2067"/>
      <c r="DX521" s="2067"/>
      <c r="DY521" s="2067"/>
      <c r="DZ521" s="2067"/>
      <c r="EA521"/>
      <c r="EB521"/>
      <c r="EC521"/>
      <c r="ED521"/>
      <c r="EE521"/>
      <c r="EF521"/>
    </row>
    <row r="522" spans="1:136" s="1727" customFormat="1" ht="11.25" hidden="1" customHeight="1" outlineLevel="1">
      <c r="A522" s="2063"/>
      <c r="B522" s="2068" t="s">
        <v>924</v>
      </c>
      <c r="C522" s="2069"/>
      <c r="D522" s="2069"/>
      <c r="E522" s="2070"/>
      <c r="F522" s="1641"/>
      <c r="G522" s="1641"/>
      <c r="H522" s="1641"/>
      <c r="I522" s="2064"/>
      <c r="J522" s="1641"/>
      <c r="K522" s="1641"/>
      <c r="L522" s="1641"/>
      <c r="M522" s="2064"/>
      <c r="N522" s="1641"/>
      <c r="O522" s="1641"/>
      <c r="P522" s="1641"/>
      <c r="Q522" s="2064"/>
      <c r="R522" s="1641"/>
      <c r="S522" s="1641"/>
      <c r="T522" s="1641"/>
      <c r="U522" s="2064"/>
      <c r="V522" s="1641"/>
      <c r="W522" s="1641"/>
      <c r="X522" s="1641"/>
      <c r="Y522" s="2064"/>
      <c r="Z522" s="1641"/>
      <c r="AA522" s="1641"/>
      <c r="AB522" s="1641"/>
      <c r="AC522" s="2064"/>
      <c r="AD522" s="1641"/>
      <c r="AE522" s="1641"/>
      <c r="AF522" s="1641"/>
      <c r="AG522" s="1641"/>
      <c r="AH522" s="1642"/>
      <c r="AI522" s="1641"/>
      <c r="AJ522" s="1641"/>
      <c r="AK522" s="1641"/>
      <c r="AL522" s="1642"/>
      <c r="AM522" s="1641"/>
      <c r="AN522" s="1641"/>
      <c r="AO522" s="1641"/>
      <c r="AP522" s="1642">
        <f t="shared" ref="AP522:BP522" si="1033">AP515</f>
        <v>0.23321958838768106</v>
      </c>
      <c r="AQ522" s="1641">
        <f t="shared" si="1033"/>
        <v>0.26267280460099279</v>
      </c>
      <c r="AR522" s="1641">
        <f t="shared" si="1033"/>
        <v>0.25211633907610753</v>
      </c>
      <c r="AS522" s="1641">
        <f t="shared" si="1033"/>
        <v>0.22525832900860149</v>
      </c>
      <c r="AT522" s="1642">
        <f t="shared" si="1033"/>
        <v>0.18266094354025331</v>
      </c>
      <c r="AU522" s="1641">
        <f t="shared" si="1033"/>
        <v>0.19215441120202006</v>
      </c>
      <c r="AV522" s="1641">
        <f t="shared" si="1033"/>
        <v>0.1820839794772201</v>
      </c>
      <c r="AW522" s="1641">
        <f t="shared" si="1033"/>
        <v>0.19530334321564194</v>
      </c>
      <c r="AX522" s="1642">
        <f t="shared" si="1033"/>
        <v>0.20097795622301559</v>
      </c>
      <c r="AY522" s="1641">
        <f t="shared" si="1033"/>
        <v>0.32500184026892254</v>
      </c>
      <c r="AZ522" s="1641">
        <f t="shared" si="1033"/>
        <v>0.35491662647238559</v>
      </c>
      <c r="BA522" s="1641">
        <f t="shared" si="1033"/>
        <v>0.31785870656711335</v>
      </c>
      <c r="BB522" s="1642">
        <f t="shared" si="1033"/>
        <v>0.30505576208178442</v>
      </c>
      <c r="BC522" s="1641">
        <f t="shared" si="1033"/>
        <v>0.28688689853556482</v>
      </c>
      <c r="BD522" s="1641">
        <f t="shared" si="1033"/>
        <v>0.29190223166843787</v>
      </c>
      <c r="BE522" s="2064">
        <f t="shared" si="1033"/>
        <v>0.29110461373390556</v>
      </c>
      <c r="BF522" s="1642">
        <f t="shared" si="1033"/>
        <v>0.29838859095688752</v>
      </c>
      <c r="BG522" s="1641">
        <f t="shared" si="1033"/>
        <v>0.30106344410876135</v>
      </c>
      <c r="BH522" s="1641">
        <f t="shared" si="1033"/>
        <v>0.30110937078044825</v>
      </c>
      <c r="BI522" s="2064">
        <f t="shared" si="1033"/>
        <v>0.29534648041632428</v>
      </c>
      <c r="BJ522" s="1642">
        <f t="shared" si="1033"/>
        <v>0.3026107025107786</v>
      </c>
      <c r="BK522" s="1641">
        <f t="shared" si="1033"/>
        <v>0.30733127572016461</v>
      </c>
      <c r="BL522" s="1641">
        <f t="shared" si="1033"/>
        <v>0.30137915492957745</v>
      </c>
      <c r="BM522" s="2064">
        <f t="shared" si="1033"/>
        <v>0.29864697586963329</v>
      </c>
      <c r="BN522" s="1642">
        <f t="shared" si="1033"/>
        <v>0.29084077380952378</v>
      </c>
      <c r="BO522" s="1641">
        <f t="shared" si="1033"/>
        <v>0.28496005426590293</v>
      </c>
      <c r="BP522" s="1641">
        <f t="shared" si="1033"/>
        <v>0.28216158752657683</v>
      </c>
      <c r="BQ522" s="2064">
        <f>(BQ53-BQ65)/(BQ11-BQ38)</f>
        <v>0.28936758182606948</v>
      </c>
      <c r="BR522" s="1642">
        <f>(BR53-BR65)/(BR11-BR38)</f>
        <v>0.30295414391347852</v>
      </c>
      <c r="BS522" s="1641"/>
      <c r="BT522" s="1641"/>
      <c r="BU522" s="2064"/>
      <c r="BV522" s="1641"/>
      <c r="BW522" s="1641"/>
      <c r="BX522" s="1641"/>
      <c r="BY522" s="2064"/>
      <c r="BZ522" s="1641"/>
      <c r="CA522" s="1641"/>
      <c r="CB522" s="1641"/>
      <c r="CC522" s="2064"/>
      <c r="CD522" s="2065"/>
      <c r="CE522" s="2066"/>
      <c r="CF522" s="2066"/>
      <c r="CG522" s="2066"/>
      <c r="CH522" s="2066"/>
      <c r="CI522" s="2066"/>
      <c r="CJ522" s="2066"/>
      <c r="CK522" s="2066"/>
      <c r="CL522" s="2066"/>
      <c r="CM522" s="2066"/>
      <c r="CN522" s="2066"/>
      <c r="CO522" s="2066">
        <f>CO515</f>
        <v>0.18815083555371062</v>
      </c>
      <c r="CP522" s="2066">
        <f>CP515</f>
        <v>0.30277973535542968</v>
      </c>
      <c r="CQ522" s="2066">
        <f>CQ515</f>
        <v>0.2939165852387467</v>
      </c>
      <c r="CR522" s="2066">
        <f>CR515</f>
        <v>0.29902261731658958</v>
      </c>
      <c r="CS522" s="2066">
        <f>CS515</f>
        <v>0.30270220285478999</v>
      </c>
      <c r="CT522" s="1638">
        <f>(CT53-CT65)/(CT11-CT38)</f>
        <v>0.28687234996117383</v>
      </c>
      <c r="CU522" s="1641">
        <f>(CU53-CU65)/(CU11-CU38)</f>
        <v>5.4684114640490979E-2</v>
      </c>
      <c r="CV522" s="1641"/>
      <c r="CW522" s="1641"/>
      <c r="CX522" s="1641"/>
      <c r="CY522" s="1641"/>
      <c r="CZ522" s="1641"/>
      <c r="DA522" s="1641"/>
      <c r="DB522" s="1641"/>
      <c r="DC522" s="1641"/>
      <c r="DD522" s="2065"/>
      <c r="DE522" s="2063"/>
      <c r="DF522" s="2067"/>
      <c r="DG522" s="2067"/>
      <c r="DH522" s="2067"/>
      <c r="DI522" s="2067"/>
      <c r="DJ522" s="2067"/>
      <c r="DK522" s="2067"/>
      <c r="DL522" s="1725"/>
      <c r="DM522" s="2067"/>
      <c r="DN522" s="2067"/>
      <c r="DO522" s="2067"/>
      <c r="DP522" s="2067"/>
      <c r="DQ522" s="2067"/>
      <c r="DR522" s="2067"/>
      <c r="DS522" s="2067"/>
      <c r="DT522" s="2067"/>
      <c r="DU522" s="2067"/>
      <c r="DV522" s="2067"/>
      <c r="DW522" s="2067"/>
      <c r="DX522" s="2067"/>
      <c r="DY522" s="2067"/>
      <c r="DZ522" s="2067"/>
      <c r="EA522"/>
      <c r="EB522"/>
      <c r="EC522"/>
      <c r="ED522"/>
      <c r="EE522"/>
      <c r="EF522"/>
    </row>
    <row r="523" spans="1:136" s="1727" customFormat="1" ht="11.25" hidden="1" customHeight="1" outlineLevel="1">
      <c r="A523" s="2063"/>
      <c r="B523" s="2068"/>
      <c r="C523" s="1743" t="s">
        <v>52</v>
      </c>
      <c r="D523" s="1743"/>
      <c r="E523" s="1744"/>
      <c r="F523" s="1641"/>
      <c r="G523" s="1641"/>
      <c r="H523" s="1641"/>
      <c r="I523" s="2064"/>
      <c r="J523" s="1641"/>
      <c r="K523" s="1641"/>
      <c r="L523" s="1641"/>
      <c r="M523" s="2064"/>
      <c r="N523" s="1641"/>
      <c r="O523" s="1641"/>
      <c r="P523" s="1641"/>
      <c r="Q523" s="2064"/>
      <c r="R523" s="1641"/>
      <c r="S523" s="1641"/>
      <c r="T523" s="1641"/>
      <c r="U523" s="2064"/>
      <c r="V523" s="1641"/>
      <c r="W523" s="1641"/>
      <c r="X523" s="1641"/>
      <c r="Y523" s="2064"/>
      <c r="Z523" s="1641"/>
      <c r="AA523" s="1641"/>
      <c r="AB523" s="1641"/>
      <c r="AC523" s="2064"/>
      <c r="AD523" s="1641"/>
      <c r="AE523" s="1641"/>
      <c r="AF523" s="1641"/>
      <c r="AG523" s="1641"/>
      <c r="AH523" s="1642"/>
      <c r="AI523" s="1641"/>
      <c r="AJ523" s="1641"/>
      <c r="AK523" s="1641"/>
      <c r="AL523" s="2072"/>
      <c r="AM523" s="1641"/>
      <c r="AN523" s="1641"/>
      <c r="AO523" s="1641"/>
      <c r="AP523" s="2072">
        <v>0.23299999999999996</v>
      </c>
      <c r="AQ523" s="2073">
        <v>0.26200000000000001</v>
      </c>
      <c r="AR523" s="2073">
        <v>0.25199999999999995</v>
      </c>
      <c r="AS523" s="2073">
        <v>0.22460117548278757</v>
      </c>
      <c r="AT523" s="2072">
        <v>0.18199999999999997</v>
      </c>
      <c r="AU523" s="2074">
        <v>0.19200000000000006</v>
      </c>
      <c r="AV523" s="2074">
        <v>0.182</v>
      </c>
      <c r="AW523" s="2074">
        <v>0.19500000000000001</v>
      </c>
      <c r="AX523" s="2075">
        <v>0.20100000000000001</v>
      </c>
      <c r="AY523" s="2074">
        <v>0.32500000000000001</v>
      </c>
      <c r="AZ523" s="2074">
        <v>0.35499999999999998</v>
      </c>
      <c r="BA523" s="2074">
        <v>0.3</v>
      </c>
      <c r="BB523" s="2075">
        <v>0.3</v>
      </c>
      <c r="BC523" s="2074">
        <v>0.3</v>
      </c>
      <c r="BD523" s="2074">
        <v>0.3</v>
      </c>
      <c r="BE523" s="2076">
        <v>0.3</v>
      </c>
      <c r="BF523" s="2075">
        <v>0.33</v>
      </c>
      <c r="BG523" s="2073">
        <v>0.4</v>
      </c>
      <c r="BH523" s="2074">
        <v>0.42799999999999999</v>
      </c>
      <c r="BI523" s="2076">
        <v>0.43</v>
      </c>
      <c r="BJ523" s="2075">
        <v>0.43</v>
      </c>
      <c r="BK523" s="2074">
        <v>0.43</v>
      </c>
      <c r="BL523" s="2074">
        <v>0.43</v>
      </c>
      <c r="BM523" s="2076">
        <v>0.43</v>
      </c>
      <c r="BN523" s="2075">
        <v>0.43</v>
      </c>
      <c r="BO523" s="2074">
        <v>0.433</v>
      </c>
      <c r="BP523" s="2074">
        <v>0.43</v>
      </c>
      <c r="BQ523" s="2076">
        <v>0.43</v>
      </c>
      <c r="BR523" s="2075">
        <v>0.43</v>
      </c>
      <c r="BS523" s="1641"/>
      <c r="BT523" s="1641"/>
      <c r="BU523" s="2064"/>
      <c r="BV523" s="1641"/>
      <c r="BW523" s="1641"/>
      <c r="BX523" s="1641"/>
      <c r="BY523" s="2064"/>
      <c r="BZ523" s="1641"/>
      <c r="CA523" s="1641"/>
      <c r="CB523" s="1641"/>
      <c r="CC523" s="2064"/>
      <c r="CD523" s="2065"/>
      <c r="CE523" s="2066"/>
      <c r="CF523" s="2066"/>
      <c r="CG523" s="2066"/>
      <c r="CH523" s="2066"/>
      <c r="CI523" s="2066"/>
      <c r="CJ523" s="2066"/>
      <c r="CK523" s="2066"/>
      <c r="CL523" s="2066"/>
      <c r="CM523" s="2066"/>
      <c r="CN523" s="1638"/>
      <c r="CO523" s="1638">
        <f t="shared" ref="CO523:CU524" si="1034">CO55/CO28</f>
        <v>0.18552666481639199</v>
      </c>
      <c r="CP523" s="1638">
        <f t="shared" si="1034"/>
        <v>0.29554273312221319</v>
      </c>
      <c r="CQ523" s="1638">
        <f t="shared" si="1034"/>
        <v>0.30000000000000004</v>
      </c>
      <c r="CR523" s="1638">
        <f t="shared" si="1034"/>
        <v>0.3955867621818055</v>
      </c>
      <c r="CS523" s="1638">
        <f t="shared" si="1034"/>
        <v>0.43</v>
      </c>
      <c r="CT523" s="1638">
        <f t="shared" si="1034"/>
        <v>0.43084258562749855</v>
      </c>
      <c r="CU523" s="1638">
        <f t="shared" si="1034"/>
        <v>0.42999999999999988</v>
      </c>
      <c r="CV523" s="1641"/>
      <c r="CW523" s="1641"/>
      <c r="CX523" s="1641"/>
      <c r="CY523" s="1641"/>
      <c r="CZ523" s="1641"/>
      <c r="DA523" s="1641"/>
      <c r="DB523" s="1641"/>
      <c r="DC523" s="1641"/>
      <c r="DD523" s="2065"/>
      <c r="DE523" s="2063"/>
      <c r="DF523" s="2067"/>
      <c r="DG523" s="2067"/>
      <c r="DH523" s="2067"/>
      <c r="DI523" s="2067"/>
      <c r="DJ523" s="2067"/>
      <c r="DK523" s="2067"/>
      <c r="DL523" s="1725"/>
      <c r="DM523" s="2067"/>
      <c r="DN523" s="2067"/>
      <c r="DO523" s="2067"/>
      <c r="DP523" s="2067"/>
      <c r="DQ523" s="2067"/>
      <c r="DR523" s="2067"/>
      <c r="DS523" s="2067"/>
      <c r="DT523" s="2067"/>
      <c r="DU523" s="2067"/>
      <c r="DV523" s="2067"/>
      <c r="DW523" s="2067"/>
      <c r="DX523" s="2067"/>
      <c r="DY523" s="2067"/>
      <c r="DZ523" s="2067"/>
      <c r="EA523"/>
      <c r="EB523"/>
      <c r="EC523"/>
      <c r="ED523"/>
      <c r="EE523"/>
      <c r="EF523"/>
    </row>
    <row r="524" spans="1:136" s="1727" customFormat="1" ht="11.25" hidden="1" customHeight="1" outlineLevel="1">
      <c r="A524" s="2063"/>
      <c r="B524" s="2068"/>
      <c r="C524" s="1743" t="s">
        <v>575</v>
      </c>
      <c r="D524" s="1743"/>
      <c r="E524" s="1744"/>
      <c r="F524" s="1641"/>
      <c r="G524" s="1641"/>
      <c r="H524" s="1641"/>
      <c r="I524" s="2064"/>
      <c r="J524" s="1641"/>
      <c r="K524" s="1641"/>
      <c r="L524" s="1641"/>
      <c r="M524" s="2064"/>
      <c r="N524" s="1641"/>
      <c r="O524" s="1641"/>
      <c r="P524" s="1641"/>
      <c r="Q524" s="2064"/>
      <c r="R524" s="1641"/>
      <c r="S524" s="1641"/>
      <c r="T524" s="1641"/>
      <c r="U524" s="2064"/>
      <c r="V524" s="1641"/>
      <c r="W524" s="1641"/>
      <c r="X524" s="1641"/>
      <c r="Y524" s="2064"/>
      <c r="Z524" s="1641"/>
      <c r="AA524" s="1641"/>
      <c r="AB524" s="1641"/>
      <c r="AC524" s="2064"/>
      <c r="AD524" s="1641"/>
      <c r="AE524" s="1641"/>
      <c r="AF524" s="1641"/>
      <c r="AG524" s="1641"/>
      <c r="AH524" s="1642"/>
      <c r="AI524" s="1641"/>
      <c r="AJ524" s="1641"/>
      <c r="AK524" s="1641"/>
      <c r="AL524" s="1640"/>
      <c r="AM524" s="1641"/>
      <c r="AN524" s="1641"/>
      <c r="AO524" s="1641"/>
      <c r="AP524" s="1640">
        <f t="shared" ref="AP524:BR524" si="1035">AP56/AP29</f>
        <v>0.4</v>
      </c>
      <c r="AQ524" s="1638">
        <f t="shared" si="1035"/>
        <v>0.40999999999999992</v>
      </c>
      <c r="AR524" s="1638">
        <f t="shared" si="1035"/>
        <v>0.39999999999999997</v>
      </c>
      <c r="AS524" s="1638">
        <f t="shared" si="1035"/>
        <v>0.38999999999999996</v>
      </c>
      <c r="AT524" s="1640">
        <f t="shared" si="1035"/>
        <v>0.375</v>
      </c>
      <c r="AU524" s="1638">
        <f t="shared" si="1035"/>
        <v>0.37499999999999994</v>
      </c>
      <c r="AV524" s="1638">
        <f t="shared" si="1035"/>
        <v>0.36000000000000004</v>
      </c>
      <c r="AW524" s="1638">
        <f t="shared" si="1035"/>
        <v>0.37000000000000005</v>
      </c>
      <c r="AX524" s="1640">
        <f t="shared" si="1035"/>
        <v>0.38000000000000006</v>
      </c>
      <c r="AY524" s="1638">
        <f t="shared" si="1035"/>
        <v>0.49</v>
      </c>
      <c r="AZ524" s="1638">
        <f t="shared" si="1035"/>
        <v>0.51701137631880689</v>
      </c>
      <c r="BA524" s="1638">
        <f t="shared" si="1035"/>
        <v>0.45999999999999996</v>
      </c>
      <c r="BB524" s="1640">
        <f t="shared" si="1035"/>
        <v>0.45574424853924006</v>
      </c>
      <c r="BC524" s="1638">
        <f t="shared" si="1035"/>
        <v>0.4356241310697091</v>
      </c>
      <c r="BD524" s="1638">
        <f t="shared" si="1035"/>
        <v>0.44033086696849466</v>
      </c>
      <c r="BE524" s="1639">
        <f t="shared" si="1035"/>
        <v>0.44001874137644015</v>
      </c>
      <c r="BF524" s="1640">
        <f t="shared" si="1035"/>
        <v>0.43784433080054963</v>
      </c>
      <c r="BG524" s="1641">
        <f t="shared" si="1035"/>
        <v>0.43510084196685173</v>
      </c>
      <c r="BH524" s="1638">
        <f t="shared" si="1035"/>
        <v>0.43259893852039694</v>
      </c>
      <c r="BI524" s="1639">
        <f t="shared" si="1035"/>
        <v>0.43259230162973794</v>
      </c>
      <c r="BJ524" s="1640">
        <f t="shared" si="1035"/>
        <v>0.43500138929869991</v>
      </c>
      <c r="BK524" s="1638">
        <f t="shared" si="1035"/>
        <v>0.43230399083952314</v>
      </c>
      <c r="BL524" s="1638">
        <f t="shared" si="1035"/>
        <v>0.43023523759862392</v>
      </c>
      <c r="BM524" s="1639">
        <f t="shared" si="1035"/>
        <v>0.4201512005702801</v>
      </c>
      <c r="BN524" s="1640">
        <f t="shared" si="1035"/>
        <v>0.41251158809913657</v>
      </c>
      <c r="BO524" s="1638">
        <f t="shared" si="1035"/>
        <v>0.4037785704942764</v>
      </c>
      <c r="BP524" s="1638">
        <f t="shared" si="1035"/>
        <v>0.39999999999999997</v>
      </c>
      <c r="BQ524" s="1639">
        <f t="shared" si="1035"/>
        <v>0.40999999999999992</v>
      </c>
      <c r="BR524" s="1640">
        <f t="shared" si="1035"/>
        <v>0.42999999999999994</v>
      </c>
      <c r="BS524" s="1641"/>
      <c r="BT524" s="1641"/>
      <c r="BU524" s="2064"/>
      <c r="BV524" s="1641"/>
      <c r="BW524" s="1641"/>
      <c r="BX524" s="1641"/>
      <c r="BY524" s="2064"/>
      <c r="BZ524" s="1641"/>
      <c r="CA524" s="1641"/>
      <c r="CB524" s="1641"/>
      <c r="CC524" s="2064"/>
      <c r="CD524" s="2065"/>
      <c r="CE524" s="2066"/>
      <c r="CF524" s="2066"/>
      <c r="CG524" s="2066"/>
      <c r="CH524" s="2066"/>
      <c r="CI524" s="2066"/>
      <c r="CJ524" s="2066"/>
      <c r="CK524" s="2066"/>
      <c r="CL524" s="2066"/>
      <c r="CM524" s="2066"/>
      <c r="CN524" s="1638">
        <f>CN56/CN29</f>
        <v>0.3998791289594878</v>
      </c>
      <c r="CO524" s="1638">
        <f t="shared" si="1034"/>
        <v>0.37012348615425622</v>
      </c>
      <c r="CP524" s="1638">
        <f t="shared" si="1034"/>
        <v>0.46884659196595641</v>
      </c>
      <c r="CQ524" s="1638">
        <f t="shared" si="1034"/>
        <v>0.44260295558670776</v>
      </c>
      <c r="CR524" s="1638">
        <f t="shared" si="1034"/>
        <v>0.43465001905307588</v>
      </c>
      <c r="CS524" s="1638">
        <f t="shared" si="1034"/>
        <v>0.42960472957089735</v>
      </c>
      <c r="CT524" s="1638">
        <f t="shared" si="1034"/>
        <v>0.40670364332116882</v>
      </c>
      <c r="CU524" s="1638">
        <f t="shared" si="1034"/>
        <v>0.42999999999999994</v>
      </c>
      <c r="CV524" s="1641"/>
      <c r="CW524" s="1641"/>
      <c r="CX524" s="1641"/>
      <c r="CY524" s="1641"/>
      <c r="CZ524" s="1641"/>
      <c r="DA524" s="1641"/>
      <c r="DB524" s="1641"/>
      <c r="DC524" s="1641"/>
      <c r="DD524" s="2065"/>
      <c r="DE524" s="2063"/>
      <c r="DF524" s="2067"/>
      <c r="DG524" s="2067"/>
      <c r="DH524" s="2067"/>
      <c r="DI524" s="2067"/>
      <c r="DJ524" s="2067"/>
      <c r="DK524" s="2067"/>
      <c r="DL524" s="1725"/>
      <c r="DM524" s="2067"/>
      <c r="DN524" s="2067"/>
      <c r="DO524" s="2067"/>
      <c r="DP524" s="2067"/>
      <c r="DQ524" s="2067"/>
      <c r="DR524" s="2067"/>
      <c r="DS524" s="2067"/>
      <c r="DT524" s="2067"/>
      <c r="DU524" s="2067"/>
      <c r="DV524" s="2067"/>
      <c r="DW524" s="2067"/>
      <c r="DX524" s="2067"/>
      <c r="DY524" s="2067"/>
      <c r="DZ524" s="2067"/>
      <c r="EA524"/>
      <c r="EB524"/>
      <c r="EC524"/>
      <c r="ED524"/>
      <c r="EE524"/>
      <c r="EF524"/>
    </row>
    <row r="525" spans="1:136" s="1727" customFormat="1" ht="11.25" hidden="1" customHeight="1" outlineLevel="1">
      <c r="A525" s="2063"/>
      <c r="B525" s="2068"/>
      <c r="D525" s="1727" t="s">
        <v>663</v>
      </c>
      <c r="E525" s="1730"/>
      <c r="F525" s="1641"/>
      <c r="G525" s="1641"/>
      <c r="H525" s="1641"/>
      <c r="I525" s="2064"/>
      <c r="J525" s="1641"/>
      <c r="K525" s="1641"/>
      <c r="L525" s="1641"/>
      <c r="M525" s="2064"/>
      <c r="N525" s="1641"/>
      <c r="O525" s="1641"/>
      <c r="P525" s="1641"/>
      <c r="Q525" s="2064"/>
      <c r="R525" s="1641"/>
      <c r="S525" s="1641"/>
      <c r="T525" s="1641"/>
      <c r="U525" s="2064"/>
      <c r="V525" s="1641"/>
      <c r="W525" s="1641"/>
      <c r="X525" s="1641"/>
      <c r="Y525" s="2064"/>
      <c r="Z525" s="1641"/>
      <c r="AA525" s="1641"/>
      <c r="AB525" s="1641"/>
      <c r="AC525" s="2064"/>
      <c r="AD525" s="1641"/>
      <c r="AE525" s="1641"/>
      <c r="AF525" s="1641"/>
      <c r="AG525" s="1641"/>
      <c r="AH525" s="1642"/>
      <c r="AI525" s="1641"/>
      <c r="AJ525" s="1641"/>
      <c r="AK525" s="1641"/>
      <c r="AL525" s="2072"/>
      <c r="AM525" s="1641"/>
      <c r="AN525" s="1641"/>
      <c r="AO525" s="1641"/>
      <c r="AP525" s="2072"/>
      <c r="AQ525" s="2073"/>
      <c r="AR525" s="2073"/>
      <c r="AS525" s="2073"/>
      <c r="AT525" s="2072"/>
      <c r="AU525" s="2074"/>
      <c r="AV525" s="2074"/>
      <c r="AW525" s="2074"/>
      <c r="AX525" s="2075"/>
      <c r="AY525" s="2074"/>
      <c r="AZ525" s="2074">
        <v>0.5</v>
      </c>
      <c r="BA525" s="2074">
        <v>0.46</v>
      </c>
      <c r="BB525" s="2075">
        <v>0.46</v>
      </c>
      <c r="BC525" s="2074">
        <v>0.44</v>
      </c>
      <c r="BD525" s="2074">
        <v>0.44500000000000001</v>
      </c>
      <c r="BE525" s="2076">
        <v>0.44500000000000001</v>
      </c>
      <c r="BF525" s="2075">
        <v>0.44500000000000001</v>
      </c>
      <c r="BG525" s="2073">
        <v>0.44</v>
      </c>
      <c r="BH525" s="2074">
        <v>0.435</v>
      </c>
      <c r="BI525" s="2076">
        <v>0.435</v>
      </c>
      <c r="BJ525" s="2075">
        <v>0.44</v>
      </c>
      <c r="BK525" s="2074">
        <v>0.44</v>
      </c>
      <c r="BL525" s="2074">
        <v>0.435</v>
      </c>
      <c r="BM525" s="2076">
        <v>0.42499999999999999</v>
      </c>
      <c r="BN525" s="2075">
        <v>0.41499999999999998</v>
      </c>
      <c r="BO525" s="2074">
        <v>0.40799999999999997</v>
      </c>
      <c r="BP525" s="2074">
        <v>0.4</v>
      </c>
      <c r="BQ525" s="2076">
        <v>0.41</v>
      </c>
      <c r="BR525" s="2075">
        <v>0.43</v>
      </c>
      <c r="BS525" s="1641"/>
      <c r="BT525" s="1641"/>
      <c r="BU525" s="2064"/>
      <c r="BV525" s="1641"/>
      <c r="BW525" s="1641"/>
      <c r="BX525" s="1641"/>
      <c r="BY525" s="2064"/>
      <c r="BZ525" s="1641"/>
      <c r="CA525" s="1641"/>
      <c r="CB525" s="1641"/>
      <c r="CC525" s="2064"/>
      <c r="CD525" s="2065"/>
      <c r="CE525" s="2066"/>
      <c r="CF525" s="2066"/>
      <c r="CG525" s="2066"/>
      <c r="CH525" s="2066"/>
      <c r="CI525" s="2066"/>
      <c r="CJ525" s="2066"/>
      <c r="CK525" s="2066"/>
      <c r="CL525" s="2066"/>
      <c r="CM525" s="2066"/>
      <c r="CN525" s="2074"/>
      <c r="CO525" s="2074"/>
      <c r="CP525" s="2074">
        <f t="shared" ref="CP525:CU532" si="1036">CP57/CP30</f>
        <v>0.46418848167539262</v>
      </c>
      <c r="CQ525" s="2074">
        <f t="shared" si="1036"/>
        <v>0.44735644420311732</v>
      </c>
      <c r="CR525" s="2074">
        <f t="shared" si="1036"/>
        <v>0.43898208025656582</v>
      </c>
      <c r="CS525" s="2074">
        <f t="shared" si="1036"/>
        <v>0.43511117868908306</v>
      </c>
      <c r="CT525" s="2074">
        <f t="shared" si="1036"/>
        <v>0.40869327649010961</v>
      </c>
      <c r="CU525" s="2074">
        <f t="shared" si="1036"/>
        <v>0.42999999999999988</v>
      </c>
      <c r="CV525" s="1641"/>
      <c r="CW525" s="1641"/>
      <c r="CX525" s="1641"/>
      <c r="CY525" s="1641"/>
      <c r="CZ525" s="1641"/>
      <c r="DA525" s="1641"/>
      <c r="DB525" s="1641"/>
      <c r="DC525" s="1641"/>
      <c r="DD525" s="2065"/>
      <c r="DE525" s="2063"/>
      <c r="DF525" s="2067"/>
      <c r="DG525" s="2067"/>
      <c r="DH525" s="2067"/>
      <c r="DI525" s="2067"/>
      <c r="DJ525" s="2067"/>
      <c r="DK525" s="2067"/>
      <c r="DL525" s="1725"/>
      <c r="DM525" s="2067"/>
      <c r="DN525" s="2067"/>
      <c r="DO525" s="2067"/>
      <c r="DP525" s="2067"/>
      <c r="DQ525" s="2067"/>
      <c r="DR525" s="2067"/>
      <c r="DS525" s="2067"/>
      <c r="DT525" s="2067"/>
      <c r="DU525" s="2067"/>
      <c r="DV525" s="2067"/>
      <c r="DW525" s="2067"/>
      <c r="DX525" s="2067"/>
      <c r="DY525" s="2067"/>
      <c r="DZ525" s="2067"/>
      <c r="EA525"/>
      <c r="EB525"/>
      <c r="EC525"/>
      <c r="ED525"/>
      <c r="EE525"/>
      <c r="EF525"/>
    </row>
    <row r="526" spans="1:136" s="1727" customFormat="1" ht="11.25" hidden="1" customHeight="1" outlineLevel="1">
      <c r="A526" s="2063"/>
      <c r="B526" s="2068"/>
      <c r="D526" s="1727" t="s">
        <v>664</v>
      </c>
      <c r="E526" s="1730"/>
      <c r="F526" s="1641"/>
      <c r="G526" s="1641"/>
      <c r="H526" s="1641"/>
      <c r="I526" s="2064"/>
      <c r="J526" s="1641"/>
      <c r="K526" s="1641"/>
      <c r="L526" s="1641"/>
      <c r="M526" s="2064"/>
      <c r="N526" s="1641"/>
      <c r="O526" s="1641"/>
      <c r="P526" s="1641"/>
      <c r="Q526" s="2064"/>
      <c r="R526" s="1641"/>
      <c r="S526" s="1641"/>
      <c r="T526" s="1641"/>
      <c r="U526" s="2064"/>
      <c r="V526" s="1641"/>
      <c r="W526" s="1641"/>
      <c r="X526" s="1641"/>
      <c r="Y526" s="2064"/>
      <c r="Z526" s="1641"/>
      <c r="AA526" s="1641"/>
      <c r="AB526" s="1641"/>
      <c r="AC526" s="2064"/>
      <c r="AD526" s="1641"/>
      <c r="AE526" s="1641"/>
      <c r="AF526" s="1641"/>
      <c r="AG526" s="1641"/>
      <c r="AH526" s="1642"/>
      <c r="AI526" s="1641"/>
      <c r="AJ526" s="1641"/>
      <c r="AK526" s="1641"/>
      <c r="AL526" s="2072"/>
      <c r="AM526" s="1641"/>
      <c r="AN526" s="1641"/>
      <c r="AO526" s="1641"/>
      <c r="AP526" s="2072">
        <v>0.4</v>
      </c>
      <c r="AQ526" s="2073">
        <v>0.41</v>
      </c>
      <c r="AR526" s="2073">
        <v>0.4</v>
      </c>
      <c r="AS526" s="2073">
        <v>0.39</v>
      </c>
      <c r="AT526" s="2072">
        <v>0.375</v>
      </c>
      <c r="AU526" s="2074">
        <v>0.375</v>
      </c>
      <c r="AV526" s="2074">
        <v>0.36</v>
      </c>
      <c r="AW526" s="2074">
        <v>0.37</v>
      </c>
      <c r="AX526" s="2075">
        <v>0.38</v>
      </c>
      <c r="AY526" s="2074">
        <v>0.49</v>
      </c>
      <c r="AZ526" s="2074">
        <v>0.52</v>
      </c>
      <c r="BA526" s="2074">
        <v>0.46</v>
      </c>
      <c r="BB526" s="2075">
        <v>0.45</v>
      </c>
      <c r="BC526" s="2074">
        <v>0.43</v>
      </c>
      <c r="BD526" s="2074">
        <v>0.435</v>
      </c>
      <c r="BE526" s="2076">
        <v>0.435</v>
      </c>
      <c r="BF526" s="2075">
        <v>0.43</v>
      </c>
      <c r="BG526" s="2073">
        <v>0.43</v>
      </c>
      <c r="BH526" s="2074">
        <v>0.43</v>
      </c>
      <c r="BI526" s="2076">
        <v>0.43</v>
      </c>
      <c r="BJ526" s="2075">
        <v>0.43</v>
      </c>
      <c r="BK526" s="2074">
        <v>0.42499999999999999</v>
      </c>
      <c r="BL526" s="2074">
        <v>0.42499999999999999</v>
      </c>
      <c r="BM526" s="2076">
        <v>0.41499999999999998</v>
      </c>
      <c r="BN526" s="2075">
        <v>0.41</v>
      </c>
      <c r="BO526" s="2074">
        <v>0.4</v>
      </c>
      <c r="BP526" s="2074">
        <v>0.4</v>
      </c>
      <c r="BQ526" s="2076">
        <v>0.41</v>
      </c>
      <c r="BR526" s="2075">
        <v>0.43</v>
      </c>
      <c r="BS526" s="1641"/>
      <c r="BT526" s="1641"/>
      <c r="BU526" s="2064"/>
      <c r="BV526" s="1641"/>
      <c r="BW526" s="1641"/>
      <c r="BX526" s="1641"/>
      <c r="BY526" s="2064"/>
      <c r="BZ526" s="1641"/>
      <c r="CA526" s="1641"/>
      <c r="CB526" s="1641"/>
      <c r="CC526" s="2064"/>
      <c r="CD526" s="2065"/>
      <c r="CE526" s="2066"/>
      <c r="CF526" s="2066"/>
      <c r="CG526" s="2066"/>
      <c r="CH526" s="2066"/>
      <c r="CI526" s="2066"/>
      <c r="CJ526" s="2066"/>
      <c r="CK526" s="2066"/>
      <c r="CL526" s="2066"/>
      <c r="CM526" s="2066"/>
      <c r="CN526" s="2074">
        <f t="shared" ref="CN526:CO533" si="1037">CN58/CN31</f>
        <v>0.3998791289594878</v>
      </c>
      <c r="CO526" s="2074">
        <f t="shared" si="1037"/>
        <v>0.37012348615425622</v>
      </c>
      <c r="CP526" s="2074">
        <f t="shared" si="1036"/>
        <v>0.47130319928657594</v>
      </c>
      <c r="CQ526" s="2074">
        <f t="shared" si="1036"/>
        <v>0.43700208750327024</v>
      </c>
      <c r="CR526" s="2074">
        <f t="shared" si="1036"/>
        <v>0.42999999999999988</v>
      </c>
      <c r="CS526" s="2074">
        <f t="shared" si="1036"/>
        <v>0.42396301610026055</v>
      </c>
      <c r="CT526" s="2074">
        <f t="shared" si="1036"/>
        <v>0.40500690390087246</v>
      </c>
      <c r="CU526" s="2074">
        <f t="shared" si="1036"/>
        <v>0.43</v>
      </c>
      <c r="CV526" s="1641"/>
      <c r="CW526" s="1641"/>
      <c r="CX526" s="1641"/>
      <c r="CY526" s="1641"/>
      <c r="CZ526" s="1641"/>
      <c r="DA526" s="1641"/>
      <c r="DB526" s="1641"/>
      <c r="DC526" s="1641"/>
      <c r="DD526" s="2065"/>
      <c r="DE526" s="2063"/>
      <c r="DF526" s="2067"/>
      <c r="DG526" s="2067"/>
      <c r="DH526" s="2067"/>
      <c r="DI526" s="2067"/>
      <c r="DJ526" s="2067"/>
      <c r="DK526" s="2067"/>
      <c r="DL526" s="1725"/>
      <c r="DM526" s="2067"/>
      <c r="DN526" s="2067"/>
      <c r="DO526" s="2067"/>
      <c r="DP526" s="2067"/>
      <c r="DQ526" s="2067"/>
      <c r="DR526" s="2067"/>
      <c r="DS526" s="2067"/>
      <c r="DT526" s="2067"/>
      <c r="DU526" s="2067"/>
      <c r="DV526" s="2067"/>
      <c r="DW526" s="2067"/>
      <c r="DX526" s="2067"/>
      <c r="DY526" s="2067"/>
      <c r="DZ526" s="2067"/>
      <c r="EA526"/>
      <c r="EB526"/>
      <c r="EC526"/>
      <c r="ED526"/>
      <c r="EE526"/>
      <c r="EF526"/>
    </row>
    <row r="527" spans="1:136" s="1727" customFormat="1" ht="11.25" hidden="1" customHeight="1" outlineLevel="1">
      <c r="A527" s="2063"/>
      <c r="B527" s="2068"/>
      <c r="C527" s="1743" t="s">
        <v>186</v>
      </c>
      <c r="D527" s="1743"/>
      <c r="E527" s="1744"/>
      <c r="F527" s="1641"/>
      <c r="G527" s="1641"/>
      <c r="H527" s="1641"/>
      <c r="I527" s="2064"/>
      <c r="J527" s="1641"/>
      <c r="K527" s="1641"/>
      <c r="L527" s="1641"/>
      <c r="M527" s="2064"/>
      <c r="N527" s="1641"/>
      <c r="O527" s="1641"/>
      <c r="P527" s="1641"/>
      <c r="Q527" s="2064"/>
      <c r="R527" s="1641"/>
      <c r="S527" s="1641"/>
      <c r="T527" s="1641"/>
      <c r="U527" s="2064"/>
      <c r="V527" s="1641"/>
      <c r="W527" s="1641"/>
      <c r="X527" s="1641"/>
      <c r="Y527" s="2064"/>
      <c r="Z527" s="1641"/>
      <c r="AA527" s="1641"/>
      <c r="AB527" s="1641"/>
      <c r="AC527" s="2064"/>
      <c r="AD527" s="1641"/>
      <c r="AE527" s="1641"/>
      <c r="AF527" s="1641"/>
      <c r="AG527" s="1641"/>
      <c r="AH527" s="1642"/>
      <c r="AI527" s="1641"/>
      <c r="AJ527" s="1641"/>
      <c r="AK527" s="1641"/>
      <c r="AL527" s="1640"/>
      <c r="AM527" s="1641"/>
      <c r="AN527" s="1641"/>
      <c r="AO527" s="1641"/>
      <c r="AP527" s="1640">
        <v>0.11040310668162141</v>
      </c>
      <c r="AQ527" s="1638">
        <v>0.11040310668162141</v>
      </c>
      <c r="AR527" s="1638">
        <v>0.11040310668162141</v>
      </c>
      <c r="AS527" s="1638">
        <v>0.11040310668162141</v>
      </c>
      <c r="AT527" s="1640">
        <v>0.11040310668162141</v>
      </c>
      <c r="AU527" s="1638">
        <f t="shared" ref="AU527:BR527" si="1038">AU59/AU32</f>
        <v>0.1342420040536437</v>
      </c>
      <c r="AV527" s="1638">
        <f t="shared" si="1038"/>
        <v>0.12940979820434045</v>
      </c>
      <c r="AW527" s="1638">
        <f t="shared" si="1038"/>
        <v>0.15231137617026125</v>
      </c>
      <c r="AX527" s="1640">
        <f t="shared" si="1038"/>
        <v>0.15807625384075227</v>
      </c>
      <c r="AY527" s="1638">
        <f t="shared" si="1038"/>
        <v>0.28163449580317262</v>
      </c>
      <c r="AZ527" s="1638">
        <f t="shared" si="1038"/>
        <v>0.31368104677207981</v>
      </c>
      <c r="BA527" s="1638">
        <f t="shared" si="1038"/>
        <v>0.26276687050192887</v>
      </c>
      <c r="BB527" s="1640">
        <f t="shared" si="1038"/>
        <v>0.24583888832665166</v>
      </c>
      <c r="BC527" s="1638">
        <f t="shared" si="1038"/>
        <v>0.2112332518266061</v>
      </c>
      <c r="BD527" s="1638">
        <f t="shared" si="1038"/>
        <v>0.21723428384238899</v>
      </c>
      <c r="BE527" s="1639">
        <f t="shared" si="1038"/>
        <v>0.21280596410143562</v>
      </c>
      <c r="BF527" s="1640">
        <f t="shared" si="1038"/>
        <v>0.21780631509078102</v>
      </c>
      <c r="BG527" s="1641">
        <f t="shared" si="1038"/>
        <v>0.21767969487380981</v>
      </c>
      <c r="BH527" s="1638">
        <f t="shared" si="1038"/>
        <v>0.22287613833043138</v>
      </c>
      <c r="BI527" s="1639">
        <f t="shared" si="1038"/>
        <v>0.22231972681123899</v>
      </c>
      <c r="BJ527" s="1640">
        <f t="shared" si="1038"/>
        <v>0.2222255955850766</v>
      </c>
      <c r="BK527" s="1638">
        <f t="shared" si="1038"/>
        <v>0.219602036256905</v>
      </c>
      <c r="BL527" s="1638">
        <f t="shared" si="1038"/>
        <v>0.20913327204446278</v>
      </c>
      <c r="BM527" s="1639">
        <f t="shared" si="1038"/>
        <v>0.19848846653859922</v>
      </c>
      <c r="BN527" s="1640">
        <f t="shared" si="1038"/>
        <v>0.18843212874223175</v>
      </c>
      <c r="BO527" s="1638">
        <f t="shared" si="1038"/>
        <v>0.17445043026798129</v>
      </c>
      <c r="BP527" s="1638">
        <f t="shared" si="1038"/>
        <v>0.16936847888194551</v>
      </c>
      <c r="BQ527" s="1639">
        <f t="shared" si="1038"/>
        <v>0.17905630084027446</v>
      </c>
      <c r="BR527" s="1640">
        <f t="shared" si="1038"/>
        <v>0.21000000000000008</v>
      </c>
      <c r="BS527" s="1641"/>
      <c r="BT527" s="1641"/>
      <c r="BU527" s="2064"/>
      <c r="BV527" s="1641"/>
      <c r="BW527" s="1641"/>
      <c r="BX527" s="1641"/>
      <c r="BY527" s="2064"/>
      <c r="BZ527" s="1641"/>
      <c r="CA527" s="1641"/>
      <c r="CB527" s="1641"/>
      <c r="CC527" s="2064"/>
      <c r="CD527" s="2065"/>
      <c r="CE527" s="2066"/>
      <c r="CF527" s="2066"/>
      <c r="CG527" s="2066"/>
      <c r="CH527" s="2066"/>
      <c r="CI527" s="2066"/>
      <c r="CJ527" s="2066"/>
      <c r="CK527" s="2066"/>
      <c r="CL527" s="2066"/>
      <c r="CM527" s="2066"/>
      <c r="CN527" s="1638">
        <f t="shared" si="1037"/>
        <v>0.20554726229246389</v>
      </c>
      <c r="CO527" s="1638">
        <f t="shared" si="1037"/>
        <v>0.13652536009658769</v>
      </c>
      <c r="CP527" s="1638">
        <f t="shared" si="1036"/>
        <v>0.25646287728854911</v>
      </c>
      <c r="CQ527" s="1638">
        <f t="shared" si="1036"/>
        <v>0.2225898387647211</v>
      </c>
      <c r="CR527" s="1638">
        <f t="shared" si="1036"/>
        <v>0.22011861264541105</v>
      </c>
      <c r="CS527" s="1638">
        <f t="shared" si="1036"/>
        <v>0.21366596245368585</v>
      </c>
      <c r="CT527" s="1638">
        <f t="shared" si="1036"/>
        <v>0.17804817169705392</v>
      </c>
      <c r="CU527" s="1638">
        <f t="shared" si="1036"/>
        <v>0.21000000000000008</v>
      </c>
      <c r="CV527" s="1641"/>
      <c r="CW527" s="1641"/>
      <c r="CX527" s="1641"/>
      <c r="CY527" s="1641"/>
      <c r="CZ527" s="1641"/>
      <c r="DA527" s="1641"/>
      <c r="DB527" s="1641"/>
      <c r="DC527" s="1641"/>
      <c r="DD527" s="2065"/>
      <c r="DE527" s="2063"/>
      <c r="DF527" s="2067"/>
      <c r="DG527" s="2067"/>
      <c r="DH527" s="2067"/>
      <c r="DI527" s="2067"/>
      <c r="DJ527" s="2067"/>
      <c r="DK527" s="2067"/>
      <c r="DL527" s="1725"/>
      <c r="DM527" s="2067"/>
      <c r="DN527" s="2067"/>
      <c r="DO527" s="2067"/>
      <c r="DP527" s="2067"/>
      <c r="DQ527" s="2067"/>
      <c r="DR527" s="2067"/>
      <c r="DS527" s="2067"/>
      <c r="DT527" s="2067"/>
      <c r="DU527" s="2067"/>
      <c r="DV527" s="2067"/>
      <c r="DW527" s="2067"/>
      <c r="DX527" s="2067"/>
      <c r="DY527" s="2067"/>
      <c r="DZ527" s="2067"/>
      <c r="EA527"/>
      <c r="EB527"/>
      <c r="EC527"/>
      <c r="ED527"/>
      <c r="EE527"/>
      <c r="EF527"/>
    </row>
    <row r="528" spans="1:136" s="1727" customFormat="1" ht="11.25" hidden="1" customHeight="1" outlineLevel="1">
      <c r="A528" s="2063"/>
      <c r="B528" s="2068"/>
      <c r="D528" s="1727" t="s">
        <v>680</v>
      </c>
      <c r="E528" s="1730"/>
      <c r="F528" s="1641"/>
      <c r="G528" s="1641"/>
      <c r="H528" s="1641"/>
      <c r="I528" s="2064"/>
      <c r="J528" s="1641"/>
      <c r="K528" s="1641"/>
      <c r="L528" s="1641"/>
      <c r="M528" s="2064"/>
      <c r="N528" s="1641"/>
      <c r="O528" s="1641"/>
      <c r="P528" s="1641"/>
      <c r="Q528" s="2064"/>
      <c r="R528" s="1641"/>
      <c r="S528" s="1641"/>
      <c r="T528" s="1641"/>
      <c r="U528" s="2064"/>
      <c r="V528" s="1641"/>
      <c r="W528" s="1641"/>
      <c r="X528" s="1641"/>
      <c r="Y528" s="2064"/>
      <c r="Z528" s="1641"/>
      <c r="AA528" s="1641"/>
      <c r="AB528" s="1641"/>
      <c r="AC528" s="2064"/>
      <c r="AD528" s="1641"/>
      <c r="AE528" s="1641"/>
      <c r="AF528" s="1641"/>
      <c r="AG528" s="1641"/>
      <c r="AH528" s="1642"/>
      <c r="AI528" s="1641"/>
      <c r="AJ528" s="1641"/>
      <c r="AK528" s="1641"/>
      <c r="AL528" s="2072"/>
      <c r="AM528" s="1641"/>
      <c r="AN528" s="1641"/>
      <c r="AO528" s="1641"/>
      <c r="AP528" s="2072">
        <v>0.19</v>
      </c>
      <c r="AQ528" s="2073">
        <v>0.22</v>
      </c>
      <c r="AR528" s="2073">
        <v>0.21199999999999999</v>
      </c>
      <c r="AS528" s="2073">
        <v>0.17799999999999999</v>
      </c>
      <c r="AT528" s="2072">
        <v>0.125</v>
      </c>
      <c r="AU528" s="2074">
        <v>0.13</v>
      </c>
      <c r="AV528" s="2074">
        <v>0.126</v>
      </c>
      <c r="AW528" s="2074">
        <v>0.14879999999999999</v>
      </c>
      <c r="AX528" s="2075">
        <v>0.156</v>
      </c>
      <c r="AY528" s="2074">
        <v>0.28000000000000003</v>
      </c>
      <c r="AZ528" s="2074">
        <v>0.30819999999999997</v>
      </c>
      <c r="BA528" s="2074">
        <v>0.255</v>
      </c>
      <c r="BB528" s="2075">
        <v>0.24</v>
      </c>
      <c r="BC528" s="2074">
        <v>0.2</v>
      </c>
      <c r="BD528" s="2074">
        <v>0.20499999999999999</v>
      </c>
      <c r="BE528" s="2074">
        <v>0.20499999999999999</v>
      </c>
      <c r="BF528" s="2075">
        <v>0.20499999999999999</v>
      </c>
      <c r="BG528" s="2073">
        <v>0.20499999999999999</v>
      </c>
      <c r="BH528" s="2074">
        <v>0.21</v>
      </c>
      <c r="BI528" s="2074">
        <v>0.21</v>
      </c>
      <c r="BJ528" s="2075">
        <v>0.21</v>
      </c>
      <c r="BK528" s="2074">
        <v>0.20499999999999999</v>
      </c>
      <c r="BL528" s="2074">
        <v>0.2</v>
      </c>
      <c r="BM528" s="2074">
        <v>0.19</v>
      </c>
      <c r="BN528" s="2075">
        <v>0.18</v>
      </c>
      <c r="BO528" s="2074">
        <v>0.17</v>
      </c>
      <c r="BP528" s="2074">
        <v>0.16500000000000001</v>
      </c>
      <c r="BQ528" s="2076">
        <v>0.17499999999999999</v>
      </c>
      <c r="BR528" s="2075">
        <v>0.21</v>
      </c>
      <c r="BS528" s="1641"/>
      <c r="BT528" s="1641"/>
      <c r="BU528" s="2064"/>
      <c r="BV528" s="1641"/>
      <c r="BW528" s="1641"/>
      <c r="BX528" s="1641"/>
      <c r="BY528" s="2064"/>
      <c r="BZ528" s="1641"/>
      <c r="CA528" s="1641"/>
      <c r="CB528" s="1641"/>
      <c r="CC528" s="2064"/>
      <c r="CD528" s="2065"/>
      <c r="CE528" s="2066"/>
      <c r="CF528" s="2066"/>
      <c r="CG528" s="2066"/>
      <c r="CH528" s="2066"/>
      <c r="CI528" s="2066"/>
      <c r="CJ528" s="2066"/>
      <c r="CK528" s="2066"/>
      <c r="CL528" s="2066"/>
      <c r="CM528" s="2066"/>
      <c r="CN528" s="2074">
        <f t="shared" si="1037"/>
        <v>0.20087001269473212</v>
      </c>
      <c r="CO528" s="2074">
        <f t="shared" si="1037"/>
        <v>0.1324836231868822</v>
      </c>
      <c r="CP528" s="2074">
        <f t="shared" si="1036"/>
        <v>0.25317643128393408</v>
      </c>
      <c r="CQ528" s="2074">
        <f t="shared" si="1036"/>
        <v>0.21402085664395432</v>
      </c>
      <c r="CR528" s="2074">
        <f t="shared" si="1036"/>
        <v>0.2074567848122465</v>
      </c>
      <c r="CS528" s="2074">
        <f t="shared" si="1036"/>
        <v>0.20234838313704973</v>
      </c>
      <c r="CT528" s="2074">
        <f t="shared" si="1036"/>
        <v>0.17268401878754944</v>
      </c>
      <c r="CU528" s="2074">
        <f t="shared" si="1036"/>
        <v>0.21000000000000002</v>
      </c>
      <c r="CV528" s="1641"/>
      <c r="CW528" s="1641"/>
      <c r="CX528" s="1641"/>
      <c r="CY528" s="1641"/>
      <c r="CZ528" s="1641"/>
      <c r="DA528" s="1641"/>
      <c r="DB528" s="1641"/>
      <c r="DC528" s="1641"/>
      <c r="DD528" s="2065"/>
      <c r="DE528" s="2063"/>
      <c r="DF528" s="2067"/>
      <c r="DG528" s="2067"/>
      <c r="DH528" s="2067"/>
      <c r="DI528" s="2067"/>
      <c r="DJ528" s="2067"/>
      <c r="DK528" s="2067"/>
      <c r="DL528" s="1725"/>
      <c r="DM528" s="2067"/>
      <c r="DN528" s="2067"/>
      <c r="DO528" s="2067"/>
      <c r="DP528" s="2067"/>
      <c r="DQ528" s="2067"/>
      <c r="DR528" s="2067"/>
      <c r="DS528" s="2067"/>
      <c r="DT528" s="2067"/>
      <c r="DU528" s="2067"/>
      <c r="DV528" s="2067"/>
      <c r="DW528" s="2067"/>
      <c r="DX528" s="2067"/>
      <c r="DY528" s="2067"/>
      <c r="DZ528" s="2067"/>
      <c r="EA528"/>
      <c r="EB528"/>
      <c r="EC528"/>
      <c r="ED528"/>
      <c r="EE528"/>
      <c r="EF528"/>
    </row>
    <row r="529" spans="1:136" s="1727" customFormat="1" ht="11.25" hidden="1" customHeight="1" outlineLevel="1">
      <c r="A529" s="2063"/>
      <c r="B529" s="2068"/>
      <c r="D529" s="1727" t="s">
        <v>679</v>
      </c>
      <c r="E529" s="1730"/>
      <c r="F529" s="1641"/>
      <c r="G529" s="1641"/>
      <c r="H529" s="1641"/>
      <c r="I529" s="2064"/>
      <c r="J529" s="1641"/>
      <c r="K529" s="1641"/>
      <c r="L529" s="1641"/>
      <c r="M529" s="2064"/>
      <c r="N529" s="1641"/>
      <c r="O529" s="1641"/>
      <c r="P529" s="1641"/>
      <c r="Q529" s="2064"/>
      <c r="R529" s="1641"/>
      <c r="S529" s="1641"/>
      <c r="T529" s="1641"/>
      <c r="U529" s="2064"/>
      <c r="V529" s="1641"/>
      <c r="W529" s="1641"/>
      <c r="X529" s="1641"/>
      <c r="Y529" s="2064"/>
      <c r="Z529" s="1641"/>
      <c r="AA529" s="1641"/>
      <c r="AB529" s="1641"/>
      <c r="AC529" s="2064"/>
      <c r="AD529" s="1641"/>
      <c r="AE529" s="1641"/>
      <c r="AF529" s="1641"/>
      <c r="AG529" s="1641"/>
      <c r="AH529" s="1642"/>
      <c r="AI529" s="1641"/>
      <c r="AJ529" s="1641"/>
      <c r="AK529" s="1641"/>
      <c r="AL529" s="2072"/>
      <c r="AM529" s="1641"/>
      <c r="AN529" s="1641"/>
      <c r="AO529" s="1641"/>
      <c r="AP529" s="2072">
        <v>0.1986</v>
      </c>
      <c r="AQ529" s="2073">
        <v>0.2291</v>
      </c>
      <c r="AR529" s="2073">
        <v>0.221</v>
      </c>
      <c r="AS529" s="2073">
        <v>0.18690000000000001</v>
      </c>
      <c r="AT529" s="2072">
        <v>0.13289999999999999</v>
      </c>
      <c r="AU529" s="2074">
        <v>0.13789999999999999</v>
      </c>
      <c r="AV529" s="2074">
        <v>0.13220000000000001</v>
      </c>
      <c r="AW529" s="2074">
        <v>0.155</v>
      </c>
      <c r="AX529" s="2075">
        <v>0.16</v>
      </c>
      <c r="AY529" s="2074">
        <v>0.28306999999999999</v>
      </c>
      <c r="AZ529" s="2074">
        <v>0.32</v>
      </c>
      <c r="BA529" s="2074">
        <v>0.27500000000000002</v>
      </c>
      <c r="BB529" s="2075">
        <v>0.255</v>
      </c>
      <c r="BC529" s="2074">
        <v>0.22500000000000001</v>
      </c>
      <c r="BD529" s="2074">
        <v>0.23185219882029601</v>
      </c>
      <c r="BE529" s="2074">
        <v>0.22459999999999999</v>
      </c>
      <c r="BF529" s="2075">
        <v>0.23499999999999999</v>
      </c>
      <c r="BG529" s="2073">
        <v>0.23499999999999999</v>
      </c>
      <c r="BH529" s="2074">
        <v>0.24</v>
      </c>
      <c r="BI529" s="2074">
        <v>0.24</v>
      </c>
      <c r="BJ529" s="2075">
        <v>0.24</v>
      </c>
      <c r="BK529" s="2074">
        <v>0.24</v>
      </c>
      <c r="BL529" s="2074">
        <v>0.222</v>
      </c>
      <c r="BM529" s="2074">
        <v>0.21</v>
      </c>
      <c r="BN529" s="2075">
        <v>0.2</v>
      </c>
      <c r="BO529" s="2074">
        <v>0.18</v>
      </c>
      <c r="BP529" s="2074">
        <v>0.17499999999999999</v>
      </c>
      <c r="BQ529" s="2076">
        <v>0.185</v>
      </c>
      <c r="BR529" s="2075">
        <v>0.21</v>
      </c>
      <c r="BS529" s="1641"/>
      <c r="BT529" s="1641"/>
      <c r="BU529" s="2064"/>
      <c r="BV529" s="1641"/>
      <c r="BW529" s="1641"/>
      <c r="BX529" s="1641"/>
      <c r="BY529" s="2064"/>
      <c r="BZ529" s="1641"/>
      <c r="CA529" s="1641"/>
      <c r="CB529" s="1641"/>
      <c r="CC529" s="2064"/>
      <c r="CD529" s="2065"/>
      <c r="CE529" s="2066"/>
      <c r="CF529" s="2066"/>
      <c r="CG529" s="2066"/>
      <c r="CH529" s="2066"/>
      <c r="CI529" s="2066"/>
      <c r="CJ529" s="2066"/>
      <c r="CK529" s="2066"/>
      <c r="CL529" s="2066"/>
      <c r="CM529" s="2066"/>
      <c r="CN529" s="2074">
        <f t="shared" si="1037"/>
        <v>0.20962660253812504</v>
      </c>
      <c r="CO529" s="2074">
        <f t="shared" si="1037"/>
        <v>0.13980453268413737</v>
      </c>
      <c r="CP529" s="2074">
        <f t="shared" si="1036"/>
        <v>0.26032769236409997</v>
      </c>
      <c r="CQ529" s="2074">
        <f t="shared" si="1036"/>
        <v>0.23432053712906689</v>
      </c>
      <c r="CR529" s="2074">
        <f t="shared" si="1036"/>
        <v>0.23743211530040106</v>
      </c>
      <c r="CS529" s="2074">
        <f t="shared" si="1036"/>
        <v>0.22959879117740598</v>
      </c>
      <c r="CT529" s="2074">
        <f t="shared" si="1036"/>
        <v>0.18519904331315604</v>
      </c>
      <c r="CU529" s="2074">
        <f t="shared" si="1036"/>
        <v>0.20999999999999996</v>
      </c>
      <c r="CV529" s="1641"/>
      <c r="CW529" s="1641"/>
      <c r="CX529" s="1641"/>
      <c r="CY529" s="1641"/>
      <c r="CZ529" s="1641"/>
      <c r="DA529" s="1641"/>
      <c r="DB529" s="1641"/>
      <c r="DC529" s="1641"/>
      <c r="DD529" s="2065"/>
      <c r="DE529" s="2063"/>
      <c r="DF529" s="2067"/>
      <c r="DG529" s="2067"/>
      <c r="DH529" s="2067"/>
      <c r="DI529" s="2067"/>
      <c r="DJ529" s="2067"/>
      <c r="DK529" s="2067"/>
      <c r="DL529" s="1725"/>
      <c r="DM529" s="2067"/>
      <c r="DN529" s="2067"/>
      <c r="DO529" s="2067"/>
      <c r="DP529" s="2067"/>
      <c r="DQ529" s="2067"/>
      <c r="DR529" s="2067"/>
      <c r="DS529" s="2067"/>
      <c r="DT529" s="2067"/>
      <c r="DU529" s="2067"/>
      <c r="DV529" s="2067"/>
      <c r="DW529" s="2067"/>
      <c r="DX529" s="2067"/>
      <c r="DY529" s="2067"/>
      <c r="DZ529" s="2067"/>
      <c r="EA529"/>
      <c r="EB529"/>
      <c r="EC529"/>
      <c r="ED529"/>
      <c r="EE529"/>
      <c r="EF529"/>
    </row>
    <row r="530" spans="1:136" s="1727" customFormat="1" ht="11.25" hidden="1" customHeight="1" outlineLevel="1">
      <c r="A530" s="2063"/>
      <c r="B530" s="2068"/>
      <c r="C530" s="1743" t="s">
        <v>189</v>
      </c>
      <c r="D530" s="1743"/>
      <c r="E530" s="1744"/>
      <c r="F530" s="1641"/>
      <c r="G530" s="1641"/>
      <c r="H530" s="1641"/>
      <c r="I530" s="2064"/>
      <c r="J530" s="1641"/>
      <c r="K530" s="1641"/>
      <c r="L530" s="1641"/>
      <c r="M530" s="2064"/>
      <c r="N530" s="1641"/>
      <c r="O530" s="1641"/>
      <c r="P530" s="1641"/>
      <c r="Q530" s="2064"/>
      <c r="R530" s="1641"/>
      <c r="S530" s="1641"/>
      <c r="T530" s="1641"/>
      <c r="U530" s="2064"/>
      <c r="V530" s="1641"/>
      <c r="W530" s="1641"/>
      <c r="X530" s="1641"/>
      <c r="Y530" s="2064"/>
      <c r="Z530" s="1641"/>
      <c r="AA530" s="1641"/>
      <c r="AB530" s="1641"/>
      <c r="AC530" s="2064"/>
      <c r="AD530" s="1641"/>
      <c r="AE530" s="1641"/>
      <c r="AF530" s="1641"/>
      <c r="AG530" s="1641"/>
      <c r="AH530" s="1642"/>
      <c r="AI530" s="1641"/>
      <c r="AJ530" s="1641"/>
      <c r="AK530" s="1641"/>
      <c r="AL530" s="1640"/>
      <c r="AM530" s="1641"/>
      <c r="AN530" s="1641"/>
      <c r="AO530" s="1641"/>
      <c r="AP530" s="1640">
        <f t="shared" ref="AP530:BA530" si="1039">AP62/AP35</f>
        <v>0.29706595845885514</v>
      </c>
      <c r="AQ530" s="1638">
        <f t="shared" si="1039"/>
        <v>0.30567735329703977</v>
      </c>
      <c r="AR530" s="1638">
        <f t="shared" si="1039"/>
        <v>0.29371227457974242</v>
      </c>
      <c r="AS530" s="1638">
        <f t="shared" si="1039"/>
        <v>0.27281380682166073</v>
      </c>
      <c r="AT530" s="1640">
        <f t="shared" si="1039"/>
        <v>0.24599995977231121</v>
      </c>
      <c r="AU530" s="1638">
        <f t="shared" si="1039"/>
        <v>0.26334267476257189</v>
      </c>
      <c r="AV530" s="1638">
        <f t="shared" si="1039"/>
        <v>0.24815069364507394</v>
      </c>
      <c r="AW530" s="1638">
        <f t="shared" si="1039"/>
        <v>0.24392605298784037</v>
      </c>
      <c r="AX530" s="1640">
        <f t="shared" si="1039"/>
        <v>0.24723349022724417</v>
      </c>
      <c r="AY530" s="1638">
        <f t="shared" si="1039"/>
        <v>0.36638113860858412</v>
      </c>
      <c r="AZ530" s="1638">
        <f t="shared" si="1039"/>
        <v>0.36213432563782677</v>
      </c>
      <c r="BA530" s="1638">
        <f t="shared" si="1039"/>
        <v>0.32062190723655243</v>
      </c>
      <c r="BB530" s="1640">
        <v>0.02</v>
      </c>
      <c r="BC530" s="1638">
        <f t="shared" ref="BC530:BR530" si="1040">BC62/BC35</f>
        <v>0.30436264452673029</v>
      </c>
      <c r="BD530" s="1638">
        <f t="shared" si="1040"/>
        <v>0.30188293415631334</v>
      </c>
      <c r="BE530" s="1639">
        <f t="shared" si="1040"/>
        <v>0.2913007811474852</v>
      </c>
      <c r="BF530" s="1640">
        <f t="shared" si="1040"/>
        <v>0.31123330088530909</v>
      </c>
      <c r="BG530" s="1641">
        <f t="shared" si="1040"/>
        <v>0.30637357799955206</v>
      </c>
      <c r="BH530" s="1638">
        <f t="shared" si="1040"/>
        <v>0.30179136694710224</v>
      </c>
      <c r="BI530" s="1639">
        <f t="shared" si="1040"/>
        <v>0.29319632950544783</v>
      </c>
      <c r="BJ530" s="1640">
        <f t="shared" si="1040"/>
        <v>0.30314956944079269</v>
      </c>
      <c r="BK530" s="1638">
        <f t="shared" si="1040"/>
        <v>0.30867797228108806</v>
      </c>
      <c r="BL530" s="1638">
        <f t="shared" si="1040"/>
        <v>0.29455527699001549</v>
      </c>
      <c r="BM530" s="1639">
        <f t="shared" si="1040"/>
        <v>0.27618542904833698</v>
      </c>
      <c r="BN530" s="1640">
        <f t="shared" si="1040"/>
        <v>0.27195225330379402</v>
      </c>
      <c r="BO530" s="1638">
        <f t="shared" si="1040"/>
        <v>0.2809129409428619</v>
      </c>
      <c r="BP530" s="1638">
        <f t="shared" si="1040"/>
        <v>0.2804444206914507</v>
      </c>
      <c r="BQ530" s="1639">
        <f t="shared" si="1040"/>
        <v>0.26845392646036403</v>
      </c>
      <c r="BR530" s="1640">
        <f t="shared" si="1040"/>
        <v>0.2804142037735376</v>
      </c>
      <c r="BS530" s="1641"/>
      <c r="BT530" s="1641"/>
      <c r="BU530" s="2064"/>
      <c r="BV530" s="1641"/>
      <c r="BW530" s="1641"/>
      <c r="BX530" s="1641"/>
      <c r="BY530" s="2064"/>
      <c r="BZ530" s="1641"/>
      <c r="CA530" s="1641"/>
      <c r="CB530" s="1641"/>
      <c r="CC530" s="2064"/>
      <c r="CD530" s="2065"/>
      <c r="CE530" s="2066"/>
      <c r="CF530" s="2066"/>
      <c r="CG530" s="2066"/>
      <c r="CH530" s="2066"/>
      <c r="CI530" s="2066"/>
      <c r="CJ530" s="2066"/>
      <c r="CK530" s="2066"/>
      <c r="CL530" s="2066"/>
      <c r="CM530" s="2066"/>
      <c r="CN530" s="1638">
        <f t="shared" si="1037"/>
        <v>0.29286383024505491</v>
      </c>
      <c r="CO530" s="1638">
        <f t="shared" si="1037"/>
        <v>0.25089177036441951</v>
      </c>
      <c r="CP530" s="1638">
        <f t="shared" si="1036"/>
        <v>0.31430165326049592</v>
      </c>
      <c r="CQ530" s="1638">
        <f t="shared" si="1036"/>
        <v>0.30377845231141021</v>
      </c>
      <c r="CR530" s="1638">
        <f t="shared" si="1036"/>
        <v>0.30296521239256508</v>
      </c>
      <c r="CS530" s="1638">
        <f t="shared" si="1036"/>
        <v>0.2966847198863114</v>
      </c>
      <c r="CT530" s="1638">
        <f t="shared" si="1036"/>
        <v>0.2751952193651972</v>
      </c>
      <c r="CU530" s="1638">
        <f t="shared" si="1036"/>
        <v>0.2804142037735376</v>
      </c>
      <c r="CV530" s="1641"/>
      <c r="CW530" s="1641"/>
      <c r="CX530" s="1641"/>
      <c r="CY530" s="1641"/>
      <c r="CZ530" s="1641"/>
      <c r="DA530" s="1641"/>
      <c r="DB530" s="1641"/>
      <c r="DC530" s="1641"/>
      <c r="DD530" s="2065"/>
      <c r="DE530" s="2063"/>
      <c r="DF530" s="2067"/>
      <c r="DG530" s="2067"/>
      <c r="DH530" s="2067"/>
      <c r="DI530" s="2067"/>
      <c r="DJ530" s="2067"/>
      <c r="DK530" s="2067"/>
      <c r="DL530" s="1725"/>
      <c r="DM530" s="2067"/>
      <c r="DN530" s="2067"/>
      <c r="DO530" s="2067"/>
      <c r="DP530" s="2067"/>
      <c r="DQ530" s="2067"/>
      <c r="DR530" s="2067"/>
      <c r="DS530" s="2067"/>
      <c r="DT530" s="2067"/>
      <c r="DU530" s="2067"/>
      <c r="DV530" s="2067"/>
      <c r="DW530" s="2067"/>
      <c r="DX530" s="2067"/>
      <c r="DY530" s="2067"/>
      <c r="DZ530" s="2067"/>
      <c r="EA530"/>
      <c r="EB530"/>
      <c r="EC530"/>
      <c r="ED530"/>
      <c r="EE530"/>
      <c r="EF530"/>
    </row>
    <row r="531" spans="1:136" s="1727" customFormat="1" ht="11.25" hidden="1" customHeight="1" outlineLevel="1">
      <c r="A531" s="2063"/>
      <c r="B531" s="2068"/>
      <c r="D531" s="1727" t="s">
        <v>576</v>
      </c>
      <c r="E531" s="1730"/>
      <c r="F531" s="1641"/>
      <c r="G531" s="1641"/>
      <c r="H531" s="1641"/>
      <c r="I531" s="2064"/>
      <c r="J531" s="1641"/>
      <c r="K531" s="1641"/>
      <c r="L531" s="1641"/>
      <c r="M531" s="2064"/>
      <c r="N531" s="1641"/>
      <c r="O531" s="1641"/>
      <c r="P531" s="1641"/>
      <c r="Q531" s="2064"/>
      <c r="R531" s="1641"/>
      <c r="S531" s="1641"/>
      <c r="T531" s="1641"/>
      <c r="U531" s="2064"/>
      <c r="V531" s="1641"/>
      <c r="W531" s="1641"/>
      <c r="X531" s="1641"/>
      <c r="Y531" s="2064"/>
      <c r="Z531" s="1641"/>
      <c r="AA531" s="1641"/>
      <c r="AB531" s="1641"/>
      <c r="AC531" s="2064"/>
      <c r="AD531" s="1641"/>
      <c r="AE531" s="1641"/>
      <c r="AF531" s="1641"/>
      <c r="AG531" s="1641"/>
      <c r="AH531" s="1642"/>
      <c r="AI531" s="1641"/>
      <c r="AJ531" s="1641"/>
      <c r="AK531" s="1641"/>
      <c r="AL531" s="2072"/>
      <c r="AM531" s="1641"/>
      <c r="AN531" s="1641"/>
      <c r="AO531" s="1641"/>
      <c r="AP531" s="2072">
        <v>0.21</v>
      </c>
      <c r="AQ531" s="2073">
        <v>0.24</v>
      </c>
      <c r="AR531" s="2073">
        <v>0.23</v>
      </c>
      <c r="AS531" s="2073">
        <v>0.2</v>
      </c>
      <c r="AT531" s="2072">
        <v>0.14000000000000001</v>
      </c>
      <c r="AU531" s="2074">
        <v>0.15</v>
      </c>
      <c r="AV531" s="2074">
        <v>0.14000000000000001</v>
      </c>
      <c r="AW531" s="2074">
        <v>0.16</v>
      </c>
      <c r="AX531" s="2075">
        <v>0.16</v>
      </c>
      <c r="AY531" s="2074">
        <v>0.28000000000000003</v>
      </c>
      <c r="AZ531" s="2074">
        <v>0.32</v>
      </c>
      <c r="BA531" s="2074">
        <v>0.255</v>
      </c>
      <c r="BB531" s="2075">
        <v>0.26800000000000002</v>
      </c>
      <c r="BC531" s="2074">
        <v>0.23</v>
      </c>
      <c r="BD531" s="2074">
        <v>0.23</v>
      </c>
      <c r="BE531" s="2076">
        <v>0.22500000000000001</v>
      </c>
      <c r="BF531" s="2075">
        <v>0.26</v>
      </c>
      <c r="BG531" s="2073">
        <v>0.25</v>
      </c>
      <c r="BH531" s="2074">
        <v>0.25</v>
      </c>
      <c r="BI531" s="2076">
        <v>0.2505</v>
      </c>
      <c r="BJ531" s="2075">
        <v>0.25900000000000001</v>
      </c>
      <c r="BK531" s="2074">
        <v>0.26400000000000001</v>
      </c>
      <c r="BL531" s="2074">
        <v>0.23499999999999999</v>
      </c>
      <c r="BM531" s="2076">
        <v>0.22</v>
      </c>
      <c r="BN531" s="2075">
        <v>0.22</v>
      </c>
      <c r="BO531" s="2074">
        <v>0.21199999999999999</v>
      </c>
      <c r="BP531" s="2074">
        <v>0.217</v>
      </c>
      <c r="BQ531" s="2076">
        <v>0.216</v>
      </c>
      <c r="BR531" s="2075">
        <v>0.23499999999999999</v>
      </c>
      <c r="BS531" s="1641"/>
      <c r="BT531" s="1641"/>
      <c r="BU531" s="2064"/>
      <c r="BV531" s="1641"/>
      <c r="BW531" s="1641"/>
      <c r="BX531" s="1641"/>
      <c r="BY531" s="2064"/>
      <c r="BZ531" s="1641"/>
      <c r="CA531" s="1641"/>
      <c r="CB531" s="1641"/>
      <c r="CC531" s="2064"/>
      <c r="CD531" s="2065"/>
      <c r="CE531" s="2066"/>
      <c r="CF531" s="2066"/>
      <c r="CG531" s="2066"/>
      <c r="CH531" s="2066"/>
      <c r="CI531" s="2066"/>
      <c r="CJ531" s="2066"/>
      <c r="CK531" s="2066"/>
      <c r="CL531" s="2066"/>
      <c r="CM531" s="2066"/>
      <c r="CN531" s="2074">
        <f t="shared" si="1037"/>
        <v>0.2199471342359503</v>
      </c>
      <c r="CO531" s="2074">
        <f t="shared" si="1037"/>
        <v>0.14826532534159803</v>
      </c>
      <c r="CP531" s="2074">
        <f t="shared" si="1036"/>
        <v>0.24249254616694818</v>
      </c>
      <c r="CQ531" s="2074">
        <f t="shared" si="1036"/>
        <v>0.24049695757177869</v>
      </c>
      <c r="CR531" s="2074">
        <f t="shared" si="1036"/>
        <v>0.2523884155617851</v>
      </c>
      <c r="CS531" s="2074">
        <f t="shared" si="1036"/>
        <v>0.24531762836111179</v>
      </c>
      <c r="CT531" s="2074">
        <f t="shared" si="1036"/>
        <v>0.21649719828799696</v>
      </c>
      <c r="CU531" s="2074">
        <f t="shared" si="1036"/>
        <v>0.23499999999999993</v>
      </c>
      <c r="CV531" s="1641"/>
      <c r="CW531" s="1641"/>
      <c r="CX531" s="1641"/>
      <c r="CY531" s="1641"/>
      <c r="CZ531" s="1641"/>
      <c r="DA531" s="1641"/>
      <c r="DB531" s="1641"/>
      <c r="DC531" s="1641"/>
      <c r="DD531" s="2065"/>
      <c r="DE531" s="2063"/>
      <c r="DF531" s="2067"/>
      <c r="DG531" s="2067"/>
      <c r="DH531" s="2067"/>
      <c r="DI531" s="2067"/>
      <c r="DJ531" s="2067"/>
      <c r="DK531" s="2067"/>
      <c r="DL531" s="1725"/>
      <c r="DM531" s="2067"/>
      <c r="DN531" s="2067"/>
      <c r="DO531" s="2067"/>
      <c r="DP531" s="2067"/>
      <c r="DQ531" s="2067"/>
      <c r="DR531" s="2067"/>
      <c r="DS531" s="2067"/>
      <c r="DT531" s="2067"/>
      <c r="DU531" s="2067"/>
      <c r="DV531" s="2067"/>
      <c r="DW531" s="2067"/>
      <c r="DX531" s="2067"/>
      <c r="DY531" s="2067"/>
      <c r="DZ531" s="2067"/>
      <c r="EA531"/>
      <c r="EB531"/>
      <c r="EC531"/>
      <c r="ED531"/>
      <c r="EE531"/>
      <c r="EF531"/>
    </row>
    <row r="532" spans="1:136" s="1727" customFormat="1" ht="11.25" hidden="1" customHeight="1" outlineLevel="1">
      <c r="A532" s="2063"/>
      <c r="B532" s="2068"/>
      <c r="D532" s="1727" t="s">
        <v>565</v>
      </c>
      <c r="E532" s="1730"/>
      <c r="F532" s="1641"/>
      <c r="G532" s="1641"/>
      <c r="H532" s="1641"/>
      <c r="I532" s="2064"/>
      <c r="J532" s="1641"/>
      <c r="K532" s="1641"/>
      <c r="L532" s="1641"/>
      <c r="M532" s="2064"/>
      <c r="N532" s="1641"/>
      <c r="O532" s="1641"/>
      <c r="P532" s="1641"/>
      <c r="Q532" s="2064"/>
      <c r="R532" s="1641"/>
      <c r="S532" s="1641"/>
      <c r="T532" s="1641"/>
      <c r="U532" s="2064"/>
      <c r="V532" s="1641"/>
      <c r="W532" s="1641"/>
      <c r="X532" s="1641"/>
      <c r="Y532" s="2064"/>
      <c r="Z532" s="1641"/>
      <c r="AA532" s="1641"/>
      <c r="AB532" s="1641"/>
      <c r="AC532" s="2064"/>
      <c r="AD532" s="1641"/>
      <c r="AE532" s="1641"/>
      <c r="AF532" s="1641"/>
      <c r="AG532" s="1641"/>
      <c r="AH532" s="1642"/>
      <c r="AI532" s="1641"/>
      <c r="AJ532" s="1641"/>
      <c r="AK532" s="1641"/>
      <c r="AL532" s="2072"/>
      <c r="AM532" s="1641"/>
      <c r="AN532" s="1641"/>
      <c r="AO532" s="1641"/>
      <c r="AP532" s="2072">
        <v>0.32500000000000001</v>
      </c>
      <c r="AQ532" s="2073">
        <v>0.32500000000000001</v>
      </c>
      <c r="AR532" s="2073">
        <v>0.32</v>
      </c>
      <c r="AS532" s="2073">
        <v>0.31</v>
      </c>
      <c r="AT532" s="2072">
        <v>0.29499999999999998</v>
      </c>
      <c r="AU532" s="2074">
        <v>0.3</v>
      </c>
      <c r="AV532" s="2074">
        <v>0.28999999999999998</v>
      </c>
      <c r="AW532" s="2074">
        <v>0.29499999999999998</v>
      </c>
      <c r="AX532" s="2075">
        <v>0.29499999999999998</v>
      </c>
      <c r="AY532" s="2074">
        <v>0.4</v>
      </c>
      <c r="AZ532" s="2074">
        <v>0.39</v>
      </c>
      <c r="BA532" s="2074">
        <v>0.35</v>
      </c>
      <c r="BB532" s="2075">
        <v>0.35</v>
      </c>
      <c r="BC532" s="2074">
        <v>0.34</v>
      </c>
      <c r="BD532" s="2074">
        <v>0.34</v>
      </c>
      <c r="BE532" s="2076">
        <v>0.33500000000000002</v>
      </c>
      <c r="BF532" s="2075">
        <v>0.34899999999999998</v>
      </c>
      <c r="BG532" s="2073">
        <v>0.34449999999999997</v>
      </c>
      <c r="BH532" s="2074">
        <v>0.34</v>
      </c>
      <c r="BI532" s="2076">
        <v>0.33500000000000002</v>
      </c>
      <c r="BJ532" s="2075">
        <v>0.34</v>
      </c>
      <c r="BK532" s="2074">
        <v>0.34</v>
      </c>
      <c r="BL532" s="2074">
        <v>0.34</v>
      </c>
      <c r="BM532" s="2076">
        <v>0.32950000000000002</v>
      </c>
      <c r="BN532" s="2075">
        <v>0.33</v>
      </c>
      <c r="BO532" s="2074">
        <v>0.33</v>
      </c>
      <c r="BP532" s="2074">
        <v>0.33</v>
      </c>
      <c r="BQ532" s="2076">
        <v>0.33</v>
      </c>
      <c r="BR532" s="2075">
        <v>0.34</v>
      </c>
      <c r="BS532" s="1638"/>
      <c r="BT532" s="1638"/>
      <c r="BU532" s="1639"/>
      <c r="BV532" s="2152"/>
      <c r="BW532" s="2152"/>
      <c r="BX532" s="2152"/>
      <c r="BY532" s="2153"/>
      <c r="BZ532" s="2152"/>
      <c r="CA532" s="2152"/>
      <c r="CB532" s="2152"/>
      <c r="CC532" s="2153"/>
      <c r="CD532" s="2065"/>
      <c r="CE532" s="2066"/>
      <c r="CF532" s="2066"/>
      <c r="CG532" s="2066"/>
      <c r="CH532" s="2066"/>
      <c r="CI532" s="2066"/>
      <c r="CJ532" s="2066"/>
      <c r="CK532" s="2066"/>
      <c r="CL532" s="2066"/>
      <c r="CM532" s="2066"/>
      <c r="CN532" s="2074">
        <f t="shared" si="1037"/>
        <v>0.32041529152915293</v>
      </c>
      <c r="CO532" s="2074">
        <f t="shared" si="1037"/>
        <v>0.29529264214046824</v>
      </c>
      <c r="CP532" s="2074">
        <f t="shared" si="1036"/>
        <v>0.3507166626192405</v>
      </c>
      <c r="CQ532" s="2074">
        <f t="shared" si="1036"/>
        <v>0.34141100891511789</v>
      </c>
      <c r="CR532" s="2074">
        <f t="shared" si="1036"/>
        <v>0.34223426033952403</v>
      </c>
      <c r="CS532" s="2074">
        <f t="shared" si="1036"/>
        <v>0.33788099591291093</v>
      </c>
      <c r="CT532" s="2074">
        <f t="shared" si="1036"/>
        <v>0.33000000000000007</v>
      </c>
      <c r="CU532" s="2074">
        <f t="shared" si="1036"/>
        <v>0.34000000000000014</v>
      </c>
      <c r="CV532" s="1641"/>
      <c r="CW532" s="1641"/>
      <c r="CX532" s="1641"/>
      <c r="CY532" s="1641"/>
      <c r="CZ532" s="1641"/>
      <c r="DA532" s="1641"/>
      <c r="DB532" s="1641"/>
      <c r="DC532" s="1641"/>
      <c r="DD532" s="2065"/>
      <c r="DE532" s="2063"/>
      <c r="DF532" s="2067"/>
      <c r="DG532" s="2067"/>
      <c r="DH532" s="2067"/>
      <c r="DI532" s="2067"/>
      <c r="DJ532" s="2067"/>
      <c r="DK532" s="2067"/>
      <c r="DL532" s="1725"/>
      <c r="DM532" s="2067"/>
      <c r="DN532" s="2067"/>
      <c r="DO532" s="2067"/>
      <c r="DP532" s="2067"/>
      <c r="DQ532" s="2067"/>
      <c r="DR532" s="2067"/>
      <c r="DS532" s="2067"/>
      <c r="DT532" s="2067"/>
      <c r="DU532" s="2067"/>
      <c r="DV532" s="2067"/>
      <c r="DW532" s="2067"/>
      <c r="DX532" s="2067"/>
      <c r="DY532" s="2067"/>
      <c r="DZ532" s="2067"/>
      <c r="EA532"/>
      <c r="EB532"/>
      <c r="EC532"/>
      <c r="ED532"/>
      <c r="EE532"/>
      <c r="EF532"/>
    </row>
    <row r="533" spans="1:136" s="1743" customFormat="1" ht="11.25" hidden="1" customHeight="1" outlineLevel="1">
      <c r="A533" s="2077"/>
      <c r="B533" s="2068" t="s">
        <v>925</v>
      </c>
      <c r="E533" s="1744"/>
      <c r="F533" s="1641"/>
      <c r="G533" s="1641"/>
      <c r="H533" s="1641"/>
      <c r="I533" s="2064"/>
      <c r="J533" s="1641"/>
      <c r="K533" s="1641"/>
      <c r="L533" s="1641"/>
      <c r="M533" s="2064"/>
      <c r="N533" s="1641"/>
      <c r="O533" s="1641"/>
      <c r="P533" s="1641"/>
      <c r="Q533" s="2064"/>
      <c r="R533" s="1641"/>
      <c r="S533" s="1641"/>
      <c r="T533" s="1641"/>
      <c r="U533" s="2064"/>
      <c r="V533" s="1641"/>
      <c r="W533" s="1641"/>
      <c r="X533" s="1641"/>
      <c r="Y533" s="2064"/>
      <c r="Z533" s="1641"/>
      <c r="AA533" s="1641"/>
      <c r="AB533" s="1638">
        <v>0.38249366235599908</v>
      </c>
      <c r="AC533" s="1639">
        <v>0.40185487739594117</v>
      </c>
      <c r="AD533" s="1640">
        <v>0.39399242731755352</v>
      </c>
      <c r="AE533" s="1641">
        <v>0.37026110793635836</v>
      </c>
      <c r="AF533" s="1638">
        <v>0.28106975572647275</v>
      </c>
      <c r="AG533" s="1639">
        <v>0.2906961278402771</v>
      </c>
      <c r="AH533" s="1640">
        <v>0.34402746035127429</v>
      </c>
      <c r="AI533" s="1638">
        <v>0.36061726165392416</v>
      </c>
      <c r="AJ533" s="1638">
        <v>0.32161601568060871</v>
      </c>
      <c r="AK533" s="1639">
        <v>0.20275829615041951</v>
      </c>
      <c r="AL533" s="1640">
        <v>1.0547816973159931E-2</v>
      </c>
      <c r="AM533" s="1638">
        <v>-0.38186223270210862</v>
      </c>
      <c r="AN533" s="1638">
        <v>3.0221192440606759E-3</v>
      </c>
      <c r="AO533" s="1639">
        <v>0.34511130304569149</v>
      </c>
      <c r="AP533" s="1641">
        <v>0.46986273098716708</v>
      </c>
      <c r="AQ533" s="1641">
        <v>0.48617539914512953</v>
      </c>
      <c r="AR533" s="1641">
        <v>0.46317027450092618</v>
      </c>
      <c r="AS533" s="1641">
        <v>0.46605793728605976</v>
      </c>
      <c r="AT533" s="1642">
        <v>0.52070281184722367</v>
      </c>
      <c r="AU533" s="1638">
        <v>0.43650496495789137</v>
      </c>
      <c r="AV533" s="1638">
        <v>0.43015608097666519</v>
      </c>
      <c r="AW533" s="1638">
        <v>0.45213757451856113</v>
      </c>
      <c r="AX533" s="1640">
        <v>0.44177462091252179</v>
      </c>
      <c r="AY533" s="1638">
        <v>0.42800332293331311</v>
      </c>
      <c r="AZ533" s="1638">
        <v>0.35688032376627971</v>
      </c>
      <c r="BA533" s="1638">
        <v>0.28089764641488796</v>
      </c>
      <c r="BB533" s="1640">
        <v>0.30845435480957278</v>
      </c>
      <c r="BC533" s="1638">
        <v>0.39756134110669911</v>
      </c>
      <c r="BD533" s="1638">
        <v>0.40376988936615826</v>
      </c>
      <c r="BE533" s="1639">
        <v>0.46512647136722929</v>
      </c>
      <c r="BF533" s="1640">
        <v>0.49979848051229636</v>
      </c>
      <c r="BG533" s="1641">
        <v>0.50743232372104652</v>
      </c>
      <c r="BH533" s="1638">
        <v>0.50987701272202357</v>
      </c>
      <c r="BI533" s="1639">
        <v>0.47696802530705118</v>
      </c>
      <c r="BJ533" s="1640">
        <v>0.48701310227192696</v>
      </c>
      <c r="BK533" s="1638">
        <v>0.4470469452887012</v>
      </c>
      <c r="BL533" s="1638">
        <v>0.42766886771987955</v>
      </c>
      <c r="BM533" s="1639">
        <v>0.41480977953371978</v>
      </c>
      <c r="BN533" s="1638">
        <v>0.43493666876680542</v>
      </c>
      <c r="BO533" s="1638">
        <v>0.42359977967145129</v>
      </c>
      <c r="BP533" s="1638">
        <v>0.41852964262492903</v>
      </c>
      <c r="BQ533" s="1639">
        <v>0.39800161488534946</v>
      </c>
      <c r="BR533" s="1638">
        <v>0.4133654441318797</v>
      </c>
      <c r="BS533" s="2154"/>
      <c r="BT533" s="2154"/>
      <c r="BU533" s="2155"/>
      <c r="BV533" s="2154"/>
      <c r="BW533" s="2154"/>
      <c r="BX533" s="2154"/>
      <c r="BY533" s="2155"/>
      <c r="BZ533" s="2154"/>
      <c r="CA533" s="2154"/>
      <c r="CB533" s="2154"/>
      <c r="CC533" s="2155"/>
      <c r="CD533" s="2078"/>
      <c r="CE533" s="2066"/>
      <c r="CF533" s="2066"/>
      <c r="CG533" s="2066"/>
      <c r="CH533" s="2066"/>
      <c r="CI533" s="2066"/>
      <c r="CJ533" s="2066"/>
      <c r="CK533" s="2066"/>
      <c r="CL533" s="2066"/>
      <c r="CM533" s="2066"/>
      <c r="CN533" s="2074" t="e">
        <f t="shared" si="1037"/>
        <v>#DIV/0!</v>
      </c>
      <c r="CO533" s="2074" t="e">
        <f t="shared" si="1037"/>
        <v>#DIV/0!</v>
      </c>
      <c r="CP533" s="2074" t="e">
        <f>CP65/CP38</f>
        <v>#DIV/0!</v>
      </c>
      <c r="CQ533" s="2079"/>
      <c r="CR533" s="2079"/>
      <c r="CS533" s="1767"/>
      <c r="CT533" s="2074">
        <f>CT65/CT38</f>
        <v>0.39800161488534946</v>
      </c>
      <c r="CU533" s="2074">
        <f>CU65/CU38</f>
        <v>0.4133654441318797</v>
      </c>
      <c r="CV533" s="1641"/>
      <c r="CW533" s="1641"/>
      <c r="CX533" s="1641"/>
      <c r="CY533" s="1641"/>
      <c r="CZ533" s="1641"/>
      <c r="DA533" s="1641"/>
      <c r="DB533" s="1641"/>
      <c r="DC533" s="1641"/>
      <c r="DD533" s="2078"/>
      <c r="DE533" s="2077"/>
      <c r="DF533" s="2080"/>
      <c r="DG533" s="2080"/>
      <c r="DH533" s="2080"/>
      <c r="DI533" s="2080"/>
      <c r="DJ533" s="2080"/>
      <c r="DK533" s="2080"/>
      <c r="DL533" s="2081"/>
      <c r="DM533" s="2080"/>
      <c r="DN533" s="2080"/>
      <c r="DO533" s="2080"/>
      <c r="DP533" s="2080"/>
      <c r="DQ533" s="2080"/>
      <c r="DR533" s="2080"/>
      <c r="DS533" s="2080"/>
      <c r="DT533" s="2080"/>
      <c r="DU533" s="2080"/>
      <c r="DV533" s="2080"/>
      <c r="DW533" s="2080"/>
      <c r="DX533" s="2080"/>
      <c r="DY533" s="2080"/>
      <c r="DZ533" s="2080"/>
      <c r="EA533"/>
      <c r="EB533"/>
      <c r="EC533"/>
      <c r="ED533"/>
      <c r="EE533"/>
      <c r="EF533"/>
    </row>
    <row r="534" spans="1:136" collapsed="1">
      <c r="A534" s="3"/>
      <c r="B534" s="1051"/>
      <c r="C534" s="201"/>
      <c r="D534" s="160"/>
      <c r="E534" s="742"/>
      <c r="F534" s="678"/>
      <c r="G534" s="678"/>
      <c r="H534" s="678"/>
      <c r="I534" s="679"/>
      <c r="J534" s="817"/>
      <c r="K534" s="817"/>
      <c r="L534" s="817"/>
      <c r="M534" s="818"/>
      <c r="N534" s="678"/>
      <c r="O534" s="678"/>
      <c r="P534" s="678"/>
      <c r="Q534" s="679"/>
      <c r="R534" s="678"/>
      <c r="S534" s="678"/>
      <c r="T534" s="678"/>
      <c r="U534" s="679"/>
      <c r="V534" s="495"/>
      <c r="W534" s="495"/>
      <c r="X534" s="495"/>
      <c r="Y534" s="499"/>
      <c r="Z534" s="495"/>
      <c r="AA534" s="817"/>
      <c r="AB534" s="817"/>
      <c r="AC534" s="499"/>
      <c r="AD534" s="1025"/>
      <c r="AE534" s="1025"/>
      <c r="AF534" s="1025"/>
      <c r="AG534" s="495"/>
      <c r="AH534" s="1026"/>
      <c r="AI534" s="1025"/>
      <c r="AJ534" s="1025"/>
      <c r="AK534" s="495"/>
      <c r="AL534" s="629"/>
      <c r="AM534" s="1025"/>
      <c r="AN534" s="1025"/>
      <c r="AO534" s="499"/>
      <c r="AP534" s="1025"/>
      <c r="AQ534" s="1025"/>
      <c r="AR534" s="1025"/>
      <c r="AS534" s="495"/>
      <c r="AT534" s="1237"/>
      <c r="AU534" s="1238"/>
      <c r="AV534" s="1238"/>
      <c r="AW534" s="1239"/>
      <c r="AX534" s="1237"/>
      <c r="AY534" s="1238"/>
      <c r="AZ534" s="1238"/>
      <c r="BA534" s="1240"/>
      <c r="BB534" s="1237"/>
      <c r="BC534" s="1238"/>
      <c r="BD534" s="1238"/>
      <c r="BE534" s="1240"/>
      <c r="BF534" s="1237"/>
      <c r="BG534" s="1238"/>
      <c r="BH534" s="1238"/>
      <c r="BI534" s="1240"/>
      <c r="BJ534" s="1237"/>
      <c r="BK534" s="1238"/>
      <c r="BL534" s="1238"/>
      <c r="BM534" s="1240"/>
      <c r="BN534" s="1641"/>
      <c r="BO534" s="1641"/>
      <c r="BP534" s="1641"/>
      <c r="BQ534" s="2064"/>
      <c r="BR534" s="1641"/>
      <c r="BS534" s="1641"/>
      <c r="BT534" s="1641"/>
      <c r="BU534" s="2064"/>
      <c r="BV534" s="1641"/>
      <c r="BW534" s="1641"/>
      <c r="BX534" s="1641"/>
      <c r="BY534" s="2064"/>
      <c r="BZ534" s="1641"/>
      <c r="CA534" s="1641"/>
      <c r="CB534" s="1641"/>
      <c r="CC534" s="2064"/>
      <c r="CD534" s="437"/>
      <c r="CE534" s="853"/>
      <c r="CF534" s="853"/>
      <c r="CG534" s="853"/>
      <c r="CH534" s="853"/>
      <c r="CI534" s="853"/>
      <c r="CJ534" s="853"/>
      <c r="CK534" s="853"/>
      <c r="CL534" s="853"/>
      <c r="CM534" s="853"/>
      <c r="CN534" s="853"/>
      <c r="CO534" s="853"/>
      <c r="CP534" s="853"/>
      <c r="CQ534" s="853"/>
      <c r="CR534" s="853"/>
      <c r="CS534" s="1239"/>
      <c r="CT534" s="1239"/>
      <c r="CU534" s="1239"/>
      <c r="CV534" s="1239"/>
      <c r="CW534" s="1239"/>
      <c r="CX534" s="1239"/>
      <c r="CY534" s="1239"/>
      <c r="CZ534" s="1239"/>
      <c r="DA534" s="1239"/>
      <c r="DB534" s="1239"/>
      <c r="DC534" s="1239"/>
      <c r="DD534" s="1517"/>
      <c r="DE534" s="1483"/>
      <c r="DF534" s="24"/>
      <c r="DG534" s="24"/>
      <c r="DH534" s="24"/>
      <c r="DI534" s="24"/>
      <c r="DJ534" s="24"/>
      <c r="DK534" s="24"/>
      <c r="DL534" s="141"/>
      <c r="DM534" s="24"/>
      <c r="DN534" s="24"/>
      <c r="DO534" s="24"/>
      <c r="DP534" s="24"/>
      <c r="DQ534" s="24"/>
      <c r="DR534" s="24"/>
      <c r="DS534" s="24"/>
      <c r="DT534" s="24"/>
      <c r="DU534" s="24"/>
      <c r="DV534" s="24"/>
      <c r="DW534" s="24"/>
      <c r="DX534" s="24"/>
      <c r="DY534" s="24"/>
      <c r="DZ534" s="1561"/>
    </row>
    <row r="535" spans="1:136">
      <c r="A535" s="3"/>
      <c r="B535" s="413" t="s">
        <v>961</v>
      </c>
      <c r="C535" s="181"/>
      <c r="D535" s="180"/>
      <c r="E535" s="414"/>
      <c r="F535" s="634">
        <f t="shared" ref="F535:AK535" si="1041">SUM(F536:F537)</f>
        <v>0.14497862693995278</v>
      </c>
      <c r="G535" s="634">
        <f t="shared" si="1041"/>
        <v>0.11671207507523548</v>
      </c>
      <c r="H535" s="634">
        <f t="shared" si="1041"/>
        <v>0.1217650955692826</v>
      </c>
      <c r="I535" s="635">
        <f t="shared" si="1041"/>
        <v>8.7415218998843608E-2</v>
      </c>
      <c r="J535" s="634">
        <f t="shared" si="1041"/>
        <v>0.12748359765321141</v>
      </c>
      <c r="K535" s="634">
        <f t="shared" si="1041"/>
        <v>0.10041589085910176</v>
      </c>
      <c r="L535" s="634">
        <f t="shared" si="1041"/>
        <v>0.10584892124916465</v>
      </c>
      <c r="M535" s="635">
        <f t="shared" si="1041"/>
        <v>0.10503410570549243</v>
      </c>
      <c r="N535" s="634">
        <f t="shared" si="1041"/>
        <v>0.10011506443411085</v>
      </c>
      <c r="O535" s="634">
        <f t="shared" si="1041"/>
        <v>9.0779256661299906E-2</v>
      </c>
      <c r="P535" s="634">
        <f t="shared" si="1041"/>
        <v>9.199129376040005E-2</v>
      </c>
      <c r="Q535" s="635">
        <f t="shared" si="1041"/>
        <v>9.521767375929302E-2</v>
      </c>
      <c r="R535" s="634">
        <f t="shared" si="1041"/>
        <v>0.12783088648345939</v>
      </c>
      <c r="S535" s="634">
        <f t="shared" si="1041"/>
        <v>8.4449665911265154E-2</v>
      </c>
      <c r="T535" s="634">
        <f t="shared" si="1041"/>
        <v>9.8412188537176537E-2</v>
      </c>
      <c r="U535" s="635">
        <f t="shared" si="1041"/>
        <v>9.4952755482398829E-2</v>
      </c>
      <c r="V535" s="634">
        <f t="shared" si="1041"/>
        <v>9.9444314433192932E-2</v>
      </c>
      <c r="W535" s="634">
        <f t="shared" si="1041"/>
        <v>9.8018160642884239E-2</v>
      </c>
      <c r="X535" s="634">
        <f t="shared" si="1041"/>
        <v>0.10468579976233142</v>
      </c>
      <c r="Y535" s="635">
        <f t="shared" si="1041"/>
        <v>0.10857462437414173</v>
      </c>
      <c r="Z535" s="634">
        <f t="shared" si="1041"/>
        <v>0.10931721815100051</v>
      </c>
      <c r="AA535" s="634">
        <f t="shared" si="1041"/>
        <v>0.11100493764708971</v>
      </c>
      <c r="AB535" s="634">
        <f t="shared" si="1041"/>
        <v>0.10382983415964293</v>
      </c>
      <c r="AC535" s="635">
        <f t="shared" si="1041"/>
        <v>0.10170235050714252</v>
      </c>
      <c r="AD535" s="634">
        <f t="shared" si="1041"/>
        <v>9.4145656508640985E-2</v>
      </c>
      <c r="AE535" s="634">
        <f t="shared" si="1041"/>
        <v>9.3139210858303428E-2</v>
      </c>
      <c r="AF535" s="634">
        <f t="shared" si="1041"/>
        <v>7.5884922443957337E-2</v>
      </c>
      <c r="AG535" s="634">
        <f t="shared" si="1041"/>
        <v>9.219234891919878E-2</v>
      </c>
      <c r="AH535" s="1131">
        <f t="shared" si="1041"/>
        <v>7.8709456087929133E-2</v>
      </c>
      <c r="AI535" s="238">
        <f t="shared" si="1041"/>
        <v>8.2119551595939422E-2</v>
      </c>
      <c r="AJ535" s="238">
        <f t="shared" si="1041"/>
        <v>8.4792858362354381E-2</v>
      </c>
      <c r="AK535" s="239">
        <f t="shared" si="1041"/>
        <v>9.2320123734540238E-2</v>
      </c>
      <c r="AL535" s="238">
        <f t="shared" ref="AL535:BP535" si="1042">SUM(AL536:AL537)</f>
        <v>9.0090527498149692E-2</v>
      </c>
      <c r="AM535" s="238">
        <f t="shared" si="1042"/>
        <v>0.10039567277328665</v>
      </c>
      <c r="AN535" s="238">
        <f t="shared" si="1042"/>
        <v>0.10930389702440081</v>
      </c>
      <c r="AO535" s="239">
        <f t="shared" si="1042"/>
        <v>9.5426450260207976E-2</v>
      </c>
      <c r="AP535" s="238">
        <f t="shared" si="1042"/>
        <v>8.8315217391304338E-2</v>
      </c>
      <c r="AQ535" s="238">
        <f t="shared" si="1042"/>
        <v>8.1710576555937373E-2</v>
      </c>
      <c r="AR535" s="238">
        <f t="shared" si="1042"/>
        <v>8.4816357440363505E-2</v>
      </c>
      <c r="AS535" s="238">
        <f t="shared" si="1042"/>
        <v>9.0260285474391272E-2</v>
      </c>
      <c r="AT535" s="970">
        <f t="shared" si="1042"/>
        <v>9.2357989374744584E-2</v>
      </c>
      <c r="AU535" s="238">
        <f t="shared" si="1042"/>
        <v>9.494949494949495E-2</v>
      </c>
      <c r="AV535" s="238">
        <f t="shared" si="1042"/>
        <v>0.10746003552397868</v>
      </c>
      <c r="AW535" s="238">
        <f t="shared" si="1042"/>
        <v>0.10903037869330004</v>
      </c>
      <c r="AX535" s="970">
        <f t="shared" si="1042"/>
        <v>9.688195991091314E-2</v>
      </c>
      <c r="AY535" s="238">
        <f t="shared" si="1042"/>
        <v>0.1368421052631579</v>
      </c>
      <c r="AZ535" s="238">
        <f t="shared" si="1042"/>
        <v>0.12619439868204285</v>
      </c>
      <c r="BA535" s="239">
        <f t="shared" si="1042"/>
        <v>0.12031973075305005</v>
      </c>
      <c r="BB535" s="970">
        <f t="shared" si="1042"/>
        <v>0.13977695167286244</v>
      </c>
      <c r="BC535" s="238">
        <f t="shared" si="1042"/>
        <v>0.13833682008368201</v>
      </c>
      <c r="BD535" s="238">
        <f t="shared" si="1042"/>
        <v>0.14851222104144526</v>
      </c>
      <c r="BE535" s="239">
        <f t="shared" si="1042"/>
        <v>0.15128755364806867</v>
      </c>
      <c r="BF535" s="970">
        <f t="shared" si="1042"/>
        <v>0.1508937960042061</v>
      </c>
      <c r="BG535" s="238">
        <f t="shared" si="1042"/>
        <v>0.15508559919436052</v>
      </c>
      <c r="BH535" s="238">
        <f t="shared" si="1042"/>
        <v>0.16230083715906021</v>
      </c>
      <c r="BI535" s="239">
        <f t="shared" si="1042"/>
        <v>0.16379074226239387</v>
      </c>
      <c r="BJ535" s="970">
        <f t="shared" si="1042"/>
        <v>0.1521683996956632</v>
      </c>
      <c r="BK535" s="238">
        <f t="shared" si="1042"/>
        <v>0.14891975308641975</v>
      </c>
      <c r="BL535" s="238">
        <f t="shared" si="1042"/>
        <v>0.15887323943661971</v>
      </c>
      <c r="BM535" s="239">
        <f t="shared" si="1042"/>
        <v>0.16515198997179567</v>
      </c>
      <c r="BN535" s="970">
        <f t="shared" si="1042"/>
        <v>0.15803571428571428</v>
      </c>
      <c r="BO535" s="238">
        <f t="shared" si="1042"/>
        <v>0.15616520952668073</v>
      </c>
      <c r="BP535" s="238">
        <f t="shared" si="1042"/>
        <v>0.15910701630049609</v>
      </c>
      <c r="BQ535" s="239">
        <f t="shared" ref="BQ535:BY535" si="1043">SUM(BQ536:BQ537)</f>
        <v>0.18340486409155937</v>
      </c>
      <c r="BR535" s="1179">
        <f t="shared" si="1043"/>
        <v>0.18307170131523123</v>
      </c>
      <c r="BS535" s="238">
        <f t="shared" si="1043"/>
        <v>0.16305237315875615</v>
      </c>
      <c r="BT535" s="238">
        <f t="shared" si="1043"/>
        <v>0.17444611744461175</v>
      </c>
      <c r="BU535" s="239">
        <f>SUM(BU536:BU537)</f>
        <v>0.16769929781082199</v>
      </c>
      <c r="BV535" s="1179">
        <f>SUM(BV536:BV537)</f>
        <v>0.15807759119861031</v>
      </c>
      <c r="BW535" s="1179">
        <f>SUM(BW536:BW537)</f>
        <v>0.16210644677661168</v>
      </c>
      <c r="BX535" s="238">
        <f t="shared" si="1043"/>
        <v>0.17199999999999999</v>
      </c>
      <c r="BY535" s="239">
        <f t="shared" si="1043"/>
        <v>0.16699999999999998</v>
      </c>
      <c r="BZ535" s="238">
        <f>SUM(BZ536:BZ537)</f>
        <v>0.16</v>
      </c>
      <c r="CA535" s="238">
        <f>SUM(CA536:CA537)</f>
        <v>0.159</v>
      </c>
      <c r="CB535" s="238">
        <f>SUM(CB536:CB537)</f>
        <v>0.17099999999999999</v>
      </c>
      <c r="CC535" s="239">
        <f>SUM(CC536:CC537)</f>
        <v>0.16399999999999998</v>
      </c>
      <c r="CD535" s="9"/>
      <c r="CE535" s="634">
        <f t="shared" ref="CE535:CT535" si="1044">SUM(CE536:CE537)</f>
        <v>0.11734152694390065</v>
      </c>
      <c r="CF535" s="634">
        <f t="shared" si="1044"/>
        <v>0.10862739175586975</v>
      </c>
      <c r="CG535" s="634">
        <f t="shared" si="1044"/>
        <v>9.4206412976596932E-2</v>
      </c>
      <c r="CH535" s="634">
        <f t="shared" si="1044"/>
        <v>0.10063261027868836</v>
      </c>
      <c r="CI535" s="634">
        <f t="shared" si="1044"/>
        <v>0.10275466681157869</v>
      </c>
      <c r="CJ535" s="634">
        <f t="shared" si="1044"/>
        <v>0.10642064316296176</v>
      </c>
      <c r="CK535" s="634">
        <f t="shared" si="1044"/>
        <v>8.8686421463436596E-2</v>
      </c>
      <c r="CL535" s="634">
        <f t="shared" si="1044"/>
        <v>8.4590592047153468E-2</v>
      </c>
      <c r="CM535" s="634">
        <f t="shared" si="1044"/>
        <v>9.809636601568647E-2</v>
      </c>
      <c r="CN535" s="634">
        <f t="shared" si="1044"/>
        <v>8.6091370558375638E-2</v>
      </c>
      <c r="CO535" s="634">
        <f t="shared" si="1044"/>
        <v>0.10076224287355122</v>
      </c>
      <c r="CP535" s="634">
        <f t="shared" si="1044"/>
        <v>0.11933002083667255</v>
      </c>
      <c r="CQ535" s="634">
        <f t="shared" si="1044"/>
        <v>0.14435541658523876</v>
      </c>
      <c r="CR535" s="634">
        <f t="shared" si="1044"/>
        <v>0.15789821546596167</v>
      </c>
      <c r="CS535" s="634">
        <f t="shared" si="1044"/>
        <v>0.15577820477628329</v>
      </c>
      <c r="CT535" s="238">
        <f t="shared" si="1044"/>
        <v>0.16461443743266121</v>
      </c>
      <c r="CU535" s="238">
        <f t="shared" ref="CU535:DA535" si="1045">SUM(CU536:CU537)</f>
        <v>0.17194783428481644</v>
      </c>
      <c r="CV535" s="238">
        <f t="shared" si="1045"/>
        <v>0.16465028392574776</v>
      </c>
      <c r="CW535" s="238">
        <f>SUM(CW536:CW537)</f>
        <v>0.16332940847938335</v>
      </c>
      <c r="CX535" s="238">
        <f t="shared" si="1045"/>
        <v>0.16</v>
      </c>
      <c r="CY535" s="238">
        <f t="shared" si="1045"/>
        <v>0.159</v>
      </c>
      <c r="CZ535" s="238">
        <f t="shared" si="1045"/>
        <v>0.156</v>
      </c>
      <c r="DA535" s="238">
        <f t="shared" si="1045"/>
        <v>0.153</v>
      </c>
      <c r="DB535" s="238">
        <f>SUM(DB536:DB537)</f>
        <v>0.151</v>
      </c>
      <c r="DC535" s="238">
        <f>SUM(DC536:DC537)</f>
        <v>0.14899999999999999</v>
      </c>
      <c r="DD535" s="1517"/>
      <c r="DE535" s="1483"/>
      <c r="DF535" s="24"/>
      <c r="DG535" s="24"/>
      <c r="DH535" s="24"/>
      <c r="DI535" s="24"/>
      <c r="DJ535" s="24"/>
      <c r="DK535" s="24"/>
      <c r="DL535" s="141"/>
      <c r="DM535" s="24"/>
      <c r="DN535" s="24"/>
      <c r="DO535" s="24"/>
      <c r="DP535" s="24"/>
      <c r="DQ535" s="24"/>
      <c r="DR535" s="24"/>
      <c r="DS535" s="24"/>
      <c r="DT535" s="24"/>
      <c r="DU535" s="24"/>
      <c r="DV535" s="24"/>
      <c r="DW535" s="24"/>
      <c r="DX535" s="24"/>
      <c r="DY535" s="24"/>
      <c r="DZ535" s="1561"/>
    </row>
    <row r="536" spans="1:136">
      <c r="A536" s="3"/>
      <c r="B536" s="217"/>
      <c r="C536" s="218" t="s">
        <v>685</v>
      </c>
      <c r="D536" s="218"/>
      <c r="E536" s="743"/>
      <c r="F536" s="632">
        <f t="shared" ref="F536:AO536" si="1046">F68/F11</f>
        <v>7.540896301777239E-2</v>
      </c>
      <c r="G536" s="632">
        <f t="shared" si="1046"/>
        <v>5.9862528268960227E-2</v>
      </c>
      <c r="H536" s="632">
        <f t="shared" si="1046"/>
        <v>6.2699937270749989E-2</v>
      </c>
      <c r="I536" s="633">
        <f t="shared" si="1046"/>
        <v>3.4403916328200945E-2</v>
      </c>
      <c r="J536" s="632">
        <f t="shared" si="1046"/>
        <v>6.5416618474496702E-2</v>
      </c>
      <c r="K536" s="632">
        <f t="shared" si="1046"/>
        <v>5.0832651782762285E-2</v>
      </c>
      <c r="L536" s="632">
        <f t="shared" si="1046"/>
        <v>5.5820907775621154E-2</v>
      </c>
      <c r="M536" s="633">
        <f t="shared" si="1046"/>
        <v>5.6648023200757576E-2</v>
      </c>
      <c r="N536" s="632">
        <f t="shared" si="1046"/>
        <v>5.4749514485592614E-2</v>
      </c>
      <c r="O536" s="632">
        <f t="shared" si="1046"/>
        <v>4.5911317524256E-2</v>
      </c>
      <c r="P536" s="632">
        <f t="shared" si="1046"/>
        <v>4.9198220682318959E-2</v>
      </c>
      <c r="Q536" s="633">
        <f t="shared" si="1046"/>
        <v>4.9466208481932429E-2</v>
      </c>
      <c r="R536" s="632">
        <f t="shared" si="1046"/>
        <v>8.9187595498317229E-2</v>
      </c>
      <c r="S536" s="632">
        <f t="shared" si="1046"/>
        <v>5.2706174469442084E-2</v>
      </c>
      <c r="T536" s="632">
        <f t="shared" si="1046"/>
        <v>6.209181502006389E-2</v>
      </c>
      <c r="U536" s="633">
        <f t="shared" si="1046"/>
        <v>6.2500547912465051E-2</v>
      </c>
      <c r="V536" s="632">
        <f t="shared" si="1046"/>
        <v>6.556767984606128E-2</v>
      </c>
      <c r="W536" s="632">
        <f t="shared" si="1046"/>
        <v>6.2517993486967835E-2</v>
      </c>
      <c r="X536" s="632">
        <f t="shared" si="1046"/>
        <v>6.5985753328904648E-2</v>
      </c>
      <c r="Y536" s="633">
        <f t="shared" si="1046"/>
        <v>6.8164871913638431E-2</v>
      </c>
      <c r="Z536" s="632">
        <f t="shared" si="1046"/>
        <v>6.931345353777206E-2</v>
      </c>
      <c r="AA536" s="632">
        <f t="shared" si="1046"/>
        <v>6.8214324586356748E-2</v>
      </c>
      <c r="AB536" s="632">
        <f t="shared" si="1046"/>
        <v>6.972191082221757E-2</v>
      </c>
      <c r="AC536" s="633">
        <f t="shared" si="1046"/>
        <v>6.5959133118762725E-2</v>
      </c>
      <c r="AD536" s="632">
        <f t="shared" si="1046"/>
        <v>5.9335497799563645E-2</v>
      </c>
      <c r="AE536" s="632">
        <f t="shared" si="1046"/>
        <v>5.3922701023228298E-2</v>
      </c>
      <c r="AF536" s="632">
        <f t="shared" si="1046"/>
        <v>5.319036619903552E-2</v>
      </c>
      <c r="AG536" s="632">
        <f t="shared" si="1046"/>
        <v>5.7803139401719869E-2</v>
      </c>
      <c r="AH536" s="860">
        <f t="shared" si="1046"/>
        <v>5.1529212259003962E-2</v>
      </c>
      <c r="AI536" s="632">
        <f t="shared" si="1046"/>
        <v>5.5351299970743693E-2</v>
      </c>
      <c r="AJ536" s="632">
        <f t="shared" si="1046"/>
        <v>5.8265483679159714E-2</v>
      </c>
      <c r="AK536" s="633">
        <f t="shared" si="1046"/>
        <v>6.4222694771854077E-2</v>
      </c>
      <c r="AL536" s="632">
        <f t="shared" si="1046"/>
        <v>6.3063369248704787E-2</v>
      </c>
      <c r="AM536" s="632">
        <f t="shared" si="1046"/>
        <v>7.4062381554063916E-2</v>
      </c>
      <c r="AN536" s="632">
        <f t="shared" si="1046"/>
        <v>7.8522914529023574E-2</v>
      </c>
      <c r="AO536" s="633">
        <f t="shared" si="1046"/>
        <v>6.8458105621453547E-2</v>
      </c>
      <c r="AP536" s="632">
        <f t="shared" ref="AP536:BP536" si="1047">AP68/AP378</f>
        <v>6.4311594202898545E-2</v>
      </c>
      <c r="AQ536" s="632">
        <f t="shared" si="1047"/>
        <v>5.8801069110347458E-2</v>
      </c>
      <c r="AR536" s="632">
        <f t="shared" si="1047"/>
        <v>6.0583112457402499E-2</v>
      </c>
      <c r="AS536" s="632">
        <f t="shared" si="1047"/>
        <v>6.4651553316540725E-2</v>
      </c>
      <c r="AT536" s="860">
        <f t="shared" si="1047"/>
        <v>6.8246832856559053E-2</v>
      </c>
      <c r="AU536" s="632">
        <f t="shared" si="1047"/>
        <v>6.8282828282828278E-2</v>
      </c>
      <c r="AV536" s="632">
        <f t="shared" si="1047"/>
        <v>7.9484902309058608E-2</v>
      </c>
      <c r="AW536" s="632">
        <f t="shared" si="1047"/>
        <v>7.8235538909696214E-2</v>
      </c>
      <c r="AX536" s="860">
        <f t="shared" si="1047"/>
        <v>7.1640682999257604E-2</v>
      </c>
      <c r="AY536" s="632">
        <f t="shared" si="1047"/>
        <v>9.5739348370927319E-2</v>
      </c>
      <c r="AZ536" s="632">
        <f t="shared" si="1047"/>
        <v>8.7314662273476118E-2</v>
      </c>
      <c r="BA536" s="632">
        <f t="shared" si="1047"/>
        <v>8.5401766933108955E-2</v>
      </c>
      <c r="BB536" s="860">
        <f t="shared" si="1047"/>
        <v>9.8141263940520446E-2</v>
      </c>
      <c r="BC536" s="632">
        <f t="shared" si="1047"/>
        <v>9.884937238493724E-2</v>
      </c>
      <c r="BD536" s="632">
        <f t="shared" si="1047"/>
        <v>0.10520722635494155</v>
      </c>
      <c r="BE536" s="633">
        <f t="shared" si="1047"/>
        <v>0.10783261802575107</v>
      </c>
      <c r="BF536" s="632">
        <f t="shared" si="1047"/>
        <v>0.10541535226077813</v>
      </c>
      <c r="BG536" s="632">
        <f t="shared" si="1047"/>
        <v>0.10599194360523666</v>
      </c>
      <c r="BH536" s="632">
        <f t="shared" si="1047"/>
        <v>0.11288144747502026</v>
      </c>
      <c r="BI536" s="633">
        <f t="shared" si="1047"/>
        <v>0.11750205423171733</v>
      </c>
      <c r="BJ536" s="632">
        <f t="shared" si="1047"/>
        <v>0.11082931777834136</v>
      </c>
      <c r="BK536" s="632">
        <f t="shared" si="1047"/>
        <v>0.1095679012345679</v>
      </c>
      <c r="BL536" s="632">
        <f t="shared" si="1047"/>
        <v>0.1132394366197183</v>
      </c>
      <c r="BM536" s="633">
        <f t="shared" si="1047"/>
        <v>0.11939830774052021</v>
      </c>
      <c r="BN536" s="632">
        <f t="shared" si="1047"/>
        <v>0.11458333333333333</v>
      </c>
      <c r="BO536" s="632">
        <f t="shared" si="1047"/>
        <v>0.1172746457642448</v>
      </c>
      <c r="BP536" s="632">
        <f t="shared" si="1047"/>
        <v>0.12721474131821403</v>
      </c>
      <c r="BQ536" s="633">
        <f t="shared" ref="BQ536:BV536" si="1048">BQ68/BQ11</f>
        <v>0.1413447782546495</v>
      </c>
      <c r="BR536" s="852">
        <f t="shared" si="1048"/>
        <v>0.13555366991938905</v>
      </c>
      <c r="BS536" s="632">
        <f t="shared" si="1048"/>
        <v>0.11968085106382979</v>
      </c>
      <c r="BT536" s="632">
        <f t="shared" si="1048"/>
        <v>0.13185631318563132</v>
      </c>
      <c r="BU536" s="633">
        <f t="shared" si="1048"/>
        <v>0.12474184221396117</v>
      </c>
      <c r="BV536" s="852">
        <f t="shared" si="1048"/>
        <v>0.11426365566492955</v>
      </c>
      <c r="BW536" s="852">
        <f t="shared" ref="BW536" si="1049">BW68/BW11</f>
        <v>0.11787856071964017</v>
      </c>
      <c r="BX536" s="863">
        <v>0.122</v>
      </c>
      <c r="BY536" s="864">
        <v>0.121</v>
      </c>
      <c r="BZ536" s="863">
        <v>0.115</v>
      </c>
      <c r="CA536" s="863">
        <v>0.115</v>
      </c>
      <c r="CB536" s="863">
        <v>0.125</v>
      </c>
      <c r="CC536" s="864">
        <v>0.12</v>
      </c>
      <c r="CD536" s="9"/>
      <c r="CE536" s="632">
        <f t="shared" ref="CE536:CM536" si="1050">CE68/CE11</f>
        <v>5.8043649200979631E-2</v>
      </c>
      <c r="CF536" s="632">
        <f t="shared" si="1050"/>
        <v>5.666313500224552E-2</v>
      </c>
      <c r="CG536" s="632">
        <f t="shared" si="1050"/>
        <v>4.9549409714750504E-2</v>
      </c>
      <c r="CH536" s="632">
        <f t="shared" si="1050"/>
        <v>6.5972454879374948E-2</v>
      </c>
      <c r="CI536" s="632">
        <f t="shared" si="1050"/>
        <v>6.5544231170263478E-2</v>
      </c>
      <c r="CJ536" s="632">
        <f t="shared" si="1050"/>
        <v>6.8298096748524162E-2</v>
      </c>
      <c r="CK536" s="632">
        <f t="shared" si="1050"/>
        <v>5.5954731892395047E-2</v>
      </c>
      <c r="CL536" s="632">
        <f t="shared" si="1050"/>
        <v>5.7467107920760194E-2</v>
      </c>
      <c r="CM536" s="632">
        <f t="shared" si="1050"/>
        <v>7.0452246454494383E-2</v>
      </c>
      <c r="CN536" s="632">
        <f t="shared" ref="CN536:CS536" si="1051">CN68/CN378</f>
        <v>6.1928934010152287E-2</v>
      </c>
      <c r="CO536" s="632">
        <f t="shared" si="1051"/>
        <v>7.3405032891302083E-2</v>
      </c>
      <c r="CP536" s="632">
        <f t="shared" si="1051"/>
        <v>8.4548805898381152E-2</v>
      </c>
      <c r="CQ536" s="632">
        <f t="shared" si="1051"/>
        <v>0.10240375219855384</v>
      </c>
      <c r="CR536" s="632">
        <f t="shared" si="1051"/>
        <v>0.11031064111037674</v>
      </c>
      <c r="CS536" s="632">
        <f t="shared" si="1051"/>
        <v>0.11295635465275872</v>
      </c>
      <c r="CT536" s="632">
        <f>CT68/CT11</f>
        <v>0.1252116361397568</v>
      </c>
      <c r="CU536" s="632">
        <f>CU68/CU11</f>
        <v>0.1278479023725973</v>
      </c>
      <c r="CV536" s="632">
        <f>CV68/CV11</f>
        <v>0.11870660637635201</v>
      </c>
      <c r="CW536" s="632">
        <f>CW68/CW11</f>
        <v>0.11857795076669239</v>
      </c>
      <c r="CX536" s="863">
        <v>0.115</v>
      </c>
      <c r="CY536" s="863">
        <v>0.11700000000000001</v>
      </c>
      <c r="CZ536" s="863">
        <v>0.115</v>
      </c>
      <c r="DA536" s="863">
        <v>0.113</v>
      </c>
      <c r="DB536" s="863">
        <v>0.111</v>
      </c>
      <c r="DC536" s="863">
        <v>0.109</v>
      </c>
      <c r="DD536" s="1517"/>
      <c r="DE536" s="1483"/>
      <c r="DF536" s="24"/>
      <c r="DG536" s="24"/>
      <c r="DH536" s="24"/>
      <c r="DI536" s="24"/>
      <c r="DJ536" s="24"/>
      <c r="DK536" s="24"/>
      <c r="DL536" s="141"/>
      <c r="DM536" s="24"/>
      <c r="DN536" s="24"/>
      <c r="DO536" s="24"/>
      <c r="DP536" s="24"/>
      <c r="DQ536" s="24"/>
      <c r="DR536" s="24"/>
      <c r="DS536" s="24"/>
      <c r="DT536" s="24"/>
      <c r="DU536" s="24"/>
      <c r="DV536" s="24"/>
      <c r="DW536" s="24"/>
      <c r="DX536" s="24"/>
      <c r="DY536" s="24"/>
      <c r="DZ536" s="1561"/>
    </row>
    <row r="537" spans="1:136">
      <c r="A537" s="3"/>
      <c r="B537" s="217"/>
      <c r="C537" s="218" t="s">
        <v>899</v>
      </c>
      <c r="D537" s="218"/>
      <c r="E537" s="743"/>
      <c r="F537" s="632">
        <f t="shared" ref="F537:AO537" si="1052">F69/F11</f>
        <v>6.9569663922180378E-2</v>
      </c>
      <c r="G537" s="632">
        <f t="shared" si="1052"/>
        <v>5.6849546806275263E-2</v>
      </c>
      <c r="H537" s="632">
        <f t="shared" si="1052"/>
        <v>5.9065158298532608E-2</v>
      </c>
      <c r="I537" s="633">
        <f t="shared" si="1052"/>
        <v>5.3011302670642663E-2</v>
      </c>
      <c r="J537" s="632">
        <f t="shared" si="1052"/>
        <v>6.2066979178714711E-2</v>
      </c>
      <c r="K537" s="632">
        <f t="shared" si="1052"/>
        <v>4.9583239076339471E-2</v>
      </c>
      <c r="L537" s="632">
        <f t="shared" si="1052"/>
        <v>5.0028013473543499E-2</v>
      </c>
      <c r="M537" s="633">
        <f t="shared" si="1052"/>
        <v>4.8386082504734848E-2</v>
      </c>
      <c r="N537" s="632">
        <f t="shared" si="1052"/>
        <v>4.5365549948518234E-2</v>
      </c>
      <c r="O537" s="632">
        <f t="shared" si="1052"/>
        <v>4.4867939137043907E-2</v>
      </c>
      <c r="P537" s="632">
        <f t="shared" si="1052"/>
        <v>4.2793073078081098E-2</v>
      </c>
      <c r="Q537" s="633">
        <f t="shared" si="1052"/>
        <v>4.5751465277360584E-2</v>
      </c>
      <c r="R537" s="632">
        <f t="shared" si="1052"/>
        <v>3.8643290985142159E-2</v>
      </c>
      <c r="S537" s="632">
        <f t="shared" si="1052"/>
        <v>3.174349144182307E-2</v>
      </c>
      <c r="T537" s="632">
        <f t="shared" si="1052"/>
        <v>3.632037351711264E-2</v>
      </c>
      <c r="U537" s="633">
        <f t="shared" si="1052"/>
        <v>3.2452207569933778E-2</v>
      </c>
      <c r="V537" s="632">
        <f t="shared" si="1052"/>
        <v>3.3876634587131658E-2</v>
      </c>
      <c r="W537" s="632">
        <f t="shared" si="1052"/>
        <v>3.5500167155916404E-2</v>
      </c>
      <c r="X537" s="632">
        <f t="shared" si="1052"/>
        <v>3.8700046433426775E-2</v>
      </c>
      <c r="Y537" s="633">
        <f t="shared" si="1052"/>
        <v>4.0409752460503288E-2</v>
      </c>
      <c r="Z537" s="632">
        <f t="shared" si="1052"/>
        <v>4.0003764613228444E-2</v>
      </c>
      <c r="AA537" s="632">
        <f t="shared" si="1052"/>
        <v>4.2790613060732972E-2</v>
      </c>
      <c r="AB537" s="632">
        <f t="shared" si="1052"/>
        <v>3.4107923337425364E-2</v>
      </c>
      <c r="AC537" s="633">
        <f t="shared" si="1052"/>
        <v>3.5743217388379801E-2</v>
      </c>
      <c r="AD537" s="632">
        <f t="shared" si="1052"/>
        <v>3.4810158709077339E-2</v>
      </c>
      <c r="AE537" s="632">
        <f t="shared" si="1052"/>
        <v>3.9216509835075124E-2</v>
      </c>
      <c r="AF537" s="632">
        <f t="shared" si="1052"/>
        <v>2.269455624492182E-2</v>
      </c>
      <c r="AG537" s="632">
        <f t="shared" si="1052"/>
        <v>3.4389209517478911E-2</v>
      </c>
      <c r="AH537" s="860">
        <f t="shared" si="1052"/>
        <v>2.7180243828925168E-2</v>
      </c>
      <c r="AI537" s="632">
        <f t="shared" si="1052"/>
        <v>2.6768251625195721E-2</v>
      </c>
      <c r="AJ537" s="632">
        <f t="shared" si="1052"/>
        <v>2.6527374683194667E-2</v>
      </c>
      <c r="AK537" s="633">
        <f t="shared" si="1052"/>
        <v>2.8097428962686157E-2</v>
      </c>
      <c r="AL537" s="632">
        <f t="shared" si="1052"/>
        <v>2.7027158249444905E-2</v>
      </c>
      <c r="AM537" s="632">
        <f t="shared" si="1052"/>
        <v>2.6333291219222725E-2</v>
      </c>
      <c r="AN537" s="632">
        <f t="shared" si="1052"/>
        <v>3.0780982495377241E-2</v>
      </c>
      <c r="AO537" s="633">
        <f t="shared" si="1052"/>
        <v>2.6968344638754426E-2</v>
      </c>
      <c r="AP537" s="632">
        <f t="shared" ref="AP537:BP537" si="1053">AP69/AP378</f>
        <v>2.4003623188405796E-2</v>
      </c>
      <c r="AQ537" s="632">
        <f t="shared" si="1053"/>
        <v>2.2909507445589918E-2</v>
      </c>
      <c r="AR537" s="632">
        <f t="shared" si="1053"/>
        <v>2.4233244982960998E-2</v>
      </c>
      <c r="AS537" s="632">
        <f t="shared" si="1053"/>
        <v>2.5608732157850547E-2</v>
      </c>
      <c r="AT537" s="860">
        <f t="shared" si="1053"/>
        <v>2.4111156518185534E-2</v>
      </c>
      <c r="AU537" s="632">
        <f t="shared" si="1053"/>
        <v>2.6666666666666668E-2</v>
      </c>
      <c r="AV537" s="632">
        <f t="shared" si="1053"/>
        <v>2.7975133214920071E-2</v>
      </c>
      <c r="AW537" s="632">
        <f t="shared" si="1053"/>
        <v>3.0794839783603829E-2</v>
      </c>
      <c r="AX537" s="860">
        <f t="shared" si="1053"/>
        <v>2.5241276911655532E-2</v>
      </c>
      <c r="AY537" s="632">
        <f t="shared" si="1053"/>
        <v>4.1102756892230578E-2</v>
      </c>
      <c r="AZ537" s="632">
        <f t="shared" si="1053"/>
        <v>3.887973640856672E-2</v>
      </c>
      <c r="BA537" s="632">
        <f t="shared" si="1053"/>
        <v>3.4917963819941104E-2</v>
      </c>
      <c r="BB537" s="860">
        <f t="shared" si="1053"/>
        <v>4.1635687732342004E-2</v>
      </c>
      <c r="BC537" s="632">
        <f t="shared" si="1053"/>
        <v>3.9487447698744772E-2</v>
      </c>
      <c r="BD537" s="632">
        <f t="shared" si="1053"/>
        <v>4.3304994686503721E-2</v>
      </c>
      <c r="BE537" s="633">
        <f t="shared" si="1053"/>
        <v>4.3454935622317593E-2</v>
      </c>
      <c r="BF537" s="632">
        <f t="shared" si="1053"/>
        <v>4.5478443743427972E-2</v>
      </c>
      <c r="BG537" s="632">
        <f t="shared" si="1053"/>
        <v>4.9093655589123868E-2</v>
      </c>
      <c r="BH537" s="632">
        <f t="shared" si="1053"/>
        <v>4.9419389684039965E-2</v>
      </c>
      <c r="BI537" s="633">
        <f t="shared" si="1053"/>
        <v>4.6288688030676525E-2</v>
      </c>
      <c r="BJ537" s="632">
        <f t="shared" si="1053"/>
        <v>4.1339081917321836E-2</v>
      </c>
      <c r="BK537" s="632">
        <f t="shared" si="1053"/>
        <v>3.9351851851851853E-2</v>
      </c>
      <c r="BL537" s="632">
        <f t="shared" si="1053"/>
        <v>4.5633802816901409E-2</v>
      </c>
      <c r="BM537" s="633">
        <f t="shared" si="1053"/>
        <v>4.5753682231275461E-2</v>
      </c>
      <c r="BN537" s="632">
        <f t="shared" si="1053"/>
        <v>4.3452380952380951E-2</v>
      </c>
      <c r="BO537" s="632">
        <f t="shared" si="1053"/>
        <v>3.8890563762435937E-2</v>
      </c>
      <c r="BP537" s="632">
        <f t="shared" si="1053"/>
        <v>3.1892274982282066E-2</v>
      </c>
      <c r="BQ537" s="633">
        <f t="shared" ref="BQ537:BV537" si="1054">BQ69/BQ11</f>
        <v>4.2060085836909872E-2</v>
      </c>
      <c r="BR537" s="852">
        <f t="shared" si="1054"/>
        <v>4.7518031395842174E-2</v>
      </c>
      <c r="BS537" s="632">
        <f t="shared" si="1054"/>
        <v>4.3371522094926347E-2</v>
      </c>
      <c r="BT537" s="632">
        <f t="shared" si="1054"/>
        <v>4.2589804258980429E-2</v>
      </c>
      <c r="BU537" s="633">
        <f t="shared" si="1054"/>
        <v>4.2957455596860802E-2</v>
      </c>
      <c r="BV537" s="852">
        <f t="shared" si="1054"/>
        <v>4.3813935533680758E-2</v>
      </c>
      <c r="BW537" s="852">
        <f t="shared" ref="BW537" si="1055">BW69/BW11</f>
        <v>4.4227886056971512E-2</v>
      </c>
      <c r="BX537" s="863">
        <v>0.05</v>
      </c>
      <c r="BY537" s="864">
        <v>4.5999999999999999E-2</v>
      </c>
      <c r="BZ537" s="863">
        <v>4.4999999999999998E-2</v>
      </c>
      <c r="CA537" s="863">
        <v>4.3999999999999997E-2</v>
      </c>
      <c r="CB537" s="863">
        <v>4.5999999999999999E-2</v>
      </c>
      <c r="CC537" s="864">
        <v>4.3999999999999997E-2</v>
      </c>
      <c r="CD537" s="9"/>
      <c r="CE537" s="632">
        <f t="shared" ref="CE537:CM537" si="1056">CE69/CE11</f>
        <v>5.9297877742921029E-2</v>
      </c>
      <c r="CF537" s="632">
        <f t="shared" si="1056"/>
        <v>5.1964256753624226E-2</v>
      </c>
      <c r="CG537" s="632">
        <f t="shared" si="1056"/>
        <v>4.465700326184642E-2</v>
      </c>
      <c r="CH537" s="632">
        <f t="shared" si="1056"/>
        <v>3.4660155399313407E-2</v>
      </c>
      <c r="CI537" s="632">
        <f t="shared" si="1056"/>
        <v>3.7210435641315202E-2</v>
      </c>
      <c r="CJ537" s="632">
        <f t="shared" si="1056"/>
        <v>3.8122546414437596E-2</v>
      </c>
      <c r="CK537" s="632">
        <f t="shared" si="1056"/>
        <v>3.2731689571041549E-2</v>
      </c>
      <c r="CL537" s="632">
        <f t="shared" si="1056"/>
        <v>2.7123484126393281E-2</v>
      </c>
      <c r="CM537" s="632">
        <f t="shared" si="1056"/>
        <v>2.7644119561192084E-2</v>
      </c>
      <c r="CN537" s="632">
        <f t="shared" ref="CN537:CS537" si="1057">CN69/CN378</f>
        <v>2.4162436548223351E-2</v>
      </c>
      <c r="CO537" s="632">
        <f t="shared" si="1057"/>
        <v>2.735720998224914E-2</v>
      </c>
      <c r="CP537" s="632">
        <f t="shared" si="1057"/>
        <v>3.4781214938291394E-2</v>
      </c>
      <c r="CQ537" s="632">
        <f t="shared" si="1057"/>
        <v>4.1951664386684906E-2</v>
      </c>
      <c r="CR537" s="632">
        <f t="shared" si="1057"/>
        <v>4.758757435558493E-2</v>
      </c>
      <c r="CS537" s="632">
        <f t="shared" si="1057"/>
        <v>4.2821850123524567E-2</v>
      </c>
      <c r="CT537" s="632">
        <f>CT69/CT11</f>
        <v>3.9402801292904417E-2</v>
      </c>
      <c r="CU537" s="632">
        <f>CU69/CU11</f>
        <v>4.4099931912219135E-2</v>
      </c>
      <c r="CV537" s="632">
        <f>CV69/CV11</f>
        <v>4.5943677549395753E-2</v>
      </c>
      <c r="CW537" s="632">
        <f>CW69/CW11</f>
        <v>4.4751457712690949E-2</v>
      </c>
      <c r="CX537" s="863">
        <v>4.4999999999999998E-2</v>
      </c>
      <c r="CY537" s="863">
        <v>4.2000000000000003E-2</v>
      </c>
      <c r="CZ537" s="863">
        <v>4.1000000000000002E-2</v>
      </c>
      <c r="DA537" s="863">
        <v>0.04</v>
      </c>
      <c r="DB537" s="863">
        <v>0.04</v>
      </c>
      <c r="DC537" s="863">
        <v>0.04</v>
      </c>
      <c r="DD537" s="1517"/>
      <c r="DE537" s="1483"/>
      <c r="DF537" s="24"/>
      <c r="DG537" s="24"/>
      <c r="DH537" s="24"/>
      <c r="DI537" s="24"/>
      <c r="DJ537" s="24"/>
      <c r="DK537" s="24"/>
      <c r="DL537" s="141"/>
      <c r="DM537" s="24"/>
      <c r="DN537" s="24"/>
      <c r="DO537" s="24"/>
      <c r="DP537" s="24"/>
      <c r="DQ537" s="24"/>
      <c r="DR537" s="24"/>
      <c r="DS537" s="24"/>
      <c r="DT537" s="24"/>
      <c r="DU537" s="24"/>
      <c r="DV537" s="24"/>
      <c r="DW537" s="24"/>
      <c r="DX537" s="24"/>
      <c r="DY537" s="24"/>
      <c r="DZ537" s="1561"/>
    </row>
    <row r="538" spans="1:136" s="51" customFormat="1">
      <c r="A538" s="24"/>
      <c r="B538" s="215"/>
      <c r="C538" s="181"/>
      <c r="D538" s="141"/>
      <c r="E538" s="1631"/>
      <c r="F538" s="54"/>
      <c r="G538" s="54"/>
      <c r="H538" s="54"/>
      <c r="I538" s="1632"/>
      <c r="J538" s="54"/>
      <c r="K538" s="54"/>
      <c r="L538" s="54"/>
      <c r="M538" s="1632"/>
      <c r="N538" s="54"/>
      <c r="O538" s="54"/>
      <c r="P538" s="54"/>
      <c r="Q538" s="1632"/>
      <c r="R538" s="54"/>
      <c r="S538" s="54"/>
      <c r="T538" s="54"/>
      <c r="U538" s="1632"/>
      <c r="V538" s="54"/>
      <c r="W538" s="54"/>
      <c r="X538" s="54"/>
      <c r="Y538" s="1632"/>
      <c r="Z538" s="54"/>
      <c r="AA538" s="54"/>
      <c r="AB538" s="54"/>
      <c r="AC538" s="1632"/>
      <c r="AD538" s="54"/>
      <c r="AE538" s="54"/>
      <c r="AF538" s="54"/>
      <c r="AG538" s="54"/>
      <c r="AH538" s="1633"/>
      <c r="AI538" s="54"/>
      <c r="AJ538" s="54"/>
      <c r="AK538" s="1632"/>
      <c r="AP538" s="1635"/>
      <c r="AQ538" s="1634"/>
      <c r="AR538" s="1634"/>
      <c r="AS538" s="1634"/>
      <c r="AT538" s="1635"/>
      <c r="AU538" s="1634"/>
      <c r="AV538" s="1634"/>
      <c r="AW538" s="1634"/>
      <c r="AX538" s="1635"/>
      <c r="AY538" s="1634"/>
      <c r="AZ538" s="1634"/>
      <c r="BA538" s="1634"/>
      <c r="BB538" s="1635"/>
      <c r="BC538" s="1634"/>
      <c r="BD538" s="1634"/>
      <c r="BE538" s="1636"/>
      <c r="BF538" s="1491"/>
      <c r="BG538" s="1491"/>
      <c r="BH538" s="1491"/>
      <c r="BI538" s="1495"/>
      <c r="BJ538"/>
      <c r="BK538"/>
      <c r="BL538"/>
      <c r="BM538"/>
      <c r="BN538" s="1641"/>
      <c r="BO538" s="1641"/>
      <c r="BP538" s="1641"/>
      <c r="BQ538" s="2064"/>
      <c r="BR538" s="1641"/>
      <c r="BS538" s="1641"/>
      <c r="BT538" s="1641"/>
      <c r="BU538" s="2064"/>
      <c r="BV538" s="2148"/>
      <c r="BW538" s="2148"/>
      <c r="BX538" s="2148"/>
      <c r="BY538" s="2149"/>
      <c r="BZ538" s="2148"/>
      <c r="CA538" s="2148"/>
      <c r="CB538" s="2148"/>
      <c r="CC538" s="2149"/>
      <c r="CD538" s="25"/>
      <c r="CN538" s="1634"/>
      <c r="CO538" s="1634"/>
      <c r="CP538" s="1634"/>
      <c r="CQ538" s="1634"/>
      <c r="CR538" s="1634"/>
      <c r="CS538" s="1634"/>
      <c r="CT538" s="1634"/>
      <c r="CU538" s="54"/>
      <c r="CV538" s="1637"/>
      <c r="CW538" s="1666"/>
      <c r="CX538" s="1666"/>
      <c r="CY538" s="1666"/>
      <c r="CZ538" s="1666"/>
      <c r="DA538" s="1666"/>
      <c r="DB538" s="1666"/>
      <c r="DC538" s="1666"/>
      <c r="DD538" s="1529"/>
      <c r="DE538" s="1561"/>
      <c r="DF538" s="24"/>
      <c r="DG538" s="24"/>
      <c r="DH538" s="24"/>
      <c r="DI538" s="24"/>
      <c r="DJ538" s="24"/>
      <c r="DK538" s="24"/>
      <c r="DL538" s="141"/>
      <c r="DM538" s="24"/>
      <c r="DN538" s="24"/>
      <c r="DO538" s="24"/>
      <c r="DP538" s="24"/>
      <c r="DQ538" s="24"/>
      <c r="DR538" s="24"/>
      <c r="DS538" s="24"/>
      <c r="DT538" s="24"/>
      <c r="DU538" s="24"/>
      <c r="DV538" s="24"/>
      <c r="DW538" s="24"/>
      <c r="DX538" s="24"/>
      <c r="DY538" s="24"/>
      <c r="DZ538" s="1561"/>
      <c r="EA538"/>
      <c r="EB538"/>
      <c r="EC538"/>
      <c r="ED538"/>
      <c r="EE538"/>
      <c r="EF538"/>
    </row>
    <row r="539" spans="1:136" s="152" customFormat="1">
      <c r="A539" s="4"/>
      <c r="B539" s="413" t="s">
        <v>962</v>
      </c>
      <c r="C539" s="181"/>
      <c r="D539" s="180"/>
      <c r="E539" s="414"/>
      <c r="F539" s="2157">
        <f t="shared" ref="F539:AA539" si="1058">SUM(F540:F541)</f>
        <v>61.524000000000001</v>
      </c>
      <c r="G539" s="2157">
        <f t="shared" si="1058"/>
        <v>65.542000000000002</v>
      </c>
      <c r="H539" s="2157">
        <f t="shared" si="1058"/>
        <v>62.31</v>
      </c>
      <c r="I539" s="2158">
        <f t="shared" si="1058"/>
        <v>39.837999999999994</v>
      </c>
      <c r="J539" s="2157">
        <f t="shared" si="1058"/>
        <v>56.212999999999994</v>
      </c>
      <c r="K539" s="2157">
        <f t="shared" si="1058"/>
        <v>57.706000000000003</v>
      </c>
      <c r="L539" s="2157">
        <f t="shared" si="1058"/>
        <v>62.966000000000008</v>
      </c>
      <c r="M539" s="2158">
        <f t="shared" si="1058"/>
        <v>56.789000000000001</v>
      </c>
      <c r="N539" s="2157">
        <f t="shared" si="1058"/>
        <v>58.358000000000004</v>
      </c>
      <c r="O539" s="2157">
        <f t="shared" si="1058"/>
        <v>68.037999999999997</v>
      </c>
      <c r="P539" s="2157">
        <f t="shared" si="1058"/>
        <v>64.930999999999997</v>
      </c>
      <c r="Q539" s="2158">
        <f t="shared" si="1058"/>
        <v>64.772999999999996</v>
      </c>
      <c r="R539" s="2157">
        <f t="shared" si="1058"/>
        <v>91.300000000000011</v>
      </c>
      <c r="S539" s="2157">
        <f t="shared" si="1058"/>
        <v>70.5</v>
      </c>
      <c r="T539" s="2157">
        <f t="shared" si="1058"/>
        <v>73.7</v>
      </c>
      <c r="U539" s="2158">
        <f t="shared" si="1058"/>
        <v>71.099999999999994</v>
      </c>
      <c r="V539" s="2157">
        <f t="shared" si="1058"/>
        <v>81.900000000000006</v>
      </c>
      <c r="W539" s="2157">
        <f t="shared" si="1058"/>
        <v>93.6</v>
      </c>
      <c r="X539" s="2157">
        <f t="shared" si="1058"/>
        <v>96.300000000000011</v>
      </c>
      <c r="Y539" s="2158">
        <f t="shared" si="1058"/>
        <v>102.1</v>
      </c>
      <c r="Z539" s="2157">
        <f t="shared" si="1058"/>
        <v>110.4</v>
      </c>
      <c r="AA539" s="2157">
        <f t="shared" si="1058"/>
        <v>124</v>
      </c>
      <c r="AB539" s="2157">
        <f t="shared" ref="AB539:BO539" si="1059">SUM(AB540:AB541)</f>
        <v>117.2</v>
      </c>
      <c r="AC539" s="2158">
        <f t="shared" si="1059"/>
        <v>110.39999999999999</v>
      </c>
      <c r="AD539" s="2157">
        <f t="shared" si="1059"/>
        <v>119</v>
      </c>
      <c r="AE539" s="2157">
        <f t="shared" si="1059"/>
        <v>133</v>
      </c>
      <c r="AF539" s="2157">
        <f t="shared" si="1059"/>
        <v>107</v>
      </c>
      <c r="AG539" s="2157">
        <f t="shared" si="1059"/>
        <v>126</v>
      </c>
      <c r="AH539" s="2159">
        <f t="shared" si="1059"/>
        <v>139</v>
      </c>
      <c r="AI539" s="290">
        <f t="shared" si="1059"/>
        <v>181</v>
      </c>
      <c r="AJ539" s="290">
        <f t="shared" si="1059"/>
        <v>179</v>
      </c>
      <c r="AK539" s="291">
        <f t="shared" si="1059"/>
        <v>184</v>
      </c>
      <c r="AL539" s="290">
        <f t="shared" si="1059"/>
        <v>190</v>
      </c>
      <c r="AM539" s="290">
        <f t="shared" si="1059"/>
        <v>183</v>
      </c>
      <c r="AN539" s="290">
        <f t="shared" si="1059"/>
        <v>174</v>
      </c>
      <c r="AO539" s="291">
        <f t="shared" si="1059"/>
        <v>184</v>
      </c>
      <c r="AP539" s="290">
        <f t="shared" si="1059"/>
        <v>195</v>
      </c>
      <c r="AQ539" s="290">
        <f t="shared" si="1059"/>
        <v>214</v>
      </c>
      <c r="AR539" s="290">
        <f t="shared" si="1059"/>
        <v>224</v>
      </c>
      <c r="AS539" s="290">
        <f t="shared" si="1059"/>
        <v>215</v>
      </c>
      <c r="AT539" s="960">
        <f t="shared" si="1059"/>
        <v>226</v>
      </c>
      <c r="AU539" s="290">
        <f t="shared" si="1059"/>
        <v>235</v>
      </c>
      <c r="AV539" s="290">
        <f t="shared" si="1059"/>
        <v>242</v>
      </c>
      <c r="AW539" s="290">
        <f t="shared" si="1059"/>
        <v>262</v>
      </c>
      <c r="AX539" s="960">
        <f t="shared" si="1059"/>
        <v>261</v>
      </c>
      <c r="AY539" s="290">
        <f t="shared" si="1059"/>
        <v>273</v>
      </c>
      <c r="AZ539" s="290">
        <f t="shared" si="1059"/>
        <v>383</v>
      </c>
      <c r="BA539" s="291">
        <f t="shared" si="1059"/>
        <v>572</v>
      </c>
      <c r="BB539" s="960">
        <f t="shared" si="1059"/>
        <v>564</v>
      </c>
      <c r="BC539" s="290">
        <f t="shared" si="1059"/>
        <v>529</v>
      </c>
      <c r="BD539" s="290">
        <f t="shared" si="1059"/>
        <v>559</v>
      </c>
      <c r="BE539" s="291">
        <f t="shared" si="1059"/>
        <v>564</v>
      </c>
      <c r="BF539" s="960">
        <f t="shared" si="1059"/>
        <v>574</v>
      </c>
      <c r="BG539" s="290">
        <f t="shared" si="1059"/>
        <v>616</v>
      </c>
      <c r="BH539" s="290">
        <f t="shared" si="1059"/>
        <v>601</v>
      </c>
      <c r="BI539" s="291">
        <f t="shared" si="1059"/>
        <v>598</v>
      </c>
      <c r="BJ539" s="960">
        <f t="shared" si="1059"/>
        <v>600</v>
      </c>
      <c r="BK539" s="290">
        <f t="shared" si="1059"/>
        <v>579</v>
      </c>
      <c r="BL539" s="290">
        <f t="shared" si="1059"/>
        <v>564</v>
      </c>
      <c r="BM539" s="291">
        <f t="shared" si="1059"/>
        <v>527</v>
      </c>
      <c r="BN539" s="960">
        <f t="shared" si="1059"/>
        <v>531</v>
      </c>
      <c r="BO539" s="290">
        <f t="shared" si="1059"/>
        <v>518</v>
      </c>
      <c r="BP539" s="290">
        <f>SUM(BP540:BP541)</f>
        <v>449</v>
      </c>
      <c r="BQ539" s="291">
        <f>SUM(BQ540:BQ541)</f>
        <v>641</v>
      </c>
      <c r="BR539" s="290">
        <f t="shared" ref="BR539:BY539" si="1060">SUM(BR540:BR541)</f>
        <v>863</v>
      </c>
      <c r="BS539" s="290">
        <f>SUM(BS540:BS541)</f>
        <v>797</v>
      </c>
      <c r="BT539" s="290">
        <f>SUM(BT540:BT541)</f>
        <v>811</v>
      </c>
      <c r="BU539" s="291">
        <f>SUM(BU540:BU541)</f>
        <v>812</v>
      </c>
      <c r="BV539" s="290">
        <f t="shared" si="1060"/>
        <v>819</v>
      </c>
      <c r="BW539" s="290">
        <f t="shared" si="1060"/>
        <v>865</v>
      </c>
      <c r="BX539" s="290">
        <f t="shared" si="1060"/>
        <v>844.36496779999982</v>
      </c>
      <c r="BY539" s="291">
        <f t="shared" si="1060"/>
        <v>820.64155363641999</v>
      </c>
      <c r="BZ539" s="290">
        <f>SUM(BZ540:BZ541)</f>
        <v>811.28181453740535</v>
      </c>
      <c r="CA539" s="290">
        <f>SUM(CA540:CA541)</f>
        <v>793.42709071129173</v>
      </c>
      <c r="CB539" s="290">
        <f>SUM(CB540:CB541)</f>
        <v>792.39596607976546</v>
      </c>
      <c r="CC539" s="291">
        <f>SUM(CC540:CC541)</f>
        <v>719.3261483962209</v>
      </c>
      <c r="CD539" s="109"/>
      <c r="CE539" s="1620">
        <f>SUM(F539:I539)</f>
        <v>229.214</v>
      </c>
      <c r="CF539" s="1643">
        <f>SUM(J539:M539)</f>
        <v>233.67399999999998</v>
      </c>
      <c r="CG539" s="1643">
        <f>SUM(N539:Q539)</f>
        <v>256.10000000000002</v>
      </c>
      <c r="CH539" s="1643">
        <f>SUM(R539:U539)</f>
        <v>306.60000000000002</v>
      </c>
      <c r="CI539" s="1643">
        <f>SUM(V539:Y539)</f>
        <v>373.9</v>
      </c>
      <c r="CJ539" s="1643">
        <f>SUM(Z539:AC539)</f>
        <v>462</v>
      </c>
      <c r="CK539" s="1643">
        <f>SUM(AD539:AG539)</f>
        <v>485</v>
      </c>
      <c r="CL539" s="1643">
        <f>SUM(AH539:AK539)</f>
        <v>683</v>
      </c>
      <c r="CM539" s="1643">
        <f>SUM(AL539:AO539)</f>
        <v>731</v>
      </c>
      <c r="CN539" s="1643">
        <f>SUM(AP539:AS539)</f>
        <v>848</v>
      </c>
      <c r="CO539" s="1643">
        <f>SUM(AT539:AW539)</f>
        <v>965</v>
      </c>
      <c r="CP539" s="1643">
        <f>SUM(AX539:BA539)</f>
        <v>1489</v>
      </c>
      <c r="CQ539" s="1643">
        <f>SUM(BB539:BE539)</f>
        <v>2216</v>
      </c>
      <c r="CR539" s="1643">
        <f>SUM(BF539:BI539)</f>
        <v>2389</v>
      </c>
      <c r="CS539" s="1643">
        <f>SUM(BJ539:BM539)</f>
        <v>2270</v>
      </c>
      <c r="CT539" s="1643">
        <f>SUM(BN539:BQ539)</f>
        <v>2139</v>
      </c>
      <c r="CU539" s="1643">
        <f>SUM(BR539:BU539)</f>
        <v>3283</v>
      </c>
      <c r="CV539" s="1643">
        <f>SUM(BV539:BY539)</f>
        <v>3349.0065214364195</v>
      </c>
      <c r="CW539" s="1643">
        <f>SUM(BZ539:CC539)</f>
        <v>3116.4310197246837</v>
      </c>
      <c r="CX539" s="1643">
        <f t="shared" ref="CX539:DC539" si="1061">SUM(CX540:CX541)</f>
        <v>3275.5338161596187</v>
      </c>
      <c r="CY539" s="1643">
        <f t="shared" si="1061"/>
        <v>3373.0650933664833</v>
      </c>
      <c r="CZ539" s="1643">
        <f t="shared" si="1061"/>
        <v>3435.3910884145494</v>
      </c>
      <c r="DA539" s="1643">
        <f t="shared" si="1061"/>
        <v>3525.4856318009488</v>
      </c>
      <c r="DB539" s="1643">
        <f t="shared" si="1061"/>
        <v>3654.0703024418181</v>
      </c>
      <c r="DC539" s="1643">
        <f t="shared" si="1061"/>
        <v>3800.8730248420839</v>
      </c>
      <c r="DD539" s="1528"/>
      <c r="DE539" s="1502"/>
      <c r="DF539" s="31"/>
      <c r="DG539" s="31"/>
      <c r="DH539" s="31"/>
      <c r="DI539" s="31"/>
      <c r="DJ539" s="31"/>
      <c r="DK539" s="31"/>
      <c r="DL539" s="181"/>
      <c r="DM539" s="31"/>
      <c r="DN539" s="31"/>
      <c r="DO539" s="31"/>
      <c r="DP539" s="31"/>
      <c r="DQ539" s="31"/>
      <c r="DR539" s="31"/>
      <c r="DS539" s="31"/>
      <c r="DT539" s="31"/>
      <c r="DU539" s="31"/>
      <c r="DV539" s="31"/>
      <c r="DW539" s="31"/>
      <c r="DX539" s="31"/>
      <c r="DY539" s="31"/>
      <c r="DZ539" s="1565"/>
      <c r="EA539"/>
      <c r="EB539"/>
      <c r="EC539"/>
      <c r="ED539"/>
      <c r="EE539"/>
      <c r="EF539"/>
    </row>
    <row r="540" spans="1:136" s="52" customFormat="1">
      <c r="A540" s="3"/>
      <c r="B540" s="227"/>
      <c r="C540" s="141" t="s">
        <v>963</v>
      </c>
      <c r="E540" s="228"/>
      <c r="F540" s="1628">
        <f t="shared" ref="F540:AK540" si="1062">F68</f>
        <v>32.000999999999998</v>
      </c>
      <c r="G540" s="1628">
        <f t="shared" si="1062"/>
        <v>33.616999999999997</v>
      </c>
      <c r="H540" s="1628">
        <f t="shared" si="1062"/>
        <v>32.085000000000001</v>
      </c>
      <c r="I540" s="1629">
        <f t="shared" si="1062"/>
        <v>15.679000000000002</v>
      </c>
      <c r="J540" s="1628">
        <f t="shared" si="1062"/>
        <v>28.844999999999999</v>
      </c>
      <c r="K540" s="1628">
        <f t="shared" si="1062"/>
        <v>29.212</v>
      </c>
      <c r="L540" s="1628">
        <f t="shared" si="1062"/>
        <v>33.206000000000003</v>
      </c>
      <c r="M540" s="1629">
        <f t="shared" si="1062"/>
        <v>30.628</v>
      </c>
      <c r="N540" s="1628">
        <f t="shared" si="1062"/>
        <v>31.914000000000001</v>
      </c>
      <c r="O540" s="1628">
        <f t="shared" si="1062"/>
        <v>34.409999999999997</v>
      </c>
      <c r="P540" s="1628">
        <f t="shared" si="1062"/>
        <v>34.725999999999999</v>
      </c>
      <c r="Q540" s="1629">
        <f t="shared" si="1062"/>
        <v>33.649999999999991</v>
      </c>
      <c r="R540" s="1628">
        <f t="shared" si="1062"/>
        <v>63.7</v>
      </c>
      <c r="S540" s="1628">
        <f t="shared" si="1062"/>
        <v>44</v>
      </c>
      <c r="T540" s="1628">
        <f t="shared" si="1062"/>
        <v>46.5</v>
      </c>
      <c r="U540" s="1629">
        <f t="shared" si="1062"/>
        <v>46.8</v>
      </c>
      <c r="V540" s="1628">
        <f t="shared" si="1062"/>
        <v>54</v>
      </c>
      <c r="W540" s="1628">
        <f t="shared" si="1062"/>
        <v>59.7</v>
      </c>
      <c r="X540" s="1628">
        <f t="shared" si="1062"/>
        <v>60.7</v>
      </c>
      <c r="Y540" s="1629">
        <f t="shared" si="1062"/>
        <v>64.099999999999994</v>
      </c>
      <c r="Z540" s="1628">
        <f t="shared" si="1062"/>
        <v>70</v>
      </c>
      <c r="AA540" s="1628">
        <f t="shared" si="1062"/>
        <v>76.2</v>
      </c>
      <c r="AB540" s="1628">
        <f t="shared" si="1062"/>
        <v>78.7</v>
      </c>
      <c r="AC540" s="1629">
        <f t="shared" si="1062"/>
        <v>71.599999999999994</v>
      </c>
      <c r="AD540" s="1628">
        <f t="shared" si="1062"/>
        <v>75</v>
      </c>
      <c r="AE540" s="1628">
        <f t="shared" si="1062"/>
        <v>77</v>
      </c>
      <c r="AF540" s="1628">
        <f t="shared" si="1062"/>
        <v>75</v>
      </c>
      <c r="AG540" s="1628">
        <f t="shared" si="1062"/>
        <v>79</v>
      </c>
      <c r="AH540" s="1630">
        <f t="shared" si="1062"/>
        <v>91</v>
      </c>
      <c r="AI540" s="128">
        <f t="shared" si="1062"/>
        <v>122</v>
      </c>
      <c r="AJ540" s="128">
        <f t="shared" si="1062"/>
        <v>123</v>
      </c>
      <c r="AK540" s="289">
        <f t="shared" si="1062"/>
        <v>128</v>
      </c>
      <c r="AL540" s="128">
        <f t="shared" ref="AL540:BQ540" si="1063">AL68</f>
        <v>133</v>
      </c>
      <c r="AM540" s="128">
        <f t="shared" si="1063"/>
        <v>135</v>
      </c>
      <c r="AN540" s="128">
        <f t="shared" si="1063"/>
        <v>125</v>
      </c>
      <c r="AO540" s="289">
        <f t="shared" si="1063"/>
        <v>132</v>
      </c>
      <c r="AP540" s="128">
        <f t="shared" si="1063"/>
        <v>142</v>
      </c>
      <c r="AQ540" s="128">
        <f t="shared" si="1063"/>
        <v>154</v>
      </c>
      <c r="AR540" s="128">
        <f t="shared" si="1063"/>
        <v>160</v>
      </c>
      <c r="AS540" s="128">
        <f t="shared" si="1063"/>
        <v>154</v>
      </c>
      <c r="AT540" s="375">
        <f t="shared" si="1063"/>
        <v>167</v>
      </c>
      <c r="AU540" s="128">
        <f t="shared" si="1063"/>
        <v>169</v>
      </c>
      <c r="AV540" s="128">
        <f t="shared" si="1063"/>
        <v>179</v>
      </c>
      <c r="AW540" s="128">
        <f t="shared" si="1063"/>
        <v>188</v>
      </c>
      <c r="AX540" s="375">
        <f t="shared" si="1063"/>
        <v>193</v>
      </c>
      <c r="AY540" s="128">
        <f t="shared" si="1063"/>
        <v>191</v>
      </c>
      <c r="AZ540" s="128">
        <f t="shared" si="1063"/>
        <v>265</v>
      </c>
      <c r="BA540" s="289">
        <f t="shared" si="1063"/>
        <v>406</v>
      </c>
      <c r="BB540" s="375">
        <f t="shared" si="1063"/>
        <v>396</v>
      </c>
      <c r="BC540" s="128">
        <f t="shared" si="1063"/>
        <v>378</v>
      </c>
      <c r="BD540" s="128">
        <f t="shared" si="1063"/>
        <v>396</v>
      </c>
      <c r="BE540" s="289">
        <f t="shared" si="1063"/>
        <v>402</v>
      </c>
      <c r="BF540" s="375">
        <f t="shared" si="1063"/>
        <v>401</v>
      </c>
      <c r="BG540" s="128">
        <f t="shared" si="1063"/>
        <v>421</v>
      </c>
      <c r="BH540" s="128">
        <f t="shared" si="1063"/>
        <v>418</v>
      </c>
      <c r="BI540" s="289">
        <f t="shared" si="1063"/>
        <v>429</v>
      </c>
      <c r="BJ540" s="375">
        <f t="shared" si="1063"/>
        <v>437</v>
      </c>
      <c r="BK540" s="128">
        <f t="shared" si="1063"/>
        <v>426</v>
      </c>
      <c r="BL540" s="128">
        <f t="shared" si="1063"/>
        <v>402</v>
      </c>
      <c r="BM540" s="289">
        <f t="shared" si="1063"/>
        <v>381</v>
      </c>
      <c r="BN540" s="375">
        <f t="shared" si="1063"/>
        <v>385</v>
      </c>
      <c r="BO540" s="128">
        <f t="shared" si="1063"/>
        <v>389</v>
      </c>
      <c r="BP540" s="128">
        <f t="shared" si="1063"/>
        <v>359</v>
      </c>
      <c r="BQ540" s="289">
        <f t="shared" si="1063"/>
        <v>494</v>
      </c>
      <c r="BR540" s="128">
        <f t="shared" ref="BR540:BY541" si="1064">BR$11*BR536</f>
        <v>639</v>
      </c>
      <c r="BS540" s="128">
        <f t="shared" ref="BS540:BU541" si="1065">BS$11*BS536</f>
        <v>585</v>
      </c>
      <c r="BT540" s="128">
        <f t="shared" si="1065"/>
        <v>613</v>
      </c>
      <c r="BU540" s="289">
        <f t="shared" si="1065"/>
        <v>604</v>
      </c>
      <c r="BV540" s="128">
        <f t="shared" si="1064"/>
        <v>592</v>
      </c>
      <c r="BW540" s="128">
        <f t="shared" si="1064"/>
        <v>629</v>
      </c>
      <c r="BX540" s="128">
        <f t="shared" si="1064"/>
        <v>598.91003529999989</v>
      </c>
      <c r="BY540" s="289">
        <f t="shared" si="1064"/>
        <v>594.59657479045995</v>
      </c>
      <c r="BZ540" s="128">
        <f t="shared" ref="BZ540:CC541" si="1066">BZ$11*BZ536</f>
        <v>583.10880419876014</v>
      </c>
      <c r="CA540" s="128">
        <f t="shared" si="1066"/>
        <v>573.86236120628018</v>
      </c>
      <c r="CB540" s="128">
        <f t="shared" si="1066"/>
        <v>579.23681730977012</v>
      </c>
      <c r="CC540" s="289">
        <f t="shared" si="1066"/>
        <v>526.33620614357631</v>
      </c>
      <c r="CD540" s="9"/>
      <c r="CE540" s="158">
        <f>SUM(F540:I540)</f>
        <v>113.38200000000001</v>
      </c>
      <c r="CF540" s="1644">
        <f>SUM(J540:M540)</f>
        <v>121.89100000000001</v>
      </c>
      <c r="CG540" s="1644">
        <f>SUM(N540:Q540)</f>
        <v>134.69999999999999</v>
      </c>
      <c r="CH540" s="1644">
        <f>SUM(R540:U540)</f>
        <v>201</v>
      </c>
      <c r="CI540" s="1644">
        <f>SUM(V540:Y540)</f>
        <v>238.5</v>
      </c>
      <c r="CJ540" s="1644">
        <f>SUM(Z540:AC540)</f>
        <v>296.5</v>
      </c>
      <c r="CK540" s="1644">
        <f>SUM(AD540:AG540)</f>
        <v>306</v>
      </c>
      <c r="CL540" s="1644">
        <f>SUM(AH540:AK540)</f>
        <v>464</v>
      </c>
      <c r="CM540" s="1644">
        <f>SUM(AL540:AO540)</f>
        <v>525</v>
      </c>
      <c r="CN540" s="1644">
        <f>SUM(AP540:AS540)</f>
        <v>610</v>
      </c>
      <c r="CO540" s="1644">
        <f>SUM(AT540:AW540)</f>
        <v>703</v>
      </c>
      <c r="CP540" s="1644">
        <f>SUM(AX540:BA540)</f>
        <v>1055</v>
      </c>
      <c r="CQ540" s="1644">
        <f>SUM(BB540:BE540)</f>
        <v>1572</v>
      </c>
      <c r="CR540" s="1644">
        <f>SUM(BF540:BI540)</f>
        <v>1669</v>
      </c>
      <c r="CS540" s="1644">
        <f>SUM(BJ540:BM540)</f>
        <v>1646</v>
      </c>
      <c r="CT540" s="1644">
        <f>SUM(BN540:BQ540)</f>
        <v>1627</v>
      </c>
      <c r="CU540" s="1644">
        <f>SUM(BR540:BU540)</f>
        <v>2441</v>
      </c>
      <c r="CV540" s="1644">
        <f>SUM(BV540:BY540)</f>
        <v>2414.5066100904596</v>
      </c>
      <c r="CW540" s="1644">
        <f>SUM(BZ540:CC540)</f>
        <v>2262.5441888583869</v>
      </c>
      <c r="CX540" s="1644">
        <f t="shared" ref="CX540:DA541" si="1067">CX$11*CX536</f>
        <v>2354.2899303647259</v>
      </c>
      <c r="CY540" s="1644">
        <f t="shared" si="1067"/>
        <v>2482.0667668168462</v>
      </c>
      <c r="CZ540" s="1644">
        <f t="shared" si="1067"/>
        <v>2532.4998408184179</v>
      </c>
      <c r="DA540" s="1644">
        <f t="shared" si="1067"/>
        <v>2603.790041787629</v>
      </c>
      <c r="DB540" s="1644">
        <f>DB$11*DB536</f>
        <v>2686.104659410873</v>
      </c>
      <c r="DC540" s="1644">
        <f>DC$11*DC536</f>
        <v>2780.5044275690411</v>
      </c>
      <c r="DD540" s="1529"/>
      <c r="DE540" s="1483"/>
      <c r="DF540" s="24"/>
      <c r="DG540" s="24"/>
      <c r="DH540" s="24"/>
      <c r="DI540" s="24"/>
      <c r="DJ540" s="24"/>
      <c r="DK540" s="24"/>
      <c r="DL540" s="141"/>
      <c r="DM540" s="24"/>
      <c r="DN540" s="24"/>
      <c r="DO540" s="24"/>
      <c r="DP540" s="24"/>
      <c r="DQ540" s="24"/>
      <c r="DR540" s="24"/>
      <c r="DS540" s="24"/>
      <c r="DT540" s="24"/>
      <c r="DU540" s="24"/>
      <c r="DV540" s="24"/>
      <c r="DW540" s="24"/>
      <c r="DX540" s="24"/>
      <c r="DY540" s="24"/>
      <c r="DZ540" s="1561"/>
      <c r="EA540"/>
      <c r="EB540"/>
      <c r="EC540"/>
      <c r="ED540"/>
      <c r="EE540"/>
      <c r="EF540"/>
    </row>
    <row r="541" spans="1:136" s="52" customFormat="1">
      <c r="A541" s="3"/>
      <c r="B541" s="227"/>
      <c r="C541" s="141" t="s">
        <v>964</v>
      </c>
      <c r="E541" s="228"/>
      <c r="F541" s="1628">
        <f t="shared" ref="F541:AK541" si="1068">F69</f>
        <v>29.523</v>
      </c>
      <c r="G541" s="1628">
        <f t="shared" si="1068"/>
        <v>31.925000000000001</v>
      </c>
      <c r="H541" s="1628">
        <f t="shared" si="1068"/>
        <v>30.225000000000001</v>
      </c>
      <c r="I541" s="1629">
        <f t="shared" si="1068"/>
        <v>24.158999999999992</v>
      </c>
      <c r="J541" s="1628">
        <f t="shared" si="1068"/>
        <v>27.367999999999999</v>
      </c>
      <c r="K541" s="1628">
        <f t="shared" si="1068"/>
        <v>28.494</v>
      </c>
      <c r="L541" s="1628">
        <f t="shared" si="1068"/>
        <v>29.76</v>
      </c>
      <c r="M541" s="1629">
        <f t="shared" si="1068"/>
        <v>26.161000000000001</v>
      </c>
      <c r="N541" s="1628">
        <f t="shared" si="1068"/>
        <v>26.443999999999999</v>
      </c>
      <c r="O541" s="1628">
        <f t="shared" si="1068"/>
        <v>33.628</v>
      </c>
      <c r="P541" s="1628">
        <f t="shared" si="1068"/>
        <v>30.204999999999998</v>
      </c>
      <c r="Q541" s="1629">
        <f t="shared" si="1068"/>
        <v>31.123000000000005</v>
      </c>
      <c r="R541" s="1628">
        <f t="shared" si="1068"/>
        <v>27.6</v>
      </c>
      <c r="S541" s="1628">
        <f t="shared" si="1068"/>
        <v>26.5</v>
      </c>
      <c r="T541" s="1628">
        <f t="shared" si="1068"/>
        <v>27.2</v>
      </c>
      <c r="U541" s="1629">
        <f t="shared" si="1068"/>
        <v>24.3</v>
      </c>
      <c r="V541" s="1628">
        <f t="shared" si="1068"/>
        <v>27.9</v>
      </c>
      <c r="W541" s="1628">
        <f t="shared" si="1068"/>
        <v>33.9</v>
      </c>
      <c r="X541" s="1628">
        <f t="shared" si="1068"/>
        <v>35.6</v>
      </c>
      <c r="Y541" s="1629">
        <f t="shared" si="1068"/>
        <v>38</v>
      </c>
      <c r="Z541" s="1628">
        <f t="shared" si="1068"/>
        <v>40.4</v>
      </c>
      <c r="AA541" s="1628">
        <f t="shared" si="1068"/>
        <v>47.8</v>
      </c>
      <c r="AB541" s="1628">
        <f t="shared" si="1068"/>
        <v>38.5</v>
      </c>
      <c r="AC541" s="1629">
        <f t="shared" si="1068"/>
        <v>38.799999999999997</v>
      </c>
      <c r="AD541" s="1628">
        <f t="shared" si="1068"/>
        <v>44</v>
      </c>
      <c r="AE541" s="1628">
        <f t="shared" si="1068"/>
        <v>56</v>
      </c>
      <c r="AF541" s="1628">
        <f t="shared" si="1068"/>
        <v>32</v>
      </c>
      <c r="AG541" s="1628">
        <f t="shared" si="1068"/>
        <v>47</v>
      </c>
      <c r="AH541" s="1630">
        <f t="shared" si="1068"/>
        <v>48</v>
      </c>
      <c r="AI541" s="128">
        <f t="shared" si="1068"/>
        <v>59</v>
      </c>
      <c r="AJ541" s="128">
        <f t="shared" si="1068"/>
        <v>56</v>
      </c>
      <c r="AK541" s="289">
        <f t="shared" si="1068"/>
        <v>56</v>
      </c>
      <c r="AL541" s="128">
        <f t="shared" ref="AL541:BQ541" si="1069">AL69</f>
        <v>57</v>
      </c>
      <c r="AM541" s="128">
        <f t="shared" si="1069"/>
        <v>48</v>
      </c>
      <c r="AN541" s="128">
        <f t="shared" si="1069"/>
        <v>49</v>
      </c>
      <c r="AO541" s="289">
        <f t="shared" si="1069"/>
        <v>52</v>
      </c>
      <c r="AP541" s="128">
        <f t="shared" si="1069"/>
        <v>53</v>
      </c>
      <c r="AQ541" s="128">
        <f t="shared" si="1069"/>
        <v>60</v>
      </c>
      <c r="AR541" s="128">
        <f t="shared" si="1069"/>
        <v>64</v>
      </c>
      <c r="AS541" s="128">
        <f t="shared" si="1069"/>
        <v>61</v>
      </c>
      <c r="AT541" s="375">
        <f t="shared" si="1069"/>
        <v>59</v>
      </c>
      <c r="AU541" s="128">
        <f t="shared" si="1069"/>
        <v>66</v>
      </c>
      <c r="AV541" s="128">
        <f t="shared" si="1069"/>
        <v>63</v>
      </c>
      <c r="AW541" s="128">
        <f t="shared" si="1069"/>
        <v>74</v>
      </c>
      <c r="AX541" s="375">
        <f t="shared" si="1069"/>
        <v>68</v>
      </c>
      <c r="AY541" s="128">
        <f t="shared" si="1069"/>
        <v>82</v>
      </c>
      <c r="AZ541" s="128">
        <f t="shared" si="1069"/>
        <v>118</v>
      </c>
      <c r="BA541" s="289">
        <f t="shared" si="1069"/>
        <v>166</v>
      </c>
      <c r="BB541" s="375">
        <f t="shared" si="1069"/>
        <v>168</v>
      </c>
      <c r="BC541" s="128">
        <f t="shared" si="1069"/>
        <v>151</v>
      </c>
      <c r="BD541" s="128">
        <f t="shared" si="1069"/>
        <v>163</v>
      </c>
      <c r="BE541" s="289">
        <f t="shared" si="1069"/>
        <v>162</v>
      </c>
      <c r="BF541" s="375">
        <f t="shared" si="1069"/>
        <v>173</v>
      </c>
      <c r="BG541" s="128">
        <f t="shared" si="1069"/>
        <v>195</v>
      </c>
      <c r="BH541" s="128">
        <f t="shared" si="1069"/>
        <v>183</v>
      </c>
      <c r="BI541" s="289">
        <f t="shared" si="1069"/>
        <v>169</v>
      </c>
      <c r="BJ541" s="375">
        <f t="shared" si="1069"/>
        <v>163</v>
      </c>
      <c r="BK541" s="128">
        <f t="shared" si="1069"/>
        <v>153</v>
      </c>
      <c r="BL541" s="128">
        <f t="shared" si="1069"/>
        <v>162</v>
      </c>
      <c r="BM541" s="289">
        <f t="shared" si="1069"/>
        <v>146</v>
      </c>
      <c r="BN541" s="375">
        <f t="shared" si="1069"/>
        <v>146</v>
      </c>
      <c r="BO541" s="128">
        <f t="shared" si="1069"/>
        <v>129</v>
      </c>
      <c r="BP541" s="128">
        <f t="shared" si="1069"/>
        <v>90</v>
      </c>
      <c r="BQ541" s="289">
        <f t="shared" si="1069"/>
        <v>147</v>
      </c>
      <c r="BR541" s="128">
        <f t="shared" si="1064"/>
        <v>224</v>
      </c>
      <c r="BS541" s="128">
        <f t="shared" si="1065"/>
        <v>211.99999999999997</v>
      </c>
      <c r="BT541" s="128">
        <f t="shared" si="1065"/>
        <v>198.00000000000003</v>
      </c>
      <c r="BU541" s="289">
        <f t="shared" si="1065"/>
        <v>208</v>
      </c>
      <c r="BV541" s="128">
        <f t="shared" si="1064"/>
        <v>227</v>
      </c>
      <c r="BW541" s="128">
        <f t="shared" si="1064"/>
        <v>236</v>
      </c>
      <c r="BX541" s="128">
        <f t="shared" si="1064"/>
        <v>245.45493249999996</v>
      </c>
      <c r="BY541" s="289">
        <f t="shared" si="1064"/>
        <v>226.04497884595997</v>
      </c>
      <c r="BZ541" s="128">
        <f t="shared" si="1066"/>
        <v>228.17301033864527</v>
      </c>
      <c r="CA541" s="128">
        <f t="shared" si="1066"/>
        <v>219.56472950501151</v>
      </c>
      <c r="CB541" s="128">
        <f t="shared" si="1066"/>
        <v>213.1591487699954</v>
      </c>
      <c r="CC541" s="289">
        <f t="shared" si="1066"/>
        <v>192.98994225264462</v>
      </c>
      <c r="CD541" s="9"/>
      <c r="CE541" s="158">
        <f>SUM(F541:I541)</f>
        <v>115.83199999999999</v>
      </c>
      <c r="CF541" s="1644">
        <f>SUM(J541:M541)</f>
        <v>111.783</v>
      </c>
      <c r="CG541" s="1644">
        <f>SUM(N541:Q541)</f>
        <v>121.4</v>
      </c>
      <c r="CH541" s="1644">
        <f>SUM(R541:U541)</f>
        <v>105.6</v>
      </c>
      <c r="CI541" s="1644">
        <f>SUM(V541:Y541)</f>
        <v>135.4</v>
      </c>
      <c r="CJ541" s="1644">
        <f>SUM(Z541:AC541)</f>
        <v>165.5</v>
      </c>
      <c r="CK541" s="1644">
        <f>SUM(AD541:AG541)</f>
        <v>179</v>
      </c>
      <c r="CL541" s="1644">
        <f>SUM(AH541:AK541)</f>
        <v>219</v>
      </c>
      <c r="CM541" s="1644">
        <f>SUM(AL541:AO541)</f>
        <v>206</v>
      </c>
      <c r="CN541" s="1644">
        <f>SUM(AP541:AS541)</f>
        <v>238</v>
      </c>
      <c r="CO541" s="1644">
        <f>SUM(AT541:AW541)</f>
        <v>262</v>
      </c>
      <c r="CP541" s="1644">
        <f>SUM(AX541:BA541)</f>
        <v>434</v>
      </c>
      <c r="CQ541" s="1644">
        <f>SUM(BB541:BE541)</f>
        <v>644</v>
      </c>
      <c r="CR541" s="1644">
        <f>SUM(BF541:BI541)</f>
        <v>720</v>
      </c>
      <c r="CS541" s="1644">
        <f>SUM(BJ541:BM541)</f>
        <v>624</v>
      </c>
      <c r="CT541" s="1644">
        <f>SUM(BN541:BQ541)</f>
        <v>512</v>
      </c>
      <c r="CU541" s="1644">
        <f>SUM(BR541:BU541)</f>
        <v>842</v>
      </c>
      <c r="CV541" s="1644">
        <f>SUM(BV541:BY541)</f>
        <v>934.49991134595984</v>
      </c>
      <c r="CW541" s="1644">
        <f>SUM(BZ541:CC541)</f>
        <v>853.8868308662968</v>
      </c>
      <c r="CX541" s="1644">
        <f t="shared" si="1067"/>
        <v>921.24388579489266</v>
      </c>
      <c r="CY541" s="1644">
        <f t="shared" si="1067"/>
        <v>890.99832654963711</v>
      </c>
      <c r="CZ541" s="1644">
        <f t="shared" si="1067"/>
        <v>902.89124759613162</v>
      </c>
      <c r="DA541" s="1644">
        <f t="shared" si="1067"/>
        <v>921.69559001332004</v>
      </c>
      <c r="DB541" s="1644">
        <f>DB$11*DB537</f>
        <v>967.96564303094522</v>
      </c>
      <c r="DC541" s="1644">
        <f>DC$11*DC537</f>
        <v>1020.3685972730426</v>
      </c>
      <c r="DD541" s="1529"/>
      <c r="DE541" s="1483"/>
      <c r="DF541" s="24"/>
      <c r="DG541" s="24"/>
      <c r="DH541" s="24"/>
      <c r="DI541" s="24"/>
      <c r="DJ541" s="24"/>
      <c r="DK541" s="24"/>
      <c r="DL541" s="141"/>
      <c r="DM541" s="24"/>
      <c r="DN541" s="24"/>
      <c r="DO541" s="24"/>
      <c r="DP541" s="24"/>
      <c r="DQ541" s="24"/>
      <c r="DR541" s="24"/>
      <c r="DS541" s="24"/>
      <c r="DT541" s="24"/>
      <c r="DU541" s="24"/>
      <c r="DV541" s="24"/>
      <c r="DW541" s="24"/>
      <c r="DX541" s="24"/>
      <c r="DY541" s="24"/>
      <c r="DZ541" s="1561"/>
      <c r="EA541"/>
      <c r="EB541"/>
      <c r="EC541"/>
      <c r="ED541"/>
      <c r="EE541"/>
      <c r="EF541"/>
    </row>
    <row r="542" spans="1:136">
      <c r="A542" s="145"/>
      <c r="B542" s="227"/>
      <c r="C542" s="145"/>
      <c r="D542" s="145"/>
      <c r="E542" s="228"/>
      <c r="F542" s="547"/>
      <c r="G542" s="547"/>
      <c r="H542" s="547"/>
      <c r="I542" s="626"/>
      <c r="J542" s="547"/>
      <c r="K542" s="547"/>
      <c r="L542" s="547"/>
      <c r="M542" s="626"/>
      <c r="N542" s="547"/>
      <c r="O542" s="547"/>
      <c r="P542" s="547"/>
      <c r="Q542" s="626"/>
      <c r="R542" s="547"/>
      <c r="S542" s="547"/>
      <c r="T542" s="547"/>
      <c r="U542" s="626"/>
      <c r="V542" s="547"/>
      <c r="W542" s="547"/>
      <c r="X542" s="547"/>
      <c r="Y542" s="626"/>
      <c r="Z542" s="547"/>
      <c r="AA542" s="547"/>
      <c r="AB542" s="547"/>
      <c r="AC542" s="626"/>
      <c r="AD542" s="547"/>
      <c r="AE542" s="547"/>
      <c r="AF542" s="547"/>
      <c r="AG542" s="547"/>
      <c r="AH542" s="693"/>
      <c r="AI542" s="145"/>
      <c r="AJ542" s="145"/>
      <c r="AK542" s="228"/>
      <c r="AL542" s="145"/>
      <c r="AM542" s="145"/>
      <c r="AN542" s="145"/>
      <c r="AO542" s="228"/>
      <c r="AP542" s="145"/>
      <c r="AQ542" s="145"/>
      <c r="AR542" s="145"/>
      <c r="AS542" s="145"/>
      <c r="AT542" s="227"/>
      <c r="AU542" s="145"/>
      <c r="AV542" s="145"/>
      <c r="AW542" s="145"/>
      <c r="AX542" s="227"/>
      <c r="AY542" s="145"/>
      <c r="AZ542" s="550"/>
      <c r="BA542" s="482"/>
      <c r="BB542" s="1593"/>
      <c r="BC542" s="1591"/>
      <c r="BD542" s="1591"/>
      <c r="BE542" s="1592"/>
      <c r="BF542" s="1593"/>
      <c r="BG542" s="1591"/>
      <c r="BH542" s="1591"/>
      <c r="BI542" s="1592"/>
      <c r="BJ542" s="1593"/>
      <c r="BK542" s="1591"/>
      <c r="BL542" s="1591"/>
      <c r="BM542" s="1592"/>
      <c r="BN542" s="1593"/>
      <c r="BO542" s="1591"/>
      <c r="BP542" s="1591"/>
      <c r="BQ542" s="1592"/>
      <c r="BR542" s="2148"/>
      <c r="BS542" s="2148"/>
      <c r="BT542" s="2148"/>
      <c r="BU542" s="2149"/>
      <c r="BV542" s="2148"/>
      <c r="BW542" s="2148"/>
      <c r="BX542" s="2148"/>
      <c r="BY542" s="2149"/>
      <c r="BZ542" s="2148"/>
      <c r="CA542" s="2148"/>
      <c r="CB542" s="2148"/>
      <c r="CC542" s="2149"/>
      <c r="CD542" s="9"/>
      <c r="CE542" s="547"/>
      <c r="CF542" s="547"/>
      <c r="CG542" s="547"/>
      <c r="CH542" s="547"/>
      <c r="CI542" s="547"/>
      <c r="CJ542" s="547"/>
      <c r="CK542" s="547"/>
      <c r="CL542" s="547"/>
      <c r="CM542" s="547"/>
      <c r="CN542" s="547"/>
      <c r="CO542" s="547"/>
      <c r="CP542" s="547"/>
      <c r="CQ542" s="547"/>
      <c r="CR542" s="547"/>
      <c r="CS542" s="481"/>
      <c r="CT542" s="481"/>
      <c r="CU542" s="481"/>
      <c r="CV542" s="481"/>
      <c r="CW542" s="481"/>
      <c r="CX542" s="1666"/>
      <c r="CY542" s="1666"/>
      <c r="CZ542" s="1666"/>
      <c r="DA542" s="1666"/>
      <c r="DB542" s="1666"/>
      <c r="DC542" s="1666"/>
      <c r="DD542" s="1517"/>
      <c r="DE542" s="1483"/>
      <c r="DF542" s="141"/>
      <c r="DG542" s="141"/>
      <c r="DH542" s="141"/>
      <c r="DI542" s="141"/>
      <c r="DJ542" s="141"/>
      <c r="DK542" s="141"/>
      <c r="DL542" s="141"/>
      <c r="DM542" s="141"/>
      <c r="DN542" s="141"/>
      <c r="DO542" s="141"/>
      <c r="DP542" s="141"/>
      <c r="DQ542" s="141"/>
      <c r="DR542" s="141"/>
      <c r="DS542" s="141"/>
      <c r="DT542" s="141"/>
      <c r="DU542" s="141"/>
      <c r="DV542" s="141"/>
      <c r="DW542" s="141"/>
      <c r="DX542" s="141"/>
      <c r="DY542" s="141"/>
      <c r="DZ542" s="1676"/>
    </row>
    <row r="543" spans="1:136">
      <c r="A543" s="120"/>
      <c r="B543" s="219" t="s">
        <v>292</v>
      </c>
      <c r="C543" s="220"/>
      <c r="D543" s="220"/>
      <c r="E543" s="745"/>
      <c r="F543" s="856"/>
      <c r="G543" s="856"/>
      <c r="H543" s="856"/>
      <c r="I543" s="858"/>
      <c r="J543" s="856"/>
      <c r="K543" s="856"/>
      <c r="L543" s="856"/>
      <c r="M543" s="858"/>
      <c r="N543" s="627"/>
      <c r="O543" s="627"/>
      <c r="P543" s="627"/>
      <c r="Q543" s="628"/>
      <c r="R543" s="627"/>
      <c r="S543" s="627"/>
      <c r="T543" s="627"/>
      <c r="U543" s="628"/>
      <c r="V543" s="184"/>
      <c r="W543" s="184"/>
      <c r="X543" s="184"/>
      <c r="Y543" s="628"/>
      <c r="Z543" s="184"/>
      <c r="AA543" s="184"/>
      <c r="AB543" s="184"/>
      <c r="AC543" s="244"/>
      <c r="AD543" s="184"/>
      <c r="AE543" s="184"/>
      <c r="AF543" s="184"/>
      <c r="AG543" s="46"/>
      <c r="AH543" s="774"/>
      <c r="AI543" s="124"/>
      <c r="AJ543" s="124"/>
      <c r="AK543" s="125"/>
      <c r="AL543" s="124"/>
      <c r="AM543" s="124"/>
      <c r="AN543" s="124"/>
      <c r="AO543" s="125"/>
      <c r="AP543" s="126"/>
      <c r="AQ543" s="126"/>
      <c r="AR543" s="126"/>
      <c r="AS543" s="126"/>
      <c r="AT543" s="971"/>
      <c r="AU543" s="126"/>
      <c r="AV543" s="126"/>
      <c r="AW543" s="126"/>
      <c r="AX543" s="971"/>
      <c r="AY543" s="126"/>
      <c r="AZ543" s="758"/>
      <c r="BA543" s="759"/>
      <c r="BB543" s="757"/>
      <c r="BC543" s="758"/>
      <c r="BD543" s="758"/>
      <c r="BE543" s="759"/>
      <c r="BF543" s="757"/>
      <c r="BG543" s="758"/>
      <c r="BH543" s="758"/>
      <c r="BI543" s="759"/>
      <c r="BJ543" s="757"/>
      <c r="BK543" s="758"/>
      <c r="BL543" s="758"/>
      <c r="BM543" s="759"/>
      <c r="BN543" s="757"/>
      <c r="BO543" s="758"/>
      <c r="BP543" s="758"/>
      <c r="BQ543" s="759"/>
      <c r="BR543" s="2148"/>
      <c r="BS543" s="2148"/>
      <c r="BT543" s="2148"/>
      <c r="BU543" s="2149"/>
      <c r="BV543" s="2148"/>
      <c r="BW543" s="2148"/>
      <c r="BX543" s="2148"/>
      <c r="BY543" s="2149"/>
      <c r="BZ543" s="2148"/>
      <c r="CA543" s="2148"/>
      <c r="CB543" s="2148"/>
      <c r="CC543" s="2149"/>
      <c r="CD543" s="9"/>
      <c r="CE543" s="122"/>
      <c r="CF543" s="122"/>
      <c r="CG543" s="122"/>
      <c r="CH543" s="122"/>
      <c r="CI543" s="122"/>
      <c r="CJ543" s="122"/>
      <c r="CK543" s="122"/>
      <c r="CL543" s="122"/>
      <c r="CM543" s="122"/>
      <c r="CN543" s="122"/>
      <c r="CO543" s="122"/>
      <c r="CP543" s="122"/>
      <c r="CQ543" s="122"/>
      <c r="CR543" s="122"/>
      <c r="CS543" s="758"/>
      <c r="CT543" s="758"/>
      <c r="CU543" s="758"/>
      <c r="CV543" s="758"/>
      <c r="CW543" s="758"/>
      <c r="CX543" s="1667"/>
      <c r="CY543" s="1667"/>
      <c r="CZ543" s="1667"/>
      <c r="DA543" s="1667"/>
      <c r="DB543" s="1667"/>
      <c r="DC543" s="1667"/>
      <c r="DD543" s="1517"/>
      <c r="DE543" s="1483"/>
      <c r="DF543" s="24"/>
      <c r="DG543" s="24"/>
      <c r="DH543" s="24"/>
      <c r="DI543" s="24"/>
      <c r="DJ543" s="24"/>
      <c r="DK543" s="24"/>
      <c r="DL543" s="141"/>
      <c r="DM543" s="122"/>
      <c r="DN543" s="122"/>
      <c r="DO543" s="122"/>
      <c r="DP543" s="122"/>
      <c r="DQ543" s="122"/>
      <c r="DR543" s="122"/>
      <c r="DS543" s="122"/>
      <c r="DT543" s="122"/>
      <c r="DU543" s="122"/>
      <c r="DV543" s="122"/>
      <c r="DW543" s="122"/>
      <c r="DX543" s="122"/>
      <c r="DY543" s="122"/>
      <c r="DZ543" s="1561"/>
    </row>
    <row r="544" spans="1:136">
      <c r="A544" s="120"/>
      <c r="B544" s="217"/>
      <c r="C544" s="218" t="s">
        <v>281</v>
      </c>
      <c r="D544" s="218"/>
      <c r="E544" s="746"/>
      <c r="F544" s="857" t="s">
        <v>629</v>
      </c>
      <c r="G544" s="857" t="s">
        <v>629</v>
      </c>
      <c r="H544" s="857" t="s">
        <v>629</v>
      </c>
      <c r="I544" s="859" t="s">
        <v>629</v>
      </c>
      <c r="J544" s="857" t="s">
        <v>629</v>
      </c>
      <c r="K544" s="857" t="s">
        <v>629</v>
      </c>
      <c r="L544" s="857" t="s">
        <v>629</v>
      </c>
      <c r="M544" s="859" t="s">
        <v>629</v>
      </c>
      <c r="N544" s="862">
        <f>BS!M13+BS!M14</f>
        <v>223.72800000000001</v>
      </c>
      <c r="O544" s="636">
        <f>BS!N13+BS!N14</f>
        <v>244.44800000000001</v>
      </c>
      <c r="P544" s="636">
        <f>BS!O13+BS!O14</f>
        <v>326.94400000000002</v>
      </c>
      <c r="Q544" s="637">
        <f>BS!P13+BS!P14</f>
        <v>347.06</v>
      </c>
      <c r="R544" s="862">
        <f>BS!Q13+BS!Q14</f>
        <v>393.2</v>
      </c>
      <c r="S544" s="636">
        <f>BS!R13+BS!R14</f>
        <v>285.8</v>
      </c>
      <c r="T544" s="636">
        <f>BS!S13+BS!S14</f>
        <v>318.39999999999998</v>
      </c>
      <c r="U544" s="637">
        <f>BS!T13+BS!T14</f>
        <v>359.9</v>
      </c>
      <c r="V544" s="862">
        <f>BS!U13+BS!U14</f>
        <v>377.8</v>
      </c>
      <c r="W544" s="636">
        <f>BS!V13+BS!V14</f>
        <v>405.2</v>
      </c>
      <c r="X544" s="636">
        <f>BS!W13+BS!W14</f>
        <v>492.5</v>
      </c>
      <c r="Y544" s="637">
        <f>BS!X13+BS!X14</f>
        <v>574.30000000000007</v>
      </c>
      <c r="Z544" s="862">
        <f>BS!Y13+BS!Y14</f>
        <v>598.4</v>
      </c>
      <c r="AA544" s="636">
        <f>BS!Z13+BS!Z14</f>
        <v>581.29999999999995</v>
      </c>
      <c r="AB544" s="636">
        <f>BS!AA13+BS!AA14</f>
        <v>644.70000000000005</v>
      </c>
      <c r="AC544" s="637">
        <f>BS!AB13+BS!AB14</f>
        <v>674.09999999999991</v>
      </c>
      <c r="AD544" s="862">
        <f>BS!AC13+BS!AC14</f>
        <v>698.80000000000007</v>
      </c>
      <c r="AE544" s="636">
        <f>BS!AD13+BS!AD14</f>
        <v>751</v>
      </c>
      <c r="AF544" s="636">
        <f>BS!AE13+BS!AE14</f>
        <v>830</v>
      </c>
      <c r="AG544" s="636">
        <f>BS!AF13+BS!AF14</f>
        <v>875</v>
      </c>
      <c r="AH544" s="862">
        <f>BS!AG13+BS!AG14</f>
        <v>907</v>
      </c>
      <c r="AI544" s="636">
        <f>BS!AH13+BS!AH14</f>
        <v>851</v>
      </c>
      <c r="AJ544" s="636">
        <f>BS!AI13+BS!AI14</f>
        <v>967</v>
      </c>
      <c r="AK544" s="637">
        <f>BS!AJ13+BS!AJ14</f>
        <v>949</v>
      </c>
      <c r="AL544" s="636">
        <f>BS!AK13+BS!AK14</f>
        <v>1107</v>
      </c>
      <c r="AM544" s="636">
        <f>BS!AL13+BS!AL14</f>
        <v>1215</v>
      </c>
      <c r="AN544" s="636">
        <f>BS!AM13+BS!AM14</f>
        <v>1376</v>
      </c>
      <c r="AO544" s="637">
        <f>BS!AN13+BS!AN14</f>
        <v>1579</v>
      </c>
      <c r="AP544" s="636">
        <f>BS!AO13+BS!AO14</f>
        <v>1794</v>
      </c>
      <c r="AQ544" s="636">
        <f>BS!AP13+BS!AP14</f>
        <v>2056</v>
      </c>
      <c r="AR544" s="636">
        <f>BS!AQ13+BS!AQ14</f>
        <v>2435</v>
      </c>
      <c r="AS544" s="637">
        <f>BS!AR13+BS!AR14</f>
        <v>2826</v>
      </c>
      <c r="AT544" s="636">
        <f>BS!AS13+BS!AS14</f>
        <v>2734</v>
      </c>
      <c r="AU544" s="636">
        <f>BS!AT13+BS!AT14</f>
        <v>2858</v>
      </c>
      <c r="AV544" s="636">
        <f>BS!AU13+BS!AU14</f>
        <v>3110</v>
      </c>
      <c r="AW544" s="637">
        <f>BS!AV13+BS!AV14</f>
        <v>3230</v>
      </c>
      <c r="AX544" s="636">
        <f>BS!AW13+BS!AW14</f>
        <v>3490</v>
      </c>
      <c r="AY544" s="636">
        <f>BS!AX13+BS!AX14</f>
        <v>3675</v>
      </c>
      <c r="AZ544" s="636">
        <f>BS!AY13+BS!AY14</f>
        <v>3924</v>
      </c>
      <c r="BA544" s="637">
        <f>BS!AZ13+BS!AZ14</f>
        <v>3377</v>
      </c>
      <c r="BB544" s="636">
        <f>BS!BA13+BS!BA14</f>
        <v>3208</v>
      </c>
      <c r="BC544" s="636">
        <f>BS!BB13+BS!BB14</f>
        <v>3537</v>
      </c>
      <c r="BD544" s="636">
        <f>BS!BC13+BS!BC14</f>
        <v>3816</v>
      </c>
      <c r="BE544" s="637">
        <f>BS!BD13+BS!BD14</f>
        <v>4060</v>
      </c>
      <c r="BF544" s="636">
        <f>BS!BE13+BS!BE14</f>
        <v>4309</v>
      </c>
      <c r="BG544" s="636">
        <f>BS!BF13+BS!BF14</f>
        <v>4869</v>
      </c>
      <c r="BH544" s="636">
        <f>BS!BG13+BS!BG14</f>
        <v>4655</v>
      </c>
      <c r="BI544" s="637">
        <f>BS!BH13+BS!BH14</f>
        <v>4865</v>
      </c>
      <c r="BJ544" s="636">
        <f>BS!BI13+BS!BI14</f>
        <v>5088</v>
      </c>
      <c r="BK544" s="636">
        <f>BS!BJ13+BS!BJ14</f>
        <v>5381</v>
      </c>
      <c r="BL544" s="636">
        <f>BS!BK13+BS!BK14</f>
        <v>5143</v>
      </c>
      <c r="BM544" s="637">
        <f>BS!BL13+BS!BL14</f>
        <v>5040</v>
      </c>
      <c r="BN544" s="636">
        <f>BS!BM13+BS!BM14</f>
        <v>5286</v>
      </c>
      <c r="BO544" s="636">
        <f>BS!BN13+BS!BN14</f>
        <v>5428</v>
      </c>
      <c r="BP544" s="636">
        <f>BS!BO13+BS!BO14</f>
        <v>5860</v>
      </c>
      <c r="BQ544" s="637">
        <f>BS!BP13+BS!BP14</f>
        <v>6033</v>
      </c>
      <c r="BR544" s="636">
        <f>BS!BQ13+BS!BQ14</f>
        <v>8378</v>
      </c>
      <c r="BS544" s="636">
        <f>BS!BR13+BS!BR14</f>
        <v>4325</v>
      </c>
      <c r="BT544" s="636">
        <f>BS!BS13+BS!BS14</f>
        <v>5101</v>
      </c>
      <c r="BU544" s="637">
        <f>BS!BT13+BS!BT14</f>
        <v>5677</v>
      </c>
      <c r="BV544" s="636">
        <f>BS!BU13+BS!BU14</f>
        <v>6378</v>
      </c>
      <c r="BW544" s="636">
        <f>BS!BV13+BS!BV14</f>
        <v>6921</v>
      </c>
      <c r="BX544" s="636">
        <f>BS!BW13+BS!BW14</f>
        <v>6295</v>
      </c>
      <c r="BY544" s="637">
        <f>BS!BX13+BS!BX14</f>
        <v>5635.4284407821306</v>
      </c>
      <c r="BZ544" s="636">
        <f>BS!BY13+BS!BY14</f>
        <v>5991.8381680790353</v>
      </c>
      <c r="CA544" s="636">
        <f>BS!BZ13+BS!BZ14</f>
        <v>6428.8154558403903</v>
      </c>
      <c r="CB544" s="636">
        <f>BS!CA13+BS!CA14</f>
        <v>7019.7837248374235</v>
      </c>
      <c r="CC544" s="637">
        <f>BS!CB13+BS!CB14</f>
        <v>7014.3983666476806</v>
      </c>
      <c r="CD544" s="9"/>
      <c r="CE544" s="636">
        <f>BS!CD13+BS!CD14</f>
        <v>0</v>
      </c>
      <c r="CF544" s="857">
        <f>IF(ISERROR(BS!CE13+BS!CE14),"-",(BS!CE13+BS!CE14))</f>
        <v>167.58199999999999</v>
      </c>
      <c r="CG544" s="636">
        <f>BS!CF13+BS!CF14</f>
        <v>223.72800000000001</v>
      </c>
      <c r="CH544" s="636">
        <f>BS!CG13+BS!CG14</f>
        <v>393.2</v>
      </c>
      <c r="CI544" s="636">
        <f>BS!CH13+BS!CH14</f>
        <v>377.8</v>
      </c>
      <c r="CJ544" s="636">
        <f>BS!CI13+BS!CI14</f>
        <v>598.4</v>
      </c>
      <c r="CK544" s="636">
        <f>BS!CJ13+BS!CJ14</f>
        <v>698.80000000000007</v>
      </c>
      <c r="CL544" s="636">
        <f>BS!CK13+BS!CK14</f>
        <v>907</v>
      </c>
      <c r="CM544" s="636">
        <f>BS!CL13+BS!CL14</f>
        <v>1107</v>
      </c>
      <c r="CN544" s="636">
        <f>BS!CM13+BS!CM14</f>
        <v>1794</v>
      </c>
      <c r="CO544" s="636">
        <f>BS!CN13+BS!CN14</f>
        <v>2734</v>
      </c>
      <c r="CP544" s="636">
        <f>BS!CO13+BS!CO14</f>
        <v>3490</v>
      </c>
      <c r="CQ544" s="636">
        <f>BS!CP13+BS!CP14</f>
        <v>3208</v>
      </c>
      <c r="CR544" s="636">
        <f>BS!CQ13+BS!CQ14</f>
        <v>4309</v>
      </c>
      <c r="CS544" s="636">
        <f>BS!CR13+BS!CR14</f>
        <v>5088</v>
      </c>
      <c r="CT544" s="636">
        <f>BS!CS13+BS!CS14</f>
        <v>5286</v>
      </c>
      <c r="CU544" s="636">
        <f>BS!CT13+BS!CT14</f>
        <v>8378</v>
      </c>
      <c r="CV544" s="636">
        <f>BS!CU13+BS!CU14</f>
        <v>6378</v>
      </c>
      <c r="CW544" s="636">
        <f>BS!CV13+BS!CV14</f>
        <v>5991.8381680790353</v>
      </c>
      <c r="CX544" s="636">
        <f>BS!CW13+BS!CW14</f>
        <v>6931.5314074635244</v>
      </c>
      <c r="CY544" s="636">
        <f>BS!CX13+BS!CX14</f>
        <v>8295.9552541164139</v>
      </c>
      <c r="CZ544" s="636">
        <f>BS!CY13+BS!CY14</f>
        <v>9541.4736014413647</v>
      </c>
      <c r="DA544" s="636">
        <f>BS!CZ13+BS!CZ14</f>
        <v>10980.791768683577</v>
      </c>
      <c r="DB544" s="636">
        <f>BS!DA13+BS!DA14</f>
        <v>12260.690390510912</v>
      </c>
      <c r="DC544" s="636">
        <f>BS!DB13+BS!DB14</f>
        <v>13822.458666521006</v>
      </c>
      <c r="DD544" s="1517"/>
      <c r="DE544" s="1483"/>
      <c r="DF544" s="24"/>
      <c r="DG544" s="24"/>
      <c r="DH544" s="24"/>
      <c r="DI544" s="24"/>
      <c r="DJ544" s="24"/>
      <c r="DK544" s="24"/>
      <c r="DL544" s="141"/>
      <c r="DM544" s="122"/>
      <c r="DN544" s="122"/>
      <c r="DO544" s="122"/>
      <c r="DP544" s="122"/>
      <c r="DQ544" s="122"/>
      <c r="DR544" s="122"/>
      <c r="DS544" s="122"/>
      <c r="DT544" s="122"/>
      <c r="DU544" s="122"/>
      <c r="DV544" s="122"/>
      <c r="DW544" s="122"/>
      <c r="DX544" s="122"/>
      <c r="DY544" s="122"/>
      <c r="DZ544" s="1561"/>
    </row>
    <row r="545" spans="1:130">
      <c r="A545" s="120"/>
      <c r="B545" s="217"/>
      <c r="C545" s="218" t="s">
        <v>292</v>
      </c>
      <c r="D545" s="218"/>
      <c r="E545" s="745"/>
      <c r="F545" s="854">
        <f t="shared" ref="F545:AK545" si="1070">F75</f>
        <v>0</v>
      </c>
      <c r="G545" s="854">
        <f t="shared" si="1070"/>
        <v>0</v>
      </c>
      <c r="H545" s="854">
        <f t="shared" si="1070"/>
        <v>0</v>
      </c>
      <c r="I545" s="855">
        <f t="shared" si="1070"/>
        <v>0</v>
      </c>
      <c r="J545" s="854">
        <f t="shared" si="1070"/>
        <v>0</v>
      </c>
      <c r="K545" s="854">
        <f t="shared" si="1070"/>
        <v>0</v>
      </c>
      <c r="L545" s="854">
        <f t="shared" si="1070"/>
        <v>0</v>
      </c>
      <c r="M545" s="855">
        <f t="shared" si="1070"/>
        <v>0</v>
      </c>
      <c r="N545" s="854">
        <f t="shared" si="1070"/>
        <v>0</v>
      </c>
      <c r="O545" s="854">
        <f t="shared" si="1070"/>
        <v>0</v>
      </c>
      <c r="P545" s="854">
        <f t="shared" si="1070"/>
        <v>0</v>
      </c>
      <c r="Q545" s="855">
        <f t="shared" si="1070"/>
        <v>0</v>
      </c>
      <c r="R545" s="854">
        <f t="shared" si="1070"/>
        <v>0</v>
      </c>
      <c r="S545" s="854">
        <f t="shared" si="1070"/>
        <v>0</v>
      </c>
      <c r="T545" s="854">
        <f t="shared" si="1070"/>
        <v>0</v>
      </c>
      <c r="U545" s="855">
        <f t="shared" si="1070"/>
        <v>0</v>
      </c>
      <c r="V545" s="854">
        <f t="shared" si="1070"/>
        <v>0</v>
      </c>
      <c r="W545" s="854">
        <f t="shared" si="1070"/>
        <v>0</v>
      </c>
      <c r="X545" s="854">
        <f t="shared" si="1070"/>
        <v>0</v>
      </c>
      <c r="Y545" s="855">
        <f t="shared" si="1070"/>
        <v>0</v>
      </c>
      <c r="Z545" s="854">
        <f t="shared" si="1070"/>
        <v>0</v>
      </c>
      <c r="AA545" s="854">
        <f t="shared" si="1070"/>
        <v>0</v>
      </c>
      <c r="AB545" s="854">
        <f t="shared" si="1070"/>
        <v>0</v>
      </c>
      <c r="AC545" s="855">
        <f t="shared" si="1070"/>
        <v>0</v>
      </c>
      <c r="AD545" s="854">
        <f t="shared" si="1070"/>
        <v>7</v>
      </c>
      <c r="AE545" s="854">
        <f t="shared" si="1070"/>
        <v>8</v>
      </c>
      <c r="AF545" s="854">
        <f t="shared" si="1070"/>
        <v>8</v>
      </c>
      <c r="AG545" s="854">
        <f t="shared" si="1070"/>
        <v>9</v>
      </c>
      <c r="AH545" s="1132">
        <f t="shared" si="1070"/>
        <v>9</v>
      </c>
      <c r="AI545" s="854">
        <f t="shared" si="1070"/>
        <v>8</v>
      </c>
      <c r="AJ545" s="854">
        <f t="shared" si="1070"/>
        <v>6</v>
      </c>
      <c r="AK545" s="855">
        <f t="shared" si="1070"/>
        <v>4</v>
      </c>
      <c r="AL545" s="854">
        <f t="shared" ref="AL545:BV545" si="1071">AL75</f>
        <v>4</v>
      </c>
      <c r="AM545" s="854">
        <f t="shared" si="1071"/>
        <v>2</v>
      </c>
      <c r="AN545" s="854">
        <f t="shared" si="1071"/>
        <v>1</v>
      </c>
      <c r="AO545" s="855">
        <f t="shared" si="1071"/>
        <v>2</v>
      </c>
      <c r="AP545" s="854">
        <f t="shared" si="1071"/>
        <v>1</v>
      </c>
      <c r="AQ545" s="854">
        <f t="shared" si="1071"/>
        <v>1</v>
      </c>
      <c r="AR545" s="854">
        <f t="shared" si="1071"/>
        <v>1</v>
      </c>
      <c r="AS545" s="855">
        <f t="shared" si="1071"/>
        <v>0.6</v>
      </c>
      <c r="AT545" s="854">
        <f t="shared" si="1071"/>
        <v>2</v>
      </c>
      <c r="AU545" s="854">
        <f t="shared" si="1071"/>
        <v>2</v>
      </c>
      <c r="AV545" s="854">
        <f t="shared" si="1071"/>
        <v>2</v>
      </c>
      <c r="AW545" s="855">
        <f t="shared" si="1071"/>
        <v>3</v>
      </c>
      <c r="AX545" s="854">
        <f t="shared" si="1071"/>
        <v>3</v>
      </c>
      <c r="AY545" s="854">
        <f t="shared" si="1071"/>
        <v>3</v>
      </c>
      <c r="AZ545" s="854">
        <f t="shared" si="1071"/>
        <v>3</v>
      </c>
      <c r="BA545" s="855">
        <f t="shared" si="1071"/>
        <v>3</v>
      </c>
      <c r="BB545" s="854">
        <f t="shared" si="1071"/>
        <v>2</v>
      </c>
      <c r="BC545" s="854">
        <f t="shared" si="1071"/>
        <v>3</v>
      </c>
      <c r="BD545" s="854">
        <f t="shared" si="1071"/>
        <v>3</v>
      </c>
      <c r="BE545" s="855">
        <f t="shared" si="1071"/>
        <v>3</v>
      </c>
      <c r="BF545" s="854">
        <f t="shared" si="1071"/>
        <v>3</v>
      </c>
      <c r="BG545" s="854">
        <f t="shared" si="1071"/>
        <v>3</v>
      </c>
      <c r="BH545" s="854">
        <f t="shared" si="1071"/>
        <v>4</v>
      </c>
      <c r="BI545" s="855">
        <f t="shared" si="1071"/>
        <v>7</v>
      </c>
      <c r="BJ545" s="854">
        <f t="shared" si="1071"/>
        <v>3</v>
      </c>
      <c r="BK545" s="854">
        <f t="shared" si="1071"/>
        <v>4</v>
      </c>
      <c r="BL545" s="854">
        <f t="shared" si="1071"/>
        <v>3</v>
      </c>
      <c r="BM545" s="855">
        <f t="shared" si="1071"/>
        <v>5</v>
      </c>
      <c r="BN545" s="854">
        <f t="shared" si="1071"/>
        <v>5</v>
      </c>
      <c r="BO545" s="854">
        <f t="shared" si="1071"/>
        <v>6</v>
      </c>
      <c r="BP545" s="854">
        <f t="shared" si="1071"/>
        <v>6</v>
      </c>
      <c r="BQ545" s="855">
        <f t="shared" si="1071"/>
        <v>9</v>
      </c>
      <c r="BR545" s="854">
        <f t="shared" si="1071"/>
        <v>5</v>
      </c>
      <c r="BS545" s="854">
        <f t="shared" si="1071"/>
        <v>5</v>
      </c>
      <c r="BT545" s="854">
        <f t="shared" si="1071"/>
        <v>7</v>
      </c>
      <c r="BU545" s="855">
        <f t="shared" si="1071"/>
        <v>9</v>
      </c>
      <c r="BV545" s="854">
        <f t="shared" si="1071"/>
        <v>5</v>
      </c>
      <c r="BW545" s="854">
        <f t="shared" ref="BW545" si="1072">BW75</f>
        <v>3</v>
      </c>
      <c r="BX545" s="758">
        <f t="shared" ref="BX545:CC545" si="1073">BX544*BX546/4</f>
        <v>3.1475</v>
      </c>
      <c r="BY545" s="759">
        <f t="shared" si="1073"/>
        <v>2.8177142203910654</v>
      </c>
      <c r="BZ545" s="758">
        <f t="shared" si="1073"/>
        <v>2.9959190840395178</v>
      </c>
      <c r="CA545" s="758">
        <f t="shared" si="1073"/>
        <v>3.2144077279201952</v>
      </c>
      <c r="CB545" s="758">
        <f t="shared" si="1073"/>
        <v>3.5098918624187116</v>
      </c>
      <c r="CC545" s="759">
        <f t="shared" si="1073"/>
        <v>3.5071991833238405</v>
      </c>
      <c r="CD545" s="9"/>
      <c r="CE545" s="854">
        <f t="shared" ref="CE545:CW545" si="1074">CE75</f>
        <v>0</v>
      </c>
      <c r="CF545" s="854">
        <f t="shared" si="1074"/>
        <v>0</v>
      </c>
      <c r="CG545" s="854">
        <f t="shared" si="1074"/>
        <v>0</v>
      </c>
      <c r="CH545" s="854">
        <f t="shared" si="1074"/>
        <v>0</v>
      </c>
      <c r="CI545" s="854">
        <f t="shared" si="1074"/>
        <v>0</v>
      </c>
      <c r="CJ545" s="854">
        <f t="shared" si="1074"/>
        <v>0</v>
      </c>
      <c r="CK545" s="854">
        <f t="shared" si="1074"/>
        <v>32</v>
      </c>
      <c r="CL545" s="854">
        <f t="shared" si="1074"/>
        <v>27</v>
      </c>
      <c r="CM545" s="854">
        <f t="shared" si="1074"/>
        <v>9</v>
      </c>
      <c r="CN545" s="854">
        <f t="shared" si="1074"/>
        <v>3.6</v>
      </c>
      <c r="CO545" s="854">
        <f t="shared" si="1074"/>
        <v>9</v>
      </c>
      <c r="CP545" s="854">
        <f t="shared" si="1074"/>
        <v>12</v>
      </c>
      <c r="CQ545" s="854">
        <f t="shared" si="1074"/>
        <v>11</v>
      </c>
      <c r="CR545" s="854">
        <f t="shared" si="1074"/>
        <v>17</v>
      </c>
      <c r="CS545" s="854">
        <f t="shared" si="1074"/>
        <v>15</v>
      </c>
      <c r="CT545" s="854">
        <f t="shared" si="1074"/>
        <v>26</v>
      </c>
      <c r="CU545" s="758">
        <f t="shared" si="1074"/>
        <v>26</v>
      </c>
      <c r="CV545" s="758">
        <f t="shared" si="1074"/>
        <v>13.965214220391067</v>
      </c>
      <c r="CW545" s="758">
        <f t="shared" si="1074"/>
        <v>13.227417857702264</v>
      </c>
      <c r="CX545" s="758">
        <f t="shared" ref="CX545:DC545" si="1075">CX544*CX546</f>
        <v>17.32882851865881</v>
      </c>
      <c r="CY545" s="758">
        <f t="shared" si="1075"/>
        <v>20.739888135291036</v>
      </c>
      <c r="CZ545" s="758">
        <f t="shared" si="1075"/>
        <v>23.853684003603412</v>
      </c>
      <c r="DA545" s="758">
        <f t="shared" si="1075"/>
        <v>27.451979421708945</v>
      </c>
      <c r="DB545" s="758">
        <f t="shared" si="1075"/>
        <v>30.65172597627728</v>
      </c>
      <c r="DC545" s="758">
        <f t="shared" si="1075"/>
        <v>34.556146666302517</v>
      </c>
      <c r="DD545" s="1517"/>
      <c r="DE545" s="1483"/>
      <c r="DF545" s="24"/>
      <c r="DG545" s="24"/>
      <c r="DH545" s="24"/>
      <c r="DI545" s="24"/>
      <c r="DJ545" s="24"/>
      <c r="DK545" s="24"/>
      <c r="DL545" s="141"/>
      <c r="DM545" s="122"/>
      <c r="DN545" s="122"/>
      <c r="DO545" s="122"/>
      <c r="DP545" s="122"/>
      <c r="DQ545" s="122"/>
      <c r="DR545" s="122"/>
      <c r="DS545" s="122"/>
      <c r="DT545" s="122"/>
      <c r="DU545" s="122"/>
      <c r="DV545" s="122"/>
      <c r="DW545" s="122"/>
      <c r="DX545" s="122"/>
      <c r="DY545" s="122"/>
      <c r="DZ545" s="1561"/>
    </row>
    <row r="546" spans="1:130">
      <c r="A546" s="184"/>
      <c r="B546" s="545"/>
      <c r="C546" s="221" t="s">
        <v>686</v>
      </c>
      <c r="D546" s="146"/>
      <c r="E546" s="742"/>
      <c r="F546" s="546"/>
      <c r="G546" s="546"/>
      <c r="H546" s="546"/>
      <c r="I546" s="499"/>
      <c r="J546" s="546"/>
      <c r="K546" s="546"/>
      <c r="L546" s="546"/>
      <c r="M546" s="499"/>
      <c r="N546" s="826">
        <f t="shared" ref="N546:AG546" si="1076">N545/N544*4</f>
        <v>0</v>
      </c>
      <c r="O546" s="630">
        <f t="shared" si="1076"/>
        <v>0</v>
      </c>
      <c r="P546" s="630">
        <f t="shared" si="1076"/>
        <v>0</v>
      </c>
      <c r="Q546" s="631">
        <f t="shared" si="1076"/>
        <v>0</v>
      </c>
      <c r="R546" s="826">
        <f t="shared" si="1076"/>
        <v>0</v>
      </c>
      <c r="S546" s="630">
        <f t="shared" si="1076"/>
        <v>0</v>
      </c>
      <c r="T546" s="630">
        <f t="shared" si="1076"/>
        <v>0</v>
      </c>
      <c r="U546" s="631">
        <f t="shared" si="1076"/>
        <v>0</v>
      </c>
      <c r="V546" s="826">
        <f t="shared" si="1076"/>
        <v>0</v>
      </c>
      <c r="W546" s="630">
        <f t="shared" si="1076"/>
        <v>0</v>
      </c>
      <c r="X546" s="630">
        <f t="shared" si="1076"/>
        <v>0</v>
      </c>
      <c r="Y546" s="631">
        <f t="shared" si="1076"/>
        <v>0</v>
      </c>
      <c r="Z546" s="826">
        <f t="shared" si="1076"/>
        <v>0</v>
      </c>
      <c r="AA546" s="630">
        <f t="shared" si="1076"/>
        <v>0</v>
      </c>
      <c r="AB546" s="630">
        <f t="shared" si="1076"/>
        <v>0</v>
      </c>
      <c r="AC546" s="631">
        <f t="shared" si="1076"/>
        <v>0</v>
      </c>
      <c r="AD546" s="826">
        <f t="shared" si="1076"/>
        <v>4.0068689181453919E-2</v>
      </c>
      <c r="AE546" s="630">
        <f t="shared" si="1076"/>
        <v>4.2609853528628498E-2</v>
      </c>
      <c r="AF546" s="630">
        <f t="shared" si="1076"/>
        <v>3.8554216867469883E-2</v>
      </c>
      <c r="AG546" s="630">
        <f t="shared" si="1076"/>
        <v>4.1142857142857141E-2</v>
      </c>
      <c r="AH546" s="826">
        <f t="shared" ref="AH546:BE546" si="1077">AH545/AH544*4</f>
        <v>3.9691289966923927E-2</v>
      </c>
      <c r="AI546" s="630">
        <f t="shared" si="1077"/>
        <v>3.7602820211515862E-2</v>
      </c>
      <c r="AJ546" s="630">
        <f t="shared" si="1077"/>
        <v>2.481902792140641E-2</v>
      </c>
      <c r="AK546" s="631">
        <f t="shared" si="1077"/>
        <v>1.6859852476290831E-2</v>
      </c>
      <c r="AL546" s="630">
        <f t="shared" si="1077"/>
        <v>1.4453477868112014E-2</v>
      </c>
      <c r="AM546" s="630">
        <f t="shared" si="1077"/>
        <v>6.5843621399176953E-3</v>
      </c>
      <c r="AN546" s="630">
        <f t="shared" si="1077"/>
        <v>2.9069767441860465E-3</v>
      </c>
      <c r="AO546" s="631">
        <f t="shared" si="1077"/>
        <v>5.0664977834072198E-3</v>
      </c>
      <c r="AP546" s="630">
        <f t="shared" si="1077"/>
        <v>2.229654403567447E-3</v>
      </c>
      <c r="AQ546" s="630">
        <f t="shared" si="1077"/>
        <v>1.9455252918287938E-3</v>
      </c>
      <c r="AR546" s="630">
        <f t="shared" si="1077"/>
        <v>1.6427104722792608E-3</v>
      </c>
      <c r="AS546" s="631">
        <f t="shared" si="1077"/>
        <v>8.4925690021231414E-4</v>
      </c>
      <c r="AT546" s="630">
        <f t="shared" si="1077"/>
        <v>2.926115581565472E-3</v>
      </c>
      <c r="AU546" s="630">
        <f t="shared" si="1077"/>
        <v>2.7991602519244225E-3</v>
      </c>
      <c r="AV546" s="630">
        <f t="shared" si="1077"/>
        <v>2.572347266881029E-3</v>
      </c>
      <c r="AW546" s="631">
        <f t="shared" si="1077"/>
        <v>3.7151702786377707E-3</v>
      </c>
      <c r="AX546" s="630">
        <f t="shared" si="1077"/>
        <v>3.4383954154727794E-3</v>
      </c>
      <c r="AY546" s="630">
        <f t="shared" si="1077"/>
        <v>3.2653061224489797E-3</v>
      </c>
      <c r="AZ546" s="630">
        <f t="shared" si="1077"/>
        <v>3.0581039755351682E-3</v>
      </c>
      <c r="BA546" s="631">
        <f t="shared" si="1077"/>
        <v>3.5534498075214687E-3</v>
      </c>
      <c r="BB546" s="630">
        <f t="shared" si="1077"/>
        <v>2.4937655860349127E-3</v>
      </c>
      <c r="BC546" s="630">
        <f t="shared" si="1077"/>
        <v>3.3927056827820186E-3</v>
      </c>
      <c r="BD546" s="630">
        <f t="shared" si="1077"/>
        <v>3.1446540880503146E-3</v>
      </c>
      <c r="BE546" s="631">
        <f t="shared" si="1077"/>
        <v>2.9556650246305421E-3</v>
      </c>
      <c r="BF546" s="630">
        <f t="shared" ref="BF546:BK546" si="1078">BF545/BF544*4</f>
        <v>2.7848688790902761E-3</v>
      </c>
      <c r="BG546" s="630">
        <f t="shared" si="1078"/>
        <v>2.4645717806531116E-3</v>
      </c>
      <c r="BH546" s="630">
        <f t="shared" si="1078"/>
        <v>3.4371643394199786E-3</v>
      </c>
      <c r="BI546" s="631">
        <f t="shared" si="1078"/>
        <v>5.7553956834532375E-3</v>
      </c>
      <c r="BJ546" s="630">
        <f t="shared" si="1078"/>
        <v>2.3584905660377358E-3</v>
      </c>
      <c r="BK546" s="630">
        <f t="shared" si="1078"/>
        <v>2.9734250139379298E-3</v>
      </c>
      <c r="BL546" s="630">
        <f t="shared" ref="BL546:BQ546" si="1079">BL545/BL544*4</f>
        <v>2.3332685203188799E-3</v>
      </c>
      <c r="BM546" s="631">
        <f t="shared" si="1079"/>
        <v>3.968253968253968E-3</v>
      </c>
      <c r="BN546" s="630">
        <f t="shared" si="1079"/>
        <v>3.7835792659856224E-3</v>
      </c>
      <c r="BO546" s="630">
        <f t="shared" si="1079"/>
        <v>4.4215180545320561E-3</v>
      </c>
      <c r="BP546" s="630">
        <f t="shared" si="1079"/>
        <v>4.0955631399317407E-3</v>
      </c>
      <c r="BQ546" s="631">
        <f t="shared" si="1079"/>
        <v>5.9671805072103431E-3</v>
      </c>
      <c r="BR546" s="630">
        <f t="shared" ref="BR546:BW546" si="1080">BR545/BR544*4</f>
        <v>2.3872045834328003E-3</v>
      </c>
      <c r="BS546" s="630">
        <f t="shared" si="1080"/>
        <v>4.6242774566473991E-3</v>
      </c>
      <c r="BT546" s="630">
        <f t="shared" si="1080"/>
        <v>5.4891197804352084E-3</v>
      </c>
      <c r="BU546" s="631">
        <f t="shared" si="1080"/>
        <v>6.3413774881099175E-3</v>
      </c>
      <c r="BV546" s="630">
        <f t="shared" si="1080"/>
        <v>3.1357792411414237E-3</v>
      </c>
      <c r="BW546" s="630">
        <f t="shared" si="1080"/>
        <v>1.7338534893801473E-3</v>
      </c>
      <c r="BX546" s="863">
        <v>2E-3</v>
      </c>
      <c r="BY546" s="864">
        <v>2E-3</v>
      </c>
      <c r="BZ546" s="863">
        <v>2E-3</v>
      </c>
      <c r="CA546" s="863">
        <v>2E-3</v>
      </c>
      <c r="CB546" s="863">
        <v>2E-3</v>
      </c>
      <c r="CC546" s="864">
        <v>2E-3</v>
      </c>
      <c r="CD546" s="244"/>
      <c r="CE546" s="826"/>
      <c r="CF546" s="630"/>
      <c r="CG546" s="630">
        <f t="shared" ref="CG546:CN546" si="1081">CG545/CG544</f>
        <v>0</v>
      </c>
      <c r="CH546" s="630">
        <f t="shared" si="1081"/>
        <v>0</v>
      </c>
      <c r="CI546" s="630">
        <f t="shared" si="1081"/>
        <v>0</v>
      </c>
      <c r="CJ546" s="630">
        <f t="shared" si="1081"/>
        <v>0</v>
      </c>
      <c r="CK546" s="630">
        <f t="shared" si="1081"/>
        <v>4.5792787635947331E-2</v>
      </c>
      <c r="CL546" s="630">
        <f t="shared" si="1081"/>
        <v>2.9768467475192944E-2</v>
      </c>
      <c r="CM546" s="630">
        <f t="shared" si="1081"/>
        <v>8.130081300813009E-3</v>
      </c>
      <c r="CN546" s="630">
        <f t="shared" si="1081"/>
        <v>2.0066889632107026E-3</v>
      </c>
      <c r="CO546" s="630">
        <f t="shared" ref="CO546:CU546" si="1082">CO545/CO544</f>
        <v>3.2918800292611556E-3</v>
      </c>
      <c r="CP546" s="630">
        <f t="shared" si="1082"/>
        <v>3.4383954154727794E-3</v>
      </c>
      <c r="CQ546" s="630">
        <f t="shared" si="1082"/>
        <v>3.4289276807980048E-3</v>
      </c>
      <c r="CR546" s="630">
        <f t="shared" si="1082"/>
        <v>3.945230912044558E-3</v>
      </c>
      <c r="CS546" s="630">
        <f t="shared" si="1082"/>
        <v>2.94811320754717E-3</v>
      </c>
      <c r="CT546" s="630">
        <f t="shared" si="1082"/>
        <v>4.9186530457813087E-3</v>
      </c>
      <c r="CU546" s="630">
        <f t="shared" si="1082"/>
        <v>3.1033659584626403E-3</v>
      </c>
      <c r="CV546" s="630">
        <f>CV545/CV544</f>
        <v>2.1895914425197659E-3</v>
      </c>
      <c r="CW546" s="630">
        <f>CW545/CW544</f>
        <v>2.2075726157241883E-3</v>
      </c>
      <c r="CX546" s="863">
        <v>2.5000000000000001E-3</v>
      </c>
      <c r="CY546" s="863">
        <f>CX546</f>
        <v>2.5000000000000001E-3</v>
      </c>
      <c r="CZ546" s="863">
        <f>CY546</f>
        <v>2.5000000000000001E-3</v>
      </c>
      <c r="DA546" s="863">
        <f>CZ546</f>
        <v>2.5000000000000001E-3</v>
      </c>
      <c r="DB546" s="863">
        <f>DA546</f>
        <v>2.5000000000000001E-3</v>
      </c>
      <c r="DC546" s="863">
        <f>DB546</f>
        <v>2.5000000000000001E-3</v>
      </c>
      <c r="DD546" s="1517"/>
      <c r="DE546" s="1483"/>
      <c r="DF546" s="24"/>
      <c r="DG546" s="699"/>
      <c r="DH546" s="699"/>
      <c r="DI546" s="699"/>
      <c r="DJ546" s="699"/>
      <c r="DK546" s="699"/>
      <c r="DL546" s="146"/>
      <c r="DM546" s="699"/>
      <c r="DN546" s="699"/>
      <c r="DO546" s="699"/>
      <c r="DP546" s="699"/>
      <c r="DQ546" s="699"/>
      <c r="DR546" s="699"/>
      <c r="DS546" s="699"/>
      <c r="DT546" s="699"/>
      <c r="DU546" s="699"/>
      <c r="DV546" s="699"/>
      <c r="DW546" s="699"/>
      <c r="DX546" s="699"/>
      <c r="DY546" s="699"/>
      <c r="DZ546" s="1561"/>
    </row>
    <row r="547" spans="1:130">
      <c r="A547" s="145"/>
      <c r="B547" s="227"/>
      <c r="C547" s="145"/>
      <c r="D547" s="145"/>
      <c r="E547" s="228"/>
      <c r="F547" s="547"/>
      <c r="G547" s="547"/>
      <c r="H547" s="547"/>
      <c r="I547" s="626"/>
      <c r="J547" s="547"/>
      <c r="K547" s="547"/>
      <c r="L547" s="547"/>
      <c r="M547" s="626"/>
      <c r="N547" s="547"/>
      <c r="O547" s="547"/>
      <c r="P547" s="547"/>
      <c r="Q547" s="626"/>
      <c r="R547" s="547"/>
      <c r="S547" s="547"/>
      <c r="T547" s="547"/>
      <c r="U547" s="626"/>
      <c r="V547" s="547"/>
      <c r="W547" s="547"/>
      <c r="X547" s="547"/>
      <c r="Y547" s="626"/>
      <c r="Z547" s="547"/>
      <c r="AA547" s="547"/>
      <c r="AB547" s="547"/>
      <c r="AC547" s="626"/>
      <c r="AD547" s="547"/>
      <c r="AE547" s="547"/>
      <c r="AF547" s="547"/>
      <c r="AG547" s="547"/>
      <c r="AH547" s="693"/>
      <c r="AI547" s="145"/>
      <c r="AJ547" s="145"/>
      <c r="AK547" s="228"/>
      <c r="AL547" s="145"/>
      <c r="AM547" s="145"/>
      <c r="AN547" s="145"/>
      <c r="AO547" s="228"/>
      <c r="AP547" s="145"/>
      <c r="AQ547" s="145"/>
      <c r="AR547" s="145"/>
      <c r="AS547" s="228"/>
      <c r="AT547" s="145"/>
      <c r="AU547" s="145"/>
      <c r="AV547" s="145"/>
      <c r="AW547" s="228"/>
      <c r="AX547" s="145"/>
      <c r="AY547" s="145"/>
      <c r="AZ547" s="145"/>
      <c r="BA547" s="228"/>
      <c r="BB547" s="145"/>
      <c r="BC547" s="1327"/>
      <c r="BD547" s="145"/>
      <c r="BE547" s="228"/>
      <c r="BF547" s="145"/>
      <c r="BG547" s="145"/>
      <c r="BH547" s="145"/>
      <c r="BI547" s="228"/>
      <c r="BJ547" s="207"/>
      <c r="BK547" s="145"/>
      <c r="BL547" s="201"/>
      <c r="BM547" s="228"/>
      <c r="BN547" s="201"/>
      <c r="BO547" s="201"/>
      <c r="BP547" s="201"/>
      <c r="BQ547" s="202"/>
      <c r="BR547" s="201"/>
      <c r="BS547" s="201"/>
      <c r="BT547" s="201"/>
      <c r="BU547" s="202"/>
      <c r="BV547" s="201"/>
      <c r="BW547" s="201"/>
      <c r="BX547" s="201"/>
      <c r="BY547" s="202"/>
      <c r="BZ547" s="201"/>
      <c r="CA547" s="201"/>
      <c r="CB547" s="201"/>
      <c r="CC547" s="202"/>
      <c r="CD547" s="9"/>
      <c r="CE547" s="547"/>
      <c r="CF547" s="547"/>
      <c r="CG547" s="547"/>
      <c r="CH547" s="547"/>
      <c r="CI547" s="547"/>
      <c r="CJ547" s="547"/>
      <c r="CK547" s="547"/>
      <c r="CL547" s="547"/>
      <c r="CM547" s="547"/>
      <c r="CN547" s="547"/>
      <c r="CO547" s="547"/>
      <c r="CP547" s="547"/>
      <c r="CQ547" s="547"/>
      <c r="CR547" s="547"/>
      <c r="CS547" s="547"/>
      <c r="CT547" s="201"/>
      <c r="CU547" s="201"/>
      <c r="CV547" s="201"/>
      <c r="CW547" s="201"/>
      <c r="CX547" s="201"/>
      <c r="CY547" s="201"/>
      <c r="CZ547" s="201"/>
      <c r="DA547" s="201"/>
      <c r="DB547" s="201"/>
      <c r="DC547" s="201"/>
      <c r="DD547" s="1517"/>
      <c r="DE547" s="1483"/>
      <c r="DF547" s="141"/>
      <c r="DG547" s="141"/>
      <c r="DH547" s="141"/>
      <c r="DI547" s="141"/>
      <c r="DJ547" s="141"/>
      <c r="DK547" s="141"/>
      <c r="DL547" s="141"/>
      <c r="DM547" s="141"/>
      <c r="DN547" s="141"/>
      <c r="DO547" s="141"/>
      <c r="DP547" s="141"/>
      <c r="DQ547" s="141"/>
      <c r="DR547" s="141"/>
      <c r="DS547" s="141"/>
      <c r="DT547" s="141"/>
      <c r="DU547" s="141"/>
      <c r="DV547" s="141"/>
      <c r="DW547" s="141"/>
      <c r="DX547" s="141"/>
      <c r="DY547" s="141"/>
      <c r="DZ547" s="1676"/>
    </row>
    <row r="548" spans="1:130">
      <c r="A548" s="120"/>
      <c r="B548" s="219" t="s">
        <v>293</v>
      </c>
      <c r="C548" s="220"/>
      <c r="D548" s="220"/>
      <c r="E548" s="747"/>
      <c r="F548" s="627"/>
      <c r="G548" s="627"/>
      <c r="H548" s="627"/>
      <c r="I548" s="244"/>
      <c r="J548" s="627"/>
      <c r="K548" s="627"/>
      <c r="L548" s="627"/>
      <c r="M548" s="244"/>
      <c r="N548" s="627"/>
      <c r="O548" s="627"/>
      <c r="P548" s="627"/>
      <c r="Q548" s="244"/>
      <c r="R548" s="627"/>
      <c r="S548" s="627"/>
      <c r="T548" s="627"/>
      <c r="U548" s="244"/>
      <c r="V548" s="184"/>
      <c r="W548" s="184"/>
      <c r="X548" s="184"/>
      <c r="Y548" s="244"/>
      <c r="Z548" s="184"/>
      <c r="AA548" s="184"/>
      <c r="AB548" s="184"/>
      <c r="AC548" s="244"/>
      <c r="AD548" s="184"/>
      <c r="AE548" s="184"/>
      <c r="AF548" s="184"/>
      <c r="AG548" s="46"/>
      <c r="AH548" s="774"/>
      <c r="AI548" s="124"/>
      <c r="AJ548" s="124"/>
      <c r="AK548" s="125"/>
      <c r="AL548" s="124"/>
      <c r="AM548" s="124"/>
      <c r="AN548" s="124"/>
      <c r="AO548" s="125"/>
      <c r="AP548" s="126"/>
      <c r="AQ548" s="126"/>
      <c r="AR548" s="126"/>
      <c r="AS548" s="127"/>
      <c r="AT548" s="126"/>
      <c r="AU548" s="126"/>
      <c r="AV548" s="126"/>
      <c r="AW548" s="127"/>
      <c r="AX548" s="126"/>
      <c r="AY548" s="126"/>
      <c r="AZ548" s="126"/>
      <c r="BA548" s="127"/>
      <c r="BB548" s="126"/>
      <c r="BC548" s="126"/>
      <c r="BD548" s="126"/>
      <c r="BE548" s="127"/>
      <c r="BF548" s="126"/>
      <c r="BG548" s="126"/>
      <c r="BH548" s="126"/>
      <c r="BI548" s="127"/>
      <c r="BJ548" s="971"/>
      <c r="BK548" s="126"/>
      <c r="BL548" s="126"/>
      <c r="BM548" s="127"/>
      <c r="BN548" s="971"/>
      <c r="BO548" s="126"/>
      <c r="BP548" s="126"/>
      <c r="BQ548" s="127"/>
      <c r="BR548" s="201"/>
      <c r="BS548" s="2171"/>
      <c r="BT548" s="2171"/>
      <c r="BU548" s="2204"/>
      <c r="BV548" s="126"/>
      <c r="BW548" s="126"/>
      <c r="BX548" s="126"/>
      <c r="BY548" s="127"/>
      <c r="BZ548" s="126"/>
      <c r="CA548" s="126"/>
      <c r="CB548" s="126"/>
      <c r="CC548" s="127"/>
      <c r="CD548" s="9"/>
      <c r="CE548" s="184"/>
      <c r="CF548" s="184"/>
      <c r="CG548" s="122"/>
      <c r="CH548" s="122"/>
      <c r="CI548" s="122"/>
      <c r="CJ548" s="122"/>
      <c r="CK548" s="122"/>
      <c r="CL548" s="122"/>
      <c r="CM548" s="122"/>
      <c r="CN548" s="122"/>
      <c r="CO548" s="122"/>
      <c r="CP548" s="122"/>
      <c r="CQ548" s="122"/>
      <c r="CR548" s="122"/>
      <c r="CS548" s="24"/>
      <c r="CT548" s="1501"/>
      <c r="CU548" s="126"/>
      <c r="CV548" s="126"/>
      <c r="CW548" s="126"/>
      <c r="CX548" s="126"/>
      <c r="CY548" s="126"/>
      <c r="CZ548" s="126"/>
      <c r="DA548" s="126"/>
      <c r="DB548" s="126"/>
      <c r="DC548" s="126"/>
      <c r="DD548" s="1517"/>
      <c r="DE548" s="1483"/>
      <c r="DF548" s="24"/>
      <c r="DG548" s="24"/>
      <c r="DH548" s="24"/>
      <c r="DI548" s="24"/>
      <c r="DJ548" s="24"/>
      <c r="DK548" s="24"/>
      <c r="DL548" s="141"/>
      <c r="DM548" s="122"/>
      <c r="DN548" s="122"/>
      <c r="DO548" s="122"/>
      <c r="DP548" s="122"/>
      <c r="DQ548" s="122"/>
      <c r="DR548" s="122"/>
      <c r="DS548" s="122"/>
      <c r="DT548" s="122"/>
      <c r="DU548" s="122"/>
      <c r="DV548" s="122"/>
      <c r="DW548" s="122"/>
      <c r="DX548" s="122"/>
      <c r="DY548" s="122"/>
      <c r="DZ548" s="1561"/>
    </row>
    <row r="549" spans="1:130">
      <c r="A549" s="120"/>
      <c r="B549" s="219"/>
      <c r="C549" s="221" t="s">
        <v>280</v>
      </c>
      <c r="D549" s="220"/>
      <c r="E549" s="747"/>
      <c r="F549" s="857" t="s">
        <v>629</v>
      </c>
      <c r="G549" s="857" t="s">
        <v>629</v>
      </c>
      <c r="H549" s="857" t="s">
        <v>629</v>
      </c>
      <c r="I549" s="859" t="s">
        <v>629</v>
      </c>
      <c r="J549" s="857" t="s">
        <v>629</v>
      </c>
      <c r="K549" s="857" t="s">
        <v>629</v>
      </c>
      <c r="L549" s="857" t="s">
        <v>629</v>
      </c>
      <c r="M549" s="859" t="s">
        <v>629</v>
      </c>
      <c r="N549" s="169">
        <f>BS!M42+BS!M47</f>
        <v>86.203999999999994</v>
      </c>
      <c r="O549" s="138">
        <f>BS!N42+BS!N47</f>
        <v>72.599000000000004</v>
      </c>
      <c r="P549" s="138">
        <f>BS!O42+BS!O47</f>
        <v>73.555999999999997</v>
      </c>
      <c r="Q549" s="164">
        <f>BS!P42+BS!P47</f>
        <v>0</v>
      </c>
      <c r="R549" s="169">
        <f>BS!Q42+BS!Q47</f>
        <v>0</v>
      </c>
      <c r="S549" s="138">
        <f>BS!R42+BS!R47</f>
        <v>50</v>
      </c>
      <c r="T549" s="138">
        <f>BS!S42+BS!S47</f>
        <v>50</v>
      </c>
      <c r="U549" s="164">
        <f>BS!T42+BS!T47</f>
        <v>50.099999999999994</v>
      </c>
      <c r="V549" s="169">
        <f>BS!U42+BS!U47</f>
        <v>67.900000000000006</v>
      </c>
      <c r="W549" s="138">
        <f>BS!V42+BS!V47</f>
        <v>67.5</v>
      </c>
      <c r="X549" s="138">
        <f>BS!W42+BS!W47</f>
        <v>62.6</v>
      </c>
      <c r="Y549" s="164">
        <f>BS!X42+BS!X47</f>
        <v>57.6</v>
      </c>
      <c r="Z549" s="169">
        <f>BS!Y42+BS!Y47</f>
        <v>52.7</v>
      </c>
      <c r="AA549" s="138">
        <f>BS!Z42+BS!Z47</f>
        <v>56</v>
      </c>
      <c r="AB549" s="138">
        <f>BS!AA42+BS!AA47</f>
        <v>56.8</v>
      </c>
      <c r="AC549" s="164">
        <f>BS!AB42+BS!AB47</f>
        <v>50.2</v>
      </c>
      <c r="AD549" s="169">
        <f>BS!AC42+BS!AC47</f>
        <v>44.1</v>
      </c>
      <c r="AE549" s="138">
        <f>BS!AD42+BS!AD47</f>
        <v>59</v>
      </c>
      <c r="AF549" s="138">
        <f>BS!AE42+BS!AE47</f>
        <v>49</v>
      </c>
      <c r="AG549" s="138">
        <f>BS!AF42+BS!AF47</f>
        <v>27</v>
      </c>
      <c r="AH549" s="169">
        <f>BS!AG42+BS!AG47</f>
        <v>22</v>
      </c>
      <c r="AI549" s="138">
        <f>BS!AH42+BS!AH47</f>
        <v>19</v>
      </c>
      <c r="AJ549" s="138">
        <f>BS!AI42+BS!AI47</f>
        <v>15</v>
      </c>
      <c r="AK549" s="164">
        <f>BS!AJ42+BS!AJ47</f>
        <v>514</v>
      </c>
      <c r="AL549" s="138">
        <f>BS!AK42+BS!AK47</f>
        <v>509</v>
      </c>
      <c r="AM549" s="138">
        <f>BS!AL42+BS!AL47</f>
        <v>507</v>
      </c>
      <c r="AN549" s="138">
        <f>BS!AM42+BS!AM47</f>
        <v>504</v>
      </c>
      <c r="AO549" s="164">
        <f>BS!AN42+BS!AN47</f>
        <v>502</v>
      </c>
      <c r="AP549" s="138">
        <f>BS!AO42+BS!AO47</f>
        <v>482</v>
      </c>
      <c r="AQ549" s="138">
        <f>BS!AP42+BS!AP47</f>
        <v>463</v>
      </c>
      <c r="AR549" s="138">
        <f>BS!AQ42+BS!AQ47</f>
        <v>444</v>
      </c>
      <c r="AS549" s="164">
        <f>BS!AR42+BS!AR47</f>
        <v>425</v>
      </c>
      <c r="AT549" s="138">
        <f>BS!AS42+BS!AS47</f>
        <v>400</v>
      </c>
      <c r="AU549" s="138">
        <f>BS!AT42+BS!AT47</f>
        <v>375</v>
      </c>
      <c r="AV549" s="138">
        <f>BS!AU42+BS!AU47</f>
        <v>350</v>
      </c>
      <c r="AW549" s="164">
        <f>BS!AV42+BS!AV47</f>
        <v>325</v>
      </c>
      <c r="AX549" s="138">
        <f>BS!AW42+BS!AW47</f>
        <v>294</v>
      </c>
      <c r="AY549" s="138">
        <f>BS!AX42+BS!AX47</f>
        <v>263</v>
      </c>
      <c r="AZ549" s="138">
        <f>BS!AY42+BS!AY47</f>
        <v>231</v>
      </c>
      <c r="BA549" s="164">
        <f>BS!AZ42+BS!AZ47</f>
        <v>2243</v>
      </c>
      <c r="BB549" s="138">
        <f>BS!BA42+BS!BA47</f>
        <v>2185</v>
      </c>
      <c r="BC549" s="138">
        <f>BS!BB42+BS!BB47</f>
        <v>2128</v>
      </c>
      <c r="BD549" s="138">
        <f>BS!BC42+BS!BC47</f>
        <v>2128</v>
      </c>
      <c r="BE549" s="164">
        <f>BS!BD42+BS!BD47</f>
        <v>2013</v>
      </c>
      <c r="BF549" s="138">
        <f>BS!BE42+BS!BE47</f>
        <v>1955</v>
      </c>
      <c r="BG549" s="138">
        <f>BS!BF42+BS!BF47</f>
        <v>1898</v>
      </c>
      <c r="BH549" s="138">
        <f>BS!BG42+BS!BG47</f>
        <v>1840</v>
      </c>
      <c r="BI549" s="164">
        <f>BS!BH42+BS!BH47</f>
        <v>2469</v>
      </c>
      <c r="BJ549" s="138">
        <f>BS!BI42+BS!BI47</f>
        <v>2438</v>
      </c>
      <c r="BK549" s="138">
        <f>BS!BJ42+BS!BJ47</f>
        <v>2406</v>
      </c>
      <c r="BL549" s="138">
        <f>BS!BK42+BS!BK47</f>
        <v>2375</v>
      </c>
      <c r="BM549" s="164">
        <f>BS!BL42+BS!BL47</f>
        <v>2344</v>
      </c>
      <c r="BN549" s="138">
        <f>BS!BM42+BS!BM47</f>
        <v>2312</v>
      </c>
      <c r="BO549" s="138">
        <f>BS!BN42+BS!BN47</f>
        <v>2281</v>
      </c>
      <c r="BP549" s="138">
        <f>BS!BO42+BS!BO47</f>
        <v>2250</v>
      </c>
      <c r="BQ549" s="164">
        <f>BS!BP42+BS!BP47</f>
        <v>2203</v>
      </c>
      <c r="BR549" s="138">
        <f>BS!BQ42+BS!BQ47</f>
        <v>16994</v>
      </c>
      <c r="BS549" s="138">
        <f>BS!BR42+BS!BR47</f>
        <v>13133</v>
      </c>
      <c r="BT549" s="138">
        <f>BS!BS42+BS!BS47</f>
        <v>13073</v>
      </c>
      <c r="BU549" s="164">
        <f>BS!BT42+BS!BT47</f>
        <v>13088</v>
      </c>
      <c r="BV549" s="138">
        <f>BS!BU42+BS!BU47</f>
        <v>13151</v>
      </c>
      <c r="BW549" s="138">
        <f>BS!BV42+BS!BV47</f>
        <v>13131</v>
      </c>
      <c r="BX549" s="138">
        <f>BS!BW42+BS!BW47</f>
        <v>12051</v>
      </c>
      <c r="BY549" s="164">
        <f>BS!BX42+BS!BX47</f>
        <v>11801</v>
      </c>
      <c r="BZ549" s="138">
        <f>BS!BY42+BS!BY47</f>
        <v>11551</v>
      </c>
      <c r="CA549" s="138">
        <f>BS!BZ42+BS!BZ47</f>
        <v>11301</v>
      </c>
      <c r="CB549" s="138">
        <f>BS!CA42+BS!CA47</f>
        <v>11051</v>
      </c>
      <c r="CC549" s="164">
        <f>BS!CB42+BS!CB47</f>
        <v>10801</v>
      </c>
      <c r="CD549" s="9"/>
      <c r="CE549" s="636">
        <f>BS!CE42+BS!CE47</f>
        <v>114.60899999999999</v>
      </c>
      <c r="CF549" s="636">
        <f>BS!CF42+BS!CF47</f>
        <v>86.203999999999994</v>
      </c>
      <c r="CG549" s="636">
        <f>BS!CG42+BS!CG47</f>
        <v>0</v>
      </c>
      <c r="CH549" s="636">
        <f>BS!CH42+BS!CH47</f>
        <v>67.900000000000006</v>
      </c>
      <c r="CI549" s="636">
        <f>BS!CI42+BS!CI47</f>
        <v>52.7</v>
      </c>
      <c r="CJ549" s="636">
        <f>BS!CJ42+BS!CJ47</f>
        <v>44.1</v>
      </c>
      <c r="CK549" s="636">
        <f>BS!CK42+BS!CK47</f>
        <v>22</v>
      </c>
      <c r="CL549" s="636">
        <f>BS!CL42+BS!CL47</f>
        <v>509</v>
      </c>
      <c r="CM549" s="636">
        <f>BS!CM42+BS!CM47</f>
        <v>482</v>
      </c>
      <c r="CN549" s="636">
        <f>BS!CN42+BS!CN47</f>
        <v>400</v>
      </c>
      <c r="CO549" s="636">
        <f>BS!CO42+BS!CO47</f>
        <v>294</v>
      </c>
      <c r="CP549" s="636">
        <f>BS!CP42+BS!CP47</f>
        <v>2185</v>
      </c>
      <c r="CQ549" s="636">
        <f>BS!CQ42+BS!CQ47</f>
        <v>1955</v>
      </c>
      <c r="CR549" s="636">
        <f>BS!CR42+BS!CR47</f>
        <v>2438</v>
      </c>
      <c r="CS549" s="636">
        <f>BS!CS42+BS!CS47</f>
        <v>2312</v>
      </c>
      <c r="CT549" s="636">
        <f>BS!CT42+BS!CT47</f>
        <v>16994</v>
      </c>
      <c r="CU549" s="636">
        <f>BS!CU42+BS!CU47</f>
        <v>13151</v>
      </c>
      <c r="CV549" s="636">
        <f>BS!CV42+BS!CV47</f>
        <v>11551</v>
      </c>
      <c r="CW549" s="636">
        <f>BS!CW42+BS!CW47</f>
        <v>10551</v>
      </c>
      <c r="CX549" s="636">
        <f>BS!CX42+BS!CX47</f>
        <v>9551</v>
      </c>
      <c r="CY549" s="636">
        <f>BS!CY42+BS!CY47</f>
        <v>8551</v>
      </c>
      <c r="CZ549" s="636">
        <f>BS!CZ42+BS!CZ47</f>
        <v>7551</v>
      </c>
      <c r="DA549" s="636">
        <f>BS!DA42+BS!DA47</f>
        <v>6551</v>
      </c>
      <c r="DB549" s="636">
        <f>BS!DB42+BS!DB47</f>
        <v>5551</v>
      </c>
      <c r="DC549" s="636">
        <f>BS!DC42+BS!DC47</f>
        <v>4551</v>
      </c>
      <c r="DD549" s="1517"/>
      <c r="DE549" s="1483"/>
      <c r="DF549" s="24"/>
      <c r="DG549" s="24"/>
      <c r="DH549" s="24"/>
      <c r="DI549" s="24"/>
      <c r="DJ549" s="24"/>
      <c r="DK549" s="24"/>
      <c r="DL549" s="141"/>
      <c r="DM549" s="122"/>
      <c r="DN549" s="122"/>
      <c r="DO549" s="122"/>
      <c r="DP549" s="122"/>
      <c r="DQ549" s="122"/>
      <c r="DR549" s="122"/>
      <c r="DS549" s="122"/>
      <c r="DT549" s="122"/>
      <c r="DU549" s="122"/>
      <c r="DV549" s="122"/>
      <c r="DW549" s="122"/>
      <c r="DX549" s="122"/>
      <c r="DY549" s="122"/>
      <c r="DZ549" s="1561"/>
    </row>
    <row r="550" spans="1:130">
      <c r="A550" s="120"/>
      <c r="B550" s="217"/>
      <c r="C550" s="221" t="s">
        <v>293</v>
      </c>
      <c r="D550" s="218"/>
      <c r="E550" s="624"/>
      <c r="F550" s="912">
        <f t="shared" ref="F550:AK550" si="1083">F76</f>
        <v>-1.6319999999999999</v>
      </c>
      <c r="G550" s="638">
        <f t="shared" si="1083"/>
        <v>0.83899999999999997</v>
      </c>
      <c r="H550" s="638">
        <f t="shared" si="1083"/>
        <v>5.1999999999999998E-2</v>
      </c>
      <c r="I550" s="639">
        <f t="shared" si="1083"/>
        <v>-52.454000000000001</v>
      </c>
      <c r="J550" s="912">
        <f t="shared" si="1083"/>
        <v>-0.35099999999999998</v>
      </c>
      <c r="K550" s="638">
        <f t="shared" si="1083"/>
        <v>2.593</v>
      </c>
      <c r="L550" s="638">
        <f t="shared" si="1083"/>
        <v>-0.49199999999999999</v>
      </c>
      <c r="M550" s="639">
        <f t="shared" si="1083"/>
        <v>-0.53700000000000003</v>
      </c>
      <c r="N550" s="912">
        <f t="shared" si="1083"/>
        <v>-1.2689999999999999</v>
      </c>
      <c r="O550" s="638">
        <f t="shared" si="1083"/>
        <v>-0.78</v>
      </c>
      <c r="P550" s="638">
        <f t="shared" si="1083"/>
        <v>-0.316</v>
      </c>
      <c r="Q550" s="639">
        <f t="shared" si="1083"/>
        <v>0.2</v>
      </c>
      <c r="R550" s="912">
        <f t="shared" si="1083"/>
        <v>0.3</v>
      </c>
      <c r="S550" s="638">
        <f t="shared" si="1083"/>
        <v>0</v>
      </c>
      <c r="T550" s="638">
        <f t="shared" si="1083"/>
        <v>0.1</v>
      </c>
      <c r="U550" s="639">
        <f t="shared" si="1083"/>
        <v>-0.1</v>
      </c>
      <c r="V550" s="912">
        <f t="shared" si="1083"/>
        <v>0</v>
      </c>
      <c r="W550" s="638">
        <f t="shared" si="1083"/>
        <v>0.8</v>
      </c>
      <c r="X550" s="638">
        <f t="shared" si="1083"/>
        <v>1.9</v>
      </c>
      <c r="Y550" s="639">
        <f t="shared" si="1083"/>
        <v>2.7</v>
      </c>
      <c r="Z550" s="912">
        <f t="shared" si="1083"/>
        <v>2.5</v>
      </c>
      <c r="AA550" s="638">
        <f t="shared" si="1083"/>
        <v>2.8</v>
      </c>
      <c r="AB550" s="638">
        <f t="shared" si="1083"/>
        <v>4.8</v>
      </c>
      <c r="AC550" s="639">
        <f t="shared" si="1083"/>
        <v>5.7</v>
      </c>
      <c r="AD550" s="912">
        <f t="shared" si="1083"/>
        <v>0</v>
      </c>
      <c r="AE550" s="638">
        <f t="shared" si="1083"/>
        <v>2</v>
      </c>
      <c r="AF550" s="638">
        <f t="shared" si="1083"/>
        <v>1</v>
      </c>
      <c r="AG550" s="638">
        <f t="shared" si="1083"/>
        <v>1</v>
      </c>
      <c r="AH550" s="912">
        <f t="shared" si="1083"/>
        <v>-6</v>
      </c>
      <c r="AI550" s="638">
        <f t="shared" si="1083"/>
        <v>-24</v>
      </c>
      <c r="AJ550" s="638">
        <f t="shared" si="1083"/>
        <v>-14</v>
      </c>
      <c r="AK550" s="639">
        <f t="shared" si="1083"/>
        <v>-8</v>
      </c>
      <c r="AL550" s="638">
        <f t="shared" ref="AL550:BV550" si="1084">AL76</f>
        <v>-8</v>
      </c>
      <c r="AM550" s="638">
        <f t="shared" si="1084"/>
        <v>-11</v>
      </c>
      <c r="AN550" s="638">
        <f t="shared" si="1084"/>
        <v>-4</v>
      </c>
      <c r="AO550" s="639">
        <f t="shared" si="1084"/>
        <v>-4</v>
      </c>
      <c r="AP550" s="638">
        <f t="shared" si="1084"/>
        <v>-3</v>
      </c>
      <c r="AQ550" s="638">
        <f t="shared" si="1084"/>
        <v>-3</v>
      </c>
      <c r="AR550" s="638">
        <f t="shared" si="1084"/>
        <v>-2</v>
      </c>
      <c r="AS550" s="639">
        <f t="shared" si="1084"/>
        <v>-1.4</v>
      </c>
      <c r="AT550" s="638">
        <f t="shared" si="1084"/>
        <v>-2</v>
      </c>
      <c r="AU550" s="638">
        <f t="shared" si="1084"/>
        <v>-3</v>
      </c>
      <c r="AV550" s="638">
        <f t="shared" si="1084"/>
        <v>-1</v>
      </c>
      <c r="AW550" s="639">
        <f t="shared" si="1084"/>
        <v>-4</v>
      </c>
      <c r="AX550" s="638">
        <f t="shared" si="1084"/>
        <v>-4</v>
      </c>
      <c r="AY550" s="638">
        <f t="shared" si="1084"/>
        <v>-5</v>
      </c>
      <c r="AZ550" s="638">
        <f t="shared" si="1084"/>
        <v>-7</v>
      </c>
      <c r="BA550" s="639">
        <f t="shared" si="1084"/>
        <v>-10</v>
      </c>
      <c r="BB550" s="638">
        <f t="shared" si="1084"/>
        <v>-16</v>
      </c>
      <c r="BC550" s="638">
        <f t="shared" si="1084"/>
        <v>-13</v>
      </c>
      <c r="BD550" s="638">
        <f t="shared" si="1084"/>
        <v>-14</v>
      </c>
      <c r="BE550" s="639">
        <f t="shared" si="1084"/>
        <v>-12</v>
      </c>
      <c r="BF550" s="638">
        <f t="shared" si="1084"/>
        <v>-13</v>
      </c>
      <c r="BG550" s="638">
        <f t="shared" si="1084"/>
        <v>-14</v>
      </c>
      <c r="BH550" s="638">
        <f t="shared" si="1084"/>
        <v>-17</v>
      </c>
      <c r="BI550" s="639">
        <f t="shared" si="1084"/>
        <v>-12</v>
      </c>
      <c r="BJ550" s="638">
        <f t="shared" si="1084"/>
        <v>-12</v>
      </c>
      <c r="BK550" s="638">
        <f t="shared" si="1084"/>
        <v>-12</v>
      </c>
      <c r="BL550" s="638">
        <f t="shared" si="1084"/>
        <v>-12</v>
      </c>
      <c r="BM550" s="639">
        <f t="shared" si="1084"/>
        <v>-13</v>
      </c>
      <c r="BN550" s="638">
        <f t="shared" si="1084"/>
        <v>-13</v>
      </c>
      <c r="BO550" s="638">
        <f t="shared" si="1084"/>
        <v>-13</v>
      </c>
      <c r="BP550" s="638">
        <f t="shared" si="1084"/>
        <v>-14</v>
      </c>
      <c r="BQ550" s="639">
        <f t="shared" si="1084"/>
        <v>-218</v>
      </c>
      <c r="BR550" s="638">
        <f t="shared" si="1084"/>
        <v>-232</v>
      </c>
      <c r="BS550" s="638">
        <f t="shared" si="1084"/>
        <v>-226</v>
      </c>
      <c r="BT550" s="638">
        <f t="shared" si="1084"/>
        <v>-213</v>
      </c>
      <c r="BU550" s="639">
        <f t="shared" si="1084"/>
        <v>-206</v>
      </c>
      <c r="BV550" s="638">
        <f t="shared" si="1084"/>
        <v>-205</v>
      </c>
      <c r="BW550" s="638">
        <f t="shared" ref="BW550" si="1085">BW76</f>
        <v>-183</v>
      </c>
      <c r="BX550" s="758">
        <f t="shared" ref="BX550:CC550" si="1086">-BX549*BX551/4</f>
        <v>-183.77775</v>
      </c>
      <c r="BY550" s="759">
        <f t="shared" si="1086"/>
        <v>-177.01499999999999</v>
      </c>
      <c r="BZ550" s="758">
        <f>-BZ549*BZ551/4</f>
        <v>-144.38750000000002</v>
      </c>
      <c r="CA550" s="758">
        <f t="shared" si="1086"/>
        <v>-141.26250000000002</v>
      </c>
      <c r="CB550" s="758">
        <f t="shared" si="1086"/>
        <v>-138.13750000000002</v>
      </c>
      <c r="CC550" s="759">
        <f t="shared" si="1086"/>
        <v>-135.01250000000002</v>
      </c>
      <c r="CD550" s="9"/>
      <c r="CE550" s="758">
        <f t="shared" ref="CE550:CW550" si="1087">CE76</f>
        <v>-53.195</v>
      </c>
      <c r="CF550" s="638">
        <f t="shared" si="1087"/>
        <v>1.2130000000000001</v>
      </c>
      <c r="CG550" s="638">
        <f t="shared" si="1087"/>
        <v>-2.1649999999999996</v>
      </c>
      <c r="CH550" s="638">
        <f t="shared" si="1087"/>
        <v>0.30000000000000004</v>
      </c>
      <c r="CI550" s="638">
        <f t="shared" si="1087"/>
        <v>5.4</v>
      </c>
      <c r="CJ550" s="638">
        <f t="shared" si="1087"/>
        <v>15.8</v>
      </c>
      <c r="CK550" s="638">
        <f t="shared" si="1087"/>
        <v>4</v>
      </c>
      <c r="CL550" s="638">
        <f t="shared" si="1087"/>
        <v>-52</v>
      </c>
      <c r="CM550" s="638">
        <f t="shared" si="1087"/>
        <v>-27</v>
      </c>
      <c r="CN550" s="638">
        <f t="shared" si="1087"/>
        <v>-9.4</v>
      </c>
      <c r="CO550" s="638">
        <f t="shared" si="1087"/>
        <v>-10</v>
      </c>
      <c r="CP550" s="638">
        <f t="shared" si="1087"/>
        <v>-26</v>
      </c>
      <c r="CQ550" s="638">
        <f t="shared" si="1087"/>
        <v>-55</v>
      </c>
      <c r="CR550" s="638">
        <f t="shared" si="1087"/>
        <v>-56</v>
      </c>
      <c r="CS550" s="487">
        <f t="shared" si="1087"/>
        <v>-49</v>
      </c>
      <c r="CT550" s="374">
        <f t="shared" si="1087"/>
        <v>-258</v>
      </c>
      <c r="CU550" s="758">
        <f t="shared" si="1087"/>
        <v>-877</v>
      </c>
      <c r="CV550" s="758">
        <f t="shared" si="1087"/>
        <v>-748.79274999999996</v>
      </c>
      <c r="CW550" s="758">
        <f t="shared" si="1087"/>
        <v>-558.80000000000007</v>
      </c>
      <c r="CX550" s="758">
        <f t="shared" ref="CX550:DC550" si="1088">-CX549*CX551</f>
        <v>-496.65199999999999</v>
      </c>
      <c r="CY550" s="758">
        <f t="shared" si="1088"/>
        <v>-427.55</v>
      </c>
      <c r="CZ550" s="758">
        <f t="shared" si="1088"/>
        <v>-377.55</v>
      </c>
      <c r="DA550" s="758">
        <f t="shared" si="1088"/>
        <v>-327.55</v>
      </c>
      <c r="DB550" s="758">
        <f t="shared" si="1088"/>
        <v>-277.55</v>
      </c>
      <c r="DC550" s="758">
        <f t="shared" si="1088"/>
        <v>-227.55</v>
      </c>
      <c r="DD550" s="1517"/>
      <c r="DE550" s="1483"/>
      <c r="DF550" s="24"/>
      <c r="DG550" s="24"/>
      <c r="DH550" s="24"/>
      <c r="DI550" s="24"/>
      <c r="DJ550" s="24"/>
      <c r="DK550" s="24"/>
      <c r="DL550" s="141"/>
      <c r="DM550" s="122"/>
      <c r="DN550" s="122"/>
      <c r="DO550" s="122"/>
      <c r="DP550" s="122"/>
      <c r="DQ550" s="122"/>
      <c r="DR550" s="122"/>
      <c r="DS550" s="122"/>
      <c r="DT550" s="122"/>
      <c r="DU550" s="122"/>
      <c r="DV550" s="122"/>
      <c r="DW550" s="122"/>
      <c r="DX550" s="122"/>
      <c r="DY550" s="122"/>
      <c r="DZ550" s="1561"/>
    </row>
    <row r="551" spans="1:130">
      <c r="A551" s="120"/>
      <c r="B551" s="217"/>
      <c r="C551" s="221" t="s">
        <v>294</v>
      </c>
      <c r="D551" s="218"/>
      <c r="E551" s="624"/>
      <c r="F551" s="912"/>
      <c r="G551" s="638"/>
      <c r="H551" s="638"/>
      <c r="I551" s="639"/>
      <c r="J551" s="912"/>
      <c r="K551" s="638"/>
      <c r="L551" s="638"/>
      <c r="M551" s="639"/>
      <c r="N551" s="826">
        <f>-N550/N549*4</f>
        <v>5.8883578488237207E-2</v>
      </c>
      <c r="O551" s="630">
        <f t="shared" ref="O551:BP551" si="1089">-O550/O549*4</f>
        <v>4.2975798564718524E-2</v>
      </c>
      <c r="P551" s="630">
        <f t="shared" si="1089"/>
        <v>1.7184186198270706E-2</v>
      </c>
      <c r="Q551" s="1601" t="str">
        <f>IF(ISERROR(-Q550/Q549*4),"NA", -Q550/Q549*4)</f>
        <v>NA</v>
      </c>
      <c r="R551" s="1602" t="str">
        <f>IF(ISERROR(-R550/R549*4),"NA", -R550/R549*4)</f>
        <v>NA</v>
      </c>
      <c r="S551" s="630">
        <f t="shared" si="1089"/>
        <v>0</v>
      </c>
      <c r="T551" s="630">
        <f t="shared" si="1089"/>
        <v>-8.0000000000000002E-3</v>
      </c>
      <c r="U551" s="631">
        <f t="shared" si="1089"/>
        <v>7.9840319361277456E-3</v>
      </c>
      <c r="V551" s="826">
        <f t="shared" si="1089"/>
        <v>0</v>
      </c>
      <c r="W551" s="630">
        <f t="shared" si="1089"/>
        <v>-4.7407407407407412E-2</v>
      </c>
      <c r="X551" s="630">
        <f t="shared" si="1089"/>
        <v>-0.12140575079872204</v>
      </c>
      <c r="Y551" s="631">
        <f t="shared" si="1089"/>
        <v>-0.1875</v>
      </c>
      <c r="Z551" s="826">
        <f t="shared" si="1089"/>
        <v>-0.18975332068311193</v>
      </c>
      <c r="AA551" s="630">
        <f t="shared" si="1089"/>
        <v>-0.19999999999999998</v>
      </c>
      <c r="AB551" s="630">
        <f t="shared" si="1089"/>
        <v>-0.3380281690140845</v>
      </c>
      <c r="AC551" s="631">
        <f t="shared" si="1089"/>
        <v>-0.4541832669322709</v>
      </c>
      <c r="AD551" s="826">
        <f t="shared" si="1089"/>
        <v>0</v>
      </c>
      <c r="AE551" s="630">
        <f t="shared" si="1089"/>
        <v>-0.13559322033898305</v>
      </c>
      <c r="AF551" s="630">
        <f t="shared" si="1089"/>
        <v>-8.1632653061224483E-2</v>
      </c>
      <c r="AG551" s="630">
        <f t="shared" si="1089"/>
        <v>-0.14814814814814814</v>
      </c>
      <c r="AH551" s="826">
        <f t="shared" si="1089"/>
        <v>1.0909090909090908</v>
      </c>
      <c r="AI551" s="630">
        <f t="shared" si="1089"/>
        <v>5.0526315789473681</v>
      </c>
      <c r="AJ551" s="630">
        <f t="shared" si="1089"/>
        <v>3.7333333333333334</v>
      </c>
      <c r="AK551" s="631">
        <f t="shared" si="1089"/>
        <v>6.2256809338521402E-2</v>
      </c>
      <c r="AL551" s="630">
        <f t="shared" si="1089"/>
        <v>6.2868369351669937E-2</v>
      </c>
      <c r="AM551" s="630">
        <f t="shared" si="1089"/>
        <v>8.6785009861932938E-2</v>
      </c>
      <c r="AN551" s="630">
        <f t="shared" si="1089"/>
        <v>3.1746031746031744E-2</v>
      </c>
      <c r="AO551" s="631">
        <f t="shared" si="1089"/>
        <v>3.1872509960159362E-2</v>
      </c>
      <c r="AP551" s="630">
        <f t="shared" si="1089"/>
        <v>2.4896265560165973E-2</v>
      </c>
      <c r="AQ551" s="630">
        <f t="shared" si="1089"/>
        <v>2.591792656587473E-2</v>
      </c>
      <c r="AR551" s="630">
        <f t="shared" si="1089"/>
        <v>1.8018018018018018E-2</v>
      </c>
      <c r="AS551" s="631">
        <f t="shared" si="1089"/>
        <v>1.3176470588235293E-2</v>
      </c>
      <c r="AT551" s="630">
        <f t="shared" si="1089"/>
        <v>0.02</v>
      </c>
      <c r="AU551" s="630">
        <f t="shared" si="1089"/>
        <v>3.2000000000000001E-2</v>
      </c>
      <c r="AV551" s="630">
        <f t="shared" si="1089"/>
        <v>1.1428571428571429E-2</v>
      </c>
      <c r="AW551" s="631">
        <f t="shared" si="1089"/>
        <v>4.9230769230769231E-2</v>
      </c>
      <c r="AX551" s="630">
        <f t="shared" si="1089"/>
        <v>5.4421768707482991E-2</v>
      </c>
      <c r="AY551" s="630">
        <f t="shared" si="1089"/>
        <v>7.6045627376425853E-2</v>
      </c>
      <c r="AZ551" s="630">
        <f t="shared" si="1089"/>
        <v>0.12121212121212122</v>
      </c>
      <c r="BA551" s="631">
        <f t="shared" si="1089"/>
        <v>1.7833259028087384E-2</v>
      </c>
      <c r="BB551" s="630">
        <f t="shared" si="1089"/>
        <v>2.9290617848970253E-2</v>
      </c>
      <c r="BC551" s="630">
        <f t="shared" si="1089"/>
        <v>2.4436090225563908E-2</v>
      </c>
      <c r="BD551" s="630">
        <f t="shared" si="1089"/>
        <v>2.6315789473684209E-2</v>
      </c>
      <c r="BE551" s="631">
        <f t="shared" si="1089"/>
        <v>2.3845007451564829E-2</v>
      </c>
      <c r="BF551" s="630">
        <f t="shared" si="1089"/>
        <v>2.6598465473145781E-2</v>
      </c>
      <c r="BG551" s="630">
        <f t="shared" si="1089"/>
        <v>2.9504741833508957E-2</v>
      </c>
      <c r="BH551" s="630">
        <f t="shared" si="1089"/>
        <v>3.6956521739130437E-2</v>
      </c>
      <c r="BI551" s="631">
        <f t="shared" si="1089"/>
        <v>1.9441069258809233E-2</v>
      </c>
      <c r="BJ551" s="630">
        <f t="shared" si="1089"/>
        <v>1.9688269073010665E-2</v>
      </c>
      <c r="BK551" s="630">
        <f t="shared" si="1089"/>
        <v>1.9950124688279301E-2</v>
      </c>
      <c r="BL551" s="630">
        <f t="shared" si="1089"/>
        <v>2.0210526315789474E-2</v>
      </c>
      <c r="BM551" s="631">
        <f t="shared" si="1089"/>
        <v>2.2184300341296929E-2</v>
      </c>
      <c r="BN551" s="630">
        <f t="shared" si="1089"/>
        <v>2.2491349480968859E-2</v>
      </c>
      <c r="BO551" s="630">
        <f t="shared" si="1089"/>
        <v>2.2797018851380975E-2</v>
      </c>
      <c r="BP551" s="630">
        <f t="shared" si="1089"/>
        <v>2.4888888888888887E-2</v>
      </c>
      <c r="BQ551" s="631">
        <f t="shared" ref="BQ551:BV551" si="1090">-BQ550/BQ549*4</f>
        <v>0.39582387653200179</v>
      </c>
      <c r="BR551" s="630">
        <f t="shared" si="1090"/>
        <v>5.4607508532423209E-2</v>
      </c>
      <c r="BS551" s="630">
        <f t="shared" si="1090"/>
        <v>6.8834234371430741E-2</v>
      </c>
      <c r="BT551" s="630">
        <f t="shared" si="1090"/>
        <v>6.5172492924347888E-2</v>
      </c>
      <c r="BU551" s="631">
        <f t="shared" si="1090"/>
        <v>6.295843520782396E-2</v>
      </c>
      <c r="BV551" s="630">
        <f t="shared" si="1090"/>
        <v>6.2352672800547487E-2</v>
      </c>
      <c r="BW551" s="630">
        <f t="shared" ref="BW551" si="1091">-BW550/BW549*4</f>
        <v>5.5745944710989259E-2</v>
      </c>
      <c r="BX551" s="622">
        <v>6.0999999999999999E-2</v>
      </c>
      <c r="BY551" s="623">
        <v>0.06</v>
      </c>
      <c r="BZ551" s="622">
        <v>0.05</v>
      </c>
      <c r="CA551" s="622">
        <v>0.05</v>
      </c>
      <c r="CB551" s="622">
        <v>0.05</v>
      </c>
      <c r="CC551" s="623">
        <v>0.05</v>
      </c>
      <c r="CD551" s="9"/>
      <c r="CE551" s="860">
        <f>-CE550/CE549</f>
        <v>0.46414330462703629</v>
      </c>
      <c r="CF551" s="632">
        <f>-CF550/CF549</f>
        <v>-1.4071272794765907E-2</v>
      </c>
      <c r="CG551" s="632" t="str">
        <f>IF(ISERROR(-CG550/CG549), "NA", -CG550/CG549)</f>
        <v>NA</v>
      </c>
      <c r="CH551" s="632">
        <f t="shared" ref="CH551:CU551" si="1092">IF(ISERROR(-CH550/CH549), "NA", -CH550/CH549)</f>
        <v>-4.418262150220913E-3</v>
      </c>
      <c r="CI551" s="632">
        <f t="shared" si="1092"/>
        <v>-0.10246679316888045</v>
      </c>
      <c r="CJ551" s="632">
        <f t="shared" si="1092"/>
        <v>-0.35827664399092973</v>
      </c>
      <c r="CK551" s="632">
        <f t="shared" si="1092"/>
        <v>-0.18181818181818182</v>
      </c>
      <c r="CL551" s="632">
        <f t="shared" si="1092"/>
        <v>0.10216110019646366</v>
      </c>
      <c r="CM551" s="632">
        <f t="shared" si="1092"/>
        <v>5.6016597510373446E-2</v>
      </c>
      <c r="CN551" s="632">
        <f t="shared" si="1092"/>
        <v>2.35E-2</v>
      </c>
      <c r="CO551" s="632">
        <f t="shared" si="1092"/>
        <v>3.4013605442176874E-2</v>
      </c>
      <c r="CP551" s="632">
        <f t="shared" si="1092"/>
        <v>1.1899313501144164E-2</v>
      </c>
      <c r="CQ551" s="632">
        <f t="shared" si="1092"/>
        <v>2.8132992327365727E-2</v>
      </c>
      <c r="CR551" s="632">
        <f t="shared" si="1092"/>
        <v>2.2969647251845776E-2</v>
      </c>
      <c r="CS551" s="19">
        <f t="shared" si="1092"/>
        <v>2.1193771626297576E-2</v>
      </c>
      <c r="CT551" s="852">
        <f t="shared" si="1092"/>
        <v>1.5181828880781453E-2</v>
      </c>
      <c r="CU551" s="852">
        <f t="shared" si="1092"/>
        <v>6.6686943958634323E-2</v>
      </c>
      <c r="CV551" s="852">
        <f>IF(ISERROR(-CV550/CV549), "NA", -CV550/CV549)</f>
        <v>6.4824928577612323E-2</v>
      </c>
      <c r="CW551" s="852">
        <f>IF(ISERROR(-CW550/CW549), "NA", -CW550/CW549)</f>
        <v>5.296180456828737E-2</v>
      </c>
      <c r="CX551" s="863">
        <v>5.1999999999999998E-2</v>
      </c>
      <c r="CY551" s="863">
        <v>0.05</v>
      </c>
      <c r="CZ551" s="863">
        <v>0.05</v>
      </c>
      <c r="DA551" s="863">
        <v>0.05</v>
      </c>
      <c r="DB551" s="863">
        <v>0.05</v>
      </c>
      <c r="DC551" s="863">
        <v>0.05</v>
      </c>
      <c r="DD551" s="1517"/>
      <c r="DE551" s="1483"/>
      <c r="DF551" s="24"/>
      <c r="DG551" s="24"/>
      <c r="DH551" s="24"/>
      <c r="DI551" s="24"/>
      <c r="DJ551" s="24"/>
      <c r="DK551" s="24"/>
      <c r="DL551" s="141"/>
      <c r="DM551" s="122"/>
      <c r="DN551" s="122"/>
      <c r="DO551" s="122"/>
      <c r="DP551" s="122"/>
      <c r="DQ551" s="122"/>
      <c r="DR551" s="122"/>
      <c r="DS551" s="122"/>
      <c r="DT551" s="122"/>
      <c r="DU551" s="122"/>
      <c r="DV551" s="122"/>
      <c r="DW551" s="122"/>
      <c r="DX551" s="122"/>
      <c r="DY551" s="122"/>
      <c r="DZ551" s="1561"/>
    </row>
    <row r="552" spans="1:130">
      <c r="A552" s="145"/>
      <c r="B552" s="227"/>
      <c r="C552" s="145"/>
      <c r="D552" s="145"/>
      <c r="E552" s="228"/>
      <c r="F552" s="145"/>
      <c r="G552" s="145"/>
      <c r="H552" s="145"/>
      <c r="I552" s="228"/>
      <c r="J552" s="145"/>
      <c r="K552" s="145"/>
      <c r="L552" s="145"/>
      <c r="M552" s="228"/>
      <c r="N552" s="145"/>
      <c r="O552" s="145"/>
      <c r="P552" s="145"/>
      <c r="Q552" s="228"/>
      <c r="R552" s="145"/>
      <c r="S552" s="145"/>
      <c r="T552" s="145"/>
      <c r="U552" s="228"/>
      <c r="V552" s="145"/>
      <c r="W552" s="145"/>
      <c r="X552" s="145"/>
      <c r="Y552" s="228"/>
      <c r="Z552" s="145"/>
      <c r="AA552" s="145"/>
      <c r="AB552" s="145"/>
      <c r="AC552" s="228"/>
      <c r="AD552" s="145"/>
      <c r="AE552" s="145"/>
      <c r="AF552" s="145"/>
      <c r="AG552" s="145"/>
      <c r="AH552" s="227"/>
      <c r="AI552" s="145"/>
      <c r="AJ552" s="145"/>
      <c r="AK552" s="228"/>
      <c r="AL552" s="145"/>
      <c r="AM552" s="145"/>
      <c r="AN552" s="145"/>
      <c r="AO552" s="228"/>
      <c r="AP552" s="145"/>
      <c r="AQ552" s="145"/>
      <c r="AR552" s="145"/>
      <c r="AS552" s="228"/>
      <c r="AT552" s="145"/>
      <c r="AU552" s="145"/>
      <c r="AV552" s="145"/>
      <c r="AW552" s="228"/>
      <c r="AX552" s="145"/>
      <c r="AY552" s="145"/>
      <c r="AZ552" s="145"/>
      <c r="BA552" s="228"/>
      <c r="BB552" s="227"/>
      <c r="BC552" s="145"/>
      <c r="BD552" s="145"/>
      <c r="BE552" s="228"/>
      <c r="BF552" s="207"/>
      <c r="BG552" s="201"/>
      <c r="BH552" s="201"/>
      <c r="BI552" s="228"/>
      <c r="BJ552" s="207"/>
      <c r="BK552" s="201"/>
      <c r="BL552" s="201"/>
      <c r="BM552" s="228"/>
      <c r="BN552" s="207"/>
      <c r="BO552" s="201"/>
      <c r="BP552" s="761"/>
      <c r="BQ552" s="121"/>
      <c r="BR552" s="1627"/>
      <c r="BS552" s="1627"/>
      <c r="BT552" s="1627"/>
      <c r="BU552" s="1649"/>
      <c r="BV552" s="201"/>
      <c r="BW552" s="201"/>
      <c r="BX552" s="201"/>
      <c r="BY552" s="202"/>
      <c r="BZ552" s="201"/>
      <c r="CA552" s="201"/>
      <c r="CB552" s="201"/>
      <c r="CC552" s="202"/>
      <c r="CD552" s="9"/>
      <c r="CE552" s="145"/>
      <c r="CF552" s="145"/>
      <c r="CG552" s="145"/>
      <c r="CH552" s="145"/>
      <c r="CI552" s="145"/>
      <c r="CJ552" s="145"/>
      <c r="CK552" s="145"/>
      <c r="CL552" s="145"/>
      <c r="CM552" s="145"/>
      <c r="CN552" s="145"/>
      <c r="CO552" s="145"/>
      <c r="CP552" s="145"/>
      <c r="CQ552" s="145"/>
      <c r="CR552" s="145"/>
      <c r="CS552" s="141"/>
      <c r="CT552" s="196"/>
      <c r="CU552" s="201"/>
      <c r="CV552" s="201"/>
      <c r="CW552" s="201"/>
      <c r="CX552" s="201"/>
      <c r="CY552" s="201"/>
      <c r="CZ552" s="201"/>
      <c r="DA552" s="201"/>
      <c r="DB552" s="201"/>
      <c r="DC552" s="201"/>
      <c r="DD552" s="1517"/>
      <c r="DE552" s="1483"/>
      <c r="DF552" s="141"/>
      <c r="DG552" s="141"/>
      <c r="DH552" s="141"/>
      <c r="DI552" s="141"/>
      <c r="DJ552" s="141"/>
      <c r="DK552" s="141"/>
      <c r="DL552" s="141"/>
      <c r="DM552" s="141"/>
      <c r="DN552" s="141"/>
      <c r="DO552" s="141"/>
      <c r="DP552" s="141"/>
      <c r="DQ552" s="141"/>
      <c r="DR552" s="141"/>
      <c r="DS552" s="141"/>
      <c r="DT552" s="141"/>
      <c r="DU552" s="141"/>
      <c r="DV552" s="141"/>
      <c r="DW552" s="141"/>
      <c r="DX552" s="141"/>
      <c r="DY552" s="141"/>
      <c r="DZ552" s="1676"/>
    </row>
    <row r="553" spans="1:130">
      <c r="A553" s="120"/>
      <c r="B553" s="214" t="s">
        <v>72</v>
      </c>
      <c r="C553" s="181"/>
      <c r="D553" s="181"/>
      <c r="E553" s="748"/>
      <c r="F553" s="181"/>
      <c r="G553" s="181"/>
      <c r="H553" s="181"/>
      <c r="I553" s="121"/>
      <c r="J553" s="181"/>
      <c r="K553" s="181"/>
      <c r="L553" s="181"/>
      <c r="M553" s="121"/>
      <c r="N553" s="181"/>
      <c r="O553" s="181"/>
      <c r="P553" s="181"/>
      <c r="Q553" s="121"/>
      <c r="R553" s="181"/>
      <c r="S553" s="181"/>
      <c r="T553" s="181"/>
      <c r="U553" s="121"/>
      <c r="V553" s="119"/>
      <c r="W553" s="120"/>
      <c r="X553" s="120"/>
      <c r="Y553" s="121"/>
      <c r="Z553" s="120"/>
      <c r="AA553" s="120"/>
      <c r="AB553" s="120"/>
      <c r="AC553" s="121"/>
      <c r="AD553" s="120"/>
      <c r="AE553" s="120"/>
      <c r="AF553" s="120"/>
      <c r="AG553" s="120"/>
      <c r="AH553" s="119"/>
      <c r="AI553" s="120"/>
      <c r="AJ553" s="120"/>
      <c r="AK553" s="120"/>
      <c r="AL553" s="119"/>
      <c r="AM553" s="120"/>
      <c r="AN553" s="120"/>
      <c r="AO553" s="121"/>
      <c r="AP553" s="120"/>
      <c r="AQ553" s="120"/>
      <c r="AR553" s="120"/>
      <c r="AS553" s="121"/>
      <c r="AT553" s="119"/>
      <c r="AU553" s="120"/>
      <c r="AV553" s="120"/>
      <c r="AW553" s="120"/>
      <c r="AX553" s="119"/>
      <c r="AY553" s="120"/>
      <c r="AZ553" s="120"/>
      <c r="BA553" s="120"/>
      <c r="BB553" s="119"/>
      <c r="BC553" s="120"/>
      <c r="BD553" s="120"/>
      <c r="BE553" s="121"/>
      <c r="BF553" s="119"/>
      <c r="BG553" s="120"/>
      <c r="BH553" s="120"/>
      <c r="BI553" s="121"/>
      <c r="BJ553" s="119"/>
      <c r="BK553" s="120"/>
      <c r="BL553" s="120"/>
      <c r="BM553" s="121"/>
      <c r="BN553" s="119"/>
      <c r="BO553" s="120"/>
      <c r="BP553" s="120"/>
      <c r="BQ553" s="121"/>
      <c r="BR553" s="120"/>
      <c r="BS553" s="120"/>
      <c r="BT553" s="120"/>
      <c r="BU553" s="121"/>
      <c r="BV553" s="120"/>
      <c r="BW553" s="120"/>
      <c r="BX553" s="120"/>
      <c r="BY553" s="121"/>
      <c r="BZ553" s="120"/>
      <c r="CA553" s="120"/>
      <c r="CB553" s="120"/>
      <c r="CC553" s="121"/>
      <c r="CD553" s="9"/>
      <c r="CE553" s="120"/>
      <c r="CF553" s="120"/>
      <c r="CG553" s="120"/>
      <c r="CH553" s="120"/>
      <c r="CI553" s="120"/>
      <c r="CJ553" s="120"/>
      <c r="CK553" s="120"/>
      <c r="CL553" s="120"/>
      <c r="CM553" s="120"/>
      <c r="CN553" s="120"/>
      <c r="CO553" s="120"/>
      <c r="CP553" s="120"/>
      <c r="CQ553" s="120"/>
      <c r="CR553" s="120"/>
      <c r="CS553" s="24"/>
      <c r="CT553" s="24"/>
      <c r="CU553" s="120"/>
      <c r="CV553" s="120"/>
      <c r="CW553" s="120"/>
      <c r="CX553" s="120"/>
      <c r="CY553" s="120"/>
      <c r="CZ553" s="120"/>
      <c r="DA553" s="120"/>
      <c r="DB553" s="120"/>
      <c r="DC553" s="120"/>
      <c r="DD553" s="1517"/>
      <c r="DE553" s="1483"/>
      <c r="DF553" s="24"/>
      <c r="DG553" s="24"/>
      <c r="DH553" s="24"/>
      <c r="DI553" s="24"/>
      <c r="DJ553" s="24"/>
      <c r="DK553" s="24"/>
      <c r="DL553" s="141"/>
      <c r="DM553" s="122"/>
      <c r="DN553" s="122"/>
      <c r="DO553" s="122"/>
      <c r="DP553" s="122"/>
      <c r="DQ553" s="122"/>
      <c r="DR553" s="122"/>
      <c r="DS553" s="122"/>
      <c r="DT553" s="122"/>
      <c r="DU553" s="122"/>
      <c r="DV553" s="122"/>
      <c r="DW553" s="122"/>
      <c r="DX553" s="122"/>
      <c r="DY553" s="122"/>
      <c r="DZ553" s="1561"/>
    </row>
    <row r="554" spans="1:130">
      <c r="A554" s="120"/>
      <c r="B554" s="217"/>
      <c r="C554" s="218" t="s">
        <v>48</v>
      </c>
      <c r="D554" s="218"/>
      <c r="E554" s="625"/>
      <c r="F554" s="687"/>
      <c r="G554" s="687"/>
      <c r="H554" s="687"/>
      <c r="I554" s="665"/>
      <c r="J554" s="687"/>
      <c r="K554" s="687"/>
      <c r="L554" s="687"/>
      <c r="M554" s="665"/>
      <c r="N554" s="687"/>
      <c r="O554" s="687"/>
      <c r="P554" s="687"/>
      <c r="Q554" s="665"/>
      <c r="R554" s="861">
        <f t="shared" ref="R554:AW554" si="1093">R102/R11</f>
        <v>0</v>
      </c>
      <c r="S554" s="664">
        <f t="shared" si="1093"/>
        <v>0</v>
      </c>
      <c r="T554" s="664">
        <f t="shared" si="1093"/>
        <v>0</v>
      </c>
      <c r="U554" s="665">
        <f t="shared" si="1093"/>
        <v>0</v>
      </c>
      <c r="V554" s="861">
        <f t="shared" si="1093"/>
        <v>0</v>
      </c>
      <c r="W554" s="664">
        <f t="shared" si="1093"/>
        <v>0</v>
      </c>
      <c r="X554" s="664">
        <f t="shared" si="1093"/>
        <v>0</v>
      </c>
      <c r="Y554" s="665">
        <f t="shared" si="1093"/>
        <v>0</v>
      </c>
      <c r="Z554" s="861">
        <f t="shared" si="1093"/>
        <v>6.832326134437532E-3</v>
      </c>
      <c r="AA554" s="664">
        <f t="shared" si="1093"/>
        <v>7.9672898795088588E-3</v>
      </c>
      <c r="AB554" s="664">
        <f t="shared" si="1093"/>
        <v>7.7075047541714454E-3</v>
      </c>
      <c r="AC554" s="665">
        <f t="shared" si="1093"/>
        <v>1.1515211787493495E-2</v>
      </c>
      <c r="AD554" s="861">
        <f t="shared" si="1093"/>
        <v>7.1202597359476373E-3</v>
      </c>
      <c r="AE554" s="664">
        <f t="shared" si="1093"/>
        <v>8.4035378218018115E-3</v>
      </c>
      <c r="AF554" s="664">
        <f t="shared" si="1093"/>
        <v>9.2196634744994895E-3</v>
      </c>
      <c r="AG554" s="664">
        <f t="shared" si="1093"/>
        <v>1.0243594324355419E-2</v>
      </c>
      <c r="AH554" s="861">
        <f t="shared" si="1093"/>
        <v>4.5300406381541944E-3</v>
      </c>
      <c r="AI554" s="664">
        <f t="shared" si="1093"/>
        <v>4.083292620792568E-3</v>
      </c>
      <c r="AJ554" s="664">
        <f t="shared" si="1093"/>
        <v>4.7370311934276195E-3</v>
      </c>
      <c r="AK554" s="664">
        <f t="shared" si="1093"/>
        <v>5.0173980290510994E-3</v>
      </c>
      <c r="AL554" s="861">
        <f t="shared" si="1093"/>
        <v>4.7416067104289307E-3</v>
      </c>
      <c r="AM554" s="664">
        <f t="shared" si="1093"/>
        <v>6.0347125710718741E-3</v>
      </c>
      <c r="AN554" s="664">
        <f t="shared" si="1093"/>
        <v>7.5381997947862635E-3</v>
      </c>
      <c r="AO554" s="665">
        <f t="shared" si="1093"/>
        <v>7.2607081719723455E-3</v>
      </c>
      <c r="AP554" s="861">
        <f t="shared" si="1093"/>
        <v>5.88768115942029E-3</v>
      </c>
      <c r="AQ554" s="664">
        <f t="shared" si="1093"/>
        <v>5.3455517373043144E-3</v>
      </c>
      <c r="AR554" s="664">
        <f t="shared" si="1093"/>
        <v>6.0583112457402496E-3</v>
      </c>
      <c r="AS554" s="665">
        <f t="shared" si="1093"/>
        <v>7.136859781696054E-3</v>
      </c>
      <c r="AT554" s="664">
        <f t="shared" si="1093"/>
        <v>7.7646097261953413E-3</v>
      </c>
      <c r="AU554" s="664">
        <f t="shared" si="1093"/>
        <v>7.2727272727272727E-3</v>
      </c>
      <c r="AV554" s="664">
        <f t="shared" si="1093"/>
        <v>7.5488454706927176E-3</v>
      </c>
      <c r="AW554" s="665">
        <f t="shared" si="1093"/>
        <v>6.2421972534332081E-3</v>
      </c>
      <c r="AX554" s="664">
        <f t="shared" ref="AX554:BW554" si="1094">AX102/AX11</f>
        <v>6.3103192279138831E-3</v>
      </c>
      <c r="AY554" s="664">
        <f t="shared" si="1094"/>
        <v>1.2030075187969926E-2</v>
      </c>
      <c r="AZ554" s="664">
        <f t="shared" si="1094"/>
        <v>6.5897858319604614E-3</v>
      </c>
      <c r="BA554" s="665">
        <f t="shared" si="1094"/>
        <v>6.5208245687841818E-3</v>
      </c>
      <c r="BB554" s="664">
        <f t="shared" si="1094"/>
        <v>9.6654275092936809E-3</v>
      </c>
      <c r="BC554" s="664">
        <f t="shared" si="1094"/>
        <v>8.368200836820083E-3</v>
      </c>
      <c r="BD554" s="664">
        <f t="shared" si="1094"/>
        <v>9.5642933049946872E-3</v>
      </c>
      <c r="BE554" s="665">
        <f t="shared" si="1094"/>
        <v>8.0472103004291841E-3</v>
      </c>
      <c r="BF554" s="664">
        <f t="shared" si="1094"/>
        <v>1.1041009463722398E-2</v>
      </c>
      <c r="BG554" s="664">
        <f t="shared" si="1094"/>
        <v>1.0574018126888218E-2</v>
      </c>
      <c r="BH554" s="664">
        <f t="shared" si="1094"/>
        <v>1.1072103699702943E-2</v>
      </c>
      <c r="BI554" s="665">
        <f t="shared" si="1094"/>
        <v>8.4908244316625574E-3</v>
      </c>
      <c r="BJ554" s="664">
        <f t="shared" si="1094"/>
        <v>9.890945980218108E-3</v>
      </c>
      <c r="BK554" s="664">
        <f t="shared" si="1094"/>
        <v>1.0545267489711935E-2</v>
      </c>
      <c r="BL554" s="664">
        <f t="shared" si="1094"/>
        <v>1.0422535211267606E-2</v>
      </c>
      <c r="BM554" s="665">
        <f t="shared" si="1094"/>
        <v>1.4102162331557505E-2</v>
      </c>
      <c r="BN554" s="664">
        <f t="shared" si="1094"/>
        <v>1.2500000000000001E-2</v>
      </c>
      <c r="BO554" s="664">
        <f t="shared" si="1094"/>
        <v>1.1154657823334338E-2</v>
      </c>
      <c r="BP554" s="664">
        <f t="shared" si="1094"/>
        <v>1.4883061658398299E-2</v>
      </c>
      <c r="BQ554" s="665">
        <f t="shared" si="1094"/>
        <v>2.0028612303290415E-2</v>
      </c>
      <c r="BR554" s="664">
        <f t="shared" si="1094"/>
        <v>2.1001272804412389E-2</v>
      </c>
      <c r="BS554" s="664">
        <f t="shared" si="1094"/>
        <v>2.0867430441898527E-2</v>
      </c>
      <c r="BT554" s="664">
        <f t="shared" si="1094"/>
        <v>2.1940202194020219E-2</v>
      </c>
      <c r="BU554" s="665">
        <f t="shared" si="1094"/>
        <v>1.87938868236266E-2</v>
      </c>
      <c r="BV554" s="664">
        <f t="shared" si="1094"/>
        <v>1.8722254391044201E-2</v>
      </c>
      <c r="BW554" s="664">
        <f t="shared" si="1094"/>
        <v>1.8553223388305846E-2</v>
      </c>
      <c r="BX554" s="622">
        <f t="shared" ref="BX554:CC554" si="1095">BW554</f>
        <v>1.8553223388305846E-2</v>
      </c>
      <c r="BY554" s="623">
        <f t="shared" si="1095"/>
        <v>1.8553223388305846E-2</v>
      </c>
      <c r="BZ554" s="622">
        <f t="shared" si="1095"/>
        <v>1.8553223388305846E-2</v>
      </c>
      <c r="CA554" s="622">
        <f t="shared" si="1095"/>
        <v>1.8553223388305846E-2</v>
      </c>
      <c r="CB554" s="622">
        <f t="shared" si="1095"/>
        <v>1.8553223388305846E-2</v>
      </c>
      <c r="CC554" s="623">
        <f t="shared" si="1095"/>
        <v>1.8553223388305846E-2</v>
      </c>
      <c r="CD554" s="9"/>
      <c r="CE554" s="861">
        <f t="shared" ref="CE554:CW554" si="1096">CE102/CE11</f>
        <v>0</v>
      </c>
      <c r="CF554" s="664">
        <f t="shared" si="1096"/>
        <v>0</v>
      </c>
      <c r="CG554" s="664">
        <f t="shared" si="1096"/>
        <v>0</v>
      </c>
      <c r="CH554" s="664">
        <f t="shared" si="1096"/>
        <v>0</v>
      </c>
      <c r="CI554" s="664">
        <f t="shared" si="1096"/>
        <v>0</v>
      </c>
      <c r="CJ554" s="664">
        <f t="shared" si="1096"/>
        <v>8.5228653615358977E-3</v>
      </c>
      <c r="CK554" s="664">
        <f t="shared" si="1096"/>
        <v>8.7772128458658907E-3</v>
      </c>
      <c r="CL554" s="664">
        <f t="shared" si="1096"/>
        <v>4.5825064505778598E-3</v>
      </c>
      <c r="CM554" s="664">
        <f t="shared" si="1096"/>
        <v>6.3071534921166402E-3</v>
      </c>
      <c r="CN554" s="664">
        <f t="shared" si="1096"/>
        <v>6.0913705583756344E-3</v>
      </c>
      <c r="CO554" s="664">
        <f t="shared" si="1096"/>
        <v>7.2047614075388955E-3</v>
      </c>
      <c r="CP554" s="664">
        <f t="shared" si="1096"/>
        <v>7.3729764385318157E-3</v>
      </c>
      <c r="CQ554" s="664">
        <f t="shared" si="1096"/>
        <v>8.9245000325711681E-3</v>
      </c>
      <c r="CR554" s="664">
        <f t="shared" si="1096"/>
        <v>1.0310641110376734E-2</v>
      </c>
      <c r="CS554" s="1180">
        <f t="shared" si="1096"/>
        <v>1.1117211089761186E-2</v>
      </c>
      <c r="CT554" s="19">
        <f t="shared" si="1096"/>
        <v>1.4699091888563953E-2</v>
      </c>
      <c r="CU554" s="19">
        <f t="shared" si="1096"/>
        <v>2.0635835122819881E-2</v>
      </c>
      <c r="CV554" s="19">
        <f t="shared" si="1096"/>
        <v>1.8596278671570307E-2</v>
      </c>
      <c r="CW554" s="19">
        <f t="shared" si="1096"/>
        <v>1.8553223388305846E-2</v>
      </c>
      <c r="CX554" s="622">
        <f t="shared" ref="CX554:DC554" si="1097">CW554</f>
        <v>1.8553223388305846E-2</v>
      </c>
      <c r="CY554" s="622">
        <f t="shared" si="1097"/>
        <v>1.8553223388305846E-2</v>
      </c>
      <c r="CZ554" s="622">
        <f t="shared" si="1097"/>
        <v>1.8553223388305846E-2</v>
      </c>
      <c r="DA554" s="622">
        <f t="shared" si="1097"/>
        <v>1.8553223388305846E-2</v>
      </c>
      <c r="DB554" s="622">
        <f t="shared" si="1097"/>
        <v>1.8553223388305846E-2</v>
      </c>
      <c r="DC554" s="622">
        <f t="shared" si="1097"/>
        <v>1.8553223388305846E-2</v>
      </c>
      <c r="DD554" s="1517"/>
      <c r="DE554" s="1483"/>
      <c r="DF554" s="24"/>
      <c r="DG554" s="24"/>
      <c r="DH554" s="24"/>
      <c r="DI554" s="24"/>
      <c r="DJ554" s="24"/>
      <c r="DK554" s="24"/>
      <c r="DL554" s="141"/>
      <c r="DM554" s="122"/>
      <c r="DN554" s="122"/>
      <c r="DO554" s="122"/>
      <c r="DP554" s="122"/>
      <c r="DQ554" s="122"/>
      <c r="DR554" s="122"/>
      <c r="DS554" s="122"/>
      <c r="DT554" s="122"/>
      <c r="DU554" s="122"/>
      <c r="DV554" s="122"/>
      <c r="DW554" s="122"/>
      <c r="DX554" s="122"/>
      <c r="DY554" s="122"/>
      <c r="DZ554" s="1561"/>
    </row>
    <row r="555" spans="1:130">
      <c r="A555" s="145"/>
      <c r="B555" s="227"/>
      <c r="C555" s="145"/>
      <c r="D555" s="145"/>
      <c r="E555" s="228"/>
      <c r="F555" s="145"/>
      <c r="G555" s="145"/>
      <c r="H555" s="145"/>
      <c r="I555" s="228"/>
      <c r="J555" s="145"/>
      <c r="K555" s="145"/>
      <c r="L555" s="145"/>
      <c r="M555" s="228"/>
      <c r="N555" s="145"/>
      <c r="O555" s="145"/>
      <c r="P555" s="145"/>
      <c r="Q555" s="228"/>
      <c r="R555" s="145"/>
      <c r="S555" s="145"/>
      <c r="T555" s="145"/>
      <c r="U555" s="228"/>
      <c r="V555" s="227"/>
      <c r="W555" s="145"/>
      <c r="X555" s="145"/>
      <c r="Y555" s="228"/>
      <c r="Z555" s="145"/>
      <c r="AA555" s="145"/>
      <c r="AB555" s="145"/>
      <c r="AC555" s="228"/>
      <c r="AD555" s="145"/>
      <c r="AE555" s="145"/>
      <c r="AF555" s="145"/>
      <c r="AG555" s="145"/>
      <c r="AH555" s="227"/>
      <c r="AI555" s="145"/>
      <c r="AJ555" s="145"/>
      <c r="AK555" s="145"/>
      <c r="AL555" s="227"/>
      <c r="AM555" s="145"/>
      <c r="AN555" s="145"/>
      <c r="AO555" s="228"/>
      <c r="AP555" s="145"/>
      <c r="AQ555" s="145"/>
      <c r="AR555" s="145"/>
      <c r="AS555" s="145"/>
      <c r="AT555" s="227"/>
      <c r="AU555" s="145"/>
      <c r="AV555" s="145"/>
      <c r="AW555" s="145"/>
      <c r="AX555" s="227"/>
      <c r="AY555" s="145"/>
      <c r="AZ555" s="145"/>
      <c r="BA555" s="145"/>
      <c r="BB555" s="227"/>
      <c r="BC555" s="145"/>
      <c r="BD555" s="145"/>
      <c r="BE555" s="228"/>
      <c r="BF555" s="207"/>
      <c r="BG555" s="201"/>
      <c r="BH555" s="201"/>
      <c r="BI555" s="228"/>
      <c r="BJ555" s="207"/>
      <c r="BK555" s="201"/>
      <c r="BL555" s="201"/>
      <c r="BM555" s="228"/>
      <c r="BN555" s="207"/>
      <c r="BO555" s="201"/>
      <c r="BP555" s="201"/>
      <c r="BQ555" s="228"/>
      <c r="BR555" s="201"/>
      <c r="BS555" s="201"/>
      <c r="BT555" s="201"/>
      <c r="BU555" s="202"/>
      <c r="BV555" s="201"/>
      <c r="BW555" s="201"/>
      <c r="BX555" s="201"/>
      <c r="BY555" s="202"/>
      <c r="BZ555" s="201"/>
      <c r="CA555" s="201"/>
      <c r="CB555" s="201"/>
      <c r="CC555" s="202"/>
      <c r="CD555" s="9"/>
      <c r="CE555" s="145"/>
      <c r="CF555" s="145"/>
      <c r="CG555" s="145"/>
      <c r="CH555" s="145"/>
      <c r="CI555" s="145"/>
      <c r="CJ555" s="145"/>
      <c r="CK555" s="145"/>
      <c r="CL555" s="145"/>
      <c r="CM555" s="145"/>
      <c r="CN555" s="145"/>
      <c r="CO555" s="145"/>
      <c r="CP555" s="145"/>
      <c r="CQ555" s="145"/>
      <c r="CR555" s="145"/>
      <c r="CS555" s="201"/>
      <c r="CT555" s="201"/>
      <c r="CU555" s="201"/>
      <c r="CV555" s="201"/>
      <c r="CW555" s="201"/>
      <c r="CX555" s="201"/>
      <c r="CY555" s="201"/>
      <c r="CZ555" s="201"/>
      <c r="DA555" s="201"/>
      <c r="DB555" s="201"/>
      <c r="DC555" s="201"/>
      <c r="DD555" s="1517"/>
      <c r="DE555" s="1483"/>
      <c r="DF555" s="141"/>
      <c r="DG555" s="141"/>
      <c r="DH555" s="141"/>
      <c r="DI555" s="141"/>
      <c r="DJ555" s="141"/>
      <c r="DK555" s="141"/>
      <c r="DL555" s="141"/>
      <c r="DM555" s="141"/>
      <c r="DN555" s="141"/>
      <c r="DO555" s="141"/>
      <c r="DP555" s="141"/>
      <c r="DQ555" s="141"/>
      <c r="DR555" s="141"/>
      <c r="DS555" s="141"/>
      <c r="DT555" s="141"/>
      <c r="DU555" s="141"/>
      <c r="DV555" s="141"/>
      <c r="DW555" s="141"/>
      <c r="DX555" s="141"/>
      <c r="DY555" s="141"/>
      <c r="DZ555" s="1676"/>
    </row>
    <row r="556" spans="1:130">
      <c r="A556" s="24"/>
      <c r="B556" s="224" t="s">
        <v>69</v>
      </c>
      <c r="C556" s="187"/>
      <c r="D556" s="187"/>
      <c r="E556" s="195"/>
      <c r="F556" s="187"/>
      <c r="G556" s="187"/>
      <c r="H556" s="187"/>
      <c r="I556" s="195"/>
      <c r="J556" s="187"/>
      <c r="K556" s="187"/>
      <c r="L556" s="187"/>
      <c r="M556" s="195"/>
      <c r="N556" s="187"/>
      <c r="O556" s="187"/>
      <c r="P556" s="187"/>
      <c r="Q556" s="195"/>
      <c r="R556" s="187"/>
      <c r="S556" s="187"/>
      <c r="T556" s="187"/>
      <c r="U556" s="195"/>
      <c r="V556" s="23"/>
      <c r="W556" s="24"/>
      <c r="X556" s="24"/>
      <c r="Y556" s="25"/>
      <c r="Z556" s="23"/>
      <c r="AA556" s="24"/>
      <c r="AB556" s="24"/>
      <c r="AC556" s="25"/>
      <c r="AD556" s="24"/>
      <c r="AE556" s="24"/>
      <c r="AF556" s="24"/>
      <c r="AG556" s="24"/>
      <c r="AH556" s="23"/>
      <c r="AI556" s="24"/>
      <c r="AJ556" s="24"/>
      <c r="AK556" s="24"/>
      <c r="AL556" s="23"/>
      <c r="AM556" s="24"/>
      <c r="AN556" s="24"/>
      <c r="AO556" s="25"/>
      <c r="AP556" s="24"/>
      <c r="AQ556" s="24"/>
      <c r="AR556" s="24"/>
      <c r="AS556" s="24"/>
      <c r="AT556" s="23"/>
      <c r="AU556" s="24"/>
      <c r="AV556" s="24"/>
      <c r="AW556" s="24"/>
      <c r="AX556" s="23"/>
      <c r="AY556" s="24"/>
      <c r="AZ556" s="24"/>
      <c r="BA556" s="24"/>
      <c r="BB556" s="23"/>
      <c r="BC556" s="24"/>
      <c r="BD556" s="24"/>
      <c r="BE556" s="25"/>
      <c r="BF556" s="23"/>
      <c r="BG556" s="24"/>
      <c r="BH556" s="24"/>
      <c r="BI556" s="25"/>
      <c r="BJ556" s="23"/>
      <c r="BK556" s="24"/>
      <c r="BL556" s="24"/>
      <c r="BM556" s="25"/>
      <c r="BN556" s="23"/>
      <c r="BO556" s="24"/>
      <c r="BP556" s="24"/>
      <c r="BQ556" s="25"/>
      <c r="BR556" s="24"/>
      <c r="BS556" s="24"/>
      <c r="BT556" s="24"/>
      <c r="BU556" s="25"/>
      <c r="BV556" s="24"/>
      <c r="BW556" s="24"/>
      <c r="BX556" s="24"/>
      <c r="BY556" s="25"/>
      <c r="BZ556" s="24"/>
      <c r="CA556" s="24"/>
      <c r="CB556" s="24"/>
      <c r="CC556" s="25"/>
      <c r="CD556" s="25"/>
      <c r="CE556" s="895"/>
      <c r="CF556" s="895"/>
      <c r="CG556" s="895"/>
      <c r="CH556" s="895"/>
      <c r="CI556" s="895"/>
      <c r="CJ556" s="895"/>
      <c r="CK556" s="895"/>
      <c r="CL556" s="24"/>
      <c r="CM556" s="24"/>
      <c r="CN556" s="24"/>
      <c r="CO556" s="24"/>
      <c r="CP556" s="24"/>
      <c r="CQ556" s="24"/>
      <c r="CR556" s="24"/>
      <c r="CS556" s="24"/>
      <c r="CT556" s="24"/>
      <c r="CU556" s="24"/>
      <c r="CV556" s="24"/>
      <c r="CW556" s="24"/>
      <c r="CX556" s="24"/>
      <c r="CY556" s="24"/>
      <c r="CZ556" s="24"/>
      <c r="DA556" s="24"/>
      <c r="DB556" s="24"/>
      <c r="DC556" s="24"/>
      <c r="DD556" s="1529"/>
      <c r="DE556" s="1561"/>
      <c r="DF556" s="24"/>
      <c r="DG556" s="24"/>
      <c r="DH556" s="24"/>
      <c r="DI556" s="24"/>
      <c r="DJ556" s="24"/>
      <c r="DK556" s="24"/>
      <c r="DL556" s="141"/>
      <c r="DM556" s="24"/>
      <c r="DN556" s="24"/>
      <c r="DO556" s="24"/>
      <c r="DP556" s="24"/>
      <c r="DQ556" s="24"/>
      <c r="DR556" s="24"/>
      <c r="DS556" s="24"/>
      <c r="DT556" s="24"/>
      <c r="DU556" s="24"/>
      <c r="DV556" s="24"/>
      <c r="DW556" s="24"/>
      <c r="DX556" s="24"/>
      <c r="DY556" s="24"/>
      <c r="DZ556" s="1561"/>
    </row>
    <row r="557" spans="1:130">
      <c r="A557" s="3"/>
      <c r="B557" s="209" t="s">
        <v>889</v>
      </c>
      <c r="C557" s="188"/>
      <c r="D557" s="188"/>
      <c r="E557" s="198"/>
      <c r="F557" s="672">
        <f>$CE$557</f>
        <v>0.32</v>
      </c>
      <c r="G557" s="672">
        <f>$CE$557</f>
        <v>0.32</v>
      </c>
      <c r="H557" s="672">
        <f>$CE$557</f>
        <v>0.32</v>
      </c>
      <c r="I557" s="673">
        <f>$CE$557</f>
        <v>0.32</v>
      </c>
      <c r="J557" s="672">
        <f>$CF$557</f>
        <v>0.32</v>
      </c>
      <c r="K557" s="672">
        <f>$CF$557</f>
        <v>0.32</v>
      </c>
      <c r="L557" s="672">
        <f>$CF$557</f>
        <v>0.32</v>
      </c>
      <c r="M557" s="673">
        <f>$CF$557</f>
        <v>0.32</v>
      </c>
      <c r="N557" s="672">
        <f>$CG$557</f>
        <v>0.32</v>
      </c>
      <c r="O557" s="672">
        <f>$CG$557</f>
        <v>0.32</v>
      </c>
      <c r="P557" s="672">
        <f>$CG$557</f>
        <v>0.32</v>
      </c>
      <c r="Q557" s="673">
        <f>$CG$557</f>
        <v>0.32</v>
      </c>
      <c r="R557" s="672">
        <f>$CH$557</f>
        <v>0.32</v>
      </c>
      <c r="S557" s="672">
        <f>$CH$557</f>
        <v>0.32</v>
      </c>
      <c r="T557" s="672">
        <f>$CH$557</f>
        <v>0.32</v>
      </c>
      <c r="U557" s="673">
        <f>$CH$557</f>
        <v>0.32</v>
      </c>
      <c r="V557" s="672">
        <f>$CI$557</f>
        <v>0.32</v>
      </c>
      <c r="W557" s="672">
        <f>$CI$557</f>
        <v>0.32</v>
      </c>
      <c r="X557" s="672">
        <f>$CI$557</f>
        <v>0.32</v>
      </c>
      <c r="Y557" s="673">
        <f>$CI$557</f>
        <v>0.32</v>
      </c>
      <c r="Z557" s="672">
        <f>$CJ$557</f>
        <v>0.32</v>
      </c>
      <c r="AA557" s="672">
        <f>$CJ$557</f>
        <v>0.32</v>
      </c>
      <c r="AB557" s="672">
        <f>$CJ$557</f>
        <v>0.32</v>
      </c>
      <c r="AC557" s="673">
        <f>$CJ$557</f>
        <v>0.32</v>
      </c>
      <c r="AD557" s="672">
        <f>$CK$557</f>
        <v>0.32</v>
      </c>
      <c r="AE557" s="672">
        <f>$CK$557</f>
        <v>0.32</v>
      </c>
      <c r="AF557" s="672">
        <f>$CK$557</f>
        <v>0.32</v>
      </c>
      <c r="AG557" s="672">
        <f>$CK$557</f>
        <v>0.32</v>
      </c>
      <c r="AH557" s="733">
        <f>$CL$557</f>
        <v>0.32</v>
      </c>
      <c r="AI557" s="599">
        <f>$CL$557</f>
        <v>0.32</v>
      </c>
      <c r="AJ557" s="599">
        <f>$CL$557</f>
        <v>0.32</v>
      </c>
      <c r="AK557" s="599">
        <f>$CL$557</f>
        <v>0.32</v>
      </c>
      <c r="AL557" s="972">
        <f>$CM$557</f>
        <v>0.32</v>
      </c>
      <c r="AM557" s="599">
        <f>$CM$557</f>
        <v>0.32</v>
      </c>
      <c r="AN557" s="599">
        <f>$CM$557</f>
        <v>0.32</v>
      </c>
      <c r="AO557" s="600">
        <f>$CM$557</f>
        <v>0.32</v>
      </c>
      <c r="AP557" s="599">
        <f t="shared" ref="AP557:CC557" si="1098">$CN$557</f>
        <v>0.32</v>
      </c>
      <c r="AQ557" s="599">
        <f t="shared" si="1098"/>
        <v>0.32</v>
      </c>
      <c r="AR557" s="599">
        <f t="shared" si="1098"/>
        <v>0.32</v>
      </c>
      <c r="AS557" s="599">
        <f t="shared" si="1098"/>
        <v>0.32</v>
      </c>
      <c r="AT557" s="972">
        <f t="shared" si="1098"/>
        <v>0.32</v>
      </c>
      <c r="AU557" s="599">
        <f t="shared" si="1098"/>
        <v>0.32</v>
      </c>
      <c r="AV557" s="599">
        <f t="shared" si="1098"/>
        <v>0.32</v>
      </c>
      <c r="AW557" s="599">
        <f t="shared" si="1098"/>
        <v>0.32</v>
      </c>
      <c r="AX557" s="972">
        <f t="shared" si="1098"/>
        <v>0.32</v>
      </c>
      <c r="AY557" s="599">
        <f t="shared" si="1098"/>
        <v>0.32</v>
      </c>
      <c r="AZ557" s="599">
        <f t="shared" si="1098"/>
        <v>0.32</v>
      </c>
      <c r="BA557" s="599">
        <f t="shared" si="1098"/>
        <v>0.32</v>
      </c>
      <c r="BB557" s="972">
        <f t="shared" si="1098"/>
        <v>0.32</v>
      </c>
      <c r="BC557" s="599">
        <f t="shared" si="1098"/>
        <v>0.32</v>
      </c>
      <c r="BD557" s="599">
        <f t="shared" si="1098"/>
        <v>0.32</v>
      </c>
      <c r="BE557" s="600">
        <f t="shared" si="1098"/>
        <v>0.32</v>
      </c>
      <c r="BF557" s="972">
        <f t="shared" si="1098"/>
        <v>0.32</v>
      </c>
      <c r="BG557" s="599">
        <f t="shared" si="1098"/>
        <v>0.32</v>
      </c>
      <c r="BH557" s="599">
        <f t="shared" si="1098"/>
        <v>0.32</v>
      </c>
      <c r="BI557" s="600">
        <f t="shared" si="1098"/>
        <v>0.32</v>
      </c>
      <c r="BJ557" s="972">
        <f t="shared" si="1098"/>
        <v>0.32</v>
      </c>
      <c r="BK557" s="599">
        <f t="shared" si="1098"/>
        <v>0.32</v>
      </c>
      <c r="BL557" s="599">
        <f t="shared" si="1098"/>
        <v>0.32</v>
      </c>
      <c r="BM557" s="600">
        <f t="shared" si="1098"/>
        <v>0.32</v>
      </c>
      <c r="BN557" s="972">
        <f t="shared" si="1098"/>
        <v>0.32</v>
      </c>
      <c r="BO557" s="599">
        <f t="shared" si="1098"/>
        <v>0.32</v>
      </c>
      <c r="BP557" s="599">
        <f t="shared" si="1098"/>
        <v>0.32</v>
      </c>
      <c r="BQ557" s="600">
        <f t="shared" si="1098"/>
        <v>0.32</v>
      </c>
      <c r="BR557" s="599">
        <f t="shared" si="1098"/>
        <v>0.32</v>
      </c>
      <c r="BS557" s="599">
        <f t="shared" si="1098"/>
        <v>0.32</v>
      </c>
      <c r="BT557" s="599">
        <f t="shared" si="1098"/>
        <v>0.32</v>
      </c>
      <c r="BU557" s="600">
        <f t="shared" si="1098"/>
        <v>0.32</v>
      </c>
      <c r="BV557" s="599">
        <f t="shared" si="1098"/>
        <v>0.32</v>
      </c>
      <c r="BW557" s="599">
        <f t="shared" si="1098"/>
        <v>0.32</v>
      </c>
      <c r="BX557" s="599">
        <f t="shared" si="1098"/>
        <v>0.32</v>
      </c>
      <c r="BY557" s="600">
        <f t="shared" si="1098"/>
        <v>0.32</v>
      </c>
      <c r="BZ557" s="599">
        <f t="shared" si="1098"/>
        <v>0.32</v>
      </c>
      <c r="CA557" s="599">
        <f t="shared" si="1098"/>
        <v>0.32</v>
      </c>
      <c r="CB557" s="599">
        <f t="shared" si="1098"/>
        <v>0.32</v>
      </c>
      <c r="CC557" s="600">
        <f t="shared" si="1098"/>
        <v>0.32</v>
      </c>
      <c r="CD557" s="9"/>
      <c r="CE557" s="935">
        <v>0.32</v>
      </c>
      <c r="CF557" s="935">
        <v>0.32</v>
      </c>
      <c r="CG557" s="935">
        <v>0.32</v>
      </c>
      <c r="CH557" s="935">
        <v>0.32</v>
      </c>
      <c r="CI557" s="935">
        <v>0.32</v>
      </c>
      <c r="CJ557" s="935">
        <v>0.32</v>
      </c>
      <c r="CK557" s="935">
        <v>0.32</v>
      </c>
      <c r="CL557" s="251">
        <f t="shared" ref="CL557:CS557" si="1099">CK557</f>
        <v>0.32</v>
      </c>
      <c r="CM557" s="251">
        <f t="shared" si="1099"/>
        <v>0.32</v>
      </c>
      <c r="CN557" s="251">
        <f t="shared" si="1099"/>
        <v>0.32</v>
      </c>
      <c r="CO557" s="251">
        <f t="shared" si="1099"/>
        <v>0.32</v>
      </c>
      <c r="CP557" s="251">
        <f t="shared" si="1099"/>
        <v>0.32</v>
      </c>
      <c r="CQ557" s="251">
        <f t="shared" si="1099"/>
        <v>0.32</v>
      </c>
      <c r="CR557" s="251">
        <f t="shared" si="1099"/>
        <v>0.32</v>
      </c>
      <c r="CS557" s="251">
        <f t="shared" si="1099"/>
        <v>0.32</v>
      </c>
      <c r="CT557" s="251">
        <f t="shared" ref="CT557:DC557" si="1100">CS557</f>
        <v>0.32</v>
      </c>
      <c r="CU557" s="251">
        <f t="shared" si="1100"/>
        <v>0.32</v>
      </c>
      <c r="CV557" s="251">
        <f t="shared" si="1100"/>
        <v>0.32</v>
      </c>
      <c r="CW557" s="251">
        <f t="shared" si="1100"/>
        <v>0.32</v>
      </c>
      <c r="CX557" s="251">
        <f t="shared" si="1100"/>
        <v>0.32</v>
      </c>
      <c r="CY557" s="251">
        <f t="shared" si="1100"/>
        <v>0.32</v>
      </c>
      <c r="CZ557" s="251">
        <f t="shared" si="1100"/>
        <v>0.32</v>
      </c>
      <c r="DA557" s="251">
        <f t="shared" si="1100"/>
        <v>0.32</v>
      </c>
      <c r="DB557" s="251">
        <f t="shared" si="1100"/>
        <v>0.32</v>
      </c>
      <c r="DC557" s="251">
        <f t="shared" si="1100"/>
        <v>0.32</v>
      </c>
      <c r="DD557" s="1517"/>
      <c r="DE557" s="1483"/>
      <c r="DF557" s="24"/>
      <c r="DG557" s="24"/>
      <c r="DH557" s="24"/>
      <c r="DI557" s="24"/>
      <c r="DJ557" s="24"/>
      <c r="DK557" s="24"/>
      <c r="DL557" s="141"/>
      <c r="DM557" s="24"/>
      <c r="DN557" s="24"/>
      <c r="DO557" s="24"/>
      <c r="DP557" s="24"/>
      <c r="DQ557" s="24"/>
      <c r="DR557" s="24"/>
      <c r="DS557" s="24"/>
      <c r="DT557" s="24"/>
      <c r="DU557" s="24"/>
      <c r="DV557" s="24"/>
      <c r="DW557" s="24"/>
      <c r="DX557" s="24"/>
      <c r="DY557" s="24"/>
      <c r="DZ557" s="1561"/>
    </row>
    <row r="558" spans="1:130">
      <c r="A558" s="3"/>
      <c r="B558" s="208"/>
      <c r="C558" s="196" t="s">
        <v>291</v>
      </c>
      <c r="D558" s="196"/>
      <c r="E558" s="197"/>
      <c r="F558" s="196"/>
      <c r="G558" s="196"/>
      <c r="H558" s="196"/>
      <c r="I558" s="197"/>
      <c r="J558" s="196"/>
      <c r="K558" s="196"/>
      <c r="L558" s="196"/>
      <c r="M558" s="197"/>
      <c r="N558" s="196"/>
      <c r="O558" s="196"/>
      <c r="P558" s="196"/>
      <c r="Q558" s="197"/>
      <c r="R558" s="196"/>
      <c r="S558" s="196"/>
      <c r="T558" s="196"/>
      <c r="U558" s="197"/>
      <c r="V558" s="26"/>
      <c r="W558" s="19"/>
      <c r="X558" s="19"/>
      <c r="Y558" s="27"/>
      <c r="Z558" s="26"/>
      <c r="AA558" s="19"/>
      <c r="AB558" s="19"/>
      <c r="AC558" s="27"/>
      <c r="AD558" s="26"/>
      <c r="AE558" s="19"/>
      <c r="AF558" s="19"/>
      <c r="AG558" s="19"/>
      <c r="AH558" s="26"/>
      <c r="AI558" s="19"/>
      <c r="AJ558" s="19"/>
      <c r="AK558" s="19"/>
      <c r="AL558" s="23"/>
      <c r="AM558" s="24"/>
      <c r="AN558" s="24"/>
      <c r="AO558" s="25"/>
      <c r="AP558" s="24"/>
      <c r="AQ558" s="24"/>
      <c r="AR558" s="24"/>
      <c r="AS558" s="24"/>
      <c r="AT558" s="23"/>
      <c r="AU558" s="24"/>
      <c r="AV558" s="24"/>
      <c r="AW558" s="24"/>
      <c r="AX558" s="23"/>
      <c r="AY558" s="24"/>
      <c r="AZ558" s="24"/>
      <c r="BA558" s="25"/>
      <c r="BB558" s="23"/>
      <c r="BC558" s="24"/>
      <c r="BD558" s="24"/>
      <c r="BE558" s="25"/>
      <c r="BF558" s="23"/>
      <c r="BG558" s="24"/>
      <c r="BH558" s="24"/>
      <c r="BI558" s="25"/>
      <c r="BJ558" s="23"/>
      <c r="BK558" s="24"/>
      <c r="BL558" s="24"/>
      <c r="BM558" s="25"/>
      <c r="BN558" s="23"/>
      <c r="BO558" s="24"/>
      <c r="BP558" s="24"/>
      <c r="BQ558" s="25"/>
      <c r="BR558" s="24"/>
      <c r="BS558" s="24"/>
      <c r="BT558" s="24"/>
      <c r="BU558" s="25"/>
      <c r="BV558" s="24"/>
      <c r="BW558" s="24"/>
      <c r="BX558" s="24"/>
      <c r="BY558" s="25"/>
      <c r="BZ558" s="24"/>
      <c r="CA558" s="24"/>
      <c r="CB558" s="24"/>
      <c r="CC558" s="25"/>
      <c r="CD558" s="9"/>
      <c r="CE558" s="459"/>
      <c r="CF558" s="459"/>
      <c r="CG558" s="459"/>
      <c r="CH558" s="459"/>
      <c r="CI558" s="459"/>
      <c r="CJ558" s="459"/>
      <c r="CK558" s="459"/>
      <c r="CL558" s="108"/>
      <c r="CM558" s="108"/>
      <c r="CN558" s="350"/>
      <c r="CO558" s="350"/>
      <c r="CP558" s="350"/>
      <c r="CQ558" s="350"/>
      <c r="CR558" s="350"/>
      <c r="CS558" s="24"/>
      <c r="CT558" s="24"/>
      <c r="CU558" s="24"/>
      <c r="CV558" s="24"/>
      <c r="CW558" s="24"/>
      <c r="CX558" s="24"/>
      <c r="CY558" s="24"/>
      <c r="CZ558" s="24"/>
      <c r="DA558" s="24"/>
      <c r="DB558" s="24"/>
      <c r="DC558" s="24"/>
      <c r="DD558" s="1517"/>
      <c r="DE558" s="1483"/>
      <c r="DF558" s="24"/>
      <c r="DG558" s="24"/>
      <c r="DH558" s="24"/>
      <c r="DI558" s="24"/>
      <c r="DJ558" s="24"/>
      <c r="DK558" s="24"/>
      <c r="DL558" s="141"/>
      <c r="DM558" s="24"/>
      <c r="DN558" s="24"/>
      <c r="DO558" s="24"/>
      <c r="DP558" s="24"/>
      <c r="DQ558" s="24"/>
      <c r="DR558" s="24"/>
      <c r="DS558" s="24"/>
      <c r="DT558" s="24"/>
      <c r="DU558" s="24"/>
      <c r="DV558" s="24"/>
      <c r="DW558" s="24"/>
      <c r="DX558" s="24"/>
      <c r="DY558" s="24"/>
      <c r="DZ558" s="1561"/>
    </row>
    <row r="559" spans="1:130">
      <c r="A559" s="3"/>
      <c r="B559" s="208"/>
      <c r="C559" s="196" t="s">
        <v>290</v>
      </c>
      <c r="D559" s="196"/>
      <c r="E559" s="197"/>
      <c r="F559" s="196"/>
      <c r="G559" s="196"/>
      <c r="H559" s="196"/>
      <c r="I559" s="197"/>
      <c r="J559" s="196"/>
      <c r="K559" s="196"/>
      <c r="L559" s="196"/>
      <c r="M559" s="197"/>
      <c r="N559" s="196"/>
      <c r="O559" s="196"/>
      <c r="P559" s="196"/>
      <c r="Q559" s="197"/>
      <c r="R559" s="196"/>
      <c r="S559" s="196"/>
      <c r="T559" s="196"/>
      <c r="U559" s="197"/>
      <c r="V559" s="26"/>
      <c r="W559" s="19"/>
      <c r="X559" s="19"/>
      <c r="Y559" s="27"/>
      <c r="Z559" s="26"/>
      <c r="AA559" s="19"/>
      <c r="AB559" s="19"/>
      <c r="AC559" s="27"/>
      <c r="AD559" s="26"/>
      <c r="AE559" s="19"/>
      <c r="AF559" s="19"/>
      <c r="AG559" s="19"/>
      <c r="AH559" s="26"/>
      <c r="AI559" s="19"/>
      <c r="AJ559" s="19"/>
      <c r="AK559" s="19"/>
      <c r="AL559" s="23"/>
      <c r="AM559" s="24"/>
      <c r="AN559" s="24"/>
      <c r="AO559" s="25"/>
      <c r="AP559" s="24"/>
      <c r="AQ559" s="24"/>
      <c r="AR559" s="24"/>
      <c r="AS559" s="24"/>
      <c r="AT559" s="23"/>
      <c r="AU559" s="24"/>
      <c r="AV559" s="24"/>
      <c r="AW559" s="24"/>
      <c r="AX559" s="23"/>
      <c r="AY559" s="24"/>
      <c r="AZ559" s="24"/>
      <c r="BA559" s="25"/>
      <c r="BB559" s="23"/>
      <c r="BC559" s="24"/>
      <c r="BD559" s="24"/>
      <c r="BE559" s="25"/>
      <c r="BF559" s="23"/>
      <c r="BG559" s="24"/>
      <c r="BH559" s="24"/>
      <c r="BI559" s="25"/>
      <c r="BJ559" s="23"/>
      <c r="BK559" s="24"/>
      <c r="BL559" s="24"/>
      <c r="BM559" s="25"/>
      <c r="BN559" s="24"/>
      <c r="BO559" s="24"/>
      <c r="BP559" s="24"/>
      <c r="BQ559" s="25"/>
      <c r="BR559" s="24"/>
      <c r="BS559" s="24"/>
      <c r="BT559" s="24"/>
      <c r="BU559" s="25"/>
      <c r="BV559" s="24"/>
      <c r="BW559" s="24"/>
      <c r="BX559" s="24"/>
      <c r="BY559" s="25"/>
      <c r="BZ559" s="24"/>
      <c r="CA559" s="24"/>
      <c r="CB559" s="24"/>
      <c r="CC559" s="25"/>
      <c r="CD559" s="9"/>
      <c r="CE559" s="459"/>
      <c r="CF559" s="459"/>
      <c r="CG559" s="459"/>
      <c r="CH559" s="459"/>
      <c r="CI559" s="459"/>
      <c r="CJ559" s="459"/>
      <c r="CK559" s="459"/>
      <c r="CL559" s="350"/>
      <c r="CM559" s="350"/>
      <c r="CN559" s="350"/>
      <c r="CO559" s="350"/>
      <c r="CP559" s="350"/>
      <c r="CQ559" s="350"/>
      <c r="CR559" s="350"/>
      <c r="CS559" s="24"/>
      <c r="CT559" s="24"/>
      <c r="CU559" s="24"/>
      <c r="CV559" s="24"/>
      <c r="CW559" s="24"/>
      <c r="CX559" s="24"/>
      <c r="CY559" s="24"/>
      <c r="CZ559" s="24"/>
      <c r="DA559" s="24"/>
      <c r="DB559" s="24"/>
      <c r="DC559" s="24"/>
      <c r="DD559" s="1517"/>
      <c r="DE559" s="1483"/>
      <c r="DF559" s="24"/>
      <c r="DG559" s="24"/>
      <c r="DH559" s="24"/>
      <c r="DI559" s="24"/>
      <c r="DJ559" s="24"/>
      <c r="DK559" s="24"/>
      <c r="DL559" s="141"/>
      <c r="DM559" s="24"/>
      <c r="DN559" s="24"/>
      <c r="DO559" s="24"/>
      <c r="DP559" s="24"/>
      <c r="DQ559" s="24"/>
      <c r="DR559" s="24"/>
      <c r="DS559" s="24"/>
      <c r="DT559" s="24"/>
      <c r="DU559" s="24"/>
      <c r="DV559" s="24"/>
      <c r="DW559" s="24"/>
      <c r="DX559" s="24"/>
      <c r="DY559" s="24"/>
      <c r="DZ559" s="1561"/>
    </row>
    <row r="560" spans="1:130">
      <c r="A560" s="3"/>
      <c r="B560" s="208"/>
      <c r="C560" s="196" t="s">
        <v>68</v>
      </c>
      <c r="D560" s="196"/>
      <c r="E560" s="197"/>
      <c r="F560" s="196"/>
      <c r="G560" s="196"/>
      <c r="H560" s="196"/>
      <c r="I560" s="197"/>
      <c r="J560" s="196"/>
      <c r="K560" s="196"/>
      <c r="L560" s="196"/>
      <c r="M560" s="197"/>
      <c r="N560" s="196"/>
      <c r="O560" s="196"/>
      <c r="P560" s="196"/>
      <c r="Q560" s="197"/>
      <c r="R560" s="196"/>
      <c r="S560" s="196"/>
      <c r="T560" s="196"/>
      <c r="U560" s="197"/>
      <c r="V560" s="26"/>
      <c r="W560" s="19"/>
      <c r="X560" s="19"/>
      <c r="Y560" s="27"/>
      <c r="Z560" s="26"/>
      <c r="AA560" s="19"/>
      <c r="AB560" s="19"/>
      <c r="AC560" s="27"/>
      <c r="AD560" s="26"/>
      <c r="AE560" s="19"/>
      <c r="AF560" s="19"/>
      <c r="AG560" s="19"/>
      <c r="AH560" s="26"/>
      <c r="AI560" s="19"/>
      <c r="AJ560" s="19"/>
      <c r="AK560" s="19"/>
      <c r="AL560" s="23"/>
      <c r="AM560" s="24"/>
      <c r="AN560" s="24"/>
      <c r="AO560" s="25"/>
      <c r="AP560" s="24"/>
      <c r="AQ560" s="24"/>
      <c r="AR560" s="24"/>
      <c r="AS560" s="24"/>
      <c r="AT560" s="23"/>
      <c r="AU560" s="24"/>
      <c r="AV560" s="24"/>
      <c r="AW560" s="24"/>
      <c r="AX560" s="23"/>
      <c r="AY560" s="24"/>
      <c r="AZ560" s="24"/>
      <c r="BA560" s="25"/>
      <c r="BB560" s="23"/>
      <c r="BC560" s="24"/>
      <c r="BD560" s="24"/>
      <c r="BE560" s="25"/>
      <c r="BF560" s="23"/>
      <c r="BG560" s="24"/>
      <c r="BH560" s="24"/>
      <c r="BI560" s="25"/>
      <c r="BJ560" s="23"/>
      <c r="BK560" s="24"/>
      <c r="BL560" s="24"/>
      <c r="BM560" s="25"/>
      <c r="BN560" s="24"/>
      <c r="BO560" s="24"/>
      <c r="BP560" s="24"/>
      <c r="BQ560" s="25"/>
      <c r="BR560" s="24"/>
      <c r="BS560" s="24"/>
      <c r="BT560" s="24"/>
      <c r="BU560" s="25"/>
      <c r="BV560" s="24"/>
      <c r="BW560" s="24"/>
      <c r="BX560" s="24"/>
      <c r="BY560" s="25"/>
      <c r="BZ560" s="24"/>
      <c r="CA560" s="24"/>
      <c r="CB560" s="24"/>
      <c r="CC560" s="25"/>
      <c r="CD560" s="9"/>
      <c r="CE560" s="459"/>
      <c r="CF560" s="459"/>
      <c r="CG560" s="459"/>
      <c r="CH560" s="459"/>
      <c r="CI560" s="459"/>
      <c r="CJ560" s="459"/>
      <c r="CK560" s="459"/>
      <c r="CL560" s="24"/>
      <c r="CM560" s="24"/>
      <c r="CN560" s="24"/>
      <c r="CO560" s="24"/>
      <c r="CP560" s="24"/>
      <c r="CQ560" s="24"/>
      <c r="CR560" s="24"/>
      <c r="CS560" s="24"/>
      <c r="CT560" s="24"/>
      <c r="CU560" s="24"/>
      <c r="CV560" s="24"/>
      <c r="CW560" s="24"/>
      <c r="CX560" s="24"/>
      <c r="CY560" s="24"/>
      <c r="CZ560" s="24"/>
      <c r="DA560" s="24"/>
      <c r="DB560" s="24"/>
      <c r="DC560" s="24"/>
      <c r="DD560" s="1517"/>
      <c r="DE560" s="1483"/>
      <c r="DF560" s="24"/>
      <c r="DG560" s="24"/>
      <c r="DH560" s="24"/>
      <c r="DI560" s="24"/>
      <c r="DJ560" s="24"/>
      <c r="DK560" s="24"/>
      <c r="DL560" s="141"/>
      <c r="DM560" s="24"/>
      <c r="DN560" s="24"/>
      <c r="DO560" s="24"/>
      <c r="DP560" s="24"/>
      <c r="DQ560" s="24"/>
      <c r="DR560" s="24"/>
      <c r="DS560" s="24"/>
      <c r="DT560" s="24"/>
      <c r="DU560" s="24"/>
      <c r="DV560" s="24"/>
      <c r="DW560" s="24"/>
      <c r="DX560" s="24"/>
      <c r="DY560" s="24"/>
      <c r="DZ560" s="1561"/>
    </row>
    <row r="561" spans="1:130">
      <c r="A561" s="3"/>
      <c r="B561" s="344"/>
      <c r="C561" s="345"/>
      <c r="D561" s="345"/>
      <c r="E561" s="381"/>
      <c r="F561" s="345"/>
      <c r="G561" s="345"/>
      <c r="H561" s="345"/>
      <c r="I561" s="381"/>
      <c r="J561" s="345"/>
      <c r="K561" s="345"/>
      <c r="L561" s="345"/>
      <c r="M561" s="381"/>
      <c r="N561" s="345"/>
      <c r="O561" s="345"/>
      <c r="P561" s="345"/>
      <c r="Q561" s="381"/>
      <c r="R561" s="345"/>
      <c r="S561" s="345"/>
      <c r="T561" s="345"/>
      <c r="U561" s="381"/>
      <c r="V561" s="326"/>
      <c r="W561" s="5"/>
      <c r="X561" s="5"/>
      <c r="Y561" s="313"/>
      <c r="Z561" s="326"/>
      <c r="AA561" s="5"/>
      <c r="AB561" s="5"/>
      <c r="AC561" s="313"/>
      <c r="AD561" s="326"/>
      <c r="AE561" s="5"/>
      <c r="AF561" s="5"/>
      <c r="AG561" s="5"/>
      <c r="AH561" s="326"/>
      <c r="AI561" s="5"/>
      <c r="AJ561" s="5"/>
      <c r="AK561" s="5"/>
      <c r="AL561" s="326"/>
      <c r="AM561" s="5"/>
      <c r="AN561" s="5"/>
      <c r="AO561" s="313"/>
      <c r="AP561" s="5"/>
      <c r="AQ561" s="5"/>
      <c r="AR561" s="5"/>
      <c r="AS561" s="5"/>
      <c r="AT561" s="326"/>
      <c r="AU561" s="5"/>
      <c r="AV561" s="5"/>
      <c r="AW561" s="5"/>
      <c r="AX561" s="326"/>
      <c r="AY561" s="5"/>
      <c r="AZ561" s="5"/>
      <c r="BA561" s="313"/>
      <c r="BB561" s="326"/>
      <c r="BC561" s="5"/>
      <c r="BD561" s="5"/>
      <c r="BE561" s="313"/>
      <c r="BF561" s="326"/>
      <c r="BG561" s="5"/>
      <c r="BH561" s="5"/>
      <c r="BI561" s="313"/>
      <c r="BJ561" s="326"/>
      <c r="BK561" s="5"/>
      <c r="BL561" s="5"/>
      <c r="BM561" s="313"/>
      <c r="BN561" s="5"/>
      <c r="BO561" s="5"/>
      <c r="BP561" s="5"/>
      <c r="BQ561" s="313"/>
      <c r="BR561" s="5"/>
      <c r="BS561" s="5"/>
      <c r="BT561" s="5"/>
      <c r="BU561" s="313"/>
      <c r="BV561" s="5"/>
      <c r="BW561" s="5"/>
      <c r="BX561" s="5"/>
      <c r="BY561" s="313"/>
      <c r="BZ561" s="5"/>
      <c r="CA561" s="5"/>
      <c r="CB561" s="5"/>
      <c r="CC561" s="313"/>
      <c r="CD561" s="9"/>
      <c r="CE561" s="348"/>
      <c r="CF561" s="348"/>
      <c r="CG561" s="348"/>
      <c r="CH561" s="348"/>
      <c r="CI561" s="348"/>
      <c r="CJ561" s="348"/>
      <c r="CK561" s="5"/>
      <c r="CL561" s="5"/>
      <c r="CM561" s="5"/>
      <c r="CN561" s="5"/>
      <c r="CO561" s="5"/>
      <c r="CP561" s="5"/>
      <c r="CQ561" s="5"/>
      <c r="CR561" s="5"/>
      <c r="CS561" s="32"/>
      <c r="CT561" s="32"/>
      <c r="CU561" s="5"/>
      <c r="CV561" s="5"/>
      <c r="CW561" s="5"/>
      <c r="CX561" s="5"/>
      <c r="CY561" s="5"/>
      <c r="CZ561" s="5"/>
      <c r="DA561" s="5"/>
      <c r="DB561" s="5"/>
      <c r="DC561" s="5"/>
      <c r="DD561" s="1526"/>
      <c r="DE561" s="1483"/>
      <c r="DF561" s="24"/>
      <c r="DG561" s="24"/>
      <c r="DH561" s="24"/>
      <c r="DI561" s="24"/>
      <c r="DJ561" s="24"/>
      <c r="DK561" s="24"/>
      <c r="DL561" s="141"/>
      <c r="DM561" s="24"/>
      <c r="DN561" s="24"/>
      <c r="DO561" s="24"/>
      <c r="DP561" s="24"/>
      <c r="DQ561" s="24"/>
      <c r="DR561" s="24"/>
      <c r="DS561" s="24"/>
      <c r="DT561" s="24"/>
      <c r="DU561" s="24"/>
      <c r="DV561" s="24"/>
      <c r="DW561" s="24"/>
      <c r="DX561" s="24"/>
      <c r="DY561" s="24"/>
      <c r="DZ561" s="1561"/>
    </row>
    <row r="562" spans="1:130">
      <c r="A562" s="3"/>
      <c r="B562" s="188"/>
      <c r="C562" s="188"/>
      <c r="D562" s="188"/>
      <c r="E562" s="198"/>
      <c r="F562" s="188"/>
      <c r="G562" s="188"/>
      <c r="H562" s="188"/>
      <c r="I562" s="198"/>
      <c r="J562" s="188"/>
      <c r="K562" s="188"/>
      <c r="L562" s="188"/>
      <c r="M562" s="198"/>
      <c r="N562" s="188"/>
      <c r="O562" s="188"/>
      <c r="P562" s="188"/>
      <c r="Q562" s="198"/>
      <c r="R562" s="188"/>
      <c r="S562" s="188"/>
      <c r="T562" s="188"/>
      <c r="U562" s="198"/>
      <c r="V562" s="3"/>
      <c r="W562" s="3"/>
      <c r="X562" s="3"/>
      <c r="Y562" s="3"/>
      <c r="Z562" s="3"/>
      <c r="AA562" s="3"/>
      <c r="AB562" s="3"/>
      <c r="AC562" s="3"/>
      <c r="AD562" s="3"/>
      <c r="AE562" s="3"/>
      <c r="AF562" s="3"/>
      <c r="AG562" s="3"/>
      <c r="AH562" s="8"/>
      <c r="AI562" s="11"/>
      <c r="AJ562" s="11"/>
      <c r="AK562" s="11"/>
      <c r="AL562" s="11"/>
      <c r="AM562" s="11"/>
      <c r="AN562" s="11"/>
      <c r="AO562" s="11"/>
      <c r="AP562" s="3"/>
      <c r="AQ562" s="3"/>
      <c r="AR562" s="3"/>
      <c r="AS562" s="3"/>
      <c r="AT562" s="8"/>
      <c r="AU562" s="3"/>
      <c r="AV562" s="3"/>
      <c r="AW562" s="3"/>
      <c r="AX562" s="8"/>
      <c r="AY562" s="3"/>
      <c r="AZ562" s="3"/>
      <c r="BA562" s="3"/>
      <c r="BB562" s="8"/>
      <c r="BC562" s="3"/>
      <c r="BD562" s="3"/>
      <c r="BE562" s="3"/>
      <c r="BF562" s="8"/>
      <c r="BG562" s="3"/>
      <c r="BH562" s="3"/>
      <c r="BI562" s="3"/>
      <c r="BJ562" s="8"/>
      <c r="BK562" s="3"/>
      <c r="BL562" s="3"/>
      <c r="BM562" s="9"/>
      <c r="BN562" s="3"/>
      <c r="BO562" s="3"/>
      <c r="BP562" s="3"/>
      <c r="BQ562" s="9"/>
      <c r="BR562" s="3"/>
      <c r="BS562" s="3"/>
      <c r="BT562" s="3"/>
      <c r="BU562" s="9"/>
      <c r="BV562" s="3"/>
      <c r="BW562" s="3"/>
      <c r="BX562" s="3"/>
      <c r="BY562" s="9"/>
      <c r="BZ562" s="3"/>
      <c r="CA562" s="3"/>
      <c r="CB562" s="3"/>
      <c r="CC562" s="9"/>
      <c r="CD562" s="11"/>
      <c r="CE562" s="49"/>
      <c r="CF562" s="49"/>
      <c r="CG562" s="422"/>
      <c r="CH562" s="422"/>
      <c r="CI562" s="422"/>
      <c r="CJ562" s="422"/>
      <c r="CK562" s="11"/>
      <c r="CL562" s="11"/>
      <c r="CM562" s="11"/>
      <c r="CN562" s="11"/>
      <c r="CO562" s="11"/>
      <c r="CP562" s="11"/>
      <c r="CQ562" s="11"/>
      <c r="CR562" s="11"/>
      <c r="CS562" s="29"/>
      <c r="CT562" s="29"/>
      <c r="CU562" s="29"/>
      <c r="CV562" s="29"/>
      <c r="CW562" s="29"/>
      <c r="CX562" s="29"/>
      <c r="CY562" s="29"/>
      <c r="CZ562" s="29"/>
      <c r="DA562" s="29"/>
      <c r="DB562" s="29"/>
      <c r="DC562" s="29"/>
      <c r="DD562" s="1509"/>
      <c r="DE562" s="1483"/>
      <c r="DF562" s="24"/>
      <c r="DG562" s="24"/>
      <c r="DH562" s="24"/>
      <c r="DI562" s="24"/>
      <c r="DJ562" s="24"/>
      <c r="DK562" s="24"/>
      <c r="DL562" s="141"/>
      <c r="DM562" s="24"/>
      <c r="DN562" s="24"/>
      <c r="DO562" s="24"/>
      <c r="DP562" s="24"/>
      <c r="DQ562" s="24"/>
      <c r="DR562" s="24"/>
      <c r="DS562" s="24"/>
      <c r="DT562" s="24"/>
      <c r="DU562" s="24"/>
      <c r="DV562" s="24"/>
      <c r="DW562" s="24"/>
      <c r="DX562" s="24"/>
      <c r="DY562" s="24"/>
      <c r="DZ562" s="1561"/>
    </row>
    <row r="563" spans="1:130">
      <c r="A563" s="120"/>
      <c r="B563" s="222"/>
      <c r="C563" s="222"/>
      <c r="D563" s="222"/>
      <c r="E563" s="749"/>
      <c r="F563" s="122"/>
      <c r="G563" s="122"/>
      <c r="H563" s="122"/>
      <c r="I563" s="123"/>
      <c r="J563" s="122"/>
      <c r="K563" s="122"/>
      <c r="L563" s="122"/>
      <c r="M563" s="123"/>
      <c r="N563" s="122"/>
      <c r="O563" s="122"/>
      <c r="P563" s="122"/>
      <c r="Q563" s="123"/>
      <c r="R563" s="122"/>
      <c r="S563" s="122"/>
      <c r="T563" s="122"/>
      <c r="U563" s="123"/>
      <c r="V563" s="122"/>
      <c r="W563" s="122"/>
      <c r="X563" s="122"/>
      <c r="Y563" s="122"/>
      <c r="Z563" s="122"/>
      <c r="AA563" s="122"/>
      <c r="AB563" s="122"/>
      <c r="AC563" s="122"/>
      <c r="AD563" s="122"/>
      <c r="AE563" s="122"/>
      <c r="AF563" s="122"/>
      <c r="AG563" s="122"/>
      <c r="AH563" s="347"/>
      <c r="AI563" s="120"/>
      <c r="AJ563" s="120"/>
      <c r="AK563" s="120"/>
      <c r="AL563" s="120"/>
      <c r="AM563" s="120"/>
      <c r="AN563" s="120"/>
      <c r="AO563" s="120"/>
      <c r="AP563" s="120"/>
      <c r="AQ563" s="120"/>
      <c r="AR563" s="120"/>
      <c r="AS563" s="120"/>
      <c r="AT563" s="119"/>
      <c r="AU563" s="120"/>
      <c r="AV563" s="120"/>
      <c r="AW563" s="120"/>
      <c r="AX563" s="119"/>
      <c r="AY563" s="120"/>
      <c r="AZ563" s="120"/>
      <c r="BA563" s="120"/>
      <c r="BB563" s="119"/>
      <c r="BC563" s="120"/>
      <c r="BD563" s="120"/>
      <c r="BE563" s="120"/>
      <c r="BF563" s="119"/>
      <c r="BG563" s="120"/>
      <c r="BH563" s="120"/>
      <c r="BI563" s="120"/>
      <c r="BJ563" s="119"/>
      <c r="BK563" s="120"/>
      <c r="BL563" s="120"/>
      <c r="BM563" s="121"/>
      <c r="BN563" s="120"/>
      <c r="BO563" s="120"/>
      <c r="BP563" s="120"/>
      <c r="BQ563" s="121"/>
      <c r="BR563" s="120"/>
      <c r="BS563" s="120"/>
      <c r="BT563" s="120"/>
      <c r="BU563" s="121"/>
      <c r="BV563" s="120"/>
      <c r="BW563" s="120"/>
      <c r="BX563" s="120"/>
      <c r="BY563" s="121"/>
      <c r="BZ563" s="120"/>
      <c r="CA563" s="120"/>
      <c r="CB563" s="120"/>
      <c r="CC563" s="121"/>
      <c r="CD563" s="120"/>
      <c r="CE563" s="122"/>
      <c r="CF563" s="122"/>
      <c r="CG563" s="422"/>
      <c r="CH563" s="422"/>
      <c r="CI563" s="422"/>
      <c r="CJ563" s="422"/>
      <c r="CK563" s="120"/>
      <c r="CL563" s="120"/>
      <c r="CM563" s="120"/>
      <c r="CN563" s="120"/>
      <c r="CO563" s="120"/>
      <c r="CP563" s="120"/>
      <c r="CQ563" s="120"/>
      <c r="CR563" s="1473"/>
      <c r="CS563" s="1473"/>
      <c r="CT563" s="122"/>
      <c r="CU563" s="24"/>
      <c r="CV563" s="24"/>
      <c r="CW563" s="24"/>
      <c r="CX563" s="24"/>
      <c r="CY563" s="24"/>
      <c r="CZ563" s="24"/>
      <c r="DA563" s="24"/>
      <c r="DB563" s="24"/>
      <c r="DC563" s="24"/>
      <c r="DD563" s="1517"/>
      <c r="DE563" s="1483"/>
      <c r="DF563" s="24"/>
      <c r="DG563" s="24"/>
      <c r="DH563" s="24"/>
      <c r="DI563" s="24"/>
      <c r="DJ563" s="24"/>
      <c r="DK563" s="24"/>
      <c r="DL563" s="141"/>
      <c r="DM563" s="122"/>
      <c r="DN563" s="122"/>
      <c r="DO563" s="122"/>
      <c r="DP563" s="122"/>
      <c r="DQ563" s="122"/>
      <c r="DR563" s="122"/>
      <c r="DS563" s="122"/>
      <c r="DT563" s="122"/>
      <c r="DU563" s="122"/>
      <c r="DV563" s="122"/>
      <c r="DW563" s="122"/>
      <c r="DX563" s="122"/>
      <c r="DY563" s="122"/>
      <c r="DZ563" s="1561"/>
    </row>
    <row r="564" spans="1:130">
      <c r="A564" s="3" t="s">
        <v>25</v>
      </c>
      <c r="B564" s="242" t="s">
        <v>302</v>
      </c>
      <c r="C564" s="243"/>
      <c r="D564" s="243"/>
      <c r="E564" s="263"/>
      <c r="F564" s="223"/>
      <c r="G564" s="223"/>
      <c r="H564" s="223"/>
      <c r="I564" s="477"/>
      <c r="J564" s="223"/>
      <c r="K564" s="223"/>
      <c r="L564" s="223"/>
      <c r="M564" s="477"/>
      <c r="N564" s="223"/>
      <c r="O564" s="223"/>
      <c r="P564" s="223"/>
      <c r="Q564" s="477"/>
      <c r="R564" s="223"/>
      <c r="S564" s="223"/>
      <c r="T564" s="223"/>
      <c r="U564" s="477"/>
      <c r="V564" s="13"/>
      <c r="W564" s="13"/>
      <c r="X564" s="13"/>
      <c r="Y564" s="13"/>
      <c r="Z564" s="13"/>
      <c r="AA564" s="13"/>
      <c r="AB564" s="13"/>
      <c r="AC564" s="13"/>
      <c r="AD564" s="13"/>
      <c r="AE564" s="13"/>
      <c r="AF564" s="13"/>
      <c r="AG564" s="13"/>
      <c r="AH564" s="376"/>
      <c r="AI564" s="13"/>
      <c r="AJ564" s="13"/>
      <c r="AK564" s="13"/>
      <c r="AL564" s="376"/>
      <c r="AM564" s="13"/>
      <c r="AN564" s="13"/>
      <c r="AO564" s="377"/>
      <c r="AP564" s="13"/>
      <c r="AQ564" s="13"/>
      <c r="AR564" s="13"/>
      <c r="AS564" s="13"/>
      <c r="AT564" s="376"/>
      <c r="AU564" s="13"/>
      <c r="AV564" s="13"/>
      <c r="AW564" s="13"/>
      <c r="AX564" s="376"/>
      <c r="AY564" s="13"/>
      <c r="AZ564" s="13"/>
      <c r="BA564" s="13"/>
      <c r="BB564" s="376"/>
      <c r="BC564" s="13"/>
      <c r="BD564" s="13"/>
      <c r="BE564" s="13"/>
      <c r="BF564" s="376"/>
      <c r="BG564" s="13"/>
      <c r="BH564" s="13"/>
      <c r="BI564" s="13"/>
      <c r="BJ564" s="376"/>
      <c r="BK564" s="13"/>
      <c r="BL564" s="13"/>
      <c r="BM564" s="377"/>
      <c r="BN564" s="13"/>
      <c r="BO564" s="13"/>
      <c r="BP564" s="13"/>
      <c r="BQ564" s="377"/>
      <c r="BR564" s="13"/>
      <c r="BS564" s="13"/>
      <c r="BT564" s="13"/>
      <c r="BU564" s="377"/>
      <c r="BV564" s="13"/>
      <c r="BW564" s="13"/>
      <c r="BX564" s="13"/>
      <c r="BY564" s="377"/>
      <c r="BZ564" s="13"/>
      <c r="CA564" s="13"/>
      <c r="CB564" s="13"/>
      <c r="CC564" s="377"/>
      <c r="CD564" s="9"/>
      <c r="CE564" s="156"/>
      <c r="CF564" s="156"/>
      <c r="CG564" s="156"/>
      <c r="CH564" s="156"/>
      <c r="CI564" s="156"/>
      <c r="CJ564" s="156"/>
      <c r="CK564" s="156"/>
      <c r="CL564" s="156"/>
      <c r="CM564" s="156"/>
      <c r="CN564" s="156"/>
      <c r="CO564" s="156"/>
      <c r="CP564" s="156"/>
      <c r="CQ564" s="156"/>
      <c r="CR564" s="156"/>
      <c r="CS564" s="156"/>
      <c r="CT564" s="156"/>
      <c r="CU564" s="377"/>
      <c r="CV564" s="377"/>
      <c r="CW564" s="377"/>
      <c r="CX564" s="377"/>
      <c r="CY564" s="377"/>
      <c r="CZ564" s="377"/>
      <c r="DA564" s="377"/>
      <c r="DB564" s="377"/>
      <c r="DC564" s="377"/>
      <c r="DD564" s="1527"/>
      <c r="DE564" s="1483"/>
      <c r="DF564" s="24"/>
      <c r="DG564" s="24"/>
      <c r="DH564" s="24"/>
      <c r="DI564" s="24"/>
      <c r="DJ564" s="24"/>
      <c r="DK564" s="24"/>
      <c r="DL564" s="141"/>
      <c r="DM564" s="24"/>
      <c r="DN564" s="24"/>
      <c r="DO564" s="24"/>
      <c r="DP564" s="24"/>
      <c r="DQ564" s="24"/>
      <c r="DR564" s="24"/>
      <c r="DS564" s="24"/>
      <c r="DT564" s="24"/>
      <c r="DU564" s="24"/>
      <c r="DV564" s="24"/>
      <c r="DW564" s="24"/>
      <c r="DX564" s="24"/>
      <c r="DY564" s="24"/>
      <c r="DZ564" s="1561"/>
    </row>
    <row r="565" spans="1:130" hidden="1" outlineLevel="1">
      <c r="A565" s="145"/>
      <c r="B565" s="227"/>
      <c r="C565" s="145"/>
      <c r="D565" s="145"/>
      <c r="E565" s="228"/>
      <c r="F565" s="145"/>
      <c r="G565" s="145"/>
      <c r="H565" s="145"/>
      <c r="I565" s="228"/>
      <c r="J565" s="145"/>
      <c r="K565" s="145"/>
      <c r="L565" s="145"/>
      <c r="M565" s="228"/>
      <c r="N565" s="145"/>
      <c r="O565" s="145"/>
      <c r="P565" s="145"/>
      <c r="Q565" s="228"/>
      <c r="R565" s="145"/>
      <c r="S565" s="145"/>
      <c r="T565" s="145"/>
      <c r="U565" s="228"/>
      <c r="V565" s="145"/>
      <c r="W565" s="145"/>
      <c r="X565" s="145"/>
      <c r="Y565" s="228"/>
      <c r="Z565" s="145"/>
      <c r="AA565" s="145"/>
      <c r="AB565" s="145"/>
      <c r="AC565" s="228"/>
      <c r="AD565" s="227"/>
      <c r="AE565" s="145"/>
      <c r="AF565" s="145"/>
      <c r="AG565" s="145"/>
      <c r="AH565" s="227"/>
      <c r="AI565" s="145"/>
      <c r="AJ565" s="145"/>
      <c r="AK565" s="145"/>
      <c r="AL565" s="227"/>
      <c r="AM565" s="145"/>
      <c r="AN565" s="145"/>
      <c r="AO565" s="228"/>
      <c r="AP565" s="145"/>
      <c r="AQ565" s="145"/>
      <c r="AR565" s="145"/>
      <c r="AS565" s="145"/>
      <c r="AT565" s="227"/>
      <c r="AU565" s="145"/>
      <c r="AV565" s="145"/>
      <c r="AW565" s="145"/>
      <c r="AX565" s="227"/>
      <c r="AY565" s="145"/>
      <c r="AZ565" s="145"/>
      <c r="BA565" s="145"/>
      <c r="BB565" s="227"/>
      <c r="BC565" s="145"/>
      <c r="BD565" s="145"/>
      <c r="BE565" s="145"/>
      <c r="BF565" s="227"/>
      <c r="BG565" s="145"/>
      <c r="BH565" s="145"/>
      <c r="BI565" s="145"/>
      <c r="BJ565" s="227"/>
      <c r="BK565" s="145"/>
      <c r="BL565" s="145"/>
      <c r="BM565" s="228"/>
      <c r="BN565" s="145"/>
      <c r="BO565" s="145"/>
      <c r="BP565" s="145"/>
      <c r="BQ565" s="228"/>
      <c r="BR565" s="145"/>
      <c r="BS565" s="145"/>
      <c r="BT565" s="145"/>
      <c r="BU565" s="228"/>
      <c r="BV565" s="145"/>
      <c r="BW565" s="145"/>
      <c r="BX565" s="145"/>
      <c r="BY565" s="228"/>
      <c r="BZ565" s="145"/>
      <c r="CA565" s="145"/>
      <c r="CB565" s="145"/>
      <c r="CC565" s="228"/>
      <c r="CD565" s="228"/>
      <c r="CE565" s="145"/>
      <c r="CF565" s="145"/>
      <c r="CG565" s="145"/>
      <c r="CH565" s="145"/>
      <c r="CI565" s="145"/>
      <c r="CJ565" s="145"/>
      <c r="CK565" s="145"/>
      <c r="CL565" s="145"/>
      <c r="CM565" s="145"/>
      <c r="CN565" s="145"/>
      <c r="CO565" s="145"/>
      <c r="CP565" s="145"/>
      <c r="CQ565" s="145"/>
      <c r="CR565" s="145"/>
      <c r="CS565" s="1242"/>
      <c r="CT565" s="1242"/>
      <c r="CU565" s="145"/>
      <c r="CV565" s="145"/>
      <c r="CW565" s="145"/>
      <c r="CX565" s="145"/>
      <c r="CY565" s="145"/>
      <c r="CZ565" s="145"/>
      <c r="DA565" s="145"/>
      <c r="DB565" s="145"/>
      <c r="DC565" s="145"/>
      <c r="DD565" s="1505"/>
      <c r="DE565" s="1483"/>
      <c r="DF565" s="141"/>
      <c r="DG565" s="141"/>
      <c r="DH565" s="141"/>
      <c r="DI565" s="141"/>
      <c r="DJ565" s="141"/>
      <c r="DK565" s="141"/>
      <c r="DL565" s="141"/>
      <c r="DM565" s="141"/>
      <c r="DN565" s="141"/>
      <c r="DO565" s="141"/>
      <c r="DP565" s="141"/>
      <c r="DQ565" s="141"/>
      <c r="DR565" s="141"/>
      <c r="DS565" s="141"/>
      <c r="DT565" s="141"/>
      <c r="DU565" s="141"/>
      <c r="DV565" s="141"/>
      <c r="DW565" s="141"/>
      <c r="DX565" s="141"/>
      <c r="DY565" s="141"/>
      <c r="DZ565" s="1676"/>
    </row>
    <row r="566" spans="1:130" hidden="1" outlineLevel="1">
      <c r="A566" s="3"/>
      <c r="B566" s="237" t="s">
        <v>906</v>
      </c>
      <c r="C566" s="226"/>
      <c r="D566" s="226"/>
      <c r="E566" s="382"/>
      <c r="F566" s="226"/>
      <c r="G566" s="226"/>
      <c r="H566" s="226"/>
      <c r="I566" s="382"/>
      <c r="J566" s="226"/>
      <c r="K566" s="226"/>
      <c r="L566" s="226"/>
      <c r="M566" s="382"/>
      <c r="N566" s="226"/>
      <c r="O566" s="226"/>
      <c r="P566" s="226"/>
      <c r="Q566" s="382"/>
      <c r="R566" s="226"/>
      <c r="S566" s="226"/>
      <c r="T566" s="226"/>
      <c r="U566" s="382"/>
      <c r="V566" s="162"/>
      <c r="W566" s="162"/>
      <c r="X566" s="162"/>
      <c r="Y566" s="382"/>
      <c r="Z566" s="162"/>
      <c r="AA566" s="162"/>
      <c r="AB566" s="240"/>
      <c r="AC566" s="382"/>
      <c r="AD566" s="241"/>
      <c r="AE566" s="240"/>
      <c r="AF566" s="240"/>
      <c r="AG566" s="240"/>
      <c r="AH566" s="241"/>
      <c r="AI566" s="240"/>
      <c r="AJ566" s="240"/>
      <c r="AK566" s="240"/>
      <c r="AL566" s="241"/>
      <c r="AM566" s="240"/>
      <c r="AN566" s="240"/>
      <c r="AO566" s="307"/>
      <c r="AP566" s="240"/>
      <c r="AQ566" s="240"/>
      <c r="AR566" s="240"/>
      <c r="AS566" s="240"/>
      <c r="AT566" s="241"/>
      <c r="AU566" s="240"/>
      <c r="AV566" s="240"/>
      <c r="AW566" s="240"/>
      <c r="AX566" s="241"/>
      <c r="AY566" s="240"/>
      <c r="AZ566" s="240"/>
      <c r="BA566" s="240"/>
      <c r="BB566" s="241"/>
      <c r="BC566" s="240"/>
      <c r="BD566" s="240"/>
      <c r="BE566" s="240"/>
      <c r="BF566" s="241"/>
      <c r="BG566" s="240"/>
      <c r="BH566" s="240"/>
      <c r="BI566" s="240"/>
      <c r="BJ566" s="241"/>
      <c r="BK566" s="240"/>
      <c r="BL566" s="240"/>
      <c r="BM566" s="307"/>
      <c r="BN566" s="240"/>
      <c r="BO566" s="240"/>
      <c r="BP566" s="240"/>
      <c r="BQ566" s="307"/>
      <c r="BR566" s="240"/>
      <c r="BS566" s="240"/>
      <c r="BT566" s="240"/>
      <c r="BU566" s="307"/>
      <c r="BV566" s="240"/>
      <c r="BW566" s="240"/>
      <c r="BX566" s="240"/>
      <c r="BY566" s="307"/>
      <c r="BZ566" s="240"/>
      <c r="CA566" s="240"/>
      <c r="CB566" s="240"/>
      <c r="CC566" s="307"/>
      <c r="CD566" s="9"/>
      <c r="CE566" s="162"/>
      <c r="CF566" s="162"/>
      <c r="CG566" s="162"/>
      <c r="CH566" s="162"/>
      <c r="CI566" s="162"/>
      <c r="CJ566" s="162"/>
      <c r="CK566" s="165"/>
      <c r="CL566" s="165"/>
      <c r="CM566" s="165"/>
      <c r="CN566" s="165"/>
      <c r="CO566" s="165"/>
      <c r="CP566" s="165"/>
      <c r="CQ566" s="165"/>
      <c r="CR566" s="165"/>
      <c r="CS566" s="165"/>
      <c r="CT566" s="165"/>
      <c r="CU566" s="240"/>
      <c r="CV566" s="240"/>
      <c r="CW566" s="240"/>
      <c r="CX566" s="240"/>
      <c r="CY566" s="240"/>
      <c r="CZ566" s="240"/>
      <c r="DA566" s="240"/>
      <c r="DB566" s="240"/>
      <c r="DC566" s="240"/>
      <c r="DD566" s="1517"/>
      <c r="DE566" s="1483"/>
      <c r="DF566" s="24"/>
      <c r="DG566" s="24"/>
      <c r="DH566" s="24"/>
      <c r="DI566" s="24"/>
      <c r="DJ566" s="24"/>
      <c r="DK566" s="24"/>
      <c r="DL566" s="141"/>
      <c r="DM566" s="24"/>
      <c r="DN566" s="24"/>
      <c r="DO566" s="24"/>
      <c r="DP566" s="24"/>
      <c r="DQ566" s="24"/>
      <c r="DR566" s="24"/>
      <c r="DS566" s="24"/>
      <c r="DT566" s="24"/>
      <c r="DU566" s="24"/>
      <c r="DV566" s="24"/>
      <c r="DW566" s="24"/>
      <c r="DX566" s="24"/>
      <c r="DY566" s="24"/>
      <c r="DZ566" s="1561"/>
    </row>
    <row r="567" spans="1:130" hidden="1" outlineLevel="1">
      <c r="A567" s="3"/>
      <c r="B567" s="208"/>
      <c r="C567" s="196" t="s">
        <v>4</v>
      </c>
      <c r="D567" s="196"/>
      <c r="E567" s="197"/>
      <c r="F567" s="886" t="s">
        <v>687</v>
      </c>
      <c r="G567" s="885" t="s">
        <v>687</v>
      </c>
      <c r="H567" s="885" t="s">
        <v>687</v>
      </c>
      <c r="I567" s="887" t="s">
        <v>687</v>
      </c>
      <c r="J567" s="886" t="s">
        <v>687</v>
      </c>
      <c r="K567" s="885" t="s">
        <v>687</v>
      </c>
      <c r="L567" s="885" t="s">
        <v>687</v>
      </c>
      <c r="M567" s="885" t="s">
        <v>687</v>
      </c>
      <c r="N567" s="1102">
        <f t="shared" ref="N567:AC567" si="1101">M573</f>
        <v>195.43799999999999</v>
      </c>
      <c r="O567" s="641">
        <f t="shared" si="1101"/>
        <v>195.48699999999999</v>
      </c>
      <c r="P567" s="641">
        <f t="shared" si="1101"/>
        <v>195.505</v>
      </c>
      <c r="Q567" s="643">
        <f t="shared" si="1101"/>
        <v>198.316</v>
      </c>
      <c r="R567" s="641">
        <f t="shared" si="1101"/>
        <v>203.6</v>
      </c>
      <c r="S567" s="641">
        <f t="shared" si="1101"/>
        <v>206.2</v>
      </c>
      <c r="T567" s="1097">
        <f t="shared" si="1101"/>
        <v>206.9</v>
      </c>
      <c r="U567" s="1098">
        <f t="shared" si="1101"/>
        <v>208.2</v>
      </c>
      <c r="V567" s="1097">
        <f t="shared" si="1101"/>
        <v>208.8</v>
      </c>
      <c r="W567" s="1097">
        <f t="shared" si="1101"/>
        <v>208.8</v>
      </c>
      <c r="X567" s="1097">
        <f t="shared" si="1101"/>
        <v>208.8</v>
      </c>
      <c r="Y567" s="1098">
        <f t="shared" si="1101"/>
        <v>212.4</v>
      </c>
      <c r="Z567" s="1097">
        <f t="shared" si="1101"/>
        <v>214.6</v>
      </c>
      <c r="AA567" s="1097">
        <f t="shared" si="1101"/>
        <v>215.7</v>
      </c>
      <c r="AB567" s="1097">
        <f t="shared" si="1101"/>
        <v>217.5</v>
      </c>
      <c r="AC567" s="1098">
        <f t="shared" si="1101"/>
        <v>220.6</v>
      </c>
      <c r="AD567" s="644">
        <f>AC573</f>
        <v>221.7</v>
      </c>
      <c r="AE567" s="53">
        <f>AD573</f>
        <v>221.7</v>
      </c>
      <c r="AF567" s="53">
        <f>AE573</f>
        <v>222</v>
      </c>
      <c r="AG567" s="53">
        <f>AF573</f>
        <v>221.9</v>
      </c>
      <c r="AH567" s="644">
        <f>AG573</f>
        <v>219</v>
      </c>
      <c r="AI567" s="29">
        <f t="shared" ref="AI567:AS567" si="1102">AH573</f>
        <v>220.1</v>
      </c>
      <c r="AJ567" s="29">
        <f>AI573</f>
        <v>222</v>
      </c>
      <c r="AK567" s="58">
        <f t="shared" si="1102"/>
        <v>221.396736</v>
      </c>
      <c r="AL567" s="29">
        <f t="shared" si="1102"/>
        <v>221.48571000000001</v>
      </c>
      <c r="AM567" s="29">
        <f t="shared" si="1102"/>
        <v>222</v>
      </c>
      <c r="AN567" s="29">
        <f t="shared" si="1102"/>
        <v>223</v>
      </c>
      <c r="AO567" s="58">
        <f t="shared" si="1102"/>
        <v>224</v>
      </c>
      <c r="AP567" s="29">
        <f t="shared" si="1102"/>
        <v>225</v>
      </c>
      <c r="AQ567" s="29">
        <f t="shared" si="1102"/>
        <v>225</v>
      </c>
      <c r="AR567" s="29">
        <f t="shared" si="1102"/>
        <v>228</v>
      </c>
      <c r="AS567" s="29">
        <f t="shared" si="1102"/>
        <v>229</v>
      </c>
      <c r="AT567" s="57">
        <f t="shared" ref="AT567:BA567" si="1103">AS573</f>
        <v>231</v>
      </c>
      <c r="AU567" s="29">
        <f t="shared" si="1103"/>
        <v>230</v>
      </c>
      <c r="AV567" s="29">
        <f t="shared" si="1103"/>
        <v>232</v>
      </c>
      <c r="AW567" s="29">
        <f t="shared" si="1103"/>
        <v>232</v>
      </c>
      <c r="AX567" s="57">
        <f t="shared" si="1103"/>
        <v>233</v>
      </c>
      <c r="AY567" s="29">
        <f t="shared" si="1103"/>
        <v>234</v>
      </c>
      <c r="AZ567" s="29">
        <f t="shared" si="1103"/>
        <v>235</v>
      </c>
      <c r="BA567" s="29">
        <f t="shared" si="1103"/>
        <v>261</v>
      </c>
      <c r="BB567" s="57">
        <f t="shared" ref="BB567:BH567" si="1104">BA573</f>
        <v>246</v>
      </c>
      <c r="BC567" s="29">
        <f t="shared" si="1104"/>
        <v>243</v>
      </c>
      <c r="BD567" s="29">
        <f t="shared" si="1104"/>
        <v>241</v>
      </c>
      <c r="BE567" s="29">
        <f>BD573</f>
        <v>238</v>
      </c>
      <c r="BF567" s="57">
        <f>BE573</f>
        <v>237</v>
      </c>
      <c r="BG567" s="29">
        <f t="shared" si="1104"/>
        <v>236</v>
      </c>
      <c r="BH567" s="29">
        <f t="shared" si="1104"/>
        <v>237</v>
      </c>
      <c r="BI567" s="29">
        <f>BH573</f>
        <v>235</v>
      </c>
      <c r="BJ567" s="57">
        <f t="shared" ref="BJ567:BU567" si="1105">BI573</f>
        <v>234</v>
      </c>
      <c r="BK567" s="29">
        <f t="shared" si="1105"/>
        <v>234</v>
      </c>
      <c r="BL567" s="29">
        <f t="shared" si="1105"/>
        <v>232</v>
      </c>
      <c r="BM567" s="58">
        <f t="shared" si="1105"/>
        <v>231</v>
      </c>
      <c r="BN567" s="29">
        <f t="shared" si="1105"/>
        <v>230</v>
      </c>
      <c r="BO567" s="29">
        <f t="shared" si="1105"/>
        <v>231</v>
      </c>
      <c r="BP567" s="29">
        <f t="shared" si="1105"/>
        <v>232</v>
      </c>
      <c r="BQ567" s="58">
        <f t="shared" ref="BQ567:BY567" si="1106">BP573</f>
        <v>233</v>
      </c>
      <c r="BR567" s="29">
        <f t="shared" si="1105"/>
        <v>284</v>
      </c>
      <c r="BS567" s="29">
        <f t="shared" si="1105"/>
        <v>285</v>
      </c>
      <c r="BT567" s="29">
        <f t="shared" si="1105"/>
        <v>288</v>
      </c>
      <c r="BU567" s="58">
        <f t="shared" si="1105"/>
        <v>291</v>
      </c>
      <c r="BV567" s="29">
        <f t="shared" si="1106"/>
        <v>294</v>
      </c>
      <c r="BW567" s="29">
        <f t="shared" si="1106"/>
        <v>296.11</v>
      </c>
      <c r="BX567" s="29">
        <f t="shared" si="1106"/>
        <v>299.61360000000002</v>
      </c>
      <c r="BY567" s="58">
        <f t="shared" si="1106"/>
        <v>300.72686700000003</v>
      </c>
      <c r="BZ567" s="29">
        <f>BY573</f>
        <v>301.44463366800005</v>
      </c>
      <c r="CA567" s="29">
        <f>BZ573</f>
        <v>301.44463366800005</v>
      </c>
      <c r="CB567" s="29">
        <f>CA573</f>
        <v>301.94463366800005</v>
      </c>
      <c r="CC567" s="58">
        <f>CB573</f>
        <v>302.44463366800005</v>
      </c>
      <c r="CD567" s="9"/>
      <c r="CE567" s="885" t="s">
        <v>687</v>
      </c>
      <c r="CF567" s="885" t="s">
        <v>687</v>
      </c>
      <c r="CG567" s="885" t="s">
        <v>687</v>
      </c>
      <c r="CH567" s="29" t="str">
        <f t="shared" ref="CH567:CM567" si="1107">CG573</f>
        <v>--</v>
      </c>
      <c r="CI567" s="29">
        <f t="shared" si="1107"/>
        <v>208.8</v>
      </c>
      <c r="CJ567" s="29">
        <f t="shared" si="1107"/>
        <v>214.6</v>
      </c>
      <c r="CK567" s="29">
        <f>CJ573</f>
        <v>221.7</v>
      </c>
      <c r="CL567" s="29">
        <f>CK573</f>
        <v>219</v>
      </c>
      <c r="CM567" s="29">
        <f t="shared" si="1107"/>
        <v>221.48571000000001</v>
      </c>
      <c r="CN567" s="29">
        <f t="shared" ref="CN567:CW567" si="1108">CM573</f>
        <v>220.85764900000001</v>
      </c>
      <c r="CO567" s="29">
        <f t="shared" si="1108"/>
        <v>225.957649</v>
      </c>
      <c r="CP567" s="29">
        <f t="shared" si="1108"/>
        <v>225.957649</v>
      </c>
      <c r="CQ567" s="29">
        <f t="shared" si="1108"/>
        <v>246</v>
      </c>
      <c r="CR567" s="29">
        <f t="shared" si="1108"/>
        <v>237</v>
      </c>
      <c r="CS567" s="29">
        <f t="shared" si="1108"/>
        <v>234</v>
      </c>
      <c r="CT567" s="29">
        <f t="shared" si="1108"/>
        <v>230</v>
      </c>
      <c r="CU567" s="29">
        <f t="shared" si="1108"/>
        <v>284</v>
      </c>
      <c r="CV567" s="29">
        <f t="shared" si="1108"/>
        <v>294</v>
      </c>
      <c r="CW567" s="29">
        <f t="shared" si="1108"/>
        <v>301.44463366800005</v>
      </c>
      <c r="CX567" s="29">
        <f t="shared" ref="CX567:DC567" si="1109">CW573</f>
        <v>306.29443561721394</v>
      </c>
      <c r="CY567" s="29">
        <f t="shared" si="1109"/>
        <v>312.51552368658406</v>
      </c>
      <c r="CZ567" s="29">
        <f t="shared" si="1109"/>
        <v>319.40070344590225</v>
      </c>
      <c r="DA567" s="29">
        <f t="shared" si="1109"/>
        <v>326.83622438134068</v>
      </c>
      <c r="DB567" s="29">
        <f t="shared" si="1109"/>
        <v>334.73681436890138</v>
      </c>
      <c r="DC567" s="29">
        <f t="shared" si="1109"/>
        <v>342.61393583428594</v>
      </c>
      <c r="DD567" s="1517"/>
      <c r="DE567" s="1483"/>
      <c r="DF567" s="24"/>
      <c r="DG567" s="24"/>
      <c r="DH567" s="24"/>
      <c r="DI567" s="24"/>
      <c r="DJ567" s="24"/>
      <c r="DK567" s="24"/>
      <c r="DL567" s="141"/>
      <c r="DM567" s="24"/>
      <c r="DN567" s="24"/>
      <c r="DO567" s="24"/>
      <c r="DP567" s="24"/>
      <c r="DQ567" s="24"/>
      <c r="DR567" s="24"/>
      <c r="DS567" s="24"/>
      <c r="DT567" s="24"/>
      <c r="DU567" s="24"/>
      <c r="DV567" s="24"/>
      <c r="DW567" s="24"/>
      <c r="DX567" s="24"/>
      <c r="DY567" s="24"/>
      <c r="DZ567" s="1561"/>
    </row>
    <row r="568" spans="1:130" hidden="1" outlineLevel="1">
      <c r="A568" s="3"/>
      <c r="B568" s="208"/>
      <c r="C568" s="319" t="s">
        <v>303</v>
      </c>
      <c r="D568" s="196"/>
      <c r="E568" s="197"/>
      <c r="F568" s="886" t="s">
        <v>687</v>
      </c>
      <c r="G568" s="885" t="s">
        <v>687</v>
      </c>
      <c r="H568" s="885" t="s">
        <v>687</v>
      </c>
      <c r="I568" s="887" t="s">
        <v>687</v>
      </c>
      <c r="J568" s="886" t="s">
        <v>687</v>
      </c>
      <c r="K568" s="885" t="s">
        <v>687</v>
      </c>
      <c r="L568" s="885" t="s">
        <v>687</v>
      </c>
      <c r="M568" s="885" t="s">
        <v>687</v>
      </c>
      <c r="N568" s="883">
        <v>0</v>
      </c>
      <c r="O568" s="526">
        <v>0</v>
      </c>
      <c r="P568" s="526">
        <v>0</v>
      </c>
      <c r="Q568" s="884">
        <v>0</v>
      </c>
      <c r="R568" s="883">
        <v>0</v>
      </c>
      <c r="S568" s="526">
        <v>0</v>
      </c>
      <c r="T568" s="526">
        <v>0</v>
      </c>
      <c r="U568" s="884">
        <v>0</v>
      </c>
      <c r="V568" s="883">
        <v>0</v>
      </c>
      <c r="W568" s="526">
        <v>0</v>
      </c>
      <c r="X568" s="526">
        <v>0</v>
      </c>
      <c r="Y568" s="884">
        <v>0</v>
      </c>
      <c r="Z568" s="883">
        <v>0</v>
      </c>
      <c r="AA568" s="526">
        <v>0</v>
      </c>
      <c r="AB568" s="526">
        <v>0</v>
      </c>
      <c r="AC568" s="884">
        <v>0</v>
      </c>
      <c r="AD568" s="883">
        <v>0</v>
      </c>
      <c r="AE568" s="526">
        <v>0</v>
      </c>
      <c r="AF568" s="526">
        <v>0</v>
      </c>
      <c r="AG568" s="526">
        <v>0</v>
      </c>
      <c r="AH568" s="619">
        <v>0</v>
      </c>
      <c r="AI568" s="459">
        <v>0</v>
      </c>
      <c r="AJ568" s="39">
        <v>0</v>
      </c>
      <c r="AK568" s="59">
        <v>0</v>
      </c>
      <c r="AL568" s="39">
        <v>0</v>
      </c>
      <c r="AM568" s="39">
        <v>0</v>
      </c>
      <c r="AN568" s="39">
        <v>0</v>
      </c>
      <c r="AO568" s="59">
        <v>0</v>
      </c>
      <c r="AP568" s="39">
        <v>0</v>
      </c>
      <c r="AQ568" s="39">
        <v>0</v>
      </c>
      <c r="AR568" s="39">
        <v>0</v>
      </c>
      <c r="AS568" s="39">
        <v>2</v>
      </c>
      <c r="AT568" s="38">
        <v>0.4</v>
      </c>
      <c r="AU568" s="39">
        <v>0</v>
      </c>
      <c r="AV568" s="39">
        <v>0</v>
      </c>
      <c r="AW568" s="59">
        <v>0</v>
      </c>
      <c r="AX568" s="38">
        <v>0</v>
      </c>
      <c r="AY568" s="39">
        <v>0</v>
      </c>
      <c r="AZ568" s="39">
        <v>0</v>
      </c>
      <c r="BA568" s="39">
        <v>0</v>
      </c>
      <c r="BB568" s="38">
        <v>0</v>
      </c>
      <c r="BC568" s="39">
        <v>0</v>
      </c>
      <c r="BD568" s="39">
        <v>0</v>
      </c>
      <c r="BE568" s="39">
        <v>0</v>
      </c>
      <c r="BF568" s="38">
        <v>0</v>
      </c>
      <c r="BG568" s="39">
        <v>0</v>
      </c>
      <c r="BH568" s="39">
        <v>0</v>
      </c>
      <c r="BI568" s="39">
        <v>0</v>
      </c>
      <c r="BJ568" s="38">
        <v>0</v>
      </c>
      <c r="BK568" s="39">
        <v>0</v>
      </c>
      <c r="BL568" s="39">
        <v>0</v>
      </c>
      <c r="BM568" s="59">
        <v>0</v>
      </c>
      <c r="BN568" s="39">
        <v>0</v>
      </c>
      <c r="BO568" s="39">
        <v>0</v>
      </c>
      <c r="BP568" s="39">
        <v>0</v>
      </c>
      <c r="BQ568" s="59">
        <v>0</v>
      </c>
      <c r="BR568" s="39">
        <v>0</v>
      </c>
      <c r="BS568" s="39">
        <v>0</v>
      </c>
      <c r="BT568" s="39">
        <v>0</v>
      </c>
      <c r="BU568" s="59">
        <v>0</v>
      </c>
      <c r="BV568" s="39">
        <v>0</v>
      </c>
      <c r="BW568" s="39">
        <v>0</v>
      </c>
      <c r="BX568" s="39">
        <v>0</v>
      </c>
      <c r="BY568" s="59">
        <v>0</v>
      </c>
      <c r="BZ568" s="39">
        <v>0</v>
      </c>
      <c r="CA568" s="39">
        <v>0</v>
      </c>
      <c r="CB568" s="39">
        <v>0</v>
      </c>
      <c r="CC568" s="59">
        <v>0</v>
      </c>
      <c r="CD568" s="9"/>
      <c r="CE568" s="885" t="s">
        <v>687</v>
      </c>
      <c r="CF568" s="885" t="s">
        <v>687</v>
      </c>
      <c r="CG568" s="885" t="s">
        <v>687</v>
      </c>
      <c r="CH568" s="29">
        <f>SUM(R568:U568)</f>
        <v>0</v>
      </c>
      <c r="CI568" s="29">
        <f>SUM(V568:Y568)</f>
        <v>0</v>
      </c>
      <c r="CJ568" s="29">
        <f>SUM(Z568:AC568)</f>
        <v>0</v>
      </c>
      <c r="CK568" s="29">
        <f>SUM(AD568:AG568)</f>
        <v>0</v>
      </c>
      <c r="CL568" s="29">
        <f>SUM(AH568:AK568)</f>
        <v>0</v>
      </c>
      <c r="CM568" s="29">
        <f>SUM(AL568:AO568)</f>
        <v>0</v>
      </c>
      <c r="CN568" s="29">
        <f>SUM(AP568:AS568)</f>
        <v>2</v>
      </c>
      <c r="CO568" s="29">
        <f>SUM(AT568:AW568)</f>
        <v>0.4</v>
      </c>
      <c r="CP568" s="29">
        <f>SUM(AX568:BA568)</f>
        <v>0</v>
      </c>
      <c r="CQ568" s="29">
        <f>SUM(BB568:BE568)</f>
        <v>0</v>
      </c>
      <c r="CR568" s="29">
        <f>SUM(BF568:BI568)</f>
        <v>0</v>
      </c>
      <c r="CS568" s="29">
        <f>SUM(BJ568:BM568)</f>
        <v>0</v>
      </c>
      <c r="CT568" s="29">
        <f>SUM(BN568:BQ568)</f>
        <v>0</v>
      </c>
      <c r="CU568" s="39">
        <f>SUM(BR568:BU568)</f>
        <v>0</v>
      </c>
      <c r="CV568" s="39">
        <f>SUM(BV568:BY568)</f>
        <v>0</v>
      </c>
      <c r="CW568" s="39">
        <f>SUM(BZ568:CC568)</f>
        <v>0</v>
      </c>
      <c r="CX568" s="39">
        <v>0</v>
      </c>
      <c r="CY568" s="39">
        <v>0</v>
      </c>
      <c r="CZ568" s="39">
        <v>0</v>
      </c>
      <c r="DA568" s="39">
        <v>0</v>
      </c>
      <c r="DB568" s="39">
        <v>0</v>
      </c>
      <c r="DC568" s="39">
        <v>0</v>
      </c>
      <c r="DD568" s="1517"/>
      <c r="DE568" s="1483"/>
      <c r="DF568" s="24"/>
      <c r="DG568" s="29"/>
      <c r="DH568" s="29"/>
      <c r="DI568" s="29"/>
      <c r="DJ568" s="29"/>
      <c r="DK568" s="24"/>
      <c r="DL568" s="141"/>
      <c r="DM568" s="24"/>
      <c r="DN568" s="24"/>
      <c r="DO568" s="24"/>
      <c r="DP568" s="24"/>
      <c r="DQ568" s="24"/>
      <c r="DR568" s="24"/>
      <c r="DS568" s="24"/>
      <c r="DT568" s="24"/>
      <c r="DU568" s="24"/>
      <c r="DV568" s="24"/>
      <c r="DW568" s="24"/>
      <c r="DX568" s="24"/>
      <c r="DY568" s="24"/>
      <c r="DZ568" s="1561"/>
    </row>
    <row r="569" spans="1:130" hidden="1" outlineLevel="1">
      <c r="A569" s="3"/>
      <c r="B569" s="208"/>
      <c r="C569" s="319" t="s">
        <v>304</v>
      </c>
      <c r="D569" s="196"/>
      <c r="E569" s="197"/>
      <c r="F569" s="886" t="s">
        <v>687</v>
      </c>
      <c r="G569" s="885" t="s">
        <v>687</v>
      </c>
      <c r="H569" s="885" t="s">
        <v>687</v>
      </c>
      <c r="I569" s="887" t="s">
        <v>687</v>
      </c>
      <c r="J569" s="886" t="s">
        <v>687</v>
      </c>
      <c r="K569" s="885" t="s">
        <v>687</v>
      </c>
      <c r="L569" s="885" t="s">
        <v>687</v>
      </c>
      <c r="M569" s="885" t="s">
        <v>687</v>
      </c>
      <c r="N569" s="883">
        <v>0</v>
      </c>
      <c r="O569" s="526">
        <v>0</v>
      </c>
      <c r="P569" s="526">
        <v>0</v>
      </c>
      <c r="Q569" s="1103">
        <v>0</v>
      </c>
      <c r="R569" s="883">
        <v>0</v>
      </c>
      <c r="S569" s="526">
        <v>0</v>
      </c>
      <c r="T569" s="526">
        <v>0</v>
      </c>
      <c r="U569" s="884">
        <v>0</v>
      </c>
      <c r="V569" s="883">
        <v>0</v>
      </c>
      <c r="W569" s="526">
        <v>0</v>
      </c>
      <c r="X569" s="526">
        <v>0</v>
      </c>
      <c r="Y569" s="884">
        <v>0</v>
      </c>
      <c r="Z569" s="883">
        <v>0</v>
      </c>
      <c r="AA569" s="526">
        <v>0</v>
      </c>
      <c r="AB569" s="526">
        <v>0</v>
      </c>
      <c r="AC569" s="884">
        <v>0</v>
      </c>
      <c r="AD569" s="883">
        <v>0</v>
      </c>
      <c r="AE569" s="526">
        <v>0</v>
      </c>
      <c r="AF569" s="526">
        <v>0</v>
      </c>
      <c r="AG569" s="526">
        <v>0</v>
      </c>
      <c r="AH569" s="619">
        <v>0</v>
      </c>
      <c r="AI569" s="459">
        <v>0</v>
      </c>
      <c r="AJ569" s="39">
        <v>0</v>
      </c>
      <c r="AK569" s="59">
        <v>0</v>
      </c>
      <c r="AL569" s="39">
        <v>0</v>
      </c>
      <c r="AM569" s="39">
        <v>0</v>
      </c>
      <c r="AN569" s="39">
        <v>0</v>
      </c>
      <c r="AO569" s="59">
        <v>0</v>
      </c>
      <c r="AP569" s="39">
        <v>0</v>
      </c>
      <c r="AQ569" s="39">
        <v>0</v>
      </c>
      <c r="AR569" s="39">
        <v>0</v>
      </c>
      <c r="AS569" s="39">
        <v>0</v>
      </c>
      <c r="AT569" s="38">
        <v>0</v>
      </c>
      <c r="AU569" s="39">
        <v>0</v>
      </c>
      <c r="AV569" s="39">
        <v>0</v>
      </c>
      <c r="AW569" s="59">
        <v>0</v>
      </c>
      <c r="AX569" s="38">
        <v>0</v>
      </c>
      <c r="AY569" s="39">
        <v>0</v>
      </c>
      <c r="AZ569" s="39">
        <v>25</v>
      </c>
      <c r="BA569" s="59">
        <v>0</v>
      </c>
      <c r="BB569" s="38">
        <v>0</v>
      </c>
      <c r="BC569" s="39">
        <v>0</v>
      </c>
      <c r="BD569" s="39">
        <v>0</v>
      </c>
      <c r="BE569" s="59">
        <v>0</v>
      </c>
      <c r="BF569" s="38">
        <v>0</v>
      </c>
      <c r="BG569" s="39">
        <v>0</v>
      </c>
      <c r="BH569" s="39">
        <v>0</v>
      </c>
      <c r="BI569" s="59">
        <v>0</v>
      </c>
      <c r="BJ569" s="38">
        <v>0</v>
      </c>
      <c r="BK569" s="39">
        <v>0</v>
      </c>
      <c r="BL569" s="39">
        <v>0</v>
      </c>
      <c r="BM569" s="59">
        <v>0</v>
      </c>
      <c r="BN569" s="39">
        <v>0</v>
      </c>
      <c r="BO569" s="39">
        <v>0</v>
      </c>
      <c r="BP569" s="39">
        <v>0</v>
      </c>
      <c r="BQ569" s="59">
        <v>55</v>
      </c>
      <c r="BR569" s="39">
        <v>0</v>
      </c>
      <c r="BS569" s="39">
        <v>0</v>
      </c>
      <c r="BT569" s="39">
        <v>0</v>
      </c>
      <c r="BU569" s="59">
        <v>0</v>
      </c>
      <c r="BV569" s="39">
        <v>0</v>
      </c>
      <c r="BW569" s="39">
        <v>0</v>
      </c>
      <c r="BX569" s="39">
        <v>0</v>
      </c>
      <c r="BY569" s="59">
        <v>0</v>
      </c>
      <c r="BZ569" s="39">
        <v>0</v>
      </c>
      <c r="CA569" s="39">
        <v>0</v>
      </c>
      <c r="CB569" s="39">
        <v>0</v>
      </c>
      <c r="CC569" s="59">
        <v>0</v>
      </c>
      <c r="CD569" s="9"/>
      <c r="CE569" s="885" t="s">
        <v>687</v>
      </c>
      <c r="CF569" s="885" t="s">
        <v>687</v>
      </c>
      <c r="CG569" s="885" t="s">
        <v>687</v>
      </c>
      <c r="CH569" s="29">
        <f>SUM(R569:U569)</f>
        <v>0</v>
      </c>
      <c r="CI569" s="29">
        <f>SUM(V569:Y569)</f>
        <v>0</v>
      </c>
      <c r="CJ569" s="29">
        <f>SUM(Z569:AC569)</f>
        <v>0</v>
      </c>
      <c r="CK569" s="29">
        <f>SUM(AD569:AG569)</f>
        <v>0</v>
      </c>
      <c r="CL569" s="29">
        <f>SUM(AH569:AK569)</f>
        <v>0</v>
      </c>
      <c r="CM569" s="29">
        <f>SUM(AL569:AO569)</f>
        <v>0</v>
      </c>
      <c r="CN569" s="29">
        <f>SUM(AP569:AS569)</f>
        <v>0</v>
      </c>
      <c r="CO569" s="29">
        <f>SUM(AT569:AW569)</f>
        <v>0</v>
      </c>
      <c r="CP569" s="29">
        <f>SUM(AX569:BA569)</f>
        <v>25</v>
      </c>
      <c r="CQ569" s="29">
        <f>SUM(BB569:BE569)</f>
        <v>0</v>
      </c>
      <c r="CR569" s="29">
        <f>SUM(BF569:BI569)</f>
        <v>0</v>
      </c>
      <c r="CS569" s="29">
        <f>SUM(BJ569:BM569)</f>
        <v>0</v>
      </c>
      <c r="CT569" s="29">
        <f>SUM(BN569:BQ569)</f>
        <v>55</v>
      </c>
      <c r="CU569" s="39">
        <f>SUM(BR569:BU569)</f>
        <v>0</v>
      </c>
      <c r="CV569" s="39">
        <f>SUM(BV569:BY569)</f>
        <v>0</v>
      </c>
      <c r="CW569" s="39">
        <f>SUM(BZ569:CC569)</f>
        <v>0</v>
      </c>
      <c r="CX569" s="39">
        <v>0</v>
      </c>
      <c r="CY569" s="39">
        <v>0</v>
      </c>
      <c r="CZ569" s="39">
        <v>0</v>
      </c>
      <c r="DA569" s="39">
        <v>0</v>
      </c>
      <c r="DB569" s="39">
        <v>0</v>
      </c>
      <c r="DC569" s="39">
        <v>0</v>
      </c>
      <c r="DD569" s="1517"/>
      <c r="DE569" s="1483"/>
      <c r="DF569" s="24"/>
      <c r="DG569" s="29"/>
      <c r="DH569" s="29"/>
      <c r="DI569" s="29"/>
      <c r="DJ569" s="29"/>
      <c r="DK569" s="24"/>
      <c r="DL569" s="141"/>
      <c r="DM569" s="24"/>
      <c r="DN569" s="24"/>
      <c r="DO569" s="24"/>
      <c r="DP569" s="24"/>
      <c r="DQ569" s="24"/>
      <c r="DR569" s="24"/>
      <c r="DS569" s="24"/>
      <c r="DT569" s="24"/>
      <c r="DU569" s="24"/>
      <c r="DV569" s="24"/>
      <c r="DW569" s="24"/>
      <c r="DX569" s="24"/>
      <c r="DY569" s="24"/>
      <c r="DZ569" s="1561"/>
    </row>
    <row r="570" spans="1:130" hidden="1" outlineLevel="1">
      <c r="A570" s="3"/>
      <c r="B570" s="208"/>
      <c r="C570" s="319" t="s">
        <v>306</v>
      </c>
      <c r="D570" s="196"/>
      <c r="E570" s="197"/>
      <c r="F570" s="886" t="s">
        <v>687</v>
      </c>
      <c r="G570" s="885" t="s">
        <v>687</v>
      </c>
      <c r="H570" s="885" t="s">
        <v>687</v>
      </c>
      <c r="I570" s="887" t="s">
        <v>687</v>
      </c>
      <c r="J570" s="886" t="s">
        <v>687</v>
      </c>
      <c r="K570" s="885" t="s">
        <v>687</v>
      </c>
      <c r="L570" s="885" t="s">
        <v>687</v>
      </c>
      <c r="M570" s="885" t="s">
        <v>687</v>
      </c>
      <c r="N570" s="491">
        <f t="shared" ref="N570:V570" si="1110">N592</f>
        <v>2.2000000000000002</v>
      </c>
      <c r="O570" s="487">
        <f t="shared" si="1110"/>
        <v>2.2000000000000002</v>
      </c>
      <c r="P570" s="487">
        <f t="shared" si="1110"/>
        <v>2.2000000000000002</v>
      </c>
      <c r="Q570" s="487">
        <f t="shared" si="1110"/>
        <v>2.2000000000000002</v>
      </c>
      <c r="R570" s="491">
        <f t="shared" si="1110"/>
        <v>0.75</v>
      </c>
      <c r="S570" s="487">
        <f t="shared" si="1110"/>
        <v>0.75</v>
      </c>
      <c r="T570" s="487">
        <f t="shared" si="1110"/>
        <v>0.75</v>
      </c>
      <c r="U570" s="487">
        <f t="shared" si="1110"/>
        <v>0.75</v>
      </c>
      <c r="V570" s="491">
        <f t="shared" si="1110"/>
        <v>2.2999999999999998</v>
      </c>
      <c r="W570" s="487">
        <f t="shared" ref="W570:AC570" si="1111">W592</f>
        <v>2.2999999999999998</v>
      </c>
      <c r="X570" s="487">
        <f t="shared" si="1111"/>
        <v>2.2999999999999998</v>
      </c>
      <c r="Y570" s="487">
        <f t="shared" si="1111"/>
        <v>2.2999999999999998</v>
      </c>
      <c r="Z570" s="491">
        <f t="shared" si="1111"/>
        <v>0.7</v>
      </c>
      <c r="AA570" s="487">
        <f t="shared" si="1111"/>
        <v>2.2999999999999998</v>
      </c>
      <c r="AB570" s="487">
        <f t="shared" si="1111"/>
        <v>4.0999999999999996</v>
      </c>
      <c r="AC570" s="487">
        <f t="shared" si="1111"/>
        <v>0.50000000000000022</v>
      </c>
      <c r="AD570" s="57">
        <f>AD592</f>
        <v>0.2</v>
      </c>
      <c r="AE570" s="29">
        <f t="shared" ref="AE570:AJ570" si="1112">AE592</f>
        <v>0.9</v>
      </c>
      <c r="AF570" s="29">
        <f t="shared" si="1112"/>
        <v>1</v>
      </c>
      <c r="AG570" s="29">
        <f t="shared" si="1112"/>
        <v>0.60000000000000009</v>
      </c>
      <c r="AH570" s="57">
        <f t="shared" si="1112"/>
        <v>1.1000000000000001</v>
      </c>
      <c r="AI570" s="29">
        <f t="shared" si="1112"/>
        <v>1.4</v>
      </c>
      <c r="AJ570" s="29">
        <f t="shared" si="1112"/>
        <v>0.8</v>
      </c>
      <c r="AK570" s="58">
        <f t="shared" ref="AK570:AR570" si="1113">AK592</f>
        <v>0.90000000000000036</v>
      </c>
      <c r="AL570" s="29">
        <f t="shared" si="1113"/>
        <v>0.1</v>
      </c>
      <c r="AM570" s="29">
        <f t="shared" si="1113"/>
        <v>0.1</v>
      </c>
      <c r="AN570" s="29">
        <f t="shared" si="1113"/>
        <v>0.1</v>
      </c>
      <c r="AO570" s="58">
        <f t="shared" si="1113"/>
        <v>0.30000000000000004</v>
      </c>
      <c r="AP570" s="29">
        <f t="shared" si="1113"/>
        <v>1</v>
      </c>
      <c r="AQ570" s="29">
        <f t="shared" si="1113"/>
        <v>1.3</v>
      </c>
      <c r="AR570" s="29">
        <f t="shared" si="1113"/>
        <v>0.5</v>
      </c>
      <c r="AS570" s="29">
        <f>AS592</f>
        <v>0.30000000000000027</v>
      </c>
      <c r="AT570" s="57">
        <f t="shared" ref="AT570:AZ570" si="1114">AT592</f>
        <v>0.1</v>
      </c>
      <c r="AU570" s="29">
        <f>AU592</f>
        <v>0.4</v>
      </c>
      <c r="AV570" s="29">
        <f t="shared" si="1114"/>
        <v>0.6</v>
      </c>
      <c r="AW570" s="58">
        <f t="shared" si="1114"/>
        <v>0.29999999999999982</v>
      </c>
      <c r="AX570" s="57">
        <f t="shared" si="1114"/>
        <v>0.2</v>
      </c>
      <c r="AY570" s="29">
        <f t="shared" si="1114"/>
        <v>0.2</v>
      </c>
      <c r="AZ570" s="29">
        <f t="shared" si="1114"/>
        <v>0.9</v>
      </c>
      <c r="BA570" s="58">
        <f>BA592</f>
        <v>0.8</v>
      </c>
      <c r="BB570" s="57">
        <f t="shared" ref="BB570:BH570" si="1115">BB592</f>
        <v>2.2000000000000002</v>
      </c>
      <c r="BC570" s="29">
        <f t="shared" si="1115"/>
        <v>1.2</v>
      </c>
      <c r="BD570" s="29">
        <f t="shared" si="1115"/>
        <v>1.6</v>
      </c>
      <c r="BE570" s="58">
        <f>BE592</f>
        <v>1.7999999999999998</v>
      </c>
      <c r="BF570" s="57">
        <f>BF592</f>
        <v>0.7</v>
      </c>
      <c r="BG570" s="29">
        <f t="shared" si="1115"/>
        <v>1.6</v>
      </c>
      <c r="BH570" s="29">
        <f t="shared" si="1115"/>
        <v>1</v>
      </c>
      <c r="BI570" s="58">
        <f>BI592</f>
        <v>1.2000000000000002</v>
      </c>
      <c r="BJ570" s="57">
        <f t="shared" ref="BJ570:BQ570" si="1116">BJ592</f>
        <v>1.3</v>
      </c>
      <c r="BK570" s="29">
        <f t="shared" si="1116"/>
        <v>1.1000000000000001</v>
      </c>
      <c r="BL570" s="29">
        <f t="shared" si="1116"/>
        <v>1.1000000000000001</v>
      </c>
      <c r="BM570" s="58">
        <f>BM592</f>
        <v>0.5999999999999992</v>
      </c>
      <c r="BN570" s="29">
        <f t="shared" si="1116"/>
        <v>0.5</v>
      </c>
      <c r="BO570" s="29">
        <f>BO592</f>
        <v>0.2</v>
      </c>
      <c r="BP570" s="29">
        <f>BP592</f>
        <v>0.5</v>
      </c>
      <c r="BQ570" s="58">
        <f t="shared" si="1116"/>
        <v>0.5</v>
      </c>
      <c r="BR570" s="29">
        <f t="shared" ref="BR570:BY570" si="1117">BR592</f>
        <v>0.8</v>
      </c>
      <c r="BS570" s="29">
        <f t="shared" si="1117"/>
        <v>0.7</v>
      </c>
      <c r="BT570" s="29">
        <f t="shared" si="1117"/>
        <v>0.89999999999999991</v>
      </c>
      <c r="BU570" s="58">
        <f>BU592</f>
        <v>1.1000000000000001</v>
      </c>
      <c r="BV570" s="29">
        <f t="shared" si="1117"/>
        <v>1.110000000000001</v>
      </c>
      <c r="BW570" s="29">
        <f t="shared" si="1117"/>
        <v>1.5036000000000005</v>
      </c>
      <c r="BX570" s="29">
        <f t="shared" si="1117"/>
        <v>1.1132670000000005</v>
      </c>
      <c r="BY570" s="58">
        <f t="shared" si="1117"/>
        <v>0.71776666800000022</v>
      </c>
      <c r="BZ570" s="29">
        <f>BZ592</f>
        <v>0</v>
      </c>
      <c r="CA570" s="29">
        <f>CA592</f>
        <v>0</v>
      </c>
      <c r="CB570" s="29">
        <f>CB592</f>
        <v>0</v>
      </c>
      <c r="CC570" s="58">
        <f>CC592</f>
        <v>3.3498019492139117</v>
      </c>
      <c r="CD570" s="9"/>
      <c r="CE570" s="885" t="s">
        <v>687</v>
      </c>
      <c r="CF570" s="885" t="s">
        <v>687</v>
      </c>
      <c r="CG570" s="885" t="s">
        <v>687</v>
      </c>
      <c r="CH570" s="29">
        <f>SUM(R570:U570)</f>
        <v>3</v>
      </c>
      <c r="CI570" s="29">
        <f>SUM(V570:Y570)</f>
        <v>9.1999999999999993</v>
      </c>
      <c r="CJ570" s="29">
        <f>SUM(Z570:AC570)</f>
        <v>7.6</v>
      </c>
      <c r="CK570" s="29">
        <f>SUM(AD570:AG570)</f>
        <v>2.7</v>
      </c>
      <c r="CL570" s="29">
        <f>SUM(AH570:AK570)</f>
        <v>4.2</v>
      </c>
      <c r="CM570" s="29">
        <f>SUM(AL570:AO570)</f>
        <v>0.60000000000000009</v>
      </c>
      <c r="CN570" s="29">
        <f>SUM(AP570:AS570)</f>
        <v>3.1</v>
      </c>
      <c r="CO570" s="29">
        <f>SUM(AT570:AW570)</f>
        <v>1.4</v>
      </c>
      <c r="CP570" s="29">
        <f>SUM(AX570:BA570)</f>
        <v>2.1</v>
      </c>
      <c r="CQ570" s="29">
        <f>SUM(BB570:BE570)</f>
        <v>6.8</v>
      </c>
      <c r="CR570" s="29">
        <f>SUM(BF570:BI570)</f>
        <v>4.5</v>
      </c>
      <c r="CS570" s="29">
        <f>SUM(BJ570:BM570)</f>
        <v>4.0999999999999996</v>
      </c>
      <c r="CT570" s="29">
        <f>SUM(BN570:BQ570)</f>
        <v>1.7</v>
      </c>
      <c r="CU570" s="29">
        <f>SUM(BR570:BU570)</f>
        <v>3.5</v>
      </c>
      <c r="CV570" s="29">
        <f>SUM(BV570:BY570)</f>
        <v>4.4446336680000025</v>
      </c>
      <c r="CW570" s="29">
        <f>SUM(BZ570:CC570)</f>
        <v>3.3498019492139117</v>
      </c>
      <c r="CX570" s="29">
        <f t="shared" ref="CX570:DC570" si="1118">CX592</f>
        <v>4.2210880693701149</v>
      </c>
      <c r="CY570" s="29">
        <f t="shared" si="1118"/>
        <v>4.885179759318202</v>
      </c>
      <c r="CZ570" s="29">
        <f t="shared" si="1118"/>
        <v>5.4355209354384346</v>
      </c>
      <c r="DA570" s="29">
        <f t="shared" si="1118"/>
        <v>5.9005899875606715</v>
      </c>
      <c r="DB570" s="29">
        <f t="shared" si="1118"/>
        <v>5.8771214653845529</v>
      </c>
      <c r="DC570" s="29">
        <f t="shared" si="1118"/>
        <v>5.8896283190386658</v>
      </c>
      <c r="DD570" s="1517"/>
      <c r="DE570" s="1483"/>
      <c r="DF570" s="24"/>
      <c r="DG570" s="29"/>
      <c r="DH570" s="29"/>
      <c r="DI570" s="29"/>
      <c r="DJ570" s="29"/>
      <c r="DK570" s="24"/>
      <c r="DL570" s="141"/>
      <c r="DM570" s="24"/>
      <c r="DN570" s="24"/>
      <c r="DO570" s="24"/>
      <c r="DP570" s="24"/>
      <c r="DQ570" s="24"/>
      <c r="DR570" s="24"/>
      <c r="DS570" s="24"/>
      <c r="DT570" s="24"/>
      <c r="DU570" s="24"/>
      <c r="DV570" s="24"/>
      <c r="DW570" s="24"/>
      <c r="DX570" s="24"/>
      <c r="DY570" s="24"/>
      <c r="DZ570" s="1561"/>
    </row>
    <row r="571" spans="1:130" hidden="1" outlineLevel="1">
      <c r="A571" s="3"/>
      <c r="B571" s="208"/>
      <c r="C571" s="319" t="s">
        <v>16</v>
      </c>
      <c r="D571" s="196" t="s">
        <v>137</v>
      </c>
      <c r="E571" s="197"/>
      <c r="F571" s="886" t="s">
        <v>687</v>
      </c>
      <c r="G571" s="885" t="s">
        <v>687</v>
      </c>
      <c r="H571" s="885" t="s">
        <v>687</v>
      </c>
      <c r="I571" s="887" t="s">
        <v>687</v>
      </c>
      <c r="J571" s="886" t="s">
        <v>687</v>
      </c>
      <c r="K571" s="885" t="s">
        <v>687</v>
      </c>
      <c r="L571" s="885" t="s">
        <v>687</v>
      </c>
      <c r="M571" s="885" t="s">
        <v>687</v>
      </c>
      <c r="N571" s="883">
        <v>0</v>
      </c>
      <c r="O571" s="526">
        <v>0</v>
      </c>
      <c r="P571" s="526">
        <v>0</v>
      </c>
      <c r="Q571" s="1103">
        <v>0</v>
      </c>
      <c r="R571" s="883">
        <v>0</v>
      </c>
      <c r="S571" s="526">
        <v>0</v>
      </c>
      <c r="T571" s="526">
        <v>0</v>
      </c>
      <c r="U571" s="884">
        <v>0</v>
      </c>
      <c r="V571" s="883">
        <v>0</v>
      </c>
      <c r="W571" s="526">
        <v>0</v>
      </c>
      <c r="X571" s="526">
        <v>0</v>
      </c>
      <c r="Y571" s="884">
        <v>0</v>
      </c>
      <c r="Z571" s="883">
        <v>0</v>
      </c>
      <c r="AA571" s="526">
        <v>0</v>
      </c>
      <c r="AB571" s="526">
        <v>0</v>
      </c>
      <c r="AC571" s="884">
        <v>0</v>
      </c>
      <c r="AD571" s="883">
        <v>0</v>
      </c>
      <c r="AE571" s="526">
        <v>0</v>
      </c>
      <c r="AF571" s="526">
        <v>0</v>
      </c>
      <c r="AG571" s="526">
        <v>0</v>
      </c>
      <c r="AH571" s="656">
        <v>0</v>
      </c>
      <c r="AI571" s="610">
        <v>0</v>
      </c>
      <c r="AJ571" s="610">
        <v>0</v>
      </c>
      <c r="AK571" s="522">
        <v>0</v>
      </c>
      <c r="AL571" s="610">
        <v>0</v>
      </c>
      <c r="AM571" s="610">
        <v>0</v>
      </c>
      <c r="AN571" s="610">
        <v>0</v>
      </c>
      <c r="AO571" s="611">
        <v>0</v>
      </c>
      <c r="AP571" s="610">
        <v>0</v>
      </c>
      <c r="AQ571" s="610">
        <v>0</v>
      </c>
      <c r="AR571" s="610">
        <v>0</v>
      </c>
      <c r="AS571" s="610">
        <v>0</v>
      </c>
      <c r="AT571" s="656">
        <v>0</v>
      </c>
      <c r="AU571" s="610">
        <v>0</v>
      </c>
      <c r="AV571" s="610">
        <v>0</v>
      </c>
      <c r="AW571" s="611">
        <v>0</v>
      </c>
      <c r="AX571" s="656">
        <v>0</v>
      </c>
      <c r="AY571" s="610">
        <v>0</v>
      </c>
      <c r="AZ571" s="610">
        <v>0</v>
      </c>
      <c r="BA571" s="611">
        <v>0</v>
      </c>
      <c r="BB571" s="656">
        <v>0</v>
      </c>
      <c r="BC571" s="610">
        <v>0</v>
      </c>
      <c r="BD571" s="610">
        <v>0</v>
      </c>
      <c r="BE571" s="611">
        <v>0</v>
      </c>
      <c r="BF571" s="656">
        <v>0</v>
      </c>
      <c r="BG571" s="610">
        <v>0</v>
      </c>
      <c r="BH571" s="610">
        <v>0</v>
      </c>
      <c r="BI571" s="611">
        <v>0</v>
      </c>
      <c r="BJ571" s="656">
        <v>0</v>
      </c>
      <c r="BK571" s="610">
        <v>0</v>
      </c>
      <c r="BL571" s="610">
        <v>0</v>
      </c>
      <c r="BM571" s="611">
        <v>0</v>
      </c>
      <c r="BN571" s="610">
        <v>0</v>
      </c>
      <c r="BO571" s="610">
        <v>0</v>
      </c>
      <c r="BP571" s="610">
        <v>0</v>
      </c>
      <c r="BQ571" s="611">
        <v>0</v>
      </c>
      <c r="BR571" s="610">
        <v>0</v>
      </c>
      <c r="BS571" s="610">
        <v>0</v>
      </c>
      <c r="BT571" s="610">
        <v>0</v>
      </c>
      <c r="BU571" s="611">
        <v>0</v>
      </c>
      <c r="BV571" s="610">
        <v>1</v>
      </c>
      <c r="BW571" s="610">
        <v>2</v>
      </c>
      <c r="BX571" s="610">
        <v>0</v>
      </c>
      <c r="BY571" s="611">
        <v>0</v>
      </c>
      <c r="BZ571" s="610">
        <v>0</v>
      </c>
      <c r="CA571" s="610">
        <v>0.5</v>
      </c>
      <c r="CB571" s="610">
        <v>0.5</v>
      </c>
      <c r="CC571" s="611">
        <v>0.5</v>
      </c>
      <c r="CD571" s="9"/>
      <c r="CE571" s="885" t="s">
        <v>687</v>
      </c>
      <c r="CF571" s="885" t="s">
        <v>687</v>
      </c>
      <c r="CG571" s="885" t="s">
        <v>687</v>
      </c>
      <c r="CH571" s="29">
        <f>SUM(R571:U571)</f>
        <v>0</v>
      </c>
      <c r="CI571" s="29">
        <f>SUM(V571:Y571)</f>
        <v>0</v>
      </c>
      <c r="CJ571" s="29">
        <f>SUM(Z571:AC571)</f>
        <v>0</v>
      </c>
      <c r="CK571" s="29">
        <f>SUM(AD571:AG571)</f>
        <v>0</v>
      </c>
      <c r="CL571" s="29">
        <f>SUM(AH571:AK571)</f>
        <v>0</v>
      </c>
      <c r="CM571" s="29">
        <f>SUM(AL571:AO571)</f>
        <v>0</v>
      </c>
      <c r="CN571" s="29">
        <f>SUM(AP571:AS571)</f>
        <v>0</v>
      </c>
      <c r="CO571" s="29">
        <f>SUM(AT571:AW571)</f>
        <v>0</v>
      </c>
      <c r="CP571" s="29">
        <f>SUM(AX571:BA571)</f>
        <v>0</v>
      </c>
      <c r="CQ571" s="29">
        <f>SUM(BB571:BE571)</f>
        <v>0</v>
      </c>
      <c r="CR571" s="29">
        <f>SUM(BF571:BI571)</f>
        <v>0</v>
      </c>
      <c r="CS571" s="29">
        <f>SUM(BJ571:BM571)</f>
        <v>0</v>
      </c>
      <c r="CT571" s="29">
        <f>SUM(BN571:BQ571)</f>
        <v>0</v>
      </c>
      <c r="CU571" s="610">
        <f>SUM(BR571:BU571)</f>
        <v>0</v>
      </c>
      <c r="CV571" s="610">
        <f>SUM(BV571:BY571)</f>
        <v>3</v>
      </c>
      <c r="CW571" s="610">
        <f>SUM(BZ571:CC571)</f>
        <v>1.5</v>
      </c>
      <c r="CX571" s="610">
        <v>2</v>
      </c>
      <c r="CY571" s="610">
        <v>2</v>
      </c>
      <c r="CZ571" s="610">
        <v>2</v>
      </c>
      <c r="DA571" s="610">
        <v>2</v>
      </c>
      <c r="DB571" s="610">
        <v>2</v>
      </c>
      <c r="DC571" s="610">
        <v>2</v>
      </c>
      <c r="DD571" s="1517"/>
      <c r="DE571" s="1483"/>
      <c r="DF571" s="24"/>
      <c r="DG571" s="29"/>
      <c r="DH571" s="29"/>
      <c r="DI571" s="29"/>
      <c r="DJ571" s="29"/>
      <c r="DK571" s="24"/>
      <c r="DL571" s="141"/>
      <c r="DM571" s="24"/>
      <c r="DN571" s="24"/>
      <c r="DO571" s="24"/>
      <c r="DP571" s="24"/>
      <c r="DQ571" s="24"/>
      <c r="DR571" s="24"/>
      <c r="DS571" s="24"/>
      <c r="DT571" s="24"/>
      <c r="DU571" s="24"/>
      <c r="DV571" s="24"/>
      <c r="DW571" s="24"/>
      <c r="DX571" s="24"/>
      <c r="DY571" s="24"/>
      <c r="DZ571" s="1561"/>
    </row>
    <row r="572" spans="1:130" hidden="1" outlineLevel="1">
      <c r="A572" s="3"/>
      <c r="B572" s="208"/>
      <c r="C572" s="319" t="s">
        <v>305</v>
      </c>
      <c r="D572" s="196"/>
      <c r="E572" s="197"/>
      <c r="F572" s="1068">
        <f t="shared" ref="F572:AH572" si="1119">-F586</f>
        <v>0</v>
      </c>
      <c r="G572" s="1069">
        <f t="shared" si="1119"/>
        <v>0</v>
      </c>
      <c r="H572" s="1069">
        <f t="shared" si="1119"/>
        <v>0</v>
      </c>
      <c r="I572" s="1070">
        <f t="shared" si="1119"/>
        <v>0</v>
      </c>
      <c r="J572" s="1068">
        <f t="shared" si="1119"/>
        <v>0</v>
      </c>
      <c r="K572" s="1069">
        <f t="shared" si="1119"/>
        <v>0</v>
      </c>
      <c r="L572" s="1069">
        <f t="shared" si="1119"/>
        <v>0</v>
      </c>
      <c r="M572" s="1069">
        <f t="shared" si="1119"/>
        <v>0</v>
      </c>
      <c r="N572" s="491">
        <f t="shared" si="1119"/>
        <v>0</v>
      </c>
      <c r="O572" s="487">
        <f t="shared" si="1119"/>
        <v>0</v>
      </c>
      <c r="P572" s="487">
        <f t="shared" si="1119"/>
        <v>0</v>
      </c>
      <c r="Q572" s="643">
        <f t="shared" si="1119"/>
        <v>0</v>
      </c>
      <c r="R572" s="491">
        <f t="shared" si="1119"/>
        <v>0</v>
      </c>
      <c r="S572" s="487">
        <f t="shared" si="1119"/>
        <v>0</v>
      </c>
      <c r="T572" s="487">
        <f t="shared" si="1119"/>
        <v>0</v>
      </c>
      <c r="U572" s="488">
        <f t="shared" si="1119"/>
        <v>-1.927</v>
      </c>
      <c r="V572" s="491">
        <f t="shared" si="1119"/>
        <v>-2.1231</v>
      </c>
      <c r="W572" s="487">
        <f t="shared" si="1119"/>
        <v>-1.0096000000000001</v>
      </c>
      <c r="X572" s="487">
        <f t="shared" si="1119"/>
        <v>0</v>
      </c>
      <c r="Y572" s="488">
        <f t="shared" si="1119"/>
        <v>-1.663</v>
      </c>
      <c r="Z572" s="491">
        <f t="shared" si="1119"/>
        <v>-1.0626</v>
      </c>
      <c r="AA572" s="487">
        <f t="shared" si="1119"/>
        <v>-1</v>
      </c>
      <c r="AB572" s="487">
        <f t="shared" si="1119"/>
        <v>-0.9</v>
      </c>
      <c r="AC572" s="488">
        <f t="shared" si="1119"/>
        <v>-0.51690000000000003</v>
      </c>
      <c r="AD572" s="491">
        <f t="shared" si="1119"/>
        <v>0</v>
      </c>
      <c r="AE572" s="487">
        <f t="shared" si="1119"/>
        <v>0</v>
      </c>
      <c r="AF572" s="487">
        <f>-AF586</f>
        <v>-1.5</v>
      </c>
      <c r="AG572" s="487">
        <f t="shared" si="1119"/>
        <v>-2.5409549999999999</v>
      </c>
      <c r="AH572" s="498">
        <f t="shared" si="1119"/>
        <v>-0.84119999999999995</v>
      </c>
      <c r="AI572" s="585">
        <f>-AI586</f>
        <v>0</v>
      </c>
      <c r="AJ572" s="374">
        <f>-AJ586</f>
        <v>-1.485619</v>
      </c>
      <c r="AK572" s="374">
        <f t="shared" ref="AK572:AS572" si="1120">-AK586</f>
        <v>0</v>
      </c>
      <c r="AL572" s="498">
        <f>-AL586</f>
        <v>-1.2280610000000001</v>
      </c>
      <c r="AM572" s="374">
        <f t="shared" si="1120"/>
        <v>0</v>
      </c>
      <c r="AN572" s="374">
        <f t="shared" si="1120"/>
        <v>0</v>
      </c>
      <c r="AO572" s="496">
        <f t="shared" si="1120"/>
        <v>0</v>
      </c>
      <c r="AP572" s="374">
        <f>-AP586</f>
        <v>0</v>
      </c>
      <c r="AQ572" s="374">
        <f t="shared" si="1120"/>
        <v>0</v>
      </c>
      <c r="AR572" s="374">
        <f>-AR586</f>
        <v>0</v>
      </c>
      <c r="AS572" s="374">
        <f t="shared" si="1120"/>
        <v>0</v>
      </c>
      <c r="AT572" s="498">
        <f t="shared" ref="AT572:BA572" si="1121">-AT586</f>
        <v>-1.8</v>
      </c>
      <c r="AU572" s="374">
        <f t="shared" si="1121"/>
        <v>0</v>
      </c>
      <c r="AV572" s="374">
        <f t="shared" si="1121"/>
        <v>0</v>
      </c>
      <c r="AW572" s="496">
        <f t="shared" si="1121"/>
        <v>0</v>
      </c>
      <c r="AX572" s="498">
        <f t="shared" si="1121"/>
        <v>0</v>
      </c>
      <c r="AY572" s="374">
        <f t="shared" si="1121"/>
        <v>0</v>
      </c>
      <c r="AZ572" s="374">
        <f t="shared" si="1121"/>
        <v>0</v>
      </c>
      <c r="BA572" s="496">
        <f t="shared" si="1121"/>
        <v>-16.399999999999999</v>
      </c>
      <c r="BB572" s="498">
        <f t="shared" ref="BB572:BH572" si="1122">-BB586</f>
        <v>-5.2</v>
      </c>
      <c r="BC572" s="374">
        <f t="shared" si="1122"/>
        <v>-4.2</v>
      </c>
      <c r="BD572" s="374">
        <f t="shared" si="1122"/>
        <v>-5.2</v>
      </c>
      <c r="BE572" s="496">
        <f>-BE586</f>
        <v>-4.4000000000000004</v>
      </c>
      <c r="BF572" s="498">
        <f>-BF586</f>
        <v>-2.2999999999999998</v>
      </c>
      <c r="BG572" s="374">
        <f t="shared" si="1122"/>
        <v>-2</v>
      </c>
      <c r="BH572" s="374">
        <f t="shared" si="1122"/>
        <v>-2.8</v>
      </c>
      <c r="BI572" s="496">
        <f>-BI586</f>
        <v>-3.2</v>
      </c>
      <c r="BJ572" s="498">
        <f t="shared" ref="BJ572:BQ572" si="1123">-BJ586</f>
        <v>-2.2000000000000002</v>
      </c>
      <c r="BK572" s="374">
        <f t="shared" si="1123"/>
        <v>-3.2</v>
      </c>
      <c r="BL572" s="374">
        <f t="shared" si="1123"/>
        <v>-2.2000000000000002</v>
      </c>
      <c r="BM572" s="496">
        <f>-BM586</f>
        <v>-2</v>
      </c>
      <c r="BN572" s="374">
        <f t="shared" si="1123"/>
        <v>-0.7</v>
      </c>
      <c r="BO572" s="374">
        <f>-BO586</f>
        <v>0</v>
      </c>
      <c r="BP572" s="374">
        <f>-BP586</f>
        <v>0</v>
      </c>
      <c r="BQ572" s="496">
        <f t="shared" si="1123"/>
        <v>0</v>
      </c>
      <c r="BR572" s="374">
        <f t="shared" ref="BR572:BY572" si="1124">-BR586</f>
        <v>0</v>
      </c>
      <c r="BS572" s="374">
        <f t="shared" si="1124"/>
        <v>0</v>
      </c>
      <c r="BT572" s="374">
        <f t="shared" si="1124"/>
        <v>0</v>
      </c>
      <c r="BU572" s="496">
        <f>-BU586</f>
        <v>0</v>
      </c>
      <c r="BV572" s="374">
        <f t="shared" si="1124"/>
        <v>0</v>
      </c>
      <c r="BW572" s="374">
        <f t="shared" si="1124"/>
        <v>0</v>
      </c>
      <c r="BX572" s="374">
        <f t="shared" si="1124"/>
        <v>0</v>
      </c>
      <c r="BY572" s="496">
        <f t="shared" si="1124"/>
        <v>0</v>
      </c>
      <c r="BZ572" s="374">
        <f>-BZ586</f>
        <v>0</v>
      </c>
      <c r="CA572" s="374">
        <f>-CA586</f>
        <v>0</v>
      </c>
      <c r="CB572" s="374">
        <f>-CB586</f>
        <v>0</v>
      </c>
      <c r="CC572" s="496">
        <f>-CC586</f>
        <v>0</v>
      </c>
      <c r="CD572" s="9"/>
      <c r="CE572" s="885" t="s">
        <v>687</v>
      </c>
      <c r="CF572" s="885" t="s">
        <v>687</v>
      </c>
      <c r="CG572" s="885" t="s">
        <v>687</v>
      </c>
      <c r="CH572" s="29">
        <f>SUM(R572:U572)</f>
        <v>-1.927</v>
      </c>
      <c r="CI572" s="29">
        <f>SUM(V572:Y572)</f>
        <v>-4.7957000000000001</v>
      </c>
      <c r="CJ572" s="29">
        <f>SUM(Z572:AC572)</f>
        <v>-3.4794999999999998</v>
      </c>
      <c r="CK572" s="29">
        <f>SUM(AD572:AG572)</f>
        <v>-4.0409550000000003</v>
      </c>
      <c r="CL572" s="29">
        <f>SUM(AH572:AK572)</f>
        <v>-2.326819</v>
      </c>
      <c r="CM572" s="29">
        <f>SUM(AL572:AO572)</f>
        <v>-1.2280610000000001</v>
      </c>
      <c r="CN572" s="29">
        <f>SUM(AP572:AS572)</f>
        <v>0</v>
      </c>
      <c r="CO572" s="29">
        <f>SUM(AT572:AW572)</f>
        <v>-1.8</v>
      </c>
      <c r="CP572" s="29">
        <f>SUM(AX572:BA572)</f>
        <v>-16.399999999999999</v>
      </c>
      <c r="CQ572" s="29">
        <f>SUM(BB572:BE572)</f>
        <v>-19</v>
      </c>
      <c r="CR572" s="29">
        <f>SUM(BF572:BI572)</f>
        <v>-10.3</v>
      </c>
      <c r="CS572" s="29">
        <f>SUM(BJ572:BM572)</f>
        <v>-9.6000000000000014</v>
      </c>
      <c r="CT572" s="29">
        <f>SUM(BN572:BQ572)</f>
        <v>-0.7</v>
      </c>
      <c r="CU572" s="374">
        <f>SUM(BR572:BU572)</f>
        <v>0</v>
      </c>
      <c r="CV572" s="374">
        <f>SUM(BV572:BY572)</f>
        <v>0</v>
      </c>
      <c r="CW572" s="374">
        <f>SUM(BZ572:CC572)</f>
        <v>0</v>
      </c>
      <c r="CX572" s="374">
        <f t="shared" ref="CX572:DC572" si="1125">-CX586</f>
        <v>0</v>
      </c>
      <c r="CY572" s="374">
        <f t="shared" si="1125"/>
        <v>0</v>
      </c>
      <c r="CZ572" s="374">
        <f t="shared" si="1125"/>
        <v>0</v>
      </c>
      <c r="DA572" s="374">
        <f t="shared" si="1125"/>
        <v>0</v>
      </c>
      <c r="DB572" s="374">
        <f t="shared" si="1125"/>
        <v>0</v>
      </c>
      <c r="DC572" s="374">
        <f t="shared" si="1125"/>
        <v>0</v>
      </c>
      <c r="DD572" s="1517"/>
      <c r="DE572" s="1483"/>
      <c r="DF572" s="24"/>
      <c r="DG572" s="29"/>
      <c r="DH572" s="29"/>
      <c r="DI572" s="29"/>
      <c r="DJ572" s="29"/>
      <c r="DK572" s="24"/>
      <c r="DL572" s="141"/>
      <c r="DM572" s="24"/>
      <c r="DN572" s="24"/>
      <c r="DO572" s="24"/>
      <c r="DP572" s="24"/>
      <c r="DQ572" s="24"/>
      <c r="DR572" s="24"/>
      <c r="DS572" s="24"/>
      <c r="DT572" s="24"/>
      <c r="DU572" s="24"/>
      <c r="DV572" s="24"/>
      <c r="DW572" s="24"/>
      <c r="DX572" s="24"/>
      <c r="DY572" s="24"/>
      <c r="DZ572" s="1561"/>
    </row>
    <row r="573" spans="1:130" hidden="1" outlineLevel="1">
      <c r="A573" s="4"/>
      <c r="B573" s="224"/>
      <c r="C573" s="187" t="s">
        <v>5</v>
      </c>
      <c r="D573" s="187"/>
      <c r="E573" s="195"/>
      <c r="F573" s="1104">
        <f t="shared" ref="F573:M573" si="1126">F121</f>
        <v>168.45500000000001</v>
      </c>
      <c r="G573" s="1104">
        <f t="shared" si="1126"/>
        <v>183.191</v>
      </c>
      <c r="H573" s="1104">
        <f t="shared" si="1126"/>
        <v>183.53200000000001</v>
      </c>
      <c r="I573" s="1104">
        <f t="shared" si="1126"/>
        <v>192.8</v>
      </c>
      <c r="J573" s="1105">
        <f t="shared" si="1126"/>
        <v>192.8</v>
      </c>
      <c r="K573" s="1104">
        <f t="shared" si="1126"/>
        <v>194.346</v>
      </c>
      <c r="L573" s="1104">
        <f t="shared" si="1126"/>
        <v>195.43700000000001</v>
      </c>
      <c r="M573" s="1104">
        <f t="shared" si="1126"/>
        <v>195.43799999999999</v>
      </c>
      <c r="N573" s="1095">
        <v>195.48699999999999</v>
      </c>
      <c r="O573" s="1094">
        <v>195.505</v>
      </c>
      <c r="P573" s="1094">
        <v>198.316</v>
      </c>
      <c r="Q573" s="1040">
        <v>203.6</v>
      </c>
      <c r="R573" s="1094">
        <v>206.2</v>
      </c>
      <c r="S573" s="1094">
        <v>206.9</v>
      </c>
      <c r="T573" s="1094">
        <v>208.2</v>
      </c>
      <c r="U573" s="1040">
        <v>208.8</v>
      </c>
      <c r="V573" s="1094">
        <v>208.8</v>
      </c>
      <c r="W573" s="1094">
        <v>208.8</v>
      </c>
      <c r="X573" s="1094">
        <v>212.4</v>
      </c>
      <c r="Y573" s="1040">
        <v>214.6</v>
      </c>
      <c r="Z573" s="1094">
        <v>215.7</v>
      </c>
      <c r="AA573" s="1094">
        <v>217.5</v>
      </c>
      <c r="AB573" s="1094">
        <v>220.6</v>
      </c>
      <c r="AC573" s="1040">
        <v>221.7</v>
      </c>
      <c r="AD573" s="895">
        <v>221.7</v>
      </c>
      <c r="AE573" s="895">
        <v>222</v>
      </c>
      <c r="AF573" s="895">
        <v>221.9</v>
      </c>
      <c r="AG573" s="895">
        <v>219</v>
      </c>
      <c r="AH573" s="929">
        <v>220.1</v>
      </c>
      <c r="AI573" s="895">
        <v>222</v>
      </c>
      <c r="AJ573" s="895">
        <v>221.396736</v>
      </c>
      <c r="AK573" s="895">
        <v>221.48571000000001</v>
      </c>
      <c r="AL573" s="929">
        <f>225-1-2</f>
        <v>222</v>
      </c>
      <c r="AM573" s="895">
        <f>225-2</f>
        <v>223</v>
      </c>
      <c r="AN573" s="895">
        <f>225-1</f>
        <v>224</v>
      </c>
      <c r="AO573" s="928">
        <f>225</f>
        <v>225</v>
      </c>
      <c r="AP573" s="895">
        <v>225</v>
      </c>
      <c r="AQ573" s="895">
        <v>228</v>
      </c>
      <c r="AR573" s="895">
        <v>229</v>
      </c>
      <c r="AS573" s="895">
        <v>231</v>
      </c>
      <c r="AT573" s="929">
        <v>230</v>
      </c>
      <c r="AU573" s="895">
        <v>232</v>
      </c>
      <c r="AV573" s="895">
        <v>232</v>
      </c>
      <c r="AW573" s="928">
        <v>233</v>
      </c>
      <c r="AX573" s="929">
        <v>234</v>
      </c>
      <c r="AY573" s="895">
        <v>235</v>
      </c>
      <c r="AZ573" s="895">
        <v>261</v>
      </c>
      <c r="BA573" s="928">
        <v>246</v>
      </c>
      <c r="BB573" s="929">
        <v>243</v>
      </c>
      <c r="BC573" s="895">
        <v>241</v>
      </c>
      <c r="BD573" s="895">
        <v>238</v>
      </c>
      <c r="BE573" s="928">
        <v>237</v>
      </c>
      <c r="BF573" s="1364">
        <v>236</v>
      </c>
      <c r="BG573" s="1385">
        <v>237</v>
      </c>
      <c r="BH573" s="1385">
        <v>235</v>
      </c>
      <c r="BI573" s="928">
        <v>234</v>
      </c>
      <c r="BJ573" s="1364">
        <v>234</v>
      </c>
      <c r="BK573" s="1385">
        <v>232</v>
      </c>
      <c r="BL573" s="1385">
        <f t="shared" ref="BL573:BU573" si="1127">BL121</f>
        <v>231</v>
      </c>
      <c r="BM573" s="928">
        <f t="shared" si="1127"/>
        <v>230</v>
      </c>
      <c r="BN573" s="1364">
        <f t="shared" si="1127"/>
        <v>231</v>
      </c>
      <c r="BO573" s="1385">
        <f t="shared" si="1127"/>
        <v>232</v>
      </c>
      <c r="BP573" s="1385">
        <f t="shared" si="1127"/>
        <v>233</v>
      </c>
      <c r="BQ573" s="928">
        <f t="shared" si="1127"/>
        <v>284</v>
      </c>
      <c r="BR573" s="1364">
        <f t="shared" si="1127"/>
        <v>285</v>
      </c>
      <c r="BS573" s="2163">
        <f t="shared" si="1127"/>
        <v>288</v>
      </c>
      <c r="BT573" s="2163">
        <f t="shared" si="1127"/>
        <v>291</v>
      </c>
      <c r="BU573" s="2205">
        <f t="shared" si="1127"/>
        <v>294</v>
      </c>
      <c r="BV573" s="30">
        <f t="shared" ref="BV573:CB573" si="1128">SUM(BV567:BV572)</f>
        <v>296.11</v>
      </c>
      <c r="BW573" s="30">
        <f t="shared" si="1128"/>
        <v>299.61360000000002</v>
      </c>
      <c r="BX573" s="30">
        <f t="shared" si="1128"/>
        <v>300.72686700000003</v>
      </c>
      <c r="BY573" s="37">
        <f t="shared" si="1128"/>
        <v>301.44463366800005</v>
      </c>
      <c r="BZ573" s="30">
        <f t="shared" si="1128"/>
        <v>301.44463366800005</v>
      </c>
      <c r="CA573" s="30">
        <f t="shared" si="1128"/>
        <v>301.94463366800005</v>
      </c>
      <c r="CB573" s="30">
        <f t="shared" si="1128"/>
        <v>302.44463366800005</v>
      </c>
      <c r="CC573" s="37">
        <f>SUM(CC567:CC572)</f>
        <v>306.29443561721394</v>
      </c>
      <c r="CD573" s="109"/>
      <c r="CE573" s="885" t="s">
        <v>687</v>
      </c>
      <c r="CF573" s="885" t="s">
        <v>687</v>
      </c>
      <c r="CG573" s="885" t="s">
        <v>687</v>
      </c>
      <c r="CH573" s="30">
        <f>U573</f>
        <v>208.8</v>
      </c>
      <c r="CI573" s="30">
        <f>Y573</f>
        <v>214.6</v>
      </c>
      <c r="CJ573" s="30">
        <f>AC573</f>
        <v>221.7</v>
      </c>
      <c r="CK573" s="30">
        <f>AG573</f>
        <v>219</v>
      </c>
      <c r="CL573" s="30">
        <f>AK573</f>
        <v>221.48571000000001</v>
      </c>
      <c r="CM573" s="30">
        <f>SUM(CM567:CM572)</f>
        <v>220.85764900000001</v>
      </c>
      <c r="CN573" s="30">
        <f>SUM(CN567:CN572)</f>
        <v>225.957649</v>
      </c>
      <c r="CO573" s="30">
        <f>SUM(CO567:CO572)</f>
        <v>225.957649</v>
      </c>
      <c r="CP573" s="30">
        <f>BA573</f>
        <v>246</v>
      </c>
      <c r="CQ573" s="30">
        <f>BE573</f>
        <v>237</v>
      </c>
      <c r="CR573" s="30">
        <f>BI573</f>
        <v>234</v>
      </c>
      <c r="CS573" s="30">
        <f>BM573</f>
        <v>230</v>
      </c>
      <c r="CT573" s="30">
        <f>BQ573</f>
        <v>284</v>
      </c>
      <c r="CU573" s="30">
        <f>BU573</f>
        <v>294</v>
      </c>
      <c r="CV573" s="30">
        <f>BY573</f>
        <v>301.44463366800005</v>
      </c>
      <c r="CW573" s="30">
        <f>CC573</f>
        <v>306.29443561721394</v>
      </c>
      <c r="CX573" s="30">
        <f t="shared" ref="CX573:DC573" si="1129">SUM(CX567:CX572)</f>
        <v>312.51552368658406</v>
      </c>
      <c r="CY573" s="30">
        <f t="shared" si="1129"/>
        <v>319.40070344590225</v>
      </c>
      <c r="CZ573" s="30">
        <f t="shared" si="1129"/>
        <v>326.83622438134068</v>
      </c>
      <c r="DA573" s="30">
        <f t="shared" si="1129"/>
        <v>334.73681436890138</v>
      </c>
      <c r="DB573" s="30">
        <f t="shared" si="1129"/>
        <v>342.61393583428594</v>
      </c>
      <c r="DC573" s="30">
        <f t="shared" si="1129"/>
        <v>350.50356415332459</v>
      </c>
      <c r="DD573" s="1519"/>
      <c r="DE573" s="1502"/>
      <c r="DF573" s="31"/>
      <c r="DG573" s="31"/>
      <c r="DH573" s="31"/>
      <c r="DI573" s="31"/>
      <c r="DJ573" s="31"/>
      <c r="DK573" s="31"/>
      <c r="DL573" s="181"/>
      <c r="DM573" s="31"/>
      <c r="DN573" s="31"/>
      <c r="DO573" s="31"/>
      <c r="DP573" s="31"/>
      <c r="DQ573" s="31"/>
      <c r="DR573" s="31"/>
      <c r="DS573" s="31"/>
      <c r="DT573" s="31"/>
      <c r="DU573" s="31"/>
      <c r="DV573" s="31"/>
      <c r="DW573" s="31"/>
      <c r="DX573" s="31"/>
      <c r="DY573" s="31"/>
      <c r="DZ573" s="1565"/>
    </row>
    <row r="574" spans="1:130" hidden="1" outlineLevel="1">
      <c r="A574" s="145"/>
      <c r="B574" s="227"/>
      <c r="C574" s="145"/>
      <c r="D574" s="145"/>
      <c r="E574" s="228"/>
      <c r="F574" s="145"/>
      <c r="G574" s="145"/>
      <c r="H574" s="145"/>
      <c r="I574" s="228"/>
      <c r="J574" s="145"/>
      <c r="K574" s="145"/>
      <c r="L574" s="145"/>
      <c r="M574" s="145"/>
      <c r="N574" s="227"/>
      <c r="O574" s="145"/>
      <c r="P574" s="145"/>
      <c r="Q574" s="228"/>
      <c r="R574" s="145"/>
      <c r="S574" s="145"/>
      <c r="T574" s="547"/>
      <c r="U574" s="626"/>
      <c r="V574" s="547"/>
      <c r="W574" s="547"/>
      <c r="X574" s="547"/>
      <c r="Y574" s="626"/>
      <c r="Z574" s="547"/>
      <c r="AA574" s="547"/>
      <c r="AB574" s="547"/>
      <c r="AC574" s="626"/>
      <c r="AD574" s="547"/>
      <c r="AE574" s="547"/>
      <c r="AF574" s="547"/>
      <c r="AG574" s="547"/>
      <c r="AH574" s="693"/>
      <c r="AI574" s="145"/>
      <c r="AJ574" s="145"/>
      <c r="AK574" s="145"/>
      <c r="AL574" s="227"/>
      <c r="AM574" s="145"/>
      <c r="AN574" s="145"/>
      <c r="AO574" s="228"/>
      <c r="AP574" s="145"/>
      <c r="AQ574" s="145"/>
      <c r="AR574" s="145"/>
      <c r="AS574" s="145"/>
      <c r="AT574" s="227"/>
      <c r="AU574" s="145"/>
      <c r="AV574" s="145"/>
      <c r="AW574" s="228"/>
      <c r="AX574" s="227"/>
      <c r="AY574" s="145"/>
      <c r="AZ574" s="145"/>
      <c r="BA574" s="228"/>
      <c r="BB574" s="227"/>
      <c r="BC574" s="145"/>
      <c r="BD574" s="145"/>
      <c r="BE574" s="228"/>
      <c r="BF574" s="201"/>
      <c r="BG574" s="201"/>
      <c r="BH574" s="201"/>
      <c r="BI574" s="202"/>
      <c r="BJ574" s="201"/>
      <c r="BK574" s="201"/>
      <c r="BL574" s="201"/>
      <c r="BM574" s="1484"/>
      <c r="BN574" s="1485"/>
      <c r="BO574" s="201"/>
      <c r="BP574" s="201"/>
      <c r="BQ574" s="1484"/>
      <c r="BR574" s="1485"/>
      <c r="BS574" s="1485"/>
      <c r="BT574" s="1485"/>
      <c r="BU574" s="1484"/>
      <c r="BV574" s="1485"/>
      <c r="BW574" s="1485"/>
      <c r="BX574" s="1485"/>
      <c r="BY574" s="1484"/>
      <c r="BZ574" s="1485"/>
      <c r="CA574" s="1485"/>
      <c r="CB574" s="1485"/>
      <c r="CC574" s="1484"/>
      <c r="CD574" s="228"/>
      <c r="CE574" s="145"/>
      <c r="CF574" s="145"/>
      <c r="CG574" s="145"/>
      <c r="CH574" s="145"/>
      <c r="CI574" s="145"/>
      <c r="CJ574" s="145"/>
      <c r="CK574" s="145"/>
      <c r="CL574" s="145"/>
      <c r="CM574" s="145"/>
      <c r="CN574" s="145"/>
      <c r="CO574" s="145"/>
      <c r="CP574" s="145"/>
      <c r="CQ574" s="145"/>
      <c r="CR574" s="145"/>
      <c r="CS574" s="201"/>
      <c r="CT574" s="201"/>
      <c r="CU574" s="1485"/>
      <c r="CV574" s="1485"/>
      <c r="CW574" s="1485"/>
      <c r="CX574" s="1485"/>
      <c r="CY574" s="1485"/>
      <c r="CZ574" s="1485"/>
      <c r="DA574" s="1485"/>
      <c r="DB574" s="1485"/>
      <c r="DC574" s="1485"/>
      <c r="DD574" s="1505"/>
      <c r="DE574" s="1551"/>
      <c r="DF574" s="141"/>
      <c r="DG574" s="141"/>
      <c r="DH574" s="141"/>
      <c r="DI574" s="141"/>
      <c r="DJ574" s="141"/>
      <c r="DK574" s="141"/>
      <c r="DL574" s="141"/>
      <c r="DM574" s="141"/>
      <c r="DN574" s="141"/>
      <c r="DO574" s="141"/>
      <c r="DP574" s="141"/>
      <c r="DQ574" s="141"/>
      <c r="DR574" s="141"/>
      <c r="DS574" s="141"/>
      <c r="DT574" s="141"/>
      <c r="DU574" s="141"/>
      <c r="DV574" s="141"/>
      <c r="DW574" s="141"/>
      <c r="DX574" s="141"/>
      <c r="DY574" s="141"/>
      <c r="DZ574" s="1676"/>
    </row>
    <row r="575" spans="1:130" hidden="1" outlineLevel="1">
      <c r="A575" s="4"/>
      <c r="B575" s="224"/>
      <c r="C575" s="187" t="s">
        <v>7</v>
      </c>
      <c r="D575" s="187"/>
      <c r="E575" s="195"/>
      <c r="F575" s="895">
        <f t="shared" ref="F575:AK575" si="1130">F122</f>
        <v>148.04400000000001</v>
      </c>
      <c r="G575" s="895">
        <f t="shared" si="1130"/>
        <v>171.17500000000001</v>
      </c>
      <c r="H575" s="895">
        <f t="shared" si="1130"/>
        <v>176.25</v>
      </c>
      <c r="I575" s="928">
        <f t="shared" si="1130"/>
        <v>179.39099999999996</v>
      </c>
      <c r="J575" s="929">
        <f t="shared" si="1130"/>
        <v>186.63499999999999</v>
      </c>
      <c r="K575" s="895">
        <f t="shared" si="1130"/>
        <v>187.691</v>
      </c>
      <c r="L575" s="895">
        <f t="shared" si="1130"/>
        <v>190.09100000000001</v>
      </c>
      <c r="M575" s="895">
        <f t="shared" si="1130"/>
        <v>191.58299999999997</v>
      </c>
      <c r="N575" s="929">
        <f t="shared" si="1130"/>
        <v>192.464</v>
      </c>
      <c r="O575" s="895">
        <f t="shared" si="1130"/>
        <v>193.72499999999999</v>
      </c>
      <c r="P575" s="895">
        <f t="shared" si="1130"/>
        <v>196.25800000000001</v>
      </c>
      <c r="Q575" s="928">
        <f t="shared" si="1130"/>
        <v>199.95299999999997</v>
      </c>
      <c r="R575" s="895">
        <f t="shared" si="1130"/>
        <v>204.1</v>
      </c>
      <c r="S575" s="895">
        <f t="shared" si="1130"/>
        <v>205.4</v>
      </c>
      <c r="T575" s="895">
        <f t="shared" si="1130"/>
        <v>206.7</v>
      </c>
      <c r="U575" s="928">
        <f t="shared" si="1130"/>
        <v>206.5</v>
      </c>
      <c r="V575" s="895">
        <f t="shared" si="1130"/>
        <v>205.2</v>
      </c>
      <c r="W575" s="895">
        <f t="shared" si="1130"/>
        <v>205.1</v>
      </c>
      <c r="X575" s="895">
        <f t="shared" si="1130"/>
        <v>208.8</v>
      </c>
      <c r="Y575" s="928">
        <f t="shared" si="1130"/>
        <v>211.4</v>
      </c>
      <c r="Z575" s="895">
        <f t="shared" si="1130"/>
        <v>212.9</v>
      </c>
      <c r="AA575" s="895">
        <f t="shared" si="1130"/>
        <v>212.8</v>
      </c>
      <c r="AB575" s="895">
        <f t="shared" si="1130"/>
        <v>216.7</v>
      </c>
      <c r="AC575" s="928">
        <f t="shared" si="1130"/>
        <v>217.6</v>
      </c>
      <c r="AD575" s="895">
        <f t="shared" si="1130"/>
        <v>219</v>
      </c>
      <c r="AE575" s="895">
        <f t="shared" si="1130"/>
        <v>220</v>
      </c>
      <c r="AF575" s="895">
        <f t="shared" si="1130"/>
        <v>220</v>
      </c>
      <c r="AG575" s="895">
        <f t="shared" si="1130"/>
        <v>219</v>
      </c>
      <c r="AH575" s="929">
        <f t="shared" si="1130"/>
        <v>219</v>
      </c>
      <c r="AI575" s="895">
        <f t="shared" si="1130"/>
        <v>220</v>
      </c>
      <c r="AJ575" s="895">
        <f t="shared" si="1130"/>
        <v>222</v>
      </c>
      <c r="AK575" s="895">
        <f t="shared" si="1130"/>
        <v>222</v>
      </c>
      <c r="AL575" s="929">
        <f t="shared" ref="AL575:BV575" si="1131">AL122</f>
        <v>222</v>
      </c>
      <c r="AM575" s="895">
        <f t="shared" si="1131"/>
        <v>222</v>
      </c>
      <c r="AN575" s="895">
        <f t="shared" si="1131"/>
        <v>223</v>
      </c>
      <c r="AO575" s="928">
        <f t="shared" si="1131"/>
        <v>223</v>
      </c>
      <c r="AP575" s="895">
        <f t="shared" si="1131"/>
        <v>225</v>
      </c>
      <c r="AQ575" s="895">
        <f t="shared" si="1131"/>
        <v>227</v>
      </c>
      <c r="AR575" s="895">
        <f t="shared" si="1131"/>
        <v>229</v>
      </c>
      <c r="AS575" s="895">
        <f t="shared" si="1131"/>
        <v>230</v>
      </c>
      <c r="AT575" s="929">
        <f t="shared" si="1131"/>
        <v>230</v>
      </c>
      <c r="AU575" s="895">
        <f t="shared" si="1131"/>
        <v>230</v>
      </c>
      <c r="AV575" s="895">
        <f t="shared" si="1131"/>
        <v>232</v>
      </c>
      <c r="AW575" s="895">
        <f t="shared" si="1131"/>
        <v>233</v>
      </c>
      <c r="AX575" s="929">
        <f t="shared" si="1131"/>
        <v>233</v>
      </c>
      <c r="AY575" s="895">
        <f t="shared" si="1131"/>
        <v>234</v>
      </c>
      <c r="AZ575" s="895">
        <f t="shared" si="1131"/>
        <v>241</v>
      </c>
      <c r="BA575" s="928">
        <f t="shared" si="1131"/>
        <v>254</v>
      </c>
      <c r="BB575" s="895">
        <f t="shared" si="1131"/>
        <v>246</v>
      </c>
      <c r="BC575" s="895">
        <f t="shared" si="1131"/>
        <v>242</v>
      </c>
      <c r="BD575" s="895">
        <f t="shared" si="1131"/>
        <v>239</v>
      </c>
      <c r="BE575" s="928">
        <f t="shared" si="1131"/>
        <v>236</v>
      </c>
      <c r="BF575" s="895">
        <f t="shared" si="1131"/>
        <v>236</v>
      </c>
      <c r="BG575" s="895">
        <f t="shared" si="1131"/>
        <v>236</v>
      </c>
      <c r="BH575" s="895">
        <f t="shared" si="1131"/>
        <v>235</v>
      </c>
      <c r="BI575" s="928">
        <f t="shared" si="1131"/>
        <v>234</v>
      </c>
      <c r="BJ575" s="895">
        <f t="shared" si="1131"/>
        <v>234</v>
      </c>
      <c r="BK575" s="895">
        <f t="shared" si="1131"/>
        <v>233</v>
      </c>
      <c r="BL575" s="895">
        <f t="shared" si="1131"/>
        <v>231</v>
      </c>
      <c r="BM575" s="928">
        <f t="shared" si="1131"/>
        <v>231</v>
      </c>
      <c r="BN575" s="895">
        <f t="shared" si="1131"/>
        <v>231</v>
      </c>
      <c r="BO575" s="895">
        <f t="shared" si="1131"/>
        <v>232</v>
      </c>
      <c r="BP575" s="895">
        <f t="shared" si="1131"/>
        <v>233</v>
      </c>
      <c r="BQ575" s="928">
        <f t="shared" si="1131"/>
        <v>261</v>
      </c>
      <c r="BR575" s="895">
        <f t="shared" si="1131"/>
        <v>285</v>
      </c>
      <c r="BS575" s="895">
        <f t="shared" si="1131"/>
        <v>286</v>
      </c>
      <c r="BT575" s="895">
        <f t="shared" si="1131"/>
        <v>289</v>
      </c>
      <c r="BU575" s="928">
        <f t="shared" si="1131"/>
        <v>292</v>
      </c>
      <c r="BV575" s="895">
        <f t="shared" si="1131"/>
        <v>295</v>
      </c>
      <c r="BW575" s="895">
        <f t="shared" ref="BW575:CC575" si="1132">AVERAGE(BW567,BW573)</f>
        <v>297.86180000000002</v>
      </c>
      <c r="BX575" s="30">
        <f t="shared" si="1132"/>
        <v>300.17023349999999</v>
      </c>
      <c r="BY575" s="37">
        <f t="shared" si="1132"/>
        <v>301.08575033400007</v>
      </c>
      <c r="BZ575" s="30">
        <f t="shared" si="1132"/>
        <v>301.44463366800005</v>
      </c>
      <c r="CA575" s="30">
        <f t="shared" si="1132"/>
        <v>301.69463366800005</v>
      </c>
      <c r="CB575" s="30">
        <f t="shared" si="1132"/>
        <v>302.19463366800005</v>
      </c>
      <c r="CC575" s="37">
        <f t="shared" si="1132"/>
        <v>304.36953464260699</v>
      </c>
      <c r="CD575" s="109"/>
      <c r="CE575" s="30">
        <f>CE122</f>
        <v>168.715</v>
      </c>
      <c r="CF575" s="30">
        <f>CF122</f>
        <v>188.988</v>
      </c>
      <c r="CG575" s="30">
        <f>CG122</f>
        <v>195.6</v>
      </c>
      <c r="CH575" s="30">
        <f>CH122</f>
        <v>205.7</v>
      </c>
      <c r="CI575" s="30">
        <f>CI122</f>
        <v>208</v>
      </c>
      <c r="CJ575" s="895">
        <v>215</v>
      </c>
      <c r="CK575" s="895">
        <v>219</v>
      </c>
      <c r="CL575" s="895">
        <v>221</v>
      </c>
      <c r="CM575" s="30">
        <f t="shared" ref="CM575:CV575" si="1133">AVERAGE(CM567,CM573)</f>
        <v>221.17167950000001</v>
      </c>
      <c r="CN575" s="30">
        <f t="shared" si="1133"/>
        <v>223.40764899999999</v>
      </c>
      <c r="CO575" s="30">
        <f t="shared" si="1133"/>
        <v>225.957649</v>
      </c>
      <c r="CP575" s="30">
        <f t="shared" si="1133"/>
        <v>235.9788245</v>
      </c>
      <c r="CQ575" s="30">
        <f t="shared" si="1133"/>
        <v>241.5</v>
      </c>
      <c r="CR575" s="30">
        <f t="shared" si="1133"/>
        <v>235.5</v>
      </c>
      <c r="CS575" s="30">
        <f>AVERAGE(CS567,CS573)</f>
        <v>232</v>
      </c>
      <c r="CT575" s="30">
        <f>AVERAGE(CT567,CT573)</f>
        <v>257</v>
      </c>
      <c r="CU575" s="30">
        <f t="shared" si="1133"/>
        <v>289</v>
      </c>
      <c r="CV575" s="30">
        <f t="shared" si="1133"/>
        <v>297.72231683400003</v>
      </c>
      <c r="CW575" s="30">
        <f t="shared" ref="CW575:DC575" si="1134">AVERAGE(CW567,CW573)</f>
        <v>303.86953464260699</v>
      </c>
      <c r="CX575" s="30">
        <f t="shared" si="1134"/>
        <v>309.404979651899</v>
      </c>
      <c r="CY575" s="30">
        <f t="shared" si="1134"/>
        <v>315.95811356624313</v>
      </c>
      <c r="CZ575" s="30">
        <f t="shared" si="1134"/>
        <v>323.11846391362144</v>
      </c>
      <c r="DA575" s="30">
        <f t="shared" si="1134"/>
        <v>330.78651937512103</v>
      </c>
      <c r="DB575" s="30">
        <f t="shared" si="1134"/>
        <v>338.67537510159366</v>
      </c>
      <c r="DC575" s="30">
        <f t="shared" si="1134"/>
        <v>346.55874999380524</v>
      </c>
      <c r="DD575" s="1519"/>
      <c r="DE575" s="1502"/>
      <c r="DF575" s="31"/>
      <c r="DG575" s="31"/>
      <c r="DH575" s="31"/>
      <c r="DI575" s="31"/>
      <c r="DJ575" s="31"/>
      <c r="DK575" s="31"/>
      <c r="DL575" s="181"/>
      <c r="DM575" s="31"/>
      <c r="DN575" s="31"/>
      <c r="DO575" s="31"/>
      <c r="DP575" s="31"/>
      <c r="DQ575" s="31"/>
      <c r="DR575" s="31"/>
      <c r="DS575" s="31"/>
      <c r="DT575" s="31"/>
      <c r="DU575" s="31"/>
      <c r="DV575" s="31"/>
      <c r="DW575" s="31"/>
      <c r="DX575" s="31"/>
      <c r="DY575" s="31"/>
      <c r="DZ575" s="1565"/>
    </row>
    <row r="576" spans="1:130" hidden="1" outlineLevel="1">
      <c r="A576" s="3"/>
      <c r="B576" s="208"/>
      <c r="C576" s="319" t="s">
        <v>675</v>
      </c>
      <c r="D576" s="196"/>
      <c r="E576" s="197"/>
      <c r="F576" s="53">
        <f t="shared" ref="F576:AG576" si="1135">F577-F575</f>
        <v>0</v>
      </c>
      <c r="G576" s="53">
        <f t="shared" si="1135"/>
        <v>0</v>
      </c>
      <c r="H576" s="53">
        <f t="shared" si="1135"/>
        <v>1.367999999999995</v>
      </c>
      <c r="I576" s="645">
        <f t="shared" si="1135"/>
        <v>-1.367999999999995</v>
      </c>
      <c r="J576" s="644">
        <f t="shared" si="1135"/>
        <v>0</v>
      </c>
      <c r="K576" s="53">
        <f t="shared" si="1135"/>
        <v>3.9329999999999927</v>
      </c>
      <c r="L576" s="53">
        <f t="shared" si="1135"/>
        <v>8.2639999999999816</v>
      </c>
      <c r="M576" s="645">
        <f t="shared" si="1135"/>
        <v>6.1310000000000286</v>
      </c>
      <c r="N576" s="53">
        <f t="shared" si="1135"/>
        <v>4.3590000000000089</v>
      </c>
      <c r="O576" s="53">
        <f t="shared" si="1135"/>
        <v>10.397999999999996</v>
      </c>
      <c r="P576" s="53">
        <f t="shared" si="1135"/>
        <v>11.46599999999998</v>
      </c>
      <c r="Q576" s="645">
        <f t="shared" si="1135"/>
        <v>13.377000000000038</v>
      </c>
      <c r="R576" s="53">
        <f t="shared" si="1135"/>
        <v>11.800000000000011</v>
      </c>
      <c r="S576" s="53">
        <f t="shared" si="1135"/>
        <v>12.5</v>
      </c>
      <c r="T576" s="53">
        <f t="shared" si="1135"/>
        <v>10.800000000000011</v>
      </c>
      <c r="U576" s="645">
        <f t="shared" si="1135"/>
        <v>9</v>
      </c>
      <c r="V576" s="53">
        <f t="shared" si="1135"/>
        <v>7.4000000000000057</v>
      </c>
      <c r="W576" s="53">
        <f t="shared" si="1135"/>
        <v>8.5</v>
      </c>
      <c r="X576" s="53">
        <f t="shared" si="1135"/>
        <v>9.8999999999999773</v>
      </c>
      <c r="Y576" s="645">
        <f t="shared" si="1135"/>
        <v>11.199999999999989</v>
      </c>
      <c r="Z576" s="53">
        <f t="shared" si="1135"/>
        <v>8.1999999999999886</v>
      </c>
      <c r="AA576" s="53">
        <f t="shared" si="1135"/>
        <v>8.6999999999999886</v>
      </c>
      <c r="AB576" s="53">
        <f t="shared" si="1135"/>
        <v>10.100000000000023</v>
      </c>
      <c r="AC576" s="645">
        <f t="shared" si="1135"/>
        <v>7.5</v>
      </c>
      <c r="AD576" s="53">
        <f t="shared" si="1135"/>
        <v>6</v>
      </c>
      <c r="AE576" s="53">
        <f t="shared" si="1135"/>
        <v>6</v>
      </c>
      <c r="AF576" s="53">
        <f t="shared" si="1135"/>
        <v>6</v>
      </c>
      <c r="AG576" s="53">
        <f t="shared" si="1135"/>
        <v>6</v>
      </c>
      <c r="AH576" s="644">
        <f t="shared" ref="AH576:AW576" si="1136">AH577-AH575</f>
        <v>5</v>
      </c>
      <c r="AI576" s="53">
        <f t="shared" si="1136"/>
        <v>6</v>
      </c>
      <c r="AJ576" s="53">
        <f t="shared" si="1136"/>
        <v>5</v>
      </c>
      <c r="AK576" s="53">
        <f t="shared" si="1136"/>
        <v>5</v>
      </c>
      <c r="AL576" s="644">
        <f t="shared" si="1136"/>
        <v>4</v>
      </c>
      <c r="AM576" s="53">
        <f t="shared" si="1136"/>
        <v>2</v>
      </c>
      <c r="AN576" s="53">
        <f t="shared" si="1136"/>
        <v>3</v>
      </c>
      <c r="AO576" s="645">
        <f t="shared" si="1136"/>
        <v>4</v>
      </c>
      <c r="AP576" s="53">
        <f t="shared" si="1136"/>
        <v>5</v>
      </c>
      <c r="AQ576" s="53">
        <f t="shared" si="1136"/>
        <v>5</v>
      </c>
      <c r="AR576" s="53">
        <f t="shared" si="1136"/>
        <v>5</v>
      </c>
      <c r="AS576" s="53">
        <f t="shared" si="1136"/>
        <v>5</v>
      </c>
      <c r="AT576" s="644">
        <f t="shared" si="1136"/>
        <v>4</v>
      </c>
      <c r="AU576" s="53">
        <f t="shared" si="1136"/>
        <v>5</v>
      </c>
      <c r="AV576" s="53">
        <f t="shared" si="1136"/>
        <v>4</v>
      </c>
      <c r="AW576" s="53">
        <f t="shared" si="1136"/>
        <v>4</v>
      </c>
      <c r="AX576" s="644">
        <f>AX577-AX575</f>
        <v>4</v>
      </c>
      <c r="AY576" s="29">
        <f t="shared" ref="AY576:BE576" si="1137">AY577-AY575</f>
        <v>3</v>
      </c>
      <c r="AZ576" s="29">
        <f t="shared" si="1137"/>
        <v>5</v>
      </c>
      <c r="BA576" s="58">
        <f t="shared" si="1137"/>
        <v>6</v>
      </c>
      <c r="BB576" s="29">
        <f t="shared" si="1137"/>
        <v>6</v>
      </c>
      <c r="BC576" s="29">
        <f t="shared" si="1137"/>
        <v>4</v>
      </c>
      <c r="BD576" s="29">
        <f t="shared" si="1137"/>
        <v>6</v>
      </c>
      <c r="BE576" s="58">
        <f t="shared" si="1137"/>
        <v>7</v>
      </c>
      <c r="BF576" s="29">
        <f t="shared" ref="BF576:BK576" si="1138">BF577-BF575</f>
        <v>6</v>
      </c>
      <c r="BG576" s="29">
        <f t="shared" si="1138"/>
        <v>7</v>
      </c>
      <c r="BH576" s="29">
        <f t="shared" si="1138"/>
        <v>7</v>
      </c>
      <c r="BI576" s="58">
        <f t="shared" si="1138"/>
        <v>7</v>
      </c>
      <c r="BJ576" s="29">
        <f t="shared" si="1138"/>
        <v>6</v>
      </c>
      <c r="BK576" s="29">
        <f t="shared" si="1138"/>
        <v>5</v>
      </c>
      <c r="BL576" s="29">
        <f t="shared" ref="BL576:BQ576" si="1139">BL577-BL575</f>
        <v>5</v>
      </c>
      <c r="BM576" s="58">
        <f t="shared" si="1139"/>
        <v>4</v>
      </c>
      <c r="BN576" s="29">
        <f t="shared" si="1139"/>
        <v>3</v>
      </c>
      <c r="BO576" s="29">
        <f t="shared" si="1139"/>
        <v>2</v>
      </c>
      <c r="BP576" s="29">
        <f t="shared" si="1139"/>
        <v>1</v>
      </c>
      <c r="BQ576" s="58">
        <f t="shared" si="1139"/>
        <v>2</v>
      </c>
      <c r="BR576" s="29">
        <f>BR577-BR575</f>
        <v>5</v>
      </c>
      <c r="BS576" s="29">
        <f>BS577-BS575</f>
        <v>8</v>
      </c>
      <c r="BT576" s="29">
        <f>BT577-BT575</f>
        <v>10</v>
      </c>
      <c r="BU576" s="58">
        <f>BU577-BU575</f>
        <v>9</v>
      </c>
      <c r="BV576" s="29">
        <f>BV577-BV575</f>
        <v>11</v>
      </c>
      <c r="BW576" s="29">
        <f t="shared" ref="BW576:CC576" si="1140">(BW612-BW614)</f>
        <v>10.321484434692945</v>
      </c>
      <c r="BX576" s="29">
        <f t="shared" si="1140"/>
        <v>8.1055797604297215</v>
      </c>
      <c r="BY576" s="58">
        <f t="shared" si="1140"/>
        <v>6.432021100701121</v>
      </c>
      <c r="BZ576" s="29">
        <f t="shared" si="1140"/>
        <v>7.6198991019665705</v>
      </c>
      <c r="CA576" s="29">
        <f t="shared" si="1140"/>
        <v>8.6870350314023241</v>
      </c>
      <c r="CB576" s="29">
        <f t="shared" si="1140"/>
        <v>10.033686276124929</v>
      </c>
      <c r="CC576" s="58">
        <f t="shared" si="1140"/>
        <v>10.250931202609436</v>
      </c>
      <c r="CD576" s="12"/>
      <c r="CE576" s="29"/>
      <c r="CF576" s="29"/>
      <c r="CG576" s="29"/>
      <c r="CH576" s="29"/>
      <c r="CI576" s="29"/>
      <c r="CJ576" s="53">
        <f>CJ577-CJ575</f>
        <v>9</v>
      </c>
      <c r="CK576" s="53">
        <f>CK577-CK575</f>
        <v>7</v>
      </c>
      <c r="CL576" s="53">
        <f>CL577-CL575</f>
        <v>5</v>
      </c>
      <c r="CM576" s="29">
        <f>AVERAGE(AL576:AO576)</f>
        <v>3.25</v>
      </c>
      <c r="CN576" s="29">
        <f>AVERAGE(AP576:AS576)</f>
        <v>5</v>
      </c>
      <c r="CO576" s="29">
        <f>AVERAGE(AT576:AW576)</f>
        <v>4.25</v>
      </c>
      <c r="CP576" s="29">
        <f>AVERAGE(AX576:BA576)</f>
        <v>4.5</v>
      </c>
      <c r="CQ576" s="29">
        <f>AVERAGE(BB576:BE576)</f>
        <v>5.75</v>
      </c>
      <c r="CR576" s="29">
        <f>AVERAGE(BF576:BI576)</f>
        <v>6.75</v>
      </c>
      <c r="CS576" s="29">
        <f>AVERAGE(BJ576:BM576)</f>
        <v>5</v>
      </c>
      <c r="CT576" s="29">
        <f>AVERAGE(BN576:BQ576)</f>
        <v>2</v>
      </c>
      <c r="CU576" s="29">
        <f>AVERAGE(BR576:BU576)</f>
        <v>8</v>
      </c>
      <c r="CV576" s="29">
        <f>AVERAGE(BV576:BY576)</f>
        <v>8.9647713239559472</v>
      </c>
      <c r="CW576" s="29">
        <f>AVERAGE(BZ576:CC576)</f>
        <v>9.1478879030258149</v>
      </c>
      <c r="CX576" s="29">
        <f t="shared" ref="CX576:DC576" si="1141">(CX612-CX614)</f>
        <v>11.53011234166577</v>
      </c>
      <c r="CY576" s="29">
        <f t="shared" si="1141"/>
        <v>13.609716522089176</v>
      </c>
      <c r="CZ576" s="29">
        <f t="shared" si="1141"/>
        <v>15.594974663209101</v>
      </c>
      <c r="DA576" s="29">
        <f t="shared" si="1141"/>
        <v>16.324746557915542</v>
      </c>
      <c r="DB576" s="29">
        <f t="shared" si="1141"/>
        <v>17.127993154959146</v>
      </c>
      <c r="DC576" s="29">
        <f t="shared" si="1141"/>
        <v>17.995135850528555</v>
      </c>
      <c r="DD576" s="1517"/>
      <c r="DE576" s="1483"/>
      <c r="DF576" s="24"/>
      <c r="DG576" s="24"/>
      <c r="DH576" s="24"/>
      <c r="DI576" s="24"/>
      <c r="DJ576" s="24"/>
      <c r="DK576" s="24"/>
      <c r="DL576" s="141"/>
      <c r="DM576" s="24"/>
      <c r="DN576" s="24"/>
      <c r="DO576" s="24"/>
      <c r="DP576" s="24"/>
      <c r="DQ576" s="24"/>
      <c r="DR576" s="24"/>
      <c r="DS576" s="24"/>
      <c r="DT576" s="24"/>
      <c r="DU576" s="24"/>
      <c r="DV576" s="24"/>
      <c r="DW576" s="24"/>
      <c r="DX576" s="24"/>
      <c r="DY576" s="24"/>
      <c r="DZ576" s="1561"/>
    </row>
    <row r="577" spans="1:136" hidden="1" outlineLevel="1">
      <c r="A577" s="4"/>
      <c r="B577" s="224"/>
      <c r="C577" s="187" t="s">
        <v>8</v>
      </c>
      <c r="D577" s="187"/>
      <c r="E577" s="195"/>
      <c r="F577" s="930">
        <f t="shared" ref="F577:AK577" si="1142">F124</f>
        <v>148.04400000000001</v>
      </c>
      <c r="G577" s="930">
        <f t="shared" si="1142"/>
        <v>171.17500000000001</v>
      </c>
      <c r="H577" s="930">
        <f t="shared" si="1142"/>
        <v>177.61799999999999</v>
      </c>
      <c r="I577" s="472">
        <f t="shared" si="1142"/>
        <v>178.02299999999997</v>
      </c>
      <c r="J577" s="931">
        <f t="shared" si="1142"/>
        <v>186.63499999999999</v>
      </c>
      <c r="K577" s="930">
        <f t="shared" si="1142"/>
        <v>191.624</v>
      </c>
      <c r="L577" s="930">
        <f t="shared" si="1142"/>
        <v>198.35499999999999</v>
      </c>
      <c r="M577" s="472">
        <f t="shared" si="1142"/>
        <v>197.714</v>
      </c>
      <c r="N577" s="930">
        <f t="shared" si="1142"/>
        <v>196.82300000000001</v>
      </c>
      <c r="O577" s="930">
        <f t="shared" si="1142"/>
        <v>204.12299999999999</v>
      </c>
      <c r="P577" s="930">
        <f t="shared" si="1142"/>
        <v>207.72399999999999</v>
      </c>
      <c r="Q577" s="472">
        <f t="shared" si="1142"/>
        <v>213.33</v>
      </c>
      <c r="R577" s="930">
        <f t="shared" si="1142"/>
        <v>215.9</v>
      </c>
      <c r="S577" s="930">
        <f t="shared" si="1142"/>
        <v>217.9</v>
      </c>
      <c r="T577" s="930">
        <f t="shared" si="1142"/>
        <v>217.5</v>
      </c>
      <c r="U577" s="472">
        <f t="shared" si="1142"/>
        <v>215.5</v>
      </c>
      <c r="V577" s="930">
        <f t="shared" si="1142"/>
        <v>212.6</v>
      </c>
      <c r="W577" s="930">
        <f t="shared" si="1142"/>
        <v>213.6</v>
      </c>
      <c r="X577" s="930">
        <f t="shared" si="1142"/>
        <v>218.7</v>
      </c>
      <c r="Y577" s="472">
        <f t="shared" si="1142"/>
        <v>222.6</v>
      </c>
      <c r="Z577" s="930">
        <f t="shared" si="1142"/>
        <v>221.1</v>
      </c>
      <c r="AA577" s="930">
        <f t="shared" si="1142"/>
        <v>221.5</v>
      </c>
      <c r="AB577" s="930">
        <f t="shared" si="1142"/>
        <v>226.8</v>
      </c>
      <c r="AC577" s="472">
        <f t="shared" si="1142"/>
        <v>225.1</v>
      </c>
      <c r="AD577" s="930">
        <f t="shared" si="1142"/>
        <v>225</v>
      </c>
      <c r="AE577" s="930">
        <f t="shared" si="1142"/>
        <v>226</v>
      </c>
      <c r="AF577" s="930">
        <f t="shared" si="1142"/>
        <v>226</v>
      </c>
      <c r="AG577" s="930">
        <f t="shared" si="1142"/>
        <v>225</v>
      </c>
      <c r="AH577" s="931">
        <f t="shared" si="1142"/>
        <v>224</v>
      </c>
      <c r="AI577" s="930">
        <f t="shared" si="1142"/>
        <v>226</v>
      </c>
      <c r="AJ577" s="930">
        <f t="shared" si="1142"/>
        <v>227</v>
      </c>
      <c r="AK577" s="930">
        <f t="shared" si="1142"/>
        <v>227</v>
      </c>
      <c r="AL577" s="931">
        <f t="shared" ref="AL577:BV577" si="1143">AL124</f>
        <v>226</v>
      </c>
      <c r="AM577" s="930">
        <f t="shared" si="1143"/>
        <v>224</v>
      </c>
      <c r="AN577" s="930">
        <f t="shared" si="1143"/>
        <v>226</v>
      </c>
      <c r="AO577" s="472">
        <f t="shared" si="1143"/>
        <v>227</v>
      </c>
      <c r="AP577" s="930">
        <f t="shared" si="1143"/>
        <v>230</v>
      </c>
      <c r="AQ577" s="930">
        <f t="shared" si="1143"/>
        <v>232</v>
      </c>
      <c r="AR577" s="930">
        <f t="shared" si="1143"/>
        <v>234</v>
      </c>
      <c r="AS577" s="930">
        <f t="shared" si="1143"/>
        <v>235</v>
      </c>
      <c r="AT577" s="931">
        <f t="shared" si="1143"/>
        <v>234</v>
      </c>
      <c r="AU577" s="930">
        <f t="shared" si="1143"/>
        <v>235</v>
      </c>
      <c r="AV577" s="930">
        <f t="shared" si="1143"/>
        <v>236</v>
      </c>
      <c r="AW577" s="930">
        <f t="shared" si="1143"/>
        <v>237</v>
      </c>
      <c r="AX577" s="931">
        <f t="shared" si="1143"/>
        <v>237</v>
      </c>
      <c r="AY577" s="930">
        <f t="shared" si="1143"/>
        <v>237</v>
      </c>
      <c r="AZ577" s="930">
        <f t="shared" si="1143"/>
        <v>246</v>
      </c>
      <c r="BA577" s="472">
        <f t="shared" si="1143"/>
        <v>260</v>
      </c>
      <c r="BB577" s="930">
        <f t="shared" si="1143"/>
        <v>252</v>
      </c>
      <c r="BC577" s="930">
        <f t="shared" si="1143"/>
        <v>246</v>
      </c>
      <c r="BD577" s="930">
        <f t="shared" si="1143"/>
        <v>245</v>
      </c>
      <c r="BE577" s="472">
        <f t="shared" si="1143"/>
        <v>243</v>
      </c>
      <c r="BF577" s="930">
        <f t="shared" si="1143"/>
        <v>242</v>
      </c>
      <c r="BG577" s="930">
        <f t="shared" si="1143"/>
        <v>243</v>
      </c>
      <c r="BH577" s="930">
        <f t="shared" si="1143"/>
        <v>242</v>
      </c>
      <c r="BI577" s="472">
        <f t="shared" si="1143"/>
        <v>241</v>
      </c>
      <c r="BJ577" s="930">
        <f t="shared" si="1143"/>
        <v>240</v>
      </c>
      <c r="BK577" s="930">
        <f t="shared" si="1143"/>
        <v>238</v>
      </c>
      <c r="BL577" s="930">
        <f t="shared" si="1143"/>
        <v>236</v>
      </c>
      <c r="BM577" s="472">
        <f t="shared" si="1143"/>
        <v>235</v>
      </c>
      <c r="BN577" s="930">
        <f t="shared" si="1143"/>
        <v>234</v>
      </c>
      <c r="BO577" s="930">
        <f t="shared" si="1143"/>
        <v>234</v>
      </c>
      <c r="BP577" s="930">
        <f t="shared" si="1143"/>
        <v>234</v>
      </c>
      <c r="BQ577" s="472">
        <f t="shared" si="1143"/>
        <v>263</v>
      </c>
      <c r="BR577" s="930">
        <f t="shared" si="1143"/>
        <v>290</v>
      </c>
      <c r="BS577" s="930">
        <f t="shared" si="1143"/>
        <v>294</v>
      </c>
      <c r="BT577" s="930">
        <f t="shared" si="1143"/>
        <v>299</v>
      </c>
      <c r="BU577" s="472">
        <f t="shared" si="1143"/>
        <v>301</v>
      </c>
      <c r="BV577" s="930">
        <f t="shared" si="1143"/>
        <v>306</v>
      </c>
      <c r="BW577" s="930">
        <f t="shared" ref="BW577:CC577" si="1144">SUM(BW575:BW576)</f>
        <v>308.18328443469295</v>
      </c>
      <c r="BX577" s="30">
        <f t="shared" si="1144"/>
        <v>308.27581326042974</v>
      </c>
      <c r="BY577" s="37">
        <f t="shared" si="1144"/>
        <v>307.51777143470122</v>
      </c>
      <c r="BZ577" s="30">
        <f t="shared" si="1144"/>
        <v>309.0645327699666</v>
      </c>
      <c r="CA577" s="30">
        <f t="shared" si="1144"/>
        <v>310.38166869940238</v>
      </c>
      <c r="CB577" s="30">
        <f t="shared" si="1144"/>
        <v>312.22831994412496</v>
      </c>
      <c r="CC577" s="37">
        <f t="shared" si="1144"/>
        <v>314.62046584521642</v>
      </c>
      <c r="CD577" s="109"/>
      <c r="CE577" s="30">
        <f>CE124</f>
        <v>168.715</v>
      </c>
      <c r="CF577" s="30">
        <f>CF124</f>
        <v>193.708</v>
      </c>
      <c r="CG577" s="30">
        <f>CG124</f>
        <v>205.5</v>
      </c>
      <c r="CH577" s="30">
        <f>CH124</f>
        <v>216.7</v>
      </c>
      <c r="CI577" s="30">
        <f>CI124</f>
        <v>217</v>
      </c>
      <c r="CJ577" s="895">
        <v>224</v>
      </c>
      <c r="CK577" s="895">
        <v>226</v>
      </c>
      <c r="CL577" s="895">
        <v>226</v>
      </c>
      <c r="CM577" s="30">
        <f t="shared" ref="CM577:CR577" si="1145">SUM(CM575:CM576)</f>
        <v>224.42167950000001</v>
      </c>
      <c r="CN577" s="30">
        <f t="shared" si="1145"/>
        <v>228.40764899999999</v>
      </c>
      <c r="CO577" s="30">
        <f t="shared" si="1145"/>
        <v>230.207649</v>
      </c>
      <c r="CP577" s="30">
        <f t="shared" si="1145"/>
        <v>240.4788245</v>
      </c>
      <c r="CQ577" s="30">
        <f t="shared" si="1145"/>
        <v>247.25</v>
      </c>
      <c r="CR577" s="30">
        <f t="shared" si="1145"/>
        <v>242.25</v>
      </c>
      <c r="CS577" s="30">
        <f t="shared" ref="CS577:DA577" si="1146">SUM(CS575:CS576)</f>
        <v>237</v>
      </c>
      <c r="CT577" s="30">
        <f t="shared" si="1146"/>
        <v>259</v>
      </c>
      <c r="CU577" s="30">
        <f t="shared" si="1146"/>
        <v>297</v>
      </c>
      <c r="CV577" s="30">
        <f t="shared" si="1146"/>
        <v>306.687088157956</v>
      </c>
      <c r="CW577" s="30">
        <f>SUM(CW575:CW576)</f>
        <v>313.01742254563283</v>
      </c>
      <c r="CX577" s="30">
        <f t="shared" si="1146"/>
        <v>320.93509199356475</v>
      </c>
      <c r="CY577" s="30">
        <f t="shared" si="1146"/>
        <v>329.5678300883323</v>
      </c>
      <c r="CZ577" s="30">
        <f t="shared" si="1146"/>
        <v>338.71343857683053</v>
      </c>
      <c r="DA577" s="30">
        <f t="shared" si="1146"/>
        <v>347.11126593303658</v>
      </c>
      <c r="DB577" s="30">
        <f>SUM(DB575:DB576)</f>
        <v>355.8033682565528</v>
      </c>
      <c r="DC577" s="30">
        <f>SUM(DC575:DC576)</f>
        <v>364.55388584433376</v>
      </c>
      <c r="DD577" s="1519"/>
      <c r="DE577" s="1502"/>
      <c r="DF577" s="31"/>
      <c r="DG577" s="31"/>
      <c r="DH577" s="31"/>
      <c r="DI577" s="31"/>
      <c r="DJ577" s="31"/>
      <c r="DK577" s="31"/>
      <c r="DL577" s="181"/>
      <c r="DM577" s="31"/>
      <c r="DN577" s="31"/>
      <c r="DO577" s="31"/>
      <c r="DP577" s="31"/>
      <c r="DQ577" s="31"/>
      <c r="DR577" s="31"/>
      <c r="DS577" s="31"/>
      <c r="DT577" s="31"/>
      <c r="DU577" s="31"/>
      <c r="DV577" s="31"/>
      <c r="DW577" s="31"/>
      <c r="DX577" s="31"/>
      <c r="DY577" s="31"/>
      <c r="DZ577" s="1565"/>
    </row>
    <row r="578" spans="1:136" s="1459" customFormat="1" hidden="1" outlineLevel="1">
      <c r="A578" s="436"/>
      <c r="B578" s="1201"/>
      <c r="C578" s="1200" t="s">
        <v>589</v>
      </c>
      <c r="D578" s="1200"/>
      <c r="E578" s="1202"/>
      <c r="F578" s="993">
        <f t="shared" ref="F578:BF578" si="1147">F577/F575</f>
        <v>1</v>
      </c>
      <c r="G578" s="993">
        <f t="shared" si="1147"/>
        <v>1</v>
      </c>
      <c r="H578" s="993">
        <f t="shared" si="1147"/>
        <v>1.0077617021276595</v>
      </c>
      <c r="I578" s="1354">
        <f t="shared" si="1147"/>
        <v>0.99237419937455063</v>
      </c>
      <c r="J578" s="985">
        <f t="shared" si="1147"/>
        <v>1</v>
      </c>
      <c r="K578" s="993">
        <f t="shared" si="1147"/>
        <v>1.0209546541922627</v>
      </c>
      <c r="L578" s="993">
        <f t="shared" si="1147"/>
        <v>1.0434739151248611</v>
      </c>
      <c r="M578" s="1354">
        <f t="shared" si="1147"/>
        <v>1.0320017955664127</v>
      </c>
      <c r="N578" s="993">
        <f t="shared" si="1147"/>
        <v>1.0226483913874802</v>
      </c>
      <c r="O578" s="993">
        <f t="shared" si="1147"/>
        <v>1.0536740224545103</v>
      </c>
      <c r="P578" s="993">
        <f t="shared" si="1147"/>
        <v>1.0584230961285654</v>
      </c>
      <c r="Q578" s="1354">
        <f t="shared" si="1147"/>
        <v>1.0669007216695925</v>
      </c>
      <c r="R578" s="993">
        <f t="shared" si="1147"/>
        <v>1.0578147966682998</v>
      </c>
      <c r="S578" s="993">
        <f t="shared" si="1147"/>
        <v>1.060856864654333</v>
      </c>
      <c r="T578" s="993">
        <f t="shared" si="1147"/>
        <v>1.0522496371552976</v>
      </c>
      <c r="U578" s="1354">
        <f t="shared" si="1147"/>
        <v>1.0435835351089588</v>
      </c>
      <c r="V578" s="993">
        <f t="shared" si="1147"/>
        <v>1.0360623781676415</v>
      </c>
      <c r="W578" s="993">
        <f t="shared" si="1147"/>
        <v>1.0414431984397854</v>
      </c>
      <c r="X578" s="993">
        <f t="shared" si="1147"/>
        <v>1.0474137931034482</v>
      </c>
      <c r="Y578" s="1354">
        <f t="shared" si="1147"/>
        <v>1.0529801324503312</v>
      </c>
      <c r="Z578" s="993">
        <f t="shared" si="1147"/>
        <v>1.0385157350868952</v>
      </c>
      <c r="AA578" s="993">
        <f t="shared" si="1147"/>
        <v>1.0408834586466165</v>
      </c>
      <c r="AB578" s="993">
        <f t="shared" si="1147"/>
        <v>1.0466082141209045</v>
      </c>
      <c r="AC578" s="1354">
        <f t="shared" si="1147"/>
        <v>1.0344669117647058</v>
      </c>
      <c r="AD578" s="993">
        <f t="shared" si="1147"/>
        <v>1.0273972602739727</v>
      </c>
      <c r="AE578" s="993">
        <f t="shared" si="1147"/>
        <v>1.0272727272727273</v>
      </c>
      <c r="AF578" s="993">
        <f t="shared" si="1147"/>
        <v>1.0272727272727273</v>
      </c>
      <c r="AG578" s="993">
        <f t="shared" si="1147"/>
        <v>1.0273972602739727</v>
      </c>
      <c r="AH578" s="985">
        <f t="shared" si="1147"/>
        <v>1.0228310502283104</v>
      </c>
      <c r="AI578" s="492">
        <f t="shared" si="1147"/>
        <v>1.0272727272727273</v>
      </c>
      <c r="AJ578" s="492">
        <f t="shared" si="1147"/>
        <v>1.0225225225225225</v>
      </c>
      <c r="AK578" s="492">
        <f t="shared" si="1147"/>
        <v>1.0225225225225225</v>
      </c>
      <c r="AL578" s="497">
        <f t="shared" si="1147"/>
        <v>1.0180180180180181</v>
      </c>
      <c r="AM578" s="492">
        <f t="shared" si="1147"/>
        <v>1.0090090090090089</v>
      </c>
      <c r="AN578" s="492">
        <f t="shared" si="1147"/>
        <v>1.0134529147982063</v>
      </c>
      <c r="AO578" s="493">
        <f t="shared" si="1147"/>
        <v>1.0179372197309418</v>
      </c>
      <c r="AP578" s="492">
        <f t="shared" si="1147"/>
        <v>1.0222222222222221</v>
      </c>
      <c r="AQ578" s="492">
        <f t="shared" si="1147"/>
        <v>1.0220264317180616</v>
      </c>
      <c r="AR578" s="492">
        <f t="shared" si="1147"/>
        <v>1.0218340611353711</v>
      </c>
      <c r="AS578" s="492">
        <f t="shared" si="1147"/>
        <v>1.0217391304347827</v>
      </c>
      <c r="AT578" s="497">
        <f t="shared" si="1147"/>
        <v>1.017391304347826</v>
      </c>
      <c r="AU578" s="492">
        <f t="shared" si="1147"/>
        <v>1.0217391304347827</v>
      </c>
      <c r="AV578" s="492">
        <f t="shared" si="1147"/>
        <v>1.0172413793103448</v>
      </c>
      <c r="AW578" s="492">
        <f t="shared" si="1147"/>
        <v>1.0171673819742488</v>
      </c>
      <c r="AX578" s="497">
        <f t="shared" si="1147"/>
        <v>1.0171673819742488</v>
      </c>
      <c r="AY578" s="492">
        <f t="shared" si="1147"/>
        <v>1.0128205128205128</v>
      </c>
      <c r="AZ578" s="492">
        <f t="shared" si="1147"/>
        <v>1.0207468879668049</v>
      </c>
      <c r="BA578" s="493">
        <f t="shared" si="1147"/>
        <v>1.0236220472440944</v>
      </c>
      <c r="BB578" s="492">
        <f t="shared" si="1147"/>
        <v>1.024390243902439</v>
      </c>
      <c r="BC578" s="492">
        <f t="shared" si="1147"/>
        <v>1.0165289256198347</v>
      </c>
      <c r="BD578" s="492">
        <f t="shared" si="1147"/>
        <v>1.0251046025104602</v>
      </c>
      <c r="BE578" s="493">
        <f t="shared" si="1147"/>
        <v>1.0296610169491525</v>
      </c>
      <c r="BF578" s="492">
        <f t="shared" si="1147"/>
        <v>1.0254237288135593</v>
      </c>
      <c r="BG578" s="492">
        <f t="shared" ref="BG578:BP578" si="1148">BG577/BG575</f>
        <v>1.0296610169491525</v>
      </c>
      <c r="BH578" s="492">
        <f t="shared" si="1148"/>
        <v>1.0297872340425531</v>
      </c>
      <c r="BI578" s="493">
        <f t="shared" si="1148"/>
        <v>1.0299145299145298</v>
      </c>
      <c r="BJ578" s="492">
        <f t="shared" si="1148"/>
        <v>1.0256410256410255</v>
      </c>
      <c r="BK578" s="492">
        <f t="shared" si="1148"/>
        <v>1.0214592274678111</v>
      </c>
      <c r="BL578" s="492">
        <f t="shared" si="1148"/>
        <v>1.0216450216450217</v>
      </c>
      <c r="BM578" s="493">
        <f t="shared" si="1148"/>
        <v>1.0173160173160174</v>
      </c>
      <c r="BN578" s="492">
        <f t="shared" si="1148"/>
        <v>1.0129870129870129</v>
      </c>
      <c r="BO578" s="492">
        <f t="shared" si="1148"/>
        <v>1.0086206896551724</v>
      </c>
      <c r="BP578" s="492">
        <f t="shared" si="1148"/>
        <v>1.0042918454935623</v>
      </c>
      <c r="BQ578" s="493">
        <f t="shared" ref="BQ578:BY578" si="1149">BQ577/BQ575</f>
        <v>1.0076628352490422</v>
      </c>
      <c r="BR578" s="492">
        <f t="shared" si="1149"/>
        <v>1.0175438596491229</v>
      </c>
      <c r="BS578" s="492">
        <f t="shared" si="1149"/>
        <v>1.0279720279720279</v>
      </c>
      <c r="BT578" s="492">
        <f t="shared" si="1149"/>
        <v>1.0346020761245676</v>
      </c>
      <c r="BU578" s="493">
        <f>BU577/BU575</f>
        <v>1.0308219178082192</v>
      </c>
      <c r="BV578" s="492">
        <f>BV577/BV575</f>
        <v>1.0372881355932204</v>
      </c>
      <c r="BW578" s="492">
        <f t="shared" si="1149"/>
        <v>1.0346519239281202</v>
      </c>
      <c r="BX578" s="492">
        <f t="shared" si="1149"/>
        <v>1.0270032763272969</v>
      </c>
      <c r="BY578" s="493">
        <f t="shared" si="1149"/>
        <v>1.0213627549412949</v>
      </c>
      <c r="BZ578" s="492">
        <f>BZ577/BZ575</f>
        <v>1.0252779391334557</v>
      </c>
      <c r="CA578" s="492">
        <f>CA577/CA575</f>
        <v>1.0287941317543021</v>
      </c>
      <c r="CB578" s="492">
        <f>CB577/CB575</f>
        <v>1.0332027281700449</v>
      </c>
      <c r="CC578" s="493">
        <f>CC577/CC575</f>
        <v>1.0336792288185024</v>
      </c>
      <c r="CD578" s="437"/>
      <c r="CE578" s="492">
        <f t="shared" ref="CE578:CP578" si="1150">CE577/CE575</f>
        <v>1</v>
      </c>
      <c r="CF578" s="492">
        <f t="shared" si="1150"/>
        <v>1.0249751306961288</v>
      </c>
      <c r="CG578" s="492">
        <f t="shared" si="1150"/>
        <v>1.0506134969325154</v>
      </c>
      <c r="CH578" s="492">
        <f t="shared" si="1150"/>
        <v>1.053475935828877</v>
      </c>
      <c r="CI578" s="492">
        <f t="shared" si="1150"/>
        <v>1.0432692307692308</v>
      </c>
      <c r="CJ578" s="492">
        <f t="shared" si="1150"/>
        <v>1.0418604651162791</v>
      </c>
      <c r="CK578" s="492">
        <f t="shared" si="1150"/>
        <v>1.0319634703196348</v>
      </c>
      <c r="CL578" s="492">
        <f t="shared" si="1150"/>
        <v>1.0226244343891402</v>
      </c>
      <c r="CM578" s="492">
        <f t="shared" si="1150"/>
        <v>1.0146944672452967</v>
      </c>
      <c r="CN578" s="492">
        <f t="shared" si="1150"/>
        <v>1.0223806124023982</v>
      </c>
      <c r="CO578" s="492">
        <f t="shared" si="1150"/>
        <v>1.0188088343935637</v>
      </c>
      <c r="CP578" s="492">
        <f t="shared" si="1150"/>
        <v>1.019069507654065</v>
      </c>
      <c r="CQ578" s="492">
        <f t="shared" ref="CQ578:CV578" si="1151">CQ577/CQ575</f>
        <v>1.0238095238095237</v>
      </c>
      <c r="CR578" s="492">
        <f t="shared" si="1151"/>
        <v>1.0286624203821657</v>
      </c>
      <c r="CS578" s="492">
        <f t="shared" si="1151"/>
        <v>1.021551724137931</v>
      </c>
      <c r="CT578" s="492">
        <f t="shared" si="1151"/>
        <v>1.0077821011673151</v>
      </c>
      <c r="CU578" s="492">
        <f t="shared" si="1151"/>
        <v>1.027681660899654</v>
      </c>
      <c r="CV578" s="492">
        <f t="shared" si="1151"/>
        <v>1.0301111835326555</v>
      </c>
      <c r="CW578" s="492">
        <f t="shared" ref="CW578:DC578" si="1152">CW577/CW575</f>
        <v>1.030104656308455</v>
      </c>
      <c r="CX578" s="492">
        <f t="shared" si="1152"/>
        <v>1.0372654388259617</v>
      </c>
      <c r="CY578" s="492">
        <f t="shared" si="1152"/>
        <v>1.0430744327736208</v>
      </c>
      <c r="CZ578" s="492">
        <f t="shared" si="1152"/>
        <v>1.0482639539515082</v>
      </c>
      <c r="DA578" s="492">
        <f t="shared" si="1152"/>
        <v>1.0493513054545092</v>
      </c>
      <c r="DB578" s="492">
        <f t="shared" si="1152"/>
        <v>1.050573482497277</v>
      </c>
      <c r="DC578" s="492">
        <f t="shared" si="1152"/>
        <v>1.051925209941605</v>
      </c>
      <c r="DD578" s="1511"/>
      <c r="DE578" s="1554"/>
      <c r="DF578" s="492"/>
      <c r="DG578" s="492"/>
      <c r="DH578" s="492"/>
      <c r="DI578" s="492"/>
      <c r="DJ578" s="492"/>
      <c r="DK578" s="492"/>
      <c r="DL578" s="1180"/>
      <c r="DM578" s="492"/>
      <c r="DN578" s="492"/>
      <c r="DO578" s="492"/>
      <c r="DP578" s="492"/>
      <c r="DQ578" s="492"/>
      <c r="DR578" s="492"/>
      <c r="DS578" s="492"/>
      <c r="DT578" s="492"/>
      <c r="DU578" s="492"/>
      <c r="DV578" s="492"/>
      <c r="DW578" s="492"/>
      <c r="DX578" s="492"/>
      <c r="DY578" s="492"/>
      <c r="DZ578" s="1685"/>
      <c r="EA578"/>
      <c r="EB578"/>
      <c r="EC578"/>
      <c r="ED578"/>
      <c r="EE578"/>
      <c r="EF578"/>
    </row>
    <row r="579" spans="1:136" hidden="1" outlineLevel="1">
      <c r="A579" s="145"/>
      <c r="B579" s="227"/>
      <c r="C579" s="145"/>
      <c r="D579" s="145"/>
      <c r="E579" s="228"/>
      <c r="F579" s="145"/>
      <c r="G579" s="145"/>
      <c r="H579" s="145"/>
      <c r="I579" s="228"/>
      <c r="J579" s="145"/>
      <c r="K579" s="145"/>
      <c r="L579" s="145"/>
      <c r="M579" s="228"/>
      <c r="N579" s="145"/>
      <c r="O579" s="145"/>
      <c r="P579" s="145"/>
      <c r="Q579" s="228"/>
      <c r="R579" s="145"/>
      <c r="S579" s="145"/>
      <c r="T579" s="547"/>
      <c r="U579" s="626"/>
      <c r="V579" s="547"/>
      <c r="W579" s="547"/>
      <c r="X579" s="547"/>
      <c r="Y579" s="626"/>
      <c r="Z579" s="547"/>
      <c r="AA579" s="547"/>
      <c r="AB579" s="547"/>
      <c r="AC579" s="626"/>
      <c r="AD579" s="547"/>
      <c r="AE579" s="547"/>
      <c r="AF579" s="547"/>
      <c r="AG579" s="547"/>
      <c r="AH579" s="693"/>
      <c r="AI579" s="145"/>
      <c r="AJ579" s="145"/>
      <c r="AK579" s="228"/>
      <c r="AL579" s="145"/>
      <c r="AM579" s="145"/>
      <c r="AN579" s="145"/>
      <c r="AO579" s="228"/>
      <c r="AP579" s="145"/>
      <c r="AQ579" s="145"/>
      <c r="AR579" s="145"/>
      <c r="AS579" s="145"/>
      <c r="AT579" s="227"/>
      <c r="AU579" s="145"/>
      <c r="AV579" s="145"/>
      <c r="AW579" s="228"/>
      <c r="AX579" s="227"/>
      <c r="AY579" s="145"/>
      <c r="AZ579" s="145"/>
      <c r="BA579" s="228"/>
      <c r="BB579" s="227"/>
      <c r="BC579" s="145"/>
      <c r="BD579" s="145"/>
      <c r="BE579" s="228"/>
      <c r="BF579" s="207"/>
      <c r="BG579" s="201"/>
      <c r="BH579" s="201"/>
      <c r="BI579" s="202"/>
      <c r="BJ579" s="201"/>
      <c r="BK579" s="201"/>
      <c r="BL579" s="201"/>
      <c r="BM579" s="202"/>
      <c r="BN579" s="201"/>
      <c r="BO579" s="201"/>
      <c r="BP579" s="201"/>
      <c r="BQ579" s="202"/>
      <c r="BR579" s="1660"/>
      <c r="BS579" s="1660"/>
      <c r="BT579" s="1660"/>
      <c r="BU579" s="1661"/>
      <c r="BV579" s="1660"/>
      <c r="BW579" s="1660"/>
      <c r="BX579" s="1660"/>
      <c r="BY579" s="1661"/>
      <c r="BZ579" s="1660"/>
      <c r="CA579" s="1660"/>
      <c r="CB579" s="1660"/>
      <c r="CC579" s="1661"/>
      <c r="CD579" s="1659"/>
      <c r="CE579" s="1658">
        <v>168.715</v>
      </c>
      <c r="CF579" s="1658">
        <v>193.708</v>
      </c>
      <c r="CG579" s="1658">
        <v>205.5</v>
      </c>
      <c r="CH579" s="1658">
        <v>216.7</v>
      </c>
      <c r="CI579" s="1658">
        <v>217</v>
      </c>
      <c r="CJ579" s="1658">
        <v>224</v>
      </c>
      <c r="CK579" s="1658">
        <v>226</v>
      </c>
      <c r="CL579" s="1658">
        <v>226</v>
      </c>
      <c r="CM579" s="1658">
        <v>224.42167950000001</v>
      </c>
      <c r="CN579" s="1658">
        <v>228.40764899999999</v>
      </c>
      <c r="CO579" s="1658">
        <v>230.207649</v>
      </c>
      <c r="CP579" s="1658">
        <v>240.4788245</v>
      </c>
      <c r="CQ579" s="1658"/>
      <c r="CR579" s="1658"/>
      <c r="CS579" s="1658"/>
      <c r="CT579" s="550"/>
      <c r="CU579" s="550"/>
      <c r="CV579" s="550"/>
      <c r="CW579" s="550"/>
      <c r="CX579" s="550"/>
      <c r="CY579" s="550"/>
      <c r="CZ579" s="550"/>
      <c r="DA579" s="550"/>
      <c r="DB579" s="550"/>
      <c r="DC579" s="550"/>
      <c r="DD579" s="1505"/>
      <c r="DE579" s="1551"/>
      <c r="DF579" s="141"/>
      <c r="DG579" s="141"/>
      <c r="DH579" s="141"/>
      <c r="DI579" s="141"/>
      <c r="DJ579" s="141"/>
      <c r="DK579" s="141"/>
      <c r="DL579" s="141"/>
      <c r="DM579" s="141"/>
      <c r="DN579" s="141"/>
      <c r="DO579" s="141"/>
      <c r="DP579" s="141"/>
      <c r="DQ579" s="141"/>
      <c r="DR579" s="141"/>
      <c r="DS579" s="141"/>
      <c r="DT579" s="141"/>
      <c r="DU579" s="141"/>
      <c r="DV579" s="141"/>
      <c r="DW579" s="141"/>
      <c r="DX579" s="141"/>
      <c r="DY579" s="141"/>
      <c r="DZ579" s="1676"/>
    </row>
    <row r="580" spans="1:136" hidden="1" outlineLevel="1">
      <c r="A580" s="3"/>
      <c r="B580" s="237" t="s">
        <v>653</v>
      </c>
      <c r="C580" s="226"/>
      <c r="D580" s="226"/>
      <c r="E580" s="382"/>
      <c r="F580" s="226"/>
      <c r="G580" s="226"/>
      <c r="H580" s="226"/>
      <c r="I580" s="382"/>
      <c r="J580" s="226"/>
      <c r="K580" s="226"/>
      <c r="L580" s="226"/>
      <c r="M580" s="382"/>
      <c r="N580" s="226"/>
      <c r="O580" s="226"/>
      <c r="P580" s="226"/>
      <c r="Q580" s="382"/>
      <c r="R580" s="226"/>
      <c r="S580" s="226"/>
      <c r="T580" s="688"/>
      <c r="U580" s="689"/>
      <c r="V580" s="690"/>
      <c r="W580" s="690"/>
      <c r="X580" s="690"/>
      <c r="Y580" s="689"/>
      <c r="Z580" s="690"/>
      <c r="AA580" s="690"/>
      <c r="AB580" s="240"/>
      <c r="AC580" s="689"/>
      <c r="AD580" s="240"/>
      <c r="AE580" s="240"/>
      <c r="AF580" s="240"/>
      <c r="AG580" s="240"/>
      <c r="AH580" s="241"/>
      <c r="AI580" s="240"/>
      <c r="AJ580" s="240"/>
      <c r="AK580" s="307"/>
      <c r="AL580" s="240"/>
      <c r="AM580" s="240"/>
      <c r="AN580" s="240"/>
      <c r="AO580" s="307"/>
      <c r="AP580" s="240"/>
      <c r="AQ580" s="240"/>
      <c r="AR580" s="240"/>
      <c r="AS580" s="240"/>
      <c r="AT580" s="241"/>
      <c r="AU580" s="240"/>
      <c r="AV580" s="240"/>
      <c r="AW580" s="307"/>
      <c r="AX580" s="241"/>
      <c r="AY580" s="240"/>
      <c r="AZ580" s="240"/>
      <c r="BA580" s="307"/>
      <c r="BB580" s="241"/>
      <c r="BC580" s="240"/>
      <c r="BD580" s="240"/>
      <c r="BE580" s="307"/>
      <c r="BF580" s="241"/>
      <c r="BG580" s="240"/>
      <c r="BH580" s="240"/>
      <c r="BI580" s="307"/>
      <c r="BJ580" s="240"/>
      <c r="BK580" s="240"/>
      <c r="BL580" s="240"/>
      <c r="BM580" s="307"/>
      <c r="BN580" s="240"/>
      <c r="BO580" s="240"/>
      <c r="BP580" s="240"/>
      <c r="BQ580" s="307"/>
      <c r="BR580" s="240"/>
      <c r="BS580" s="240"/>
      <c r="BT580" s="240"/>
      <c r="BU580" s="307"/>
      <c r="BV580" s="240"/>
      <c r="BW580" s="240"/>
      <c r="BX580" s="240"/>
      <c r="BY580" s="307"/>
      <c r="BZ580" s="240"/>
      <c r="CA580" s="240"/>
      <c r="CB580" s="240"/>
      <c r="CC580" s="307"/>
      <c r="CD580" s="9"/>
      <c r="CE580" s="162"/>
      <c r="CF580" s="162"/>
      <c r="CG580" s="162"/>
      <c r="CH580" s="162"/>
      <c r="CI580" s="162"/>
      <c r="CJ580" s="162"/>
      <c r="CK580" s="165"/>
      <c r="CL580" s="165"/>
      <c r="CM580" s="165"/>
      <c r="CN580" s="165"/>
      <c r="CO580" s="165"/>
      <c r="CP580" s="165"/>
      <c r="CQ580" s="165"/>
      <c r="CR580" s="165"/>
      <c r="CS580" s="240"/>
      <c r="CT580" s="240"/>
      <c r="CU580" s="240"/>
      <c r="CV580" s="240"/>
      <c r="CW580" s="240"/>
      <c r="CX580" s="240"/>
      <c r="CY580" s="240"/>
      <c r="CZ580" s="240"/>
      <c r="DA580" s="240"/>
      <c r="DB580" s="240"/>
      <c r="DC580" s="240"/>
      <c r="DD580" s="1517"/>
      <c r="DE580" s="1483"/>
      <c r="DF580" s="24"/>
      <c r="DG580" s="24"/>
      <c r="DH580" s="24"/>
      <c r="DI580" s="24"/>
      <c r="DJ580" s="24"/>
      <c r="DK580" s="24"/>
      <c r="DL580" s="141"/>
      <c r="DM580" s="24"/>
      <c r="DN580" s="24"/>
      <c r="DO580" s="24"/>
      <c r="DP580" s="24"/>
      <c r="DQ580" s="24"/>
      <c r="DR580" s="24"/>
      <c r="DS580" s="24"/>
      <c r="DT580" s="24"/>
      <c r="DU580" s="24"/>
      <c r="DV580" s="24"/>
      <c r="DW580" s="24"/>
      <c r="DX580" s="24"/>
      <c r="DY580" s="24"/>
      <c r="DZ580" s="1561"/>
    </row>
    <row r="581" spans="1:136" ht="12.75" hidden="1" outlineLevel="1">
      <c r="A581" s="303"/>
      <c r="B581" s="750"/>
      <c r="C581" s="751" t="s">
        <v>583</v>
      </c>
      <c r="D581" s="751"/>
      <c r="E581" s="752"/>
      <c r="F581" s="883"/>
      <c r="G581" s="638"/>
      <c r="H581" s="638"/>
      <c r="I581" s="639"/>
      <c r="J581" s="638"/>
      <c r="K581" s="638"/>
      <c r="L581" s="638"/>
      <c r="M581" s="639"/>
      <c r="N581" s="638"/>
      <c r="O581" s="638"/>
      <c r="P581" s="638"/>
      <c r="Q581" s="639"/>
      <c r="R581" s="638"/>
      <c r="S581" s="638"/>
      <c r="T581" s="638"/>
      <c r="U581" s="639">
        <f t="shared" ref="U581:AH581" si="1153">T584</f>
        <v>0</v>
      </c>
      <c r="V581" s="638">
        <f t="shared" si="1153"/>
        <v>84</v>
      </c>
      <c r="W581" s="638">
        <f t="shared" si="1153"/>
        <v>69</v>
      </c>
      <c r="X581" s="638">
        <f t="shared" si="1153"/>
        <v>60.7</v>
      </c>
      <c r="Y581" s="639">
        <f t="shared" si="1153"/>
        <v>60.7</v>
      </c>
      <c r="Z581" s="638">
        <f t="shared" si="1153"/>
        <v>39</v>
      </c>
      <c r="AA581" s="638">
        <f t="shared" si="1153"/>
        <v>24.8</v>
      </c>
      <c r="AB581" s="638">
        <f t="shared" si="1153"/>
        <v>162.69999999999999</v>
      </c>
      <c r="AC581" s="639">
        <f t="shared" si="1153"/>
        <v>145.19999999999999</v>
      </c>
      <c r="AD581" s="610">
        <f t="shared" si="1153"/>
        <v>135.922313</v>
      </c>
      <c r="AE581" s="610">
        <f t="shared" si="1153"/>
        <v>135.922313</v>
      </c>
      <c r="AF581" s="610">
        <f t="shared" si="1153"/>
        <v>135.922313</v>
      </c>
      <c r="AG581" s="610">
        <f t="shared" si="1153"/>
        <v>106.922313</v>
      </c>
      <c r="AH581" s="656">
        <f t="shared" si="1153"/>
        <v>62.922313000000003</v>
      </c>
      <c r="AI581" s="374">
        <f t="shared" ref="AI581:AS581" si="1154">AH584</f>
        <v>46.922313000000003</v>
      </c>
      <c r="AJ581" s="374">
        <f t="shared" si="1154"/>
        <v>46.922313000000003</v>
      </c>
      <c r="AK581" s="374">
        <f t="shared" si="1154"/>
        <v>502.92231300000003</v>
      </c>
      <c r="AL581" s="498">
        <f t="shared" si="1154"/>
        <v>502.92231300000003</v>
      </c>
      <c r="AM581" s="374">
        <f t="shared" si="1154"/>
        <v>466.48231300000003</v>
      </c>
      <c r="AN581" s="374">
        <f t="shared" si="1154"/>
        <v>466.48231300000003</v>
      </c>
      <c r="AO581" s="496">
        <f t="shared" si="1154"/>
        <v>466.48231300000003</v>
      </c>
      <c r="AP581" s="374">
        <f t="shared" si="1154"/>
        <v>466.48231300000003</v>
      </c>
      <c r="AQ581" s="374">
        <f t="shared" si="1154"/>
        <v>466.48231300000003</v>
      </c>
      <c r="AR581" s="374">
        <f t="shared" si="1154"/>
        <v>466.48231300000003</v>
      </c>
      <c r="AS581" s="374">
        <f t="shared" si="1154"/>
        <v>466.48231300000003</v>
      </c>
      <c r="AT581" s="498">
        <f t="shared" ref="AT581:BA581" si="1155">AS584</f>
        <v>466.48231300000003</v>
      </c>
      <c r="AU581" s="374">
        <f t="shared" si="1155"/>
        <v>416.48231300000003</v>
      </c>
      <c r="AV581" s="374">
        <f t="shared" si="1155"/>
        <v>416.48231300000003</v>
      </c>
      <c r="AW581" s="496">
        <f t="shared" si="1155"/>
        <v>416.48231300000003</v>
      </c>
      <c r="AX581" s="498">
        <f t="shared" si="1155"/>
        <v>416.48231300000003</v>
      </c>
      <c r="AY581" s="374">
        <f t="shared" si="1155"/>
        <v>416.48231300000003</v>
      </c>
      <c r="AZ581" s="374">
        <f t="shared" si="1155"/>
        <v>416.48231300000003</v>
      </c>
      <c r="BA581" s="496">
        <f t="shared" si="1155"/>
        <v>416.48231300000003</v>
      </c>
      <c r="BB581" s="498">
        <f t="shared" ref="BB581:BQ581" si="1156">BA584</f>
        <v>1312.482313</v>
      </c>
      <c r="BC581" s="374">
        <f t="shared" si="1156"/>
        <v>2594.482313</v>
      </c>
      <c r="BD581" s="374">
        <f t="shared" si="1156"/>
        <v>2448.482313</v>
      </c>
      <c r="BE581" s="496">
        <f>BD584</f>
        <v>2205.482313</v>
      </c>
      <c r="BF581" s="374">
        <f>BE584</f>
        <v>1970.482313</v>
      </c>
      <c r="BG581" s="374">
        <f t="shared" si="1156"/>
        <v>1820.482313</v>
      </c>
      <c r="BH581" s="374">
        <f t="shared" si="1156"/>
        <v>1670.482313</v>
      </c>
      <c r="BI581" s="496">
        <f t="shared" si="1156"/>
        <v>1426.482313</v>
      </c>
      <c r="BJ581" s="374">
        <f t="shared" si="1156"/>
        <v>1154.482313</v>
      </c>
      <c r="BK581" s="374">
        <f t="shared" si="1156"/>
        <v>931.48231299999998</v>
      </c>
      <c r="BL581" s="374">
        <f t="shared" si="1156"/>
        <v>622.48231299999998</v>
      </c>
      <c r="BM581" s="496">
        <f t="shared" si="1156"/>
        <v>2382.482313</v>
      </c>
      <c r="BN581" s="374">
        <f t="shared" si="1156"/>
        <v>2184.482313</v>
      </c>
      <c r="BO581" s="374">
        <f t="shared" si="1156"/>
        <v>2124.482313</v>
      </c>
      <c r="BP581" s="374">
        <f t="shared" si="1156"/>
        <v>2124.482313</v>
      </c>
      <c r="BQ581" s="496">
        <f t="shared" si="1156"/>
        <v>2124.482313</v>
      </c>
      <c r="BR581" s="374">
        <f t="shared" ref="BR581:BY581" si="1157">BQ584</f>
        <v>2124.482313</v>
      </c>
      <c r="BS581" s="374">
        <f t="shared" si="1157"/>
        <v>2124.482313</v>
      </c>
      <c r="BT581" s="374">
        <f t="shared" si="1157"/>
        <v>2124.482313</v>
      </c>
      <c r="BU581" s="496">
        <f t="shared" si="1157"/>
        <v>2124.482313</v>
      </c>
      <c r="BV581" s="374">
        <f t="shared" si="1157"/>
        <v>2124.482313</v>
      </c>
      <c r="BW581" s="374">
        <f t="shared" si="1157"/>
        <v>2124.482313</v>
      </c>
      <c r="BX581" s="374">
        <f t="shared" si="1157"/>
        <v>2124.482313</v>
      </c>
      <c r="BY581" s="496">
        <f t="shared" si="1157"/>
        <v>2124.482313</v>
      </c>
      <c r="BZ581" s="374">
        <f>BY584</f>
        <v>2124.482313</v>
      </c>
      <c r="CA581" s="374">
        <f>BZ584</f>
        <v>2124.482313</v>
      </c>
      <c r="CB581" s="374">
        <f>CA584</f>
        <v>2124.482313</v>
      </c>
      <c r="CC581" s="496">
        <f>CB584</f>
        <v>2124.482313</v>
      </c>
      <c r="CD581" s="306"/>
      <c r="CE581" s="374">
        <v>0</v>
      </c>
      <c r="CF581" s="374">
        <f t="shared" ref="CF581:CM581" si="1158">CE584</f>
        <v>0</v>
      </c>
      <c r="CG581" s="374">
        <f t="shared" si="1158"/>
        <v>0</v>
      </c>
      <c r="CH581" s="374">
        <f t="shared" si="1158"/>
        <v>0</v>
      </c>
      <c r="CI581" s="374">
        <f t="shared" si="1158"/>
        <v>84</v>
      </c>
      <c r="CJ581" s="374">
        <f t="shared" si="1158"/>
        <v>39</v>
      </c>
      <c r="CK581" s="374">
        <f t="shared" si="1158"/>
        <v>135.5</v>
      </c>
      <c r="CL581" s="374">
        <f t="shared" si="1158"/>
        <v>62.5</v>
      </c>
      <c r="CM581" s="374">
        <f t="shared" si="1158"/>
        <v>502.5</v>
      </c>
      <c r="CN581" s="374">
        <f t="shared" ref="CN581:CW581" si="1159">CM584</f>
        <v>466.06</v>
      </c>
      <c r="CO581" s="374">
        <f t="shared" si="1159"/>
        <v>466.06</v>
      </c>
      <c r="CP581" s="374">
        <f t="shared" si="1159"/>
        <v>416.06</v>
      </c>
      <c r="CQ581" s="374">
        <f t="shared" si="1159"/>
        <v>1312.06</v>
      </c>
      <c r="CR581" s="374">
        <f t="shared" si="1159"/>
        <v>1970.06</v>
      </c>
      <c r="CS581" s="374">
        <f t="shared" si="1159"/>
        <v>1154.06</v>
      </c>
      <c r="CT581" s="374">
        <f t="shared" si="1159"/>
        <v>2184.06</v>
      </c>
      <c r="CU581" s="374">
        <f t="shared" si="1159"/>
        <v>2124.06</v>
      </c>
      <c r="CV581" s="374">
        <f t="shared" si="1159"/>
        <v>2124.06</v>
      </c>
      <c r="CW581" s="374">
        <f t="shared" si="1159"/>
        <v>2124.06</v>
      </c>
      <c r="CX581" s="374">
        <f t="shared" ref="CX581:DC581" si="1160">CW584</f>
        <v>2124.06</v>
      </c>
      <c r="CY581" s="374">
        <f t="shared" si="1160"/>
        <v>2124.06</v>
      </c>
      <c r="CZ581" s="374">
        <f t="shared" si="1160"/>
        <v>2124.06</v>
      </c>
      <c r="DA581" s="374">
        <f t="shared" si="1160"/>
        <v>2124.06</v>
      </c>
      <c r="DB581" s="374">
        <f t="shared" si="1160"/>
        <v>2124.06</v>
      </c>
      <c r="DC581" s="374">
        <f t="shared" si="1160"/>
        <v>2124.06</v>
      </c>
      <c r="DD581" s="1530"/>
      <c r="DE581" s="1566"/>
      <c r="DF581" s="1481"/>
      <c r="DG581" s="301"/>
      <c r="DH581" s="301"/>
      <c r="DI581" s="301"/>
      <c r="DJ581" s="301"/>
      <c r="DK581" s="301"/>
      <c r="DL581" s="301"/>
      <c r="DM581" s="301"/>
      <c r="DN581" s="301"/>
      <c r="DO581" s="301"/>
      <c r="DP581" s="301"/>
      <c r="DQ581" s="301"/>
      <c r="DR581" s="301"/>
      <c r="DS581" s="301"/>
      <c r="DT581" s="301"/>
      <c r="DU581" s="301"/>
      <c r="DV581" s="301"/>
      <c r="DW581" s="301"/>
      <c r="DX581" s="301"/>
      <c r="DY581" s="301"/>
      <c r="DZ581" s="1686"/>
    </row>
    <row r="582" spans="1:136" ht="12.75" hidden="1" outlineLevel="1">
      <c r="A582" s="304"/>
      <c r="B582" s="750"/>
      <c r="C582" s="751" t="s">
        <v>584</v>
      </c>
      <c r="D582" s="751"/>
      <c r="E582" s="752"/>
      <c r="F582" s="487"/>
      <c r="G582" s="487"/>
      <c r="H582" s="487"/>
      <c r="I582" s="488"/>
      <c r="J582" s="487"/>
      <c r="K582" s="487"/>
      <c r="L582" s="487"/>
      <c r="M582" s="488"/>
      <c r="N582" s="487"/>
      <c r="O582" s="487"/>
      <c r="P582" s="487"/>
      <c r="Q582" s="488"/>
      <c r="R582" s="487"/>
      <c r="S582" s="487"/>
      <c r="T582" s="487"/>
      <c r="U582" s="488">
        <f>-CF!U45</f>
        <v>16</v>
      </c>
      <c r="V582" s="487">
        <f>-CF!V45</f>
        <v>15</v>
      </c>
      <c r="W582" s="487">
        <f>-CF!W45</f>
        <v>8.3000000000000007</v>
      </c>
      <c r="X582" s="487">
        <f>-CF!X45</f>
        <v>0</v>
      </c>
      <c r="Y582" s="488">
        <f>-CF!Y45</f>
        <v>21.7</v>
      </c>
      <c r="Z582" s="487">
        <f>-CF!Z45</f>
        <v>14.2</v>
      </c>
      <c r="AA582" s="487">
        <f>-CF!AA45</f>
        <v>12.100000000000001</v>
      </c>
      <c r="AB582" s="487">
        <f>-CF!AB45</f>
        <v>17.499999999999996</v>
      </c>
      <c r="AC582" s="488">
        <f>-CF!AC45</f>
        <v>9.7000000000000028</v>
      </c>
      <c r="AD582" s="487">
        <f>-CF!AD45</f>
        <v>0</v>
      </c>
      <c r="AE582" s="487">
        <f>-CF!AE45</f>
        <v>0</v>
      </c>
      <c r="AF582" s="487">
        <f>-CF!AF45</f>
        <v>29</v>
      </c>
      <c r="AG582" s="487">
        <f>-CF!AG45</f>
        <v>44</v>
      </c>
      <c r="AH582" s="491">
        <f>-CF!AH45</f>
        <v>16</v>
      </c>
      <c r="AI582" s="487">
        <f>-CF!AI45</f>
        <v>0</v>
      </c>
      <c r="AJ582" s="487">
        <f>-CF!AJ45</f>
        <v>44</v>
      </c>
      <c r="AK582" s="487">
        <f>-CF!AK45</f>
        <v>0</v>
      </c>
      <c r="AL582" s="883">
        <v>36.44</v>
      </c>
      <c r="AM582" s="487">
        <f>-CF!AM45</f>
        <v>0</v>
      </c>
      <c r="AN582" s="487">
        <f>-CF!AN45</f>
        <v>0</v>
      </c>
      <c r="AO582" s="488">
        <f>-CF!AO45</f>
        <v>0</v>
      </c>
      <c r="AP582" s="491">
        <f>-CF!AP45</f>
        <v>0</v>
      </c>
      <c r="AQ582" s="487">
        <f>-CF!AQ45</f>
        <v>0</v>
      </c>
      <c r="AR582" s="487">
        <f>-CF!AR45</f>
        <v>0</v>
      </c>
      <c r="AS582" s="487">
        <f>-CF!AS45</f>
        <v>0</v>
      </c>
      <c r="AT582" s="883">
        <v>50</v>
      </c>
      <c r="AU582" s="487">
        <f>-CF!AU45</f>
        <v>0</v>
      </c>
      <c r="AV582" s="487">
        <f>-CF!AV45</f>
        <v>0</v>
      </c>
      <c r="AW582" s="487">
        <f>-CF!AW45</f>
        <v>0</v>
      </c>
      <c r="AX582" s="491">
        <f>-CF!AX45</f>
        <v>0</v>
      </c>
      <c r="AY582" s="487">
        <f>-CF!AY45</f>
        <v>0</v>
      </c>
      <c r="AZ582" s="487">
        <f>-CF!AZ45</f>
        <v>0</v>
      </c>
      <c r="BA582" s="488">
        <f>-CF!BA45</f>
        <v>604</v>
      </c>
      <c r="BB582" s="487">
        <f>-CF!BB45</f>
        <v>218</v>
      </c>
      <c r="BC582" s="487">
        <f>-CF!BC45</f>
        <v>146</v>
      </c>
      <c r="BD582" s="487">
        <f>-CF!BD45</f>
        <v>243</v>
      </c>
      <c r="BE582" s="488">
        <f>-CF!BE45</f>
        <v>235</v>
      </c>
      <c r="BF582" s="487">
        <f>-CF!BF45</f>
        <v>150</v>
      </c>
      <c r="BG582" s="487">
        <f>-CF!BG45</f>
        <v>150</v>
      </c>
      <c r="BH582" s="487">
        <f>-CF!BH45</f>
        <v>244</v>
      </c>
      <c r="BI582" s="488">
        <f>-CF!BI45</f>
        <v>272</v>
      </c>
      <c r="BJ582" s="487">
        <f>-CF!BJ45</f>
        <v>223</v>
      </c>
      <c r="BK582" s="487">
        <f>-CF!BK45</f>
        <v>309</v>
      </c>
      <c r="BL582" s="487">
        <f>-CF!BL45</f>
        <v>240</v>
      </c>
      <c r="BM582" s="488">
        <f>-CF!BM45</f>
        <v>198</v>
      </c>
      <c r="BN582" s="487">
        <f>-CF!BN45</f>
        <v>60</v>
      </c>
      <c r="BO582" s="487">
        <f>-CF!BO45</f>
        <v>0</v>
      </c>
      <c r="BP582" s="487">
        <f>-CF!BP45</f>
        <v>0</v>
      </c>
      <c r="BQ582" s="488">
        <f>-CF!BQ45</f>
        <v>0</v>
      </c>
      <c r="BR582" s="487">
        <f>-CF!BR45</f>
        <v>0</v>
      </c>
      <c r="BS582" s="487">
        <f>-CF!BS45</f>
        <v>0</v>
      </c>
      <c r="BT582" s="487">
        <f>-CF!BT45</f>
        <v>0</v>
      </c>
      <c r="BU582" s="488">
        <f>-CF!BU45</f>
        <v>0</v>
      </c>
      <c r="BV582" s="487">
        <f>-CF!BV45</f>
        <v>0</v>
      </c>
      <c r="BW582" s="487">
        <v>0</v>
      </c>
      <c r="BX582" s="772">
        <v>0</v>
      </c>
      <c r="BY582" s="773">
        <v>0</v>
      </c>
      <c r="BZ582" s="772">
        <v>0</v>
      </c>
      <c r="CA582" s="772">
        <v>0</v>
      </c>
      <c r="CB582" s="772">
        <v>0</v>
      </c>
      <c r="CC582" s="773">
        <v>0</v>
      </c>
      <c r="CD582" s="306"/>
      <c r="CE582" s="29">
        <f>SUM(F582:I582)</f>
        <v>0</v>
      </c>
      <c r="CF582" s="29">
        <f>SUM(J582:M582)</f>
        <v>0</v>
      </c>
      <c r="CG582" s="29">
        <f>SUM(N582:Q582)</f>
        <v>0</v>
      </c>
      <c r="CH582" s="29">
        <f>SUM(R582:U582)</f>
        <v>16</v>
      </c>
      <c r="CI582" s="29">
        <f>SUM(V582:Y582)</f>
        <v>45</v>
      </c>
      <c r="CJ582" s="29">
        <f>SUM(Z582:AC582)</f>
        <v>53.5</v>
      </c>
      <c r="CK582" s="29">
        <f>SUM(AD582:AG582)</f>
        <v>73</v>
      </c>
      <c r="CL582" s="29">
        <f>SUM(AH582:AK582)</f>
        <v>60</v>
      </c>
      <c r="CM582" s="29">
        <f>SUM(AL582:AO582)</f>
        <v>36.44</v>
      </c>
      <c r="CN582" s="29">
        <f>SUM(AP582:AS582)</f>
        <v>0</v>
      </c>
      <c r="CO582" s="29">
        <f>SUM(AT582:AW582)</f>
        <v>50</v>
      </c>
      <c r="CP582" s="29">
        <f>SUM(AX582:BA582)</f>
        <v>604</v>
      </c>
      <c r="CQ582" s="29">
        <f>SUM(BB582:BE582)</f>
        <v>842</v>
      </c>
      <c r="CR582" s="29">
        <f>SUM(BF582:BI582)</f>
        <v>816</v>
      </c>
      <c r="CS582" s="29">
        <f>SUM(BJ582:BM582)</f>
        <v>970</v>
      </c>
      <c r="CT582" s="29">
        <f>SUM(BN582:BQ582)</f>
        <v>60</v>
      </c>
      <c r="CU582" s="374">
        <f>SUM(BR582:BU582)</f>
        <v>0</v>
      </c>
      <c r="CV582" s="374">
        <f>SUM(BV582:BY582)</f>
        <v>0</v>
      </c>
      <c r="CW582" s="374">
        <f>SUM(BZ582:CC582)</f>
        <v>0</v>
      </c>
      <c r="CX582" s="772">
        <f t="shared" ref="CX582:DC582" si="1161">CW582</f>
        <v>0</v>
      </c>
      <c r="CY582" s="772">
        <f t="shared" si="1161"/>
        <v>0</v>
      </c>
      <c r="CZ582" s="772">
        <f t="shared" si="1161"/>
        <v>0</v>
      </c>
      <c r="DA582" s="772">
        <f t="shared" si="1161"/>
        <v>0</v>
      </c>
      <c r="DB582" s="772">
        <f t="shared" si="1161"/>
        <v>0</v>
      </c>
      <c r="DC582" s="772">
        <f t="shared" si="1161"/>
        <v>0</v>
      </c>
      <c r="DD582" s="1530"/>
      <c r="DE582" s="1566"/>
      <c r="DF582" s="1481"/>
      <c r="DG582" s="301"/>
      <c r="DH582" s="301"/>
      <c r="DI582" s="301"/>
      <c r="DJ582" s="301"/>
      <c r="DK582" s="301"/>
      <c r="DL582" s="301"/>
      <c r="DM582" s="301"/>
      <c r="DN582" s="301"/>
      <c r="DO582" s="301"/>
      <c r="DP582" s="301"/>
      <c r="DQ582" s="301"/>
      <c r="DR582" s="301"/>
      <c r="DS582" s="301"/>
      <c r="DT582" s="301"/>
      <c r="DU582" s="301"/>
      <c r="DV582" s="301"/>
      <c r="DW582" s="301"/>
      <c r="DX582" s="301"/>
      <c r="DY582" s="301"/>
      <c r="DZ582" s="1686"/>
    </row>
    <row r="583" spans="1:136" ht="12.75" hidden="1" outlineLevel="1">
      <c r="A583" s="304"/>
      <c r="B583" s="750"/>
      <c r="C583" s="751" t="s">
        <v>585</v>
      </c>
      <c r="D583" s="751"/>
      <c r="E583" s="752"/>
      <c r="F583" s="883"/>
      <c r="G583" s="526"/>
      <c r="H583" s="526"/>
      <c r="I583" s="884"/>
      <c r="J583" s="526"/>
      <c r="K583" s="526"/>
      <c r="L583" s="526"/>
      <c r="M583" s="884"/>
      <c r="N583" s="526"/>
      <c r="O583" s="526"/>
      <c r="P583" s="526"/>
      <c r="Q583" s="884"/>
      <c r="R583" s="526"/>
      <c r="S583" s="526"/>
      <c r="T583" s="526"/>
      <c r="U583" s="884">
        <v>100</v>
      </c>
      <c r="V583" s="526">
        <v>0</v>
      </c>
      <c r="W583" s="526">
        <v>0</v>
      </c>
      <c r="X583" s="526">
        <v>0</v>
      </c>
      <c r="Y583" s="884">
        <v>0</v>
      </c>
      <c r="Z583" s="526">
        <v>0</v>
      </c>
      <c r="AA583" s="526">
        <v>150</v>
      </c>
      <c r="AB583" s="526">
        <v>0</v>
      </c>
      <c r="AC583" s="884">
        <v>0</v>
      </c>
      <c r="AD583" s="459">
        <v>0</v>
      </c>
      <c r="AE583" s="459">
        <v>0</v>
      </c>
      <c r="AF583" s="458">
        <v>0</v>
      </c>
      <c r="AG583" s="458">
        <v>0</v>
      </c>
      <c r="AH583" s="498">
        <v>0</v>
      </c>
      <c r="AI583" s="374">
        <v>0</v>
      </c>
      <c r="AJ583" s="459">
        <v>500</v>
      </c>
      <c r="AK583" s="522"/>
      <c r="AL583" s="459"/>
      <c r="AM583" s="459"/>
      <c r="AN583" s="459"/>
      <c r="AO583" s="522"/>
      <c r="AP583" s="459"/>
      <c r="AQ583" s="459"/>
      <c r="AR583" s="459"/>
      <c r="AS583" s="459"/>
      <c r="AT583" s="619"/>
      <c r="AU583" s="459"/>
      <c r="AV583" s="459"/>
      <c r="AW583" s="459"/>
      <c r="AX583" s="619">
        <v>0</v>
      </c>
      <c r="AY583" s="459">
        <v>0</v>
      </c>
      <c r="AZ583" s="459">
        <v>0</v>
      </c>
      <c r="BA583" s="522">
        <v>1500</v>
      </c>
      <c r="BB583" s="619">
        <v>1500</v>
      </c>
      <c r="BC583" s="459">
        <v>0</v>
      </c>
      <c r="BD583" s="459">
        <v>0</v>
      </c>
      <c r="BE583" s="522">
        <v>0</v>
      </c>
      <c r="BF583" s="459">
        <v>0</v>
      </c>
      <c r="BG583" s="459">
        <v>0</v>
      </c>
      <c r="BH583" s="459">
        <v>0</v>
      </c>
      <c r="BI583" s="522">
        <v>0</v>
      </c>
      <c r="BJ583" s="459">
        <v>0</v>
      </c>
      <c r="BK583" s="459">
        <v>0</v>
      </c>
      <c r="BL583" s="459">
        <v>2000</v>
      </c>
      <c r="BM583" s="522">
        <v>0</v>
      </c>
      <c r="BN583" s="459">
        <v>0</v>
      </c>
      <c r="BO583" s="459">
        <v>0</v>
      </c>
      <c r="BP583" s="459">
        <v>0</v>
      </c>
      <c r="BQ583" s="522">
        <v>0</v>
      </c>
      <c r="BR583" s="459">
        <v>0</v>
      </c>
      <c r="BS583" s="459">
        <v>0</v>
      </c>
      <c r="BT583" s="459">
        <v>0</v>
      </c>
      <c r="BU583" s="522">
        <v>0</v>
      </c>
      <c r="BV583" s="459">
        <v>0</v>
      </c>
      <c r="BW583" s="459">
        <v>0</v>
      </c>
      <c r="BX583" s="772">
        <v>0</v>
      </c>
      <c r="BY583" s="773">
        <v>0</v>
      </c>
      <c r="BZ583" s="772">
        <v>0</v>
      </c>
      <c r="CA583" s="772">
        <v>0</v>
      </c>
      <c r="CB583" s="772">
        <v>0</v>
      </c>
      <c r="CC583" s="773">
        <v>0</v>
      </c>
      <c r="CD583" s="306"/>
      <c r="CE583" s="29">
        <f>SUM(F583:I583)</f>
        <v>0</v>
      </c>
      <c r="CF583" s="29">
        <f>SUM(J583:M583)</f>
        <v>0</v>
      </c>
      <c r="CG583" s="29">
        <f>SUM(N583:Q583)</f>
        <v>0</v>
      </c>
      <c r="CH583" s="29">
        <f>SUM(R583:U583)</f>
        <v>100</v>
      </c>
      <c r="CI583" s="29">
        <f>SUM(V583:Y583)</f>
        <v>0</v>
      </c>
      <c r="CJ583" s="29">
        <f>SUM(Z583:AC583)</f>
        <v>150</v>
      </c>
      <c r="CK583" s="29">
        <f>SUM(AD583:AG583)</f>
        <v>0</v>
      </c>
      <c r="CL583" s="29">
        <f>SUM(AH583:AK583)</f>
        <v>500</v>
      </c>
      <c r="CM583" s="29">
        <f>SUM(AL583:AO583)</f>
        <v>0</v>
      </c>
      <c r="CN583" s="29">
        <f>SUM(AP583:AS583)</f>
        <v>0</v>
      </c>
      <c r="CO583" s="29">
        <f>SUM(AT583:AW583)</f>
        <v>0</v>
      </c>
      <c r="CP583" s="29">
        <f>SUM(AX583:BA583)</f>
        <v>1500</v>
      </c>
      <c r="CQ583" s="29">
        <f>SUM(BB583:BE583)</f>
        <v>1500</v>
      </c>
      <c r="CR583" s="29">
        <f>SUM(BF583:BI583)</f>
        <v>0</v>
      </c>
      <c r="CS583" s="29">
        <f>SUM(BJ583:BM583)</f>
        <v>2000</v>
      </c>
      <c r="CT583" s="29">
        <f>SUM(BN583:BQ583)</f>
        <v>0</v>
      </c>
      <c r="CU583" s="374">
        <f>SUM(BR583:BU583)</f>
        <v>0</v>
      </c>
      <c r="CV583" s="374">
        <f>SUM(BV583:BY583)</f>
        <v>0</v>
      </c>
      <c r="CW583" s="374">
        <f>SUM(BZ583:CC583)</f>
        <v>0</v>
      </c>
      <c r="CX583" s="772">
        <v>0</v>
      </c>
      <c r="CY583" s="772">
        <v>0</v>
      </c>
      <c r="CZ583" s="772">
        <v>0</v>
      </c>
      <c r="DA583" s="772">
        <v>0</v>
      </c>
      <c r="DB583" s="772">
        <v>0</v>
      </c>
      <c r="DC583" s="772">
        <v>0</v>
      </c>
      <c r="DD583" s="1530"/>
      <c r="DE583" s="1566"/>
      <c r="DF583" s="1481"/>
      <c r="DG583" s="301"/>
      <c r="DH583" s="301"/>
      <c r="DI583" s="301"/>
      <c r="DJ583" s="301"/>
      <c r="DK583" s="301"/>
      <c r="DL583" s="301"/>
      <c r="DM583" s="301"/>
      <c r="DN583" s="301"/>
      <c r="DO583" s="301"/>
      <c r="DP583" s="301"/>
      <c r="DQ583" s="301"/>
      <c r="DR583" s="301"/>
      <c r="DS583" s="301"/>
      <c r="DT583" s="301"/>
      <c r="DU583" s="301"/>
      <c r="DV583" s="301"/>
      <c r="DW583" s="301"/>
      <c r="DX583" s="301"/>
      <c r="DY583" s="301"/>
      <c r="DZ583" s="1686"/>
    </row>
    <row r="584" spans="1:136" ht="12.75" hidden="1" outlineLevel="1">
      <c r="A584" s="302"/>
      <c r="B584" s="753"/>
      <c r="C584" s="754" t="s">
        <v>586</v>
      </c>
      <c r="D584" s="754"/>
      <c r="E584" s="755"/>
      <c r="F584" s="610"/>
      <c r="G584" s="610"/>
      <c r="H584" s="610"/>
      <c r="I584" s="611"/>
      <c r="J584" s="610"/>
      <c r="K584" s="610"/>
      <c r="L584" s="610"/>
      <c r="M584" s="611"/>
      <c r="N584" s="610"/>
      <c r="O584" s="610"/>
      <c r="P584" s="610"/>
      <c r="Q584" s="522"/>
      <c r="R584" s="610"/>
      <c r="S584" s="610"/>
      <c r="T584" s="610"/>
      <c r="U584" s="611">
        <f t="shared" ref="U584:AB584" si="1162">U581-U582+U583</f>
        <v>84</v>
      </c>
      <c r="V584" s="610">
        <f t="shared" si="1162"/>
        <v>69</v>
      </c>
      <c r="W584" s="610">
        <f t="shared" si="1162"/>
        <v>60.7</v>
      </c>
      <c r="X584" s="610">
        <f t="shared" si="1162"/>
        <v>60.7</v>
      </c>
      <c r="Y584" s="611">
        <f t="shared" si="1162"/>
        <v>39</v>
      </c>
      <c r="Z584" s="610">
        <f t="shared" si="1162"/>
        <v>24.8</v>
      </c>
      <c r="AA584" s="610">
        <f t="shared" si="1162"/>
        <v>162.69999999999999</v>
      </c>
      <c r="AB584" s="610">
        <f t="shared" si="1162"/>
        <v>145.19999999999999</v>
      </c>
      <c r="AC584" s="459">
        <v>135.922313</v>
      </c>
      <c r="AD584" s="656">
        <f t="shared" ref="AD584:AS584" si="1163">AD581-AD582+AD583</f>
        <v>135.922313</v>
      </c>
      <c r="AE584" s="610">
        <f t="shared" si="1163"/>
        <v>135.922313</v>
      </c>
      <c r="AF584" s="610">
        <f t="shared" si="1163"/>
        <v>106.922313</v>
      </c>
      <c r="AG584" s="610">
        <f t="shared" si="1163"/>
        <v>62.922313000000003</v>
      </c>
      <c r="AH584" s="656">
        <f t="shared" si="1163"/>
        <v>46.922313000000003</v>
      </c>
      <c r="AI584" s="610">
        <f t="shared" si="1163"/>
        <v>46.922313000000003</v>
      </c>
      <c r="AJ584" s="610">
        <f t="shared" si="1163"/>
        <v>502.92231300000003</v>
      </c>
      <c r="AK584" s="610">
        <f t="shared" si="1163"/>
        <v>502.92231300000003</v>
      </c>
      <c r="AL584" s="656">
        <f t="shared" si="1163"/>
        <v>466.48231300000003</v>
      </c>
      <c r="AM584" s="610">
        <f t="shared" si="1163"/>
        <v>466.48231300000003</v>
      </c>
      <c r="AN584" s="610">
        <f t="shared" si="1163"/>
        <v>466.48231300000003</v>
      </c>
      <c r="AO584" s="611">
        <f t="shared" si="1163"/>
        <v>466.48231300000003</v>
      </c>
      <c r="AP584" s="610">
        <f t="shared" si="1163"/>
        <v>466.48231300000003</v>
      </c>
      <c r="AQ584" s="610">
        <f t="shared" si="1163"/>
        <v>466.48231300000003</v>
      </c>
      <c r="AR584" s="610">
        <f t="shared" si="1163"/>
        <v>466.48231300000003</v>
      </c>
      <c r="AS584" s="610">
        <f t="shared" si="1163"/>
        <v>466.48231300000003</v>
      </c>
      <c r="AT584" s="656">
        <f t="shared" ref="AT584:BA584" si="1164">AT581-AT582+AT583</f>
        <v>416.48231300000003</v>
      </c>
      <c r="AU584" s="610">
        <f t="shared" si="1164"/>
        <v>416.48231300000003</v>
      </c>
      <c r="AV584" s="610">
        <f t="shared" si="1164"/>
        <v>416.48231300000003</v>
      </c>
      <c r="AW584" s="611">
        <f t="shared" si="1164"/>
        <v>416.48231300000003</v>
      </c>
      <c r="AX584" s="656">
        <f t="shared" si="1164"/>
        <v>416.48231300000003</v>
      </c>
      <c r="AY584" s="610">
        <f t="shared" si="1164"/>
        <v>416.48231300000003</v>
      </c>
      <c r="AZ584" s="610">
        <f t="shared" si="1164"/>
        <v>416.48231300000003</v>
      </c>
      <c r="BA584" s="611">
        <f t="shared" si="1164"/>
        <v>1312.482313</v>
      </c>
      <c r="BB584" s="656">
        <f t="shared" ref="BB584:BI584" si="1165">BB581-BB582+BB583</f>
        <v>2594.482313</v>
      </c>
      <c r="BC584" s="610">
        <f t="shared" si="1165"/>
        <v>2448.482313</v>
      </c>
      <c r="BD584" s="610">
        <f t="shared" si="1165"/>
        <v>2205.482313</v>
      </c>
      <c r="BE584" s="611">
        <f>BE581-BE582+BE583</f>
        <v>1970.482313</v>
      </c>
      <c r="BF584" s="610">
        <f>BF581-BF582+BF583</f>
        <v>1820.482313</v>
      </c>
      <c r="BG584" s="610">
        <f t="shared" si="1165"/>
        <v>1670.482313</v>
      </c>
      <c r="BH584" s="610">
        <f t="shared" si="1165"/>
        <v>1426.482313</v>
      </c>
      <c r="BI584" s="611">
        <f t="shared" si="1165"/>
        <v>1154.482313</v>
      </c>
      <c r="BJ584" s="610">
        <f t="shared" ref="BJ584:BQ584" si="1166">BJ581-BJ582+BJ583</f>
        <v>931.48231299999998</v>
      </c>
      <c r="BK584" s="610">
        <f t="shared" si="1166"/>
        <v>622.48231299999998</v>
      </c>
      <c r="BL584" s="610">
        <f t="shared" si="1166"/>
        <v>2382.482313</v>
      </c>
      <c r="BM584" s="611">
        <f t="shared" si="1166"/>
        <v>2184.482313</v>
      </c>
      <c r="BN584" s="610">
        <f t="shared" si="1166"/>
        <v>2124.482313</v>
      </c>
      <c r="BO584" s="610">
        <f t="shared" si="1166"/>
        <v>2124.482313</v>
      </c>
      <c r="BP584" s="610">
        <f t="shared" si="1166"/>
        <v>2124.482313</v>
      </c>
      <c r="BQ584" s="611">
        <f t="shared" si="1166"/>
        <v>2124.482313</v>
      </c>
      <c r="BR584" s="610">
        <f t="shared" ref="BR584:BY584" si="1167">BR581-BR582+BR583</f>
        <v>2124.482313</v>
      </c>
      <c r="BS584" s="610">
        <f t="shared" si="1167"/>
        <v>2124.482313</v>
      </c>
      <c r="BT584" s="610">
        <f>BT581-BT582+BT583</f>
        <v>2124.482313</v>
      </c>
      <c r="BU584" s="611">
        <f>BU581-BU582+BU583</f>
        <v>2124.482313</v>
      </c>
      <c r="BV584" s="610">
        <f>BV581-BV582+BV583</f>
        <v>2124.482313</v>
      </c>
      <c r="BW584" s="610">
        <f t="shared" si="1167"/>
        <v>2124.482313</v>
      </c>
      <c r="BX584" s="610">
        <f t="shared" si="1167"/>
        <v>2124.482313</v>
      </c>
      <c r="BY584" s="611">
        <f t="shared" si="1167"/>
        <v>2124.482313</v>
      </c>
      <c r="BZ584" s="610">
        <f>BZ581-BZ582+BZ583</f>
        <v>2124.482313</v>
      </c>
      <c r="CA584" s="610">
        <f>CA581-CA582+CA583</f>
        <v>2124.482313</v>
      </c>
      <c r="CB584" s="610">
        <f>CB581-CB582+CB583</f>
        <v>2124.482313</v>
      </c>
      <c r="CC584" s="611">
        <f>CC581-CC582+CC583</f>
        <v>2124.482313</v>
      </c>
      <c r="CD584" s="606"/>
      <c r="CE584" s="610">
        <f>CE581-CE582+CE583</f>
        <v>0</v>
      </c>
      <c r="CF584" s="610">
        <f t="shared" ref="CF584:CM584" si="1168">CF581-CF582+CF583</f>
        <v>0</v>
      </c>
      <c r="CG584" s="610">
        <f t="shared" si="1168"/>
        <v>0</v>
      </c>
      <c r="CH584" s="610">
        <f t="shared" si="1168"/>
        <v>84</v>
      </c>
      <c r="CI584" s="610">
        <f t="shared" si="1168"/>
        <v>39</v>
      </c>
      <c r="CJ584" s="610">
        <f t="shared" si="1168"/>
        <v>135.5</v>
      </c>
      <c r="CK584" s="610">
        <f t="shared" si="1168"/>
        <v>62.5</v>
      </c>
      <c r="CL584" s="610">
        <f t="shared" si="1168"/>
        <v>502.5</v>
      </c>
      <c r="CM584" s="610">
        <f t="shared" si="1168"/>
        <v>466.06</v>
      </c>
      <c r="CN584" s="610">
        <f t="shared" ref="CN584:CU584" si="1169">CN581-CN582+CN583</f>
        <v>466.06</v>
      </c>
      <c r="CO584" s="610">
        <f t="shared" si="1169"/>
        <v>416.06</v>
      </c>
      <c r="CP584" s="610">
        <f t="shared" si="1169"/>
        <v>1312.06</v>
      </c>
      <c r="CQ584" s="610">
        <f t="shared" si="1169"/>
        <v>1970.06</v>
      </c>
      <c r="CR584" s="610">
        <f t="shared" si="1169"/>
        <v>1154.06</v>
      </c>
      <c r="CS584" s="610">
        <f t="shared" si="1169"/>
        <v>2184.06</v>
      </c>
      <c r="CT584" s="610">
        <f>CT581-CT582+CT583</f>
        <v>2124.06</v>
      </c>
      <c r="CU584" s="610">
        <f t="shared" si="1169"/>
        <v>2124.06</v>
      </c>
      <c r="CV584" s="610">
        <f t="shared" ref="CV584:DA584" si="1170">CV581-CV582+CV583</f>
        <v>2124.06</v>
      </c>
      <c r="CW584" s="610">
        <f>CW581-CW582+CW583</f>
        <v>2124.06</v>
      </c>
      <c r="CX584" s="610">
        <f t="shared" si="1170"/>
        <v>2124.06</v>
      </c>
      <c r="CY584" s="610">
        <f t="shared" si="1170"/>
        <v>2124.06</v>
      </c>
      <c r="CZ584" s="610">
        <f t="shared" si="1170"/>
        <v>2124.06</v>
      </c>
      <c r="DA584" s="610">
        <f t="shared" si="1170"/>
        <v>2124.06</v>
      </c>
      <c r="DB584" s="610">
        <f>DB581-DB582+DB583</f>
        <v>2124.06</v>
      </c>
      <c r="DC584" s="610">
        <f>DC581-DC582+DC583</f>
        <v>2124.06</v>
      </c>
      <c r="DD584" s="1531"/>
      <c r="DE584" s="1567"/>
      <c r="DF584" s="1481"/>
      <c r="DG584" s="301"/>
      <c r="DH584" s="301"/>
      <c r="DI584" s="301"/>
      <c r="DJ584" s="301"/>
      <c r="DK584" s="301"/>
      <c r="DL584" s="301"/>
      <c r="DM584" s="301"/>
      <c r="DN584" s="301"/>
      <c r="DO584" s="301"/>
      <c r="DP584" s="301"/>
      <c r="DQ584" s="301"/>
      <c r="DR584" s="301"/>
      <c r="DS584" s="301"/>
      <c r="DT584" s="301"/>
      <c r="DU584" s="301"/>
      <c r="DV584" s="301"/>
      <c r="DW584" s="301"/>
      <c r="DX584" s="301"/>
      <c r="DY584" s="301"/>
      <c r="DZ584" s="1686"/>
    </row>
    <row r="585" spans="1:136" hidden="1" outlineLevel="1">
      <c r="A585" s="145"/>
      <c r="B585" s="227"/>
      <c r="C585" s="145"/>
      <c r="D585" s="145"/>
      <c r="E585" s="228"/>
      <c r="F585" s="883"/>
      <c r="G585" s="526"/>
      <c r="H585" s="526"/>
      <c r="I585" s="884"/>
      <c r="J585" s="141"/>
      <c r="K585" s="141"/>
      <c r="L585" s="141"/>
      <c r="M585" s="216"/>
      <c r="N585" s="141"/>
      <c r="O585" s="141"/>
      <c r="P585" s="141"/>
      <c r="Q585" s="216"/>
      <c r="R585" s="141"/>
      <c r="S585" s="141"/>
      <c r="T585" s="146"/>
      <c r="U585" s="626"/>
      <c r="V585" s="547"/>
      <c r="W585" s="547"/>
      <c r="X585" s="547"/>
      <c r="Y585" s="626"/>
      <c r="Z585" s="547"/>
      <c r="AA585" s="547"/>
      <c r="AB585" s="547"/>
      <c r="AC585" s="626"/>
      <c r="AD585" s="547"/>
      <c r="AE585" s="547"/>
      <c r="AF585" s="547"/>
      <c r="AG585" s="547"/>
      <c r="AH585" s="693"/>
      <c r="AI585" s="607"/>
      <c r="AJ585" s="607"/>
      <c r="AK585" s="608"/>
      <c r="AL585" s="607"/>
      <c r="AM585" s="607"/>
      <c r="AN585" s="607"/>
      <c r="AO585" s="608"/>
      <c r="AP585" s="607"/>
      <c r="AQ585" s="607"/>
      <c r="AR585" s="607"/>
      <c r="AS585" s="607"/>
      <c r="AT585" s="973"/>
      <c r="AU585" s="607"/>
      <c r="AV585" s="607"/>
      <c r="AW585" s="608"/>
      <c r="AX585" s="973"/>
      <c r="AY585" s="607"/>
      <c r="AZ585" s="607"/>
      <c r="BA585" s="608"/>
      <c r="BB585" s="973"/>
      <c r="BC585" s="607"/>
      <c r="BD585" s="607"/>
      <c r="BE585" s="608"/>
      <c r="BF585" s="973"/>
      <c r="BG585" s="607"/>
      <c r="BH585" s="607"/>
      <c r="BI585" s="608"/>
      <c r="BJ585" s="607"/>
      <c r="BK585" s="607"/>
      <c r="BL585" s="607"/>
      <c r="BM585" s="608"/>
      <c r="BN585" s="607"/>
      <c r="BO585" s="607"/>
      <c r="BP585" s="607"/>
      <c r="BQ585" s="608"/>
      <c r="BR585" s="607"/>
      <c r="BS585" s="607"/>
      <c r="BT585" s="607"/>
      <c r="BU585" s="608"/>
      <c r="BV585" s="607"/>
      <c r="BW585" s="607"/>
      <c r="BX585" s="607"/>
      <c r="BY585" s="608"/>
      <c r="BZ585" s="607"/>
      <c r="CA585" s="607"/>
      <c r="CB585" s="607"/>
      <c r="CC585" s="608"/>
      <c r="CD585" s="228"/>
      <c r="CE585" s="145"/>
      <c r="CF585" s="145"/>
      <c r="CG585" s="145"/>
      <c r="CH585" s="145"/>
      <c r="CI585" s="145"/>
      <c r="CJ585" s="145"/>
      <c r="CK585" s="145"/>
      <c r="CL585" s="145"/>
      <c r="CM585" s="145"/>
      <c r="CN585" s="145"/>
      <c r="CO585" s="145"/>
      <c r="CP585" s="145"/>
      <c r="CQ585" s="145"/>
      <c r="CR585" s="145"/>
      <c r="CS585" s="145"/>
      <c r="CT585" s="145"/>
      <c r="CU585" s="607"/>
      <c r="CV585" s="607"/>
      <c r="CW585" s="607"/>
      <c r="CX585" s="607"/>
      <c r="CY585" s="607"/>
      <c r="CZ585" s="607"/>
      <c r="DA585" s="607"/>
      <c r="DB585" s="607"/>
      <c r="DC585" s="607"/>
      <c r="DD585" s="1505"/>
      <c r="DE585" s="1551"/>
      <c r="DF585" s="141"/>
      <c r="DG585" s="141"/>
      <c r="DH585" s="141"/>
      <c r="DI585" s="141"/>
      <c r="DJ585" s="141"/>
      <c r="DK585" s="141"/>
      <c r="DL585" s="141"/>
      <c r="DM585" s="141"/>
      <c r="DN585" s="141"/>
      <c r="DO585" s="141"/>
      <c r="DP585" s="141"/>
      <c r="DQ585" s="141"/>
      <c r="DR585" s="141"/>
      <c r="DS585" s="141"/>
      <c r="DT585" s="141"/>
      <c r="DU585" s="141"/>
      <c r="DV585" s="141"/>
      <c r="DW585" s="141"/>
      <c r="DX585" s="141"/>
      <c r="DY585" s="141"/>
      <c r="DZ585" s="1676"/>
    </row>
    <row r="586" spans="1:136" hidden="1" outlineLevel="1">
      <c r="A586" s="3"/>
      <c r="B586" s="208"/>
      <c r="C586" s="196" t="s">
        <v>591</v>
      </c>
      <c r="D586" s="196"/>
      <c r="E586" s="197"/>
      <c r="F586" s="656"/>
      <c r="G586" s="610"/>
      <c r="H586" s="610"/>
      <c r="I586" s="611"/>
      <c r="J586" s="656"/>
      <c r="K586" s="610"/>
      <c r="L586" s="610"/>
      <c r="M586" s="611"/>
      <c r="N586" s="656"/>
      <c r="O586" s="610"/>
      <c r="P586" s="610"/>
      <c r="Q586" s="611"/>
      <c r="R586" s="656"/>
      <c r="S586" s="610"/>
      <c r="T586" s="610"/>
      <c r="U586" s="522">
        <v>1.927</v>
      </c>
      <c r="V586" s="459">
        <v>2.1231</v>
      </c>
      <c r="W586" s="459">
        <v>1.0096000000000001</v>
      </c>
      <c r="X586" s="610">
        <v>0</v>
      </c>
      <c r="Y586" s="522">
        <v>1.663</v>
      </c>
      <c r="Z586" s="459">
        <v>1.0626</v>
      </c>
      <c r="AA586" s="459">
        <v>1</v>
      </c>
      <c r="AB586" s="459">
        <v>0.9</v>
      </c>
      <c r="AC586" s="522">
        <v>0.51690000000000003</v>
      </c>
      <c r="AD586" s="459">
        <v>0</v>
      </c>
      <c r="AE586" s="459">
        <v>0</v>
      </c>
      <c r="AF586" s="1045">
        <v>1.5</v>
      </c>
      <c r="AG586" s="1045">
        <v>2.5409549999999999</v>
      </c>
      <c r="AH586" s="1133">
        <v>0.84119999999999995</v>
      </c>
      <c r="AI586" s="1045">
        <v>0</v>
      </c>
      <c r="AJ586" s="1037">
        <v>1.485619</v>
      </c>
      <c r="AK586" s="1072">
        <v>0</v>
      </c>
      <c r="AL586" s="1155">
        <v>1.2280610000000001</v>
      </c>
      <c r="AM586" s="668">
        <f t="shared" ref="AM586:AS586" si="1171">AM582/AM587</f>
        <v>0</v>
      </c>
      <c r="AN586" s="668">
        <f t="shared" si="1171"/>
        <v>0</v>
      </c>
      <c r="AO586" s="669">
        <f t="shared" si="1171"/>
        <v>0</v>
      </c>
      <c r="AP586" s="668">
        <f t="shared" si="1171"/>
        <v>0</v>
      </c>
      <c r="AQ586" s="668">
        <f t="shared" si="1171"/>
        <v>0</v>
      </c>
      <c r="AR586" s="668">
        <f t="shared" si="1171"/>
        <v>0</v>
      </c>
      <c r="AS586" s="668">
        <f t="shared" si="1171"/>
        <v>0</v>
      </c>
      <c r="AT586" s="1175">
        <v>1.8</v>
      </c>
      <c r="AU586" s="668">
        <f t="shared" ref="AU586:AZ586" si="1172">AU582/AU587</f>
        <v>0</v>
      </c>
      <c r="AV586" s="668">
        <f t="shared" si="1172"/>
        <v>0</v>
      </c>
      <c r="AW586" s="669">
        <f t="shared" si="1172"/>
        <v>0</v>
      </c>
      <c r="AX586" s="974">
        <f t="shared" si="1172"/>
        <v>0</v>
      </c>
      <c r="AY586" s="668">
        <f t="shared" si="1172"/>
        <v>0</v>
      </c>
      <c r="AZ586" s="668">
        <f t="shared" si="1172"/>
        <v>0</v>
      </c>
      <c r="BA586" s="1270">
        <v>16.399999999999999</v>
      </c>
      <c r="BB586" s="1296">
        <v>5.2</v>
      </c>
      <c r="BC586" s="1155">
        <v>4.2</v>
      </c>
      <c r="BD586" s="1155">
        <v>5.2</v>
      </c>
      <c r="BE586" s="1347">
        <v>4.4000000000000004</v>
      </c>
      <c r="BF586" s="1296">
        <v>2.2999999999999998</v>
      </c>
      <c r="BG586" s="1376">
        <v>2</v>
      </c>
      <c r="BH586" s="1398">
        <v>2.8</v>
      </c>
      <c r="BI586" s="1453">
        <v>3.2</v>
      </c>
      <c r="BJ586" s="1398">
        <v>2.2000000000000002</v>
      </c>
      <c r="BK586" s="1376">
        <v>3.2</v>
      </c>
      <c r="BL586" s="1376">
        <v>2.2000000000000002</v>
      </c>
      <c r="BM586" s="1453">
        <v>2</v>
      </c>
      <c r="BN586" s="1398">
        <v>0.7</v>
      </c>
      <c r="BO586" s="1376">
        <v>0</v>
      </c>
      <c r="BP586" s="1376">
        <v>0</v>
      </c>
      <c r="BQ586" s="1368">
        <v>0</v>
      </c>
      <c r="BR586" s="1398">
        <v>0</v>
      </c>
      <c r="BS586" s="1398">
        <v>0</v>
      </c>
      <c r="BT586" s="1398">
        <v>0</v>
      </c>
      <c r="BU586" s="1453">
        <v>0</v>
      </c>
      <c r="BV586" s="1398">
        <v>0</v>
      </c>
      <c r="BW586" s="1398">
        <f t="shared" ref="BW586:CC586" si="1173">BW582/BW587</f>
        <v>0</v>
      </c>
      <c r="BX586" s="1367">
        <f t="shared" si="1173"/>
        <v>0</v>
      </c>
      <c r="BY586" s="1368">
        <f t="shared" si="1173"/>
        <v>0</v>
      </c>
      <c r="BZ586" s="1367">
        <f t="shared" si="1173"/>
        <v>0</v>
      </c>
      <c r="CA586" s="1367">
        <f t="shared" si="1173"/>
        <v>0</v>
      </c>
      <c r="CB586" s="1367">
        <f t="shared" si="1173"/>
        <v>0</v>
      </c>
      <c r="CC586" s="1368">
        <f t="shared" si="1173"/>
        <v>0</v>
      </c>
      <c r="CD586" s="9"/>
      <c r="CE586" s="29">
        <f>SUM(F586:I586)</f>
        <v>0</v>
      </c>
      <c r="CF586" s="29">
        <f>SUM(J586:M586)</f>
        <v>0</v>
      </c>
      <c r="CG586" s="29">
        <f>SUM(N586:Q586)</f>
        <v>0</v>
      </c>
      <c r="CH586" s="29">
        <f>SUM(R586:U586)</f>
        <v>1.927</v>
      </c>
      <c r="CI586" s="29">
        <f>SUM(V586:Y586)</f>
        <v>4.7957000000000001</v>
      </c>
      <c r="CJ586" s="29">
        <f>SUM(Z586:AC586)</f>
        <v>3.4794999999999998</v>
      </c>
      <c r="CK586" s="29">
        <f>SUM(AD586:AG586)</f>
        <v>4.0409550000000003</v>
      </c>
      <c r="CL586" s="29">
        <f>SUM(AH586:AK586)</f>
        <v>2.326819</v>
      </c>
      <c r="CM586" s="29">
        <f>SUM(AL586:AO586)</f>
        <v>1.2280610000000001</v>
      </c>
      <c r="CN586" s="29">
        <f>SUM(AP586:AS586)</f>
        <v>0</v>
      </c>
      <c r="CO586" s="29">
        <f>SUM(AT586:AW586)</f>
        <v>1.8</v>
      </c>
      <c r="CP586" s="29">
        <f>SUM(AX586:BA586)</f>
        <v>16.399999999999999</v>
      </c>
      <c r="CQ586" s="29">
        <f>SUM(BB586:BE586)</f>
        <v>19</v>
      </c>
      <c r="CR586" s="668">
        <f>SUM(BF586:BI586)</f>
        <v>10.3</v>
      </c>
      <c r="CS586" s="668">
        <f>SUM(BJ586:BM586)</f>
        <v>9.6000000000000014</v>
      </c>
      <c r="CT586" s="668">
        <f>SUM(BN586:BQ586)</f>
        <v>0.7</v>
      </c>
      <c r="CU586" s="1367">
        <f>SUM(BR586:BU586)</f>
        <v>0</v>
      </c>
      <c r="CV586" s="1367">
        <f>SUM(BV586:BY586)</f>
        <v>0</v>
      </c>
      <c r="CW586" s="1367">
        <f>SUM(BZ586:CC586)</f>
        <v>0</v>
      </c>
      <c r="CX586" s="1367">
        <f t="shared" ref="CX586:DC586" si="1174">CX582/CX587</f>
        <v>0</v>
      </c>
      <c r="CY586" s="1367">
        <f t="shared" si="1174"/>
        <v>0</v>
      </c>
      <c r="CZ586" s="1367">
        <f t="shared" si="1174"/>
        <v>0</v>
      </c>
      <c r="DA586" s="1367">
        <f t="shared" si="1174"/>
        <v>0</v>
      </c>
      <c r="DB586" s="1367">
        <f t="shared" si="1174"/>
        <v>0</v>
      </c>
      <c r="DC586" s="1367">
        <f t="shared" si="1174"/>
        <v>0</v>
      </c>
      <c r="DD586" s="1517"/>
      <c r="DE586" s="1483"/>
      <c r="DF586" s="24"/>
      <c r="DG586" s="24"/>
      <c r="DH586" s="24"/>
      <c r="DI586" s="24"/>
      <c r="DJ586" s="24"/>
      <c r="DK586" s="24"/>
      <c r="DL586" s="141"/>
      <c r="DM586" s="24"/>
      <c r="DN586" s="24"/>
      <c r="DO586" s="24"/>
      <c r="DP586" s="24"/>
      <c r="DQ586" s="24"/>
      <c r="DR586" s="24"/>
      <c r="DS586" s="24"/>
      <c r="DT586" s="24"/>
      <c r="DU586" s="24"/>
      <c r="DV586" s="24"/>
      <c r="DW586" s="24"/>
      <c r="DX586" s="24"/>
      <c r="DY586" s="24"/>
      <c r="DZ586" s="1561"/>
    </row>
    <row r="587" spans="1:136" hidden="1" outlineLevel="1">
      <c r="A587" s="3"/>
      <c r="B587" s="208"/>
      <c r="C587" s="196" t="s">
        <v>590</v>
      </c>
      <c r="D587" s="196"/>
      <c r="E587" s="197"/>
      <c r="F587" s="1107"/>
      <c r="G587" s="1107"/>
      <c r="H587" s="1107"/>
      <c r="I587" s="1108"/>
      <c r="J587" s="1107"/>
      <c r="K587" s="1107"/>
      <c r="L587" s="1107"/>
      <c r="M587" s="1108"/>
      <c r="N587" s="1107"/>
      <c r="O587" s="1107"/>
      <c r="P587" s="1107"/>
      <c r="Q587" s="1108"/>
      <c r="R587" s="1109"/>
      <c r="S587" s="1107"/>
      <c r="T587" s="1107"/>
      <c r="U587" s="667">
        <f>U582/U586</f>
        <v>8.3030617540217957</v>
      </c>
      <c r="V587" s="948">
        <f>V582/V586</f>
        <v>7.0651405962978666</v>
      </c>
      <c r="W587" s="667">
        <f>W582/W586</f>
        <v>8.2210776545166411</v>
      </c>
      <c r="X587" s="610">
        <v>0</v>
      </c>
      <c r="Y587" s="667">
        <f>Y582/Y586</f>
        <v>13.048707155742633</v>
      </c>
      <c r="Z587" s="948">
        <f>Z582/Z586</f>
        <v>13.363448146056841</v>
      </c>
      <c r="AA587" s="667">
        <f>AA582/AA586</f>
        <v>12.100000000000001</v>
      </c>
      <c r="AB587" s="667">
        <f>AB582/AB586</f>
        <v>19.444444444444439</v>
      </c>
      <c r="AC587" s="666">
        <f t="shared" ref="AC587:AH587" si="1175">AC582/AC586</f>
        <v>18.765718707680406</v>
      </c>
      <c r="AD587" s="459">
        <v>0</v>
      </c>
      <c r="AE587" s="459">
        <v>0</v>
      </c>
      <c r="AF587" s="667">
        <f t="shared" si="1175"/>
        <v>19.333333333333332</v>
      </c>
      <c r="AG587" s="667">
        <f t="shared" si="1175"/>
        <v>17.316323980550621</v>
      </c>
      <c r="AH587" s="948">
        <f t="shared" si="1175"/>
        <v>19.020446980504044</v>
      </c>
      <c r="AI587" s="1045">
        <v>0</v>
      </c>
      <c r="AJ587" s="667">
        <f>AJ582/AJ586</f>
        <v>29.617284108509651</v>
      </c>
      <c r="AK587" s="1072">
        <v>0</v>
      </c>
      <c r="AL587" s="1272">
        <f>AL582/AL586</f>
        <v>29.672793126725786</v>
      </c>
      <c r="AM587" s="667">
        <f t="shared" ref="AM587:AR587" si="1176">AM606</f>
        <v>13.933384999999999</v>
      </c>
      <c r="AN587" s="667">
        <f t="shared" si="1176"/>
        <v>15.296290000000001</v>
      </c>
      <c r="AO587" s="666">
        <f t="shared" si="1176"/>
        <v>23.319540000000003</v>
      </c>
      <c r="AP587" s="667">
        <f t="shared" si="1176"/>
        <v>31.889850000000003</v>
      </c>
      <c r="AQ587" s="667">
        <f t="shared" si="1176"/>
        <v>38.219840000000005</v>
      </c>
      <c r="AR587" s="667">
        <f t="shared" si="1176"/>
        <v>41.179840000000006</v>
      </c>
      <c r="AS587" s="667">
        <f>AS606</f>
        <v>37.587690000000002</v>
      </c>
      <c r="AT587" s="1176">
        <f>AT582/AT586</f>
        <v>27.777777777777779</v>
      </c>
      <c r="AU587" s="667">
        <f t="shared" ref="AU587:AZ587" si="1177">AU606</f>
        <v>32.423540000000003</v>
      </c>
      <c r="AV587" s="667">
        <f t="shared" si="1177"/>
        <v>33.806510000000003</v>
      </c>
      <c r="AW587" s="666">
        <f t="shared" si="1177"/>
        <v>36.911230000000003</v>
      </c>
      <c r="AX587" s="948">
        <f t="shared" si="1177"/>
        <v>31.516920000000002</v>
      </c>
      <c r="AY587" s="667">
        <f t="shared" si="1177"/>
        <v>28.236712671874997</v>
      </c>
      <c r="AZ587" s="667">
        <f t="shared" si="1177"/>
        <v>37.455706349206352</v>
      </c>
      <c r="BA587" s="1271">
        <v>36.78</v>
      </c>
      <c r="BB587" s="948">
        <f>BB582/BB586</f>
        <v>41.92307692307692</v>
      </c>
      <c r="BC587" s="667">
        <f>BC582/BC586</f>
        <v>34.761904761904759</v>
      </c>
      <c r="BD587" s="667">
        <f>BD582/BD586</f>
        <v>46.730769230769226</v>
      </c>
      <c r="BE587" s="666">
        <f>BE582/BE586</f>
        <v>53.409090909090907</v>
      </c>
      <c r="BF587" s="1369">
        <v>66.61</v>
      </c>
      <c r="BG587" s="1393">
        <v>74.709999999999994</v>
      </c>
      <c r="BH587" s="667">
        <f>BH582/BH586</f>
        <v>87.142857142857153</v>
      </c>
      <c r="BI587" s="1108">
        <f>BI582/BI586</f>
        <v>85</v>
      </c>
      <c r="BJ587" s="948">
        <f>BJ582/BJ586</f>
        <v>101.36363636363636</v>
      </c>
      <c r="BK587" s="667">
        <f>BK606</f>
        <v>99.682186859375008</v>
      </c>
      <c r="BL587" s="667">
        <f>BL606</f>
        <v>103.92605150000001</v>
      </c>
      <c r="BM587" s="1108">
        <f>BM582/BM586</f>
        <v>99</v>
      </c>
      <c r="BN587" s="948">
        <f>BN582/BN586</f>
        <v>85.714285714285722</v>
      </c>
      <c r="BO587" s="667">
        <f>BO606</f>
        <v>67.859923124999995</v>
      </c>
      <c r="BP587" s="667">
        <f>BP606</f>
        <v>47.749839822580668</v>
      </c>
      <c r="BQ587" s="666">
        <f>BQ606</f>
        <v>43.655683636363626</v>
      </c>
      <c r="BR587" s="667">
        <f>BR606</f>
        <v>49.81</v>
      </c>
      <c r="BS587" s="667">
        <f t="shared" ref="BS587:BY587" si="1178">BS606</f>
        <v>60.954062984375014</v>
      </c>
      <c r="BT587" s="667">
        <f t="shared" si="1178"/>
        <v>75.106935822580624</v>
      </c>
      <c r="BU587" s="666">
        <f>BU606</f>
        <v>87.748154184615402</v>
      </c>
      <c r="BV587" s="667">
        <f>BV606</f>
        <v>87.796406765625008</v>
      </c>
      <c r="BW587" s="667">
        <f t="shared" si="1178"/>
        <v>85.186668047619079</v>
      </c>
      <c r="BX587" s="667">
        <f t="shared" si="1178"/>
        <v>87.938701387974632</v>
      </c>
      <c r="BY587" s="666">
        <f t="shared" si="1178"/>
        <v>90.779641686191184</v>
      </c>
      <c r="BZ587" s="667">
        <f>BZ606</f>
        <v>93.712361162979207</v>
      </c>
      <c r="CA587" s="667">
        <f>CA606</f>
        <v>96.739824828770125</v>
      </c>
      <c r="CB587" s="667">
        <f>CB606</f>
        <v>99.865093481373236</v>
      </c>
      <c r="CC587" s="666">
        <f>CC606</f>
        <v>103.09132680047468</v>
      </c>
      <c r="CD587" s="9"/>
      <c r="CE587" s="305">
        <v>0</v>
      </c>
      <c r="CF587" s="305">
        <v>0</v>
      </c>
      <c r="CG587" s="305">
        <v>0</v>
      </c>
      <c r="CH587" s="305">
        <v>0</v>
      </c>
      <c r="CI587" s="305">
        <v>0</v>
      </c>
      <c r="CJ587" s="305">
        <f t="shared" ref="CJ587:CO587" si="1179">CJ582/CJ586</f>
        <v>15.375772381089238</v>
      </c>
      <c r="CK587" s="305">
        <f t="shared" si="1179"/>
        <v>18.065036606445751</v>
      </c>
      <c r="CL587" s="305">
        <f t="shared" si="1179"/>
        <v>25.786277316800319</v>
      </c>
      <c r="CM587" s="305">
        <f t="shared" si="1179"/>
        <v>29.672793126725786</v>
      </c>
      <c r="CN587" s="1344" t="s">
        <v>629</v>
      </c>
      <c r="CO587" s="305">
        <f t="shared" si="1179"/>
        <v>27.777777777777779</v>
      </c>
      <c r="CP587" s="305"/>
      <c r="CQ587" s="305"/>
      <c r="CR587" s="305"/>
      <c r="CS587" s="305"/>
      <c r="CT587" s="305"/>
      <c r="CU587" s="667"/>
      <c r="CV587" s="667"/>
      <c r="CW587" s="667"/>
      <c r="CX587" s="667">
        <f t="shared" ref="CX587:DC587" si="1180">CX606</f>
        <v>101.54859649437228</v>
      </c>
      <c r="CY587" s="667">
        <f t="shared" si="1180"/>
        <v>104.84892588043937</v>
      </c>
      <c r="CZ587" s="667">
        <f t="shared" si="1180"/>
        <v>108.25651597155364</v>
      </c>
      <c r="DA587" s="667">
        <f t="shared" si="1180"/>
        <v>111.77485274062913</v>
      </c>
      <c r="DB587" s="667">
        <f t="shared" si="1180"/>
        <v>115.40753545469957</v>
      </c>
      <c r="DC587" s="667">
        <f t="shared" si="1180"/>
        <v>119.1582803569773</v>
      </c>
      <c r="DD587" s="1517"/>
      <c r="DE587" s="1483"/>
      <c r="DF587" s="24"/>
      <c r="DG587" s="24"/>
      <c r="DH587" s="24"/>
      <c r="DI587" s="24"/>
      <c r="DJ587" s="24"/>
      <c r="DK587" s="24"/>
      <c r="DL587" s="141"/>
      <c r="DM587" s="24"/>
      <c r="DN587" s="24"/>
      <c r="DO587" s="24"/>
      <c r="DP587" s="24"/>
      <c r="DQ587" s="24"/>
      <c r="DR587" s="24"/>
      <c r="DS587" s="24"/>
      <c r="DT587" s="24"/>
      <c r="DU587" s="24"/>
      <c r="DV587" s="24"/>
      <c r="DW587" s="24"/>
      <c r="DX587" s="24"/>
      <c r="DY587" s="24"/>
      <c r="DZ587" s="1561"/>
    </row>
    <row r="588" spans="1:136" hidden="1" outlineLevel="1">
      <c r="A588" s="145"/>
      <c r="B588" s="227"/>
      <c r="C588" s="145"/>
      <c r="D588" s="145"/>
      <c r="E588" s="228"/>
      <c r="F588" s="145"/>
      <c r="G588" s="145"/>
      <c r="H588" s="145"/>
      <c r="I588" s="228"/>
      <c r="J588" s="145"/>
      <c r="K588" s="145"/>
      <c r="L588" s="145"/>
      <c r="M588" s="228"/>
      <c r="N588" s="145"/>
      <c r="O588" s="145"/>
      <c r="P588" s="145"/>
      <c r="Q588" s="228"/>
      <c r="R588" s="145"/>
      <c r="S588" s="145"/>
      <c r="T588" s="547"/>
      <c r="U588" s="626"/>
      <c r="V588" s="547"/>
      <c r="W588" s="547"/>
      <c r="X588" s="547"/>
      <c r="Y588" s="626"/>
      <c r="Z588" s="547"/>
      <c r="AA588" s="547"/>
      <c r="AB588" s="547"/>
      <c r="AC588" s="626"/>
      <c r="AD588" s="693"/>
      <c r="AE588" s="547"/>
      <c r="AF588" s="547"/>
      <c r="AG588" s="547"/>
      <c r="AH588" s="693"/>
      <c r="AI588" s="145"/>
      <c r="AJ588" s="145"/>
      <c r="AK588" s="228"/>
      <c r="AL588" s="145"/>
      <c r="AM588" s="145"/>
      <c r="AN588" s="145"/>
      <c r="AO588" s="228"/>
      <c r="AP588" s="145"/>
      <c r="AQ588" s="145"/>
      <c r="AR588" s="145"/>
      <c r="AS588" s="145"/>
      <c r="AT588" s="227"/>
      <c r="AU588" s="145"/>
      <c r="AV588" s="145"/>
      <c r="AW588" s="228"/>
      <c r="AX588" s="227"/>
      <c r="AY588" s="145"/>
      <c r="AZ588" s="145"/>
      <c r="BA588" s="228"/>
      <c r="BB588" s="227"/>
      <c r="BC588" s="145"/>
      <c r="BD588" s="145"/>
      <c r="BE588" s="228"/>
      <c r="BF588" s="207"/>
      <c r="BG588" s="201"/>
      <c r="BH588" s="201"/>
      <c r="BI588" s="202"/>
      <c r="BJ588" s="207"/>
      <c r="BK588" s="201"/>
      <c r="BL588" s="201"/>
      <c r="BM588" s="202"/>
      <c r="BN588" s="201"/>
      <c r="BO588" s="201"/>
      <c r="BP588" s="201"/>
      <c r="BQ588" s="202"/>
      <c r="BR588" s="201"/>
      <c r="BS588" s="201"/>
      <c r="BT588" s="201"/>
      <c r="BU588" s="202"/>
      <c r="BV588" s="201"/>
      <c r="BW588" s="201"/>
      <c r="BX588" s="201"/>
      <c r="BY588" s="202"/>
      <c r="BZ588" s="201"/>
      <c r="CA588" s="201"/>
      <c r="CB588" s="201"/>
      <c r="CC588" s="202"/>
      <c r="CD588" s="228"/>
      <c r="CE588" s="145"/>
      <c r="CF588" s="145"/>
      <c r="CG588" s="145"/>
      <c r="CH588" s="145"/>
      <c r="CI588" s="145"/>
      <c r="CJ588" s="145"/>
      <c r="CK588" s="145"/>
      <c r="CL588" s="145"/>
      <c r="CM588" s="145"/>
      <c r="CN588" s="145"/>
      <c r="CO588" s="145"/>
      <c r="CP588" s="145"/>
      <c r="CQ588" s="145"/>
      <c r="CR588" s="145"/>
      <c r="CS588" s="201"/>
      <c r="CT588" s="201"/>
      <c r="CU588" s="201"/>
      <c r="CV588" s="201"/>
      <c r="CW588" s="201"/>
      <c r="CX588" s="201"/>
      <c r="CY588" s="201"/>
      <c r="CZ588" s="201"/>
      <c r="DA588" s="201"/>
      <c r="DB588" s="201"/>
      <c r="DC588" s="201"/>
      <c r="DD588" s="1505"/>
      <c r="DE588" s="1551"/>
      <c r="DF588" s="141"/>
      <c r="DG588" s="141"/>
      <c r="DH588" s="141"/>
      <c r="DI588" s="141"/>
      <c r="DJ588" s="141"/>
      <c r="DK588" s="141"/>
      <c r="DL588" s="141"/>
      <c r="DM588" s="141"/>
      <c r="DN588" s="141"/>
      <c r="DO588" s="141"/>
      <c r="DP588" s="141"/>
      <c r="DQ588" s="141"/>
      <c r="DR588" s="141"/>
      <c r="DS588" s="141"/>
      <c r="DT588" s="141"/>
      <c r="DU588" s="141"/>
      <c r="DV588" s="141"/>
      <c r="DW588" s="141"/>
      <c r="DX588" s="141"/>
      <c r="DY588" s="141"/>
      <c r="DZ588" s="1676"/>
    </row>
    <row r="589" spans="1:136" hidden="1" outlineLevel="1">
      <c r="A589" s="3"/>
      <c r="B589" s="237" t="s">
        <v>268</v>
      </c>
      <c r="C589" s="226"/>
      <c r="D589" s="226"/>
      <c r="E589" s="382"/>
      <c r="F589" s="226"/>
      <c r="G589" s="226"/>
      <c r="H589" s="226"/>
      <c r="I589" s="382"/>
      <c r="J589" s="226"/>
      <c r="K589" s="226"/>
      <c r="L589" s="226"/>
      <c r="M589" s="382"/>
      <c r="N589" s="226"/>
      <c r="O589" s="226"/>
      <c r="P589" s="226"/>
      <c r="Q589" s="382"/>
      <c r="R589" s="226"/>
      <c r="S589" s="226"/>
      <c r="T589" s="688"/>
      <c r="U589" s="689"/>
      <c r="V589" s="690"/>
      <c r="W589" s="690"/>
      <c r="X589" s="690"/>
      <c r="Y589" s="694"/>
      <c r="Z589" s="690"/>
      <c r="AA589" s="690"/>
      <c r="AB589" s="240"/>
      <c r="AC589" s="240"/>
      <c r="AD589" s="241"/>
      <c r="AE589" s="240"/>
      <c r="AF589" s="240"/>
      <c r="AG589" s="240"/>
      <c r="AH589" s="241"/>
      <c r="AI589" s="240"/>
      <c r="AJ589" s="240"/>
      <c r="AK589" s="307"/>
      <c r="AL589" s="240"/>
      <c r="AM589" s="240"/>
      <c r="AN589" s="240"/>
      <c r="AO589" s="307"/>
      <c r="AP589" s="240"/>
      <c r="AQ589" s="240"/>
      <c r="AR589" s="240"/>
      <c r="AS589" s="240"/>
      <c r="AT589" s="241"/>
      <c r="AU589" s="240"/>
      <c r="AV589" s="240"/>
      <c r="AW589" s="307"/>
      <c r="AX589" s="241"/>
      <c r="AY589" s="240"/>
      <c r="AZ589" s="240"/>
      <c r="BA589" s="307"/>
      <c r="BB589" s="241"/>
      <c r="BC589" s="240"/>
      <c r="BD589" s="240"/>
      <c r="BE589" s="307"/>
      <c r="BF589" s="241"/>
      <c r="BG589" s="240"/>
      <c r="BH589" s="240"/>
      <c r="BI589" s="307"/>
      <c r="BJ589" s="241"/>
      <c r="BK589" s="240"/>
      <c r="BL589" s="240"/>
      <c r="BM589" s="307"/>
      <c r="BN589" s="240"/>
      <c r="BO589" s="240"/>
      <c r="BP589" s="240"/>
      <c r="BQ589" s="307"/>
      <c r="BR589" s="240"/>
      <c r="BS589" s="240"/>
      <c r="BT589" s="240"/>
      <c r="BU589" s="307"/>
      <c r="BV589" s="240"/>
      <c r="BW589" s="240"/>
      <c r="BX589" s="240"/>
      <c r="BY589" s="307"/>
      <c r="BZ589" s="240"/>
      <c r="CA589" s="240"/>
      <c r="CB589" s="240"/>
      <c r="CC589" s="307"/>
      <c r="CD589" s="9"/>
      <c r="CE589" s="162"/>
      <c r="CF589" s="162"/>
      <c r="CG589" s="162"/>
      <c r="CH589" s="162"/>
      <c r="CI589" s="162"/>
      <c r="CJ589" s="162"/>
      <c r="CK589" s="162"/>
      <c r="CL589" s="165"/>
      <c r="CM589" s="165"/>
      <c r="CN589" s="165"/>
      <c r="CO589" s="165"/>
      <c r="CP589" s="165"/>
      <c r="CQ589" s="165"/>
      <c r="CR589" s="165"/>
      <c r="CS589" s="240"/>
      <c r="CT589" s="240"/>
      <c r="CU589" s="240"/>
      <c r="CV589" s="240"/>
      <c r="CW589" s="240"/>
      <c r="CX589" s="240"/>
      <c r="CY589" s="240"/>
      <c r="CZ589" s="240"/>
      <c r="DA589" s="240"/>
      <c r="DB589" s="240"/>
      <c r="DC589" s="240"/>
      <c r="DD589" s="1517"/>
      <c r="DE589" s="1483"/>
      <c r="DF589" s="24"/>
      <c r="DG589" s="24"/>
      <c r="DH589" s="24"/>
      <c r="DI589" s="24"/>
      <c r="DJ589" s="24"/>
      <c r="DK589" s="24"/>
      <c r="DL589" s="141"/>
      <c r="DM589" s="24"/>
      <c r="DN589" s="24"/>
      <c r="DO589" s="24"/>
      <c r="DP589" s="24"/>
      <c r="DQ589" s="24"/>
      <c r="DR589" s="24"/>
      <c r="DS589" s="24"/>
      <c r="DT589" s="24"/>
      <c r="DU589" s="24"/>
      <c r="DV589" s="24"/>
      <c r="DW589" s="24"/>
      <c r="DX589" s="24"/>
      <c r="DY589" s="24"/>
      <c r="DZ589" s="1561"/>
    </row>
    <row r="590" spans="1:136" hidden="1" outlineLevel="1">
      <c r="A590" s="3"/>
      <c r="B590" s="208"/>
      <c r="C590" s="196" t="s">
        <v>656</v>
      </c>
      <c r="D590" s="196"/>
      <c r="E590" s="197"/>
      <c r="F590" s="196"/>
      <c r="G590" s="196"/>
      <c r="H590" s="196"/>
      <c r="I590" s="197"/>
      <c r="J590" s="526"/>
      <c r="K590" s="487"/>
      <c r="L590" s="487"/>
      <c r="M590" s="488"/>
      <c r="N590" s="487">
        <f>M594</f>
        <v>0</v>
      </c>
      <c r="O590" s="638">
        <f>N594</f>
        <v>-1.0250000000000004</v>
      </c>
      <c r="P590" s="638">
        <f t="shared" ref="P590:V590" si="1181">O594</f>
        <v>-2.0500000000000007</v>
      </c>
      <c r="Q590" s="639">
        <f t="shared" si="1181"/>
        <v>-3.0750000000000011</v>
      </c>
      <c r="R590" s="487">
        <f t="shared" si="1181"/>
        <v>25.1</v>
      </c>
      <c r="S590" s="638">
        <f t="shared" si="1181"/>
        <v>25.125000000000004</v>
      </c>
      <c r="T590" s="638">
        <f t="shared" si="1181"/>
        <v>25.150000000000006</v>
      </c>
      <c r="U590" s="639">
        <f t="shared" si="1181"/>
        <v>25.175000000000008</v>
      </c>
      <c r="V590" s="1099">
        <f t="shared" si="1181"/>
        <v>25.1</v>
      </c>
      <c r="W590" s="1005">
        <f t="shared" ref="W590:AG590" si="1182">V594</f>
        <v>23.700000000000003</v>
      </c>
      <c r="X590" s="1005">
        <f t="shared" si="1182"/>
        <v>22.300000000000004</v>
      </c>
      <c r="Y590" s="1076">
        <f t="shared" si="1182"/>
        <v>20.900000000000006</v>
      </c>
      <c r="Z590" s="1005">
        <f t="shared" si="1182"/>
        <v>19.5</v>
      </c>
      <c r="AA590" s="1005">
        <f t="shared" si="1182"/>
        <v>18.600000000000001</v>
      </c>
      <c r="AB590" s="1005">
        <f t="shared" si="1182"/>
        <v>16.7</v>
      </c>
      <c r="AC590" s="1076">
        <f t="shared" si="1182"/>
        <v>12.8</v>
      </c>
      <c r="AD590" s="1005">
        <f>AC594</f>
        <v>12.4</v>
      </c>
      <c r="AE590" s="1005">
        <f t="shared" si="1182"/>
        <v>12.200000000000001</v>
      </c>
      <c r="AF590" s="1005">
        <f t="shared" si="1182"/>
        <v>12</v>
      </c>
      <c r="AG590" s="1005">
        <f t="shared" si="1182"/>
        <v>11.3</v>
      </c>
      <c r="AH590" s="1134">
        <f>AG594</f>
        <v>10.8</v>
      </c>
      <c r="AI590" s="732">
        <f t="shared" ref="AI590:AS590" si="1183">AH594</f>
        <v>10.3</v>
      </c>
      <c r="AJ590" s="732">
        <f t="shared" si="1183"/>
        <v>9.1</v>
      </c>
      <c r="AK590" s="1008">
        <f t="shared" si="1183"/>
        <v>8.8999999999999986</v>
      </c>
      <c r="AL590" s="732">
        <f t="shared" si="1183"/>
        <v>7.9999999999999982</v>
      </c>
      <c r="AM590" s="732">
        <f t="shared" si="1183"/>
        <v>9.5999999999999979</v>
      </c>
      <c r="AN590" s="732">
        <f t="shared" si="1183"/>
        <v>9.6999999999999975</v>
      </c>
      <c r="AO590" s="1008">
        <f t="shared" si="1183"/>
        <v>11.499999999999998</v>
      </c>
      <c r="AP590" s="732">
        <f t="shared" si="1183"/>
        <v>11.299999999999999</v>
      </c>
      <c r="AQ590" s="732">
        <f t="shared" si="1183"/>
        <v>11.499999999999998</v>
      </c>
      <c r="AR590" s="732">
        <f t="shared" si="1183"/>
        <v>10.299999999999997</v>
      </c>
      <c r="AS590" s="732">
        <f t="shared" si="1183"/>
        <v>9.7999999999999972</v>
      </c>
      <c r="AT590" s="1009">
        <f t="shared" ref="AT590:BA590" si="1184">AS594</f>
        <v>9.3999999999999968</v>
      </c>
      <c r="AU590" s="732">
        <f t="shared" si="1184"/>
        <v>11.599999999999998</v>
      </c>
      <c r="AV590" s="732">
        <f t="shared" si="1184"/>
        <v>11.199999999999998</v>
      </c>
      <c r="AW590" s="1008">
        <f t="shared" si="1184"/>
        <v>10.499999999999998</v>
      </c>
      <c r="AX590" s="1009">
        <f t="shared" si="1184"/>
        <v>10.199999999999999</v>
      </c>
      <c r="AY590" s="732">
        <f t="shared" si="1184"/>
        <v>12.5</v>
      </c>
      <c r="AZ590" s="732">
        <f t="shared" si="1184"/>
        <v>12.5</v>
      </c>
      <c r="BA590" s="1008">
        <f t="shared" si="1184"/>
        <v>15.9</v>
      </c>
      <c r="BB590" s="1009">
        <f t="shared" ref="BB590:BH590" si="1185">BA594</f>
        <v>15.8</v>
      </c>
      <c r="BC590" s="732">
        <f t="shared" si="1185"/>
        <v>16.5</v>
      </c>
      <c r="BD590" s="732">
        <f t="shared" si="1185"/>
        <v>15.300000000000002</v>
      </c>
      <c r="BE590" s="1008">
        <f>BD594</f>
        <v>13.700000000000003</v>
      </c>
      <c r="BF590" s="1009">
        <f>BE594</f>
        <v>11.900000000000004</v>
      </c>
      <c r="BG590" s="732">
        <f t="shared" si="1185"/>
        <v>13.100000000000005</v>
      </c>
      <c r="BH590" s="732">
        <f t="shared" si="1185"/>
        <v>12.500000000000005</v>
      </c>
      <c r="BI590" s="1008">
        <f>BH594</f>
        <v>11.400000000000006</v>
      </c>
      <c r="BJ590" s="1009">
        <f t="shared" ref="BJ590:BU590" si="1186">BI594</f>
        <v>10.100000000000007</v>
      </c>
      <c r="BK590" s="732">
        <f t="shared" si="1186"/>
        <v>10.000000000000005</v>
      </c>
      <c r="BL590" s="732">
        <f t="shared" si="1186"/>
        <v>8.800000000000006</v>
      </c>
      <c r="BM590" s="1008">
        <f>BL594</f>
        <v>7.7000000000000064</v>
      </c>
      <c r="BN590" s="1009">
        <f t="shared" si="1186"/>
        <v>6.8000000000000069</v>
      </c>
      <c r="BO590" s="732">
        <f t="shared" si="1186"/>
        <v>7.8000000000000078</v>
      </c>
      <c r="BP590" s="732">
        <f t="shared" si="1186"/>
        <v>7.500000000000008</v>
      </c>
      <c r="BQ590" s="1008">
        <f t="shared" si="1186"/>
        <v>7.000000000000008</v>
      </c>
      <c r="BR590" s="1009">
        <f t="shared" si="1186"/>
        <v>9.0000000000000071</v>
      </c>
      <c r="BS590" s="732">
        <f t="shared" si="1186"/>
        <v>10.700000000000006</v>
      </c>
      <c r="BT590" s="732">
        <f t="shared" si="1186"/>
        <v>9.7000000000000064</v>
      </c>
      <c r="BU590" s="1008">
        <f t="shared" si="1186"/>
        <v>8.6000000000000068</v>
      </c>
      <c r="BV590" s="732">
        <f t="shared" ref="BV590:CC590" si="1187">BU594</f>
        <v>7.4000000000000075</v>
      </c>
      <c r="BW590" s="732">
        <f t="shared" si="1187"/>
        <v>15.036000000000005</v>
      </c>
      <c r="BX590" s="732">
        <f t="shared" si="1187"/>
        <v>22.265340000000009</v>
      </c>
      <c r="BY590" s="1008">
        <f t="shared" si="1187"/>
        <v>23.92555560000001</v>
      </c>
      <c r="BZ590" s="732">
        <f t="shared" si="1187"/>
        <v>25.975802046000013</v>
      </c>
      <c r="CA590" s="732">
        <f t="shared" si="1187"/>
        <v>28.429045728552012</v>
      </c>
      <c r="CB590" s="732">
        <f t="shared" si="1187"/>
        <v>30.573466516992973</v>
      </c>
      <c r="CC590" s="1008">
        <f t="shared" si="1187"/>
        <v>33.464554937201918</v>
      </c>
      <c r="CD590" s="9"/>
      <c r="CE590" s="458"/>
      <c r="CF590" s="555">
        <f t="shared" ref="CF590:CO590" si="1188">CE594</f>
        <v>0</v>
      </c>
      <c r="CG590" s="555">
        <f t="shared" si="1188"/>
        <v>29.1</v>
      </c>
      <c r="CH590" s="555">
        <f t="shared" si="1188"/>
        <v>25.000000000000004</v>
      </c>
      <c r="CI590" s="555">
        <f t="shared" si="1188"/>
        <v>25.100000000000005</v>
      </c>
      <c r="CJ590" s="83">
        <f>CI594</f>
        <v>19.500000000000007</v>
      </c>
      <c r="CK590" s="83">
        <f>CJ594</f>
        <v>12.400000000000007</v>
      </c>
      <c r="CL590" s="83">
        <f t="shared" si="1188"/>
        <v>10.800000000000008</v>
      </c>
      <c r="CM590" s="83">
        <f t="shared" si="1188"/>
        <v>8.0000000000000071</v>
      </c>
      <c r="CN590" s="83">
        <f t="shared" si="1188"/>
        <v>11.300000000000006</v>
      </c>
      <c r="CO590" s="83">
        <f t="shared" si="1188"/>
        <v>9.4000000000000075</v>
      </c>
      <c r="CP590" s="83">
        <f t="shared" ref="CP590:CW590" si="1189">CO594</f>
        <v>10.200000000000006</v>
      </c>
      <c r="CQ590" s="83">
        <f t="shared" si="1189"/>
        <v>15.800000000000008</v>
      </c>
      <c r="CR590" s="83">
        <f t="shared" si="1189"/>
        <v>11.900000000000006</v>
      </c>
      <c r="CS590" s="83">
        <f>CR594</f>
        <v>10.100000000000007</v>
      </c>
      <c r="CT590" s="83">
        <f>CS594</f>
        <v>6.8000000000000078</v>
      </c>
      <c r="CU590" s="83">
        <f t="shared" si="1189"/>
        <v>9.0000000000000089</v>
      </c>
      <c r="CV590" s="83">
        <f t="shared" si="1189"/>
        <v>7.4000000000000075</v>
      </c>
      <c r="CW590" s="83">
        <f t="shared" si="1189"/>
        <v>25.975802046000005</v>
      </c>
      <c r="CX590" s="83">
        <f t="shared" ref="CX590:DC590" si="1190">CW594</f>
        <v>32.469908225923959</v>
      </c>
      <c r="CY590" s="83">
        <f t="shared" si="1190"/>
        <v>37.578305840909245</v>
      </c>
      <c r="CZ590" s="83">
        <f t="shared" si="1190"/>
        <v>41.811699503372573</v>
      </c>
      <c r="DA590" s="83">
        <f t="shared" si="1190"/>
        <v>45.389153750466704</v>
      </c>
      <c r="DB590" s="83">
        <f t="shared" si="1190"/>
        <v>45.208626656804249</v>
      </c>
      <c r="DC590" s="83">
        <f t="shared" si="1190"/>
        <v>45.304833223374352</v>
      </c>
      <c r="DD590" s="1517"/>
      <c r="DE590" s="1483"/>
      <c r="DF590" s="24"/>
      <c r="DG590" s="24"/>
      <c r="DH590" s="24"/>
      <c r="DI590" s="24"/>
      <c r="DJ590" s="24"/>
      <c r="DK590" s="24"/>
      <c r="DL590" s="141"/>
      <c r="DM590" s="24"/>
      <c r="DN590" s="24"/>
      <c r="DO590" s="24"/>
      <c r="DP590" s="24"/>
      <c r="DQ590" s="24"/>
      <c r="DR590" s="24"/>
      <c r="DS590" s="24"/>
      <c r="DT590" s="24"/>
      <c r="DU590" s="24"/>
      <c r="DV590" s="24"/>
      <c r="DW590" s="24"/>
      <c r="DX590" s="24"/>
      <c r="DY590" s="24"/>
      <c r="DZ590" s="1561"/>
    </row>
    <row r="591" spans="1:136" hidden="1" outlineLevel="1">
      <c r="A591" s="3"/>
      <c r="B591" s="208"/>
      <c r="C591" s="319" t="s">
        <v>307</v>
      </c>
      <c r="D591" s="196"/>
      <c r="E591" s="197"/>
      <c r="F591" s="196"/>
      <c r="G591" s="196"/>
      <c r="H591" s="196"/>
      <c r="I591" s="197"/>
      <c r="J591" s="491"/>
      <c r="K591" s="487"/>
      <c r="L591" s="487"/>
      <c r="M591" s="488"/>
      <c r="N591" s="491">
        <f>$CG591/4</f>
        <v>1.4</v>
      </c>
      <c r="O591" s="487">
        <f>$CG591/4</f>
        <v>1.4</v>
      </c>
      <c r="P591" s="487">
        <f>$CG591/4</f>
        <v>1.4</v>
      </c>
      <c r="Q591" s="1041">
        <f>5.6-P591-O591-N591</f>
        <v>1.3999999999999995</v>
      </c>
      <c r="R591" s="491">
        <f>$CH591/4</f>
        <v>1.1000000000000001</v>
      </c>
      <c r="S591" s="487">
        <f>$CH591/4</f>
        <v>1.1000000000000001</v>
      </c>
      <c r="T591" s="487">
        <f>$CH591/4</f>
        <v>1.1000000000000001</v>
      </c>
      <c r="U591" s="1041">
        <f>4.4-T591-S591-R591</f>
        <v>1.1000000000000001</v>
      </c>
      <c r="V591" s="1100">
        <f>$CI591/4</f>
        <v>1.1000000000000001</v>
      </c>
      <c r="W591" s="1099">
        <f>$CI591/4</f>
        <v>1.1000000000000001</v>
      </c>
      <c r="X591" s="1099">
        <f>$CI591/4</f>
        <v>1.1000000000000001</v>
      </c>
      <c r="Y591" s="1041">
        <f>4.4-X591-W591-V591</f>
        <v>1.1000000000000001</v>
      </c>
      <c r="Z591" s="1075">
        <v>0.2</v>
      </c>
      <c r="AA591" s="1106">
        <v>0.5</v>
      </c>
      <c r="AB591" s="1106">
        <v>0.3</v>
      </c>
      <c r="AC591" s="1041">
        <f>1.2-AB591-AA591-Z591</f>
        <v>0.1999999999999999</v>
      </c>
      <c r="AD591" s="1074">
        <v>0.1</v>
      </c>
      <c r="AE591" s="1075">
        <v>1</v>
      </c>
      <c r="AF591" s="1075">
        <v>0.3</v>
      </c>
      <c r="AG591" s="1075">
        <f>1.6-AF591-AE591-AD591</f>
        <v>0.20000000000000004</v>
      </c>
      <c r="AH591" s="1135">
        <v>1.2</v>
      </c>
      <c r="AI591" s="1006">
        <v>0.2</v>
      </c>
      <c r="AJ591" s="1006">
        <v>0.6</v>
      </c>
      <c r="AK591" s="1067">
        <f>2.1-AJ591-AI591-AH591</f>
        <v>0.10000000000000009</v>
      </c>
      <c r="AL591" s="1006">
        <v>1.7</v>
      </c>
      <c r="AM591" s="1006">
        <v>0.2</v>
      </c>
      <c r="AN591" s="1006">
        <v>2</v>
      </c>
      <c r="AO591" s="1067">
        <f>4.2-AN591-AM591-AL591</f>
        <v>0.30000000000000004</v>
      </c>
      <c r="AP591" s="1006">
        <v>1.2</v>
      </c>
      <c r="AQ591" s="1006">
        <f>0.2</f>
        <v>0.2</v>
      </c>
      <c r="AR591" s="1006">
        <v>0</v>
      </c>
      <c r="AS591" s="1006">
        <f>1.4-SUM(AP591:AR591)</f>
        <v>0</v>
      </c>
      <c r="AT591" s="1135">
        <v>2.4</v>
      </c>
      <c r="AU591" s="1006">
        <v>0.1</v>
      </c>
      <c r="AV591" s="1006">
        <v>0</v>
      </c>
      <c r="AW591" s="1067">
        <f>2.5-SUM(AT591:AV591)</f>
        <v>0</v>
      </c>
      <c r="AX591" s="1135">
        <v>2.5</v>
      </c>
      <c r="AY591" s="1006">
        <v>0.2</v>
      </c>
      <c r="AZ591" s="1006">
        <f>0.1+4.2</f>
        <v>4.3</v>
      </c>
      <c r="BA591" s="1067">
        <f>3.7+4.2-SUM(AX591:AZ591)</f>
        <v>0.90000000000000036</v>
      </c>
      <c r="BB591" s="1135">
        <v>3</v>
      </c>
      <c r="BC591" s="1006">
        <v>0.1</v>
      </c>
      <c r="BD591" s="1006">
        <v>0.2</v>
      </c>
      <c r="BE591" s="1067">
        <f>3.4-SUM(BB591:BD591)</f>
        <v>9.9999999999999645E-2</v>
      </c>
      <c r="BF591" s="1365">
        <f>1.6+0.4</f>
        <v>2</v>
      </c>
      <c r="BG591" s="1386">
        <f>1.3</f>
        <v>1.3</v>
      </c>
      <c r="BH591" s="1386">
        <v>0</v>
      </c>
      <c r="BI591" s="1067">
        <f>1.6+1.7-SUM(BF591:BH591)</f>
        <v>0</v>
      </c>
      <c r="BJ591" s="1365">
        <v>1.2</v>
      </c>
      <c r="BK591" s="1386">
        <v>0</v>
      </c>
      <c r="BL591" s="1386">
        <v>0.1</v>
      </c>
      <c r="BM591" s="1067">
        <f>1.2+0.1-SUM(BJ591:BL591)</f>
        <v>0</v>
      </c>
      <c r="BN591" s="1365">
        <v>1.6</v>
      </c>
      <c r="BO591" s="1386">
        <v>0</v>
      </c>
      <c r="BP591" s="1386">
        <f>1.7-SUM(BN591:BO591)</f>
        <v>9.9999999999999867E-2</v>
      </c>
      <c r="BQ591" s="1067">
        <f>1.7+2.9-SUM(BN591:BP591)</f>
        <v>2.8999999999999995</v>
      </c>
      <c r="BR591" s="1365">
        <v>2.8</v>
      </c>
      <c r="BS591" s="1386">
        <f>2.8-SUM(BR591)</f>
        <v>0</v>
      </c>
      <c r="BT591" s="1386">
        <f>2.8-SUM(BR591:BS591)</f>
        <v>0</v>
      </c>
      <c r="BU591" s="1067">
        <f>2.8-SUM(BR591:BT591)</f>
        <v>0</v>
      </c>
      <c r="BV591" s="1010">
        <f t="shared" ref="BV591:CC591" si="1191">BV567*BV601</f>
        <v>8.82</v>
      </c>
      <c r="BW591" s="1010">
        <f t="shared" si="1191"/>
        <v>8.8833000000000002</v>
      </c>
      <c r="BX591" s="1010">
        <f t="shared" si="1191"/>
        <v>2.9961360000000004</v>
      </c>
      <c r="BY591" s="1011">
        <f t="shared" si="1191"/>
        <v>3.0072686700000002</v>
      </c>
      <c r="BZ591" s="1010">
        <f t="shared" si="1191"/>
        <v>2.7130017030120004</v>
      </c>
      <c r="CA591" s="1010">
        <f t="shared" si="1191"/>
        <v>2.7130017030120004</v>
      </c>
      <c r="CB591" s="1010">
        <f t="shared" si="1191"/>
        <v>3.5025577505488004</v>
      </c>
      <c r="CC591" s="1011">
        <f t="shared" si="1191"/>
        <v>3.0244463366800005</v>
      </c>
      <c r="CD591" s="9"/>
      <c r="CE591" s="458"/>
      <c r="CF591" s="458">
        <v>0</v>
      </c>
      <c r="CG591" s="458">
        <v>5.6</v>
      </c>
      <c r="CH591" s="458">
        <v>4.4000000000000004</v>
      </c>
      <c r="CI591" s="459">
        <v>4.4000000000000004</v>
      </c>
      <c r="CJ591" s="888">
        <v>1.2</v>
      </c>
      <c r="CK591" s="83">
        <f>SUM(AD591:AG591)</f>
        <v>1.6</v>
      </c>
      <c r="CL591" s="83">
        <f>SUM(AH591:AK591)</f>
        <v>2.1</v>
      </c>
      <c r="CM591" s="83">
        <f>SUM(AL591:AO591)</f>
        <v>4.2</v>
      </c>
      <c r="CN591" s="83">
        <f>SUM(AP591:AS591)</f>
        <v>1.4</v>
      </c>
      <c r="CO591" s="29">
        <f>SUM(AT591:AW591)</f>
        <v>2.5</v>
      </c>
      <c r="CP591" s="29">
        <f>SUM(AX591:BA591)</f>
        <v>7.9</v>
      </c>
      <c r="CQ591" s="29">
        <f>SUM(BB591:BE591)</f>
        <v>3.4</v>
      </c>
      <c r="CR591" s="11">
        <f>SUM(BF591:BI591)</f>
        <v>3.3</v>
      </c>
      <c r="CS591" s="11">
        <f>SUM(BJ591:BM591)</f>
        <v>1.3</v>
      </c>
      <c r="CT591" s="11">
        <f>SUM(BN591:BQ591)</f>
        <v>4.5999999999999996</v>
      </c>
      <c r="CU591" s="11">
        <f>SUM(BR591:BU591)</f>
        <v>2.8</v>
      </c>
      <c r="CV591" s="11">
        <f>SUM(BV591:BY591)</f>
        <v>23.706704670000001</v>
      </c>
      <c r="CW591" s="11">
        <f>SUM(BZ591:CC591)</f>
        <v>11.953007493252802</v>
      </c>
      <c r="CX591" s="11">
        <f t="shared" ref="CX591:DC591" si="1192">CX567*CX601</f>
        <v>12.251777424688557</v>
      </c>
      <c r="CY591" s="11">
        <f t="shared" si="1192"/>
        <v>12.500620947463362</v>
      </c>
      <c r="CZ591" s="11">
        <f t="shared" si="1192"/>
        <v>12.776028137836091</v>
      </c>
      <c r="DA591" s="11">
        <f t="shared" si="1192"/>
        <v>9.8050867314402197</v>
      </c>
      <c r="DB591" s="11">
        <f t="shared" si="1192"/>
        <v>10.042104431067042</v>
      </c>
      <c r="DC591" s="11">
        <f t="shared" si="1192"/>
        <v>10.278418075028577</v>
      </c>
      <c r="DD591" s="1517"/>
      <c r="DE591" s="1483"/>
      <c r="DF591" s="24"/>
      <c r="DG591" s="24"/>
      <c r="DH591" s="24"/>
      <c r="DI591" s="24"/>
      <c r="DJ591" s="24"/>
      <c r="DK591" s="29"/>
      <c r="DL591" s="141"/>
      <c r="DM591" s="24"/>
      <c r="DN591" s="24"/>
      <c r="DO591" s="24"/>
      <c r="DP591" s="24"/>
      <c r="DQ591" s="24"/>
      <c r="DR591" s="24"/>
      <c r="DS591" s="24"/>
      <c r="DT591" s="24"/>
      <c r="DU591" s="24"/>
      <c r="DV591" s="24"/>
      <c r="DW591" s="24"/>
      <c r="DX591" s="24"/>
      <c r="DY591" s="24"/>
      <c r="DZ591" s="1561"/>
    </row>
    <row r="592" spans="1:136" hidden="1" outlineLevel="1">
      <c r="A592" s="3"/>
      <c r="B592" s="208"/>
      <c r="C592" s="319" t="s">
        <v>678</v>
      </c>
      <c r="D592" s="196"/>
      <c r="E592" s="197"/>
      <c r="F592" s="196"/>
      <c r="G592" s="196"/>
      <c r="H592" s="196"/>
      <c r="I592" s="197"/>
      <c r="J592" s="491"/>
      <c r="K592" s="487"/>
      <c r="L592" s="487"/>
      <c r="M592" s="488"/>
      <c r="N592" s="491">
        <f t="shared" ref="N592:P593" si="1193">$CG592/4</f>
        <v>2.2000000000000002</v>
      </c>
      <c r="O592" s="487">
        <f t="shared" si="1193"/>
        <v>2.2000000000000002</v>
      </c>
      <c r="P592" s="487">
        <f t="shared" si="1193"/>
        <v>2.2000000000000002</v>
      </c>
      <c r="Q592" s="1041">
        <f>8.8-P592-O592-N592</f>
        <v>2.2000000000000002</v>
      </c>
      <c r="R592" s="491">
        <f t="shared" ref="R592:T593" si="1194">$CH592/4</f>
        <v>0.75</v>
      </c>
      <c r="S592" s="487">
        <f t="shared" si="1194"/>
        <v>0.75</v>
      </c>
      <c r="T592" s="487">
        <f t="shared" si="1194"/>
        <v>0.75</v>
      </c>
      <c r="U592" s="1041">
        <f>3-T592-S592-R592</f>
        <v>0.75</v>
      </c>
      <c r="V592" s="1100">
        <f t="shared" ref="V592:X593" si="1195">$CI592/4</f>
        <v>2.2999999999999998</v>
      </c>
      <c r="W592" s="1099">
        <f t="shared" si="1195"/>
        <v>2.2999999999999998</v>
      </c>
      <c r="X592" s="1099">
        <f t="shared" si="1195"/>
        <v>2.2999999999999998</v>
      </c>
      <c r="Y592" s="1041">
        <f>9.2-X592-W592-V592</f>
        <v>2.2999999999999998</v>
      </c>
      <c r="Z592" s="1075">
        <v>0.7</v>
      </c>
      <c r="AA592" s="1106">
        <v>2.2999999999999998</v>
      </c>
      <c r="AB592" s="1106">
        <v>4.0999999999999996</v>
      </c>
      <c r="AC592" s="1041">
        <f>7.6-AB592-AA592-Z592</f>
        <v>0.50000000000000022</v>
      </c>
      <c r="AD592" s="1074">
        <v>0.2</v>
      </c>
      <c r="AE592" s="1075">
        <v>0.9</v>
      </c>
      <c r="AF592" s="1075">
        <v>1</v>
      </c>
      <c r="AG592" s="1075">
        <f>2.7-AF592-AE592-AD592</f>
        <v>0.60000000000000009</v>
      </c>
      <c r="AH592" s="1135">
        <v>1.1000000000000001</v>
      </c>
      <c r="AI592" s="1006">
        <v>1.4</v>
      </c>
      <c r="AJ592" s="1006">
        <v>0.8</v>
      </c>
      <c r="AK592" s="1067">
        <f>4.2-AJ592-AI592-AH592</f>
        <v>0.90000000000000036</v>
      </c>
      <c r="AL592" s="1006">
        <v>0.1</v>
      </c>
      <c r="AM592" s="1006">
        <v>0.1</v>
      </c>
      <c r="AN592" s="1006">
        <v>0.1</v>
      </c>
      <c r="AO592" s="1067">
        <f>0.6-AN592-AM592-AL592</f>
        <v>0.30000000000000004</v>
      </c>
      <c r="AP592" s="1006">
        <v>1</v>
      </c>
      <c r="AQ592" s="1006">
        <v>1.3</v>
      </c>
      <c r="AR592" s="1006">
        <v>0.5</v>
      </c>
      <c r="AS592" s="1006">
        <f>3.1-SUM(AP592:AR592)</f>
        <v>0.30000000000000027</v>
      </c>
      <c r="AT592" s="1135">
        <v>0.1</v>
      </c>
      <c r="AU592" s="1006">
        <v>0.4</v>
      </c>
      <c r="AV592" s="1006">
        <v>0.6</v>
      </c>
      <c r="AW592" s="1067">
        <f>1.4-(SUM(AT592:AV592))</f>
        <v>0.29999999999999982</v>
      </c>
      <c r="AX592" s="1135">
        <v>0.2</v>
      </c>
      <c r="AY592" s="1006">
        <v>0.2</v>
      </c>
      <c r="AZ592" s="1006">
        <v>0.9</v>
      </c>
      <c r="BA592" s="1067">
        <f>2.1-SUM(AX592:AZ592)</f>
        <v>0.8</v>
      </c>
      <c r="BB592" s="1135">
        <v>2.2000000000000002</v>
      </c>
      <c r="BC592" s="1006">
        <v>1.2</v>
      </c>
      <c r="BD592" s="1006">
        <v>1.6</v>
      </c>
      <c r="BE592" s="1067">
        <f>6.8-SUM(BB592:BD592)</f>
        <v>1.7999999999999998</v>
      </c>
      <c r="BF592" s="1365">
        <v>0.7</v>
      </c>
      <c r="BG592" s="1386">
        <v>1.6</v>
      </c>
      <c r="BH592" s="1386">
        <v>1</v>
      </c>
      <c r="BI592" s="1067">
        <f>4.5-SUM(BF592:BH592)</f>
        <v>1.2000000000000002</v>
      </c>
      <c r="BJ592" s="1365">
        <v>1.3</v>
      </c>
      <c r="BK592" s="1386">
        <v>1.1000000000000001</v>
      </c>
      <c r="BL592" s="1386">
        <v>1.1000000000000001</v>
      </c>
      <c r="BM592" s="1067">
        <f>4.1-SUM(BJ592:BL592)</f>
        <v>0.5999999999999992</v>
      </c>
      <c r="BN592" s="1365">
        <v>0.5</v>
      </c>
      <c r="BO592" s="1386">
        <v>0.2</v>
      </c>
      <c r="BP592" s="1386">
        <f>1.2-SUM(BN592:BO592)</f>
        <v>0.5</v>
      </c>
      <c r="BQ592" s="1067">
        <f>1.7-SUM(BN592:BP592)</f>
        <v>0.5</v>
      </c>
      <c r="BR592" s="1365">
        <v>0.8</v>
      </c>
      <c r="BS592" s="1386">
        <f>1.5-SUM(BR592)</f>
        <v>0.7</v>
      </c>
      <c r="BT592" s="1386">
        <f>2.4-SUM(BR592:BS592)</f>
        <v>0.89999999999999991</v>
      </c>
      <c r="BU592" s="1067">
        <f>3.5-SUM(BR592:BT592)</f>
        <v>1.1000000000000001</v>
      </c>
      <c r="BV592" s="1010">
        <f t="shared" ref="BV592:CC592" si="1196">BV590*BV602</f>
        <v>1.110000000000001</v>
      </c>
      <c r="BW592" s="1010">
        <f t="shared" si="1196"/>
        <v>1.5036000000000005</v>
      </c>
      <c r="BX592" s="1010">
        <f t="shared" si="1196"/>
        <v>1.1132670000000005</v>
      </c>
      <c r="BY592" s="1011">
        <f t="shared" si="1196"/>
        <v>0.71776666800000022</v>
      </c>
      <c r="BZ592" s="1010">
        <f t="shared" si="1196"/>
        <v>0</v>
      </c>
      <c r="CA592" s="1010">
        <f t="shared" si="1196"/>
        <v>0</v>
      </c>
      <c r="CB592" s="1010">
        <f t="shared" si="1196"/>
        <v>0</v>
      </c>
      <c r="CC592" s="1011">
        <f t="shared" si="1196"/>
        <v>3.3498019492139117</v>
      </c>
      <c r="CD592" s="9"/>
      <c r="CE592" s="458"/>
      <c r="CF592" s="458">
        <v>0</v>
      </c>
      <c r="CG592" s="458">
        <v>8.8000000000000007</v>
      </c>
      <c r="CH592" s="458">
        <v>3</v>
      </c>
      <c r="CI592" s="459">
        <v>9.1999999999999993</v>
      </c>
      <c r="CJ592" s="888">
        <v>7.6</v>
      </c>
      <c r="CK592" s="83">
        <f>SUM(AD592:AG592)</f>
        <v>2.7</v>
      </c>
      <c r="CL592" s="83">
        <f>SUM(AH592:AK592)</f>
        <v>4.2</v>
      </c>
      <c r="CM592" s="83">
        <f>SUM(AL592:AO592)</f>
        <v>0.60000000000000009</v>
      </c>
      <c r="CN592" s="83">
        <f>SUM(AP592:AS592)</f>
        <v>3.1</v>
      </c>
      <c r="CO592" s="29">
        <f>SUM(AT592:AW592)</f>
        <v>1.4</v>
      </c>
      <c r="CP592" s="29">
        <f>SUM(AX592:BA592)</f>
        <v>2.1</v>
      </c>
      <c r="CQ592" s="29">
        <f>SUM(BB592:BE592)</f>
        <v>6.8</v>
      </c>
      <c r="CR592" s="11">
        <f>SUM(BF592:BI592)</f>
        <v>4.5</v>
      </c>
      <c r="CS592" s="11">
        <f>SUM(BJ592:BM592)</f>
        <v>4.0999999999999996</v>
      </c>
      <c r="CT592" s="11">
        <f>SUM(BN592:BQ592)</f>
        <v>1.7</v>
      </c>
      <c r="CU592" s="11">
        <f>SUM(BR592:BU592)</f>
        <v>3.5</v>
      </c>
      <c r="CV592" s="11">
        <f>SUM(BV592:BY592)</f>
        <v>4.4446336680000025</v>
      </c>
      <c r="CW592" s="11">
        <f>SUM(BZ592:CC592)</f>
        <v>3.3498019492139117</v>
      </c>
      <c r="CX592" s="11">
        <f t="shared" ref="CX592:DC592" si="1197">CX590*CX602</f>
        <v>4.2210880693701149</v>
      </c>
      <c r="CY592" s="11">
        <f t="shared" si="1197"/>
        <v>4.885179759318202</v>
      </c>
      <c r="CZ592" s="11">
        <f t="shared" si="1197"/>
        <v>5.4355209354384346</v>
      </c>
      <c r="DA592" s="11">
        <f t="shared" si="1197"/>
        <v>5.9005899875606715</v>
      </c>
      <c r="DB592" s="11">
        <f t="shared" si="1197"/>
        <v>5.8771214653845529</v>
      </c>
      <c r="DC592" s="11">
        <f t="shared" si="1197"/>
        <v>5.8896283190386658</v>
      </c>
      <c r="DD592" s="1517"/>
      <c r="DE592" s="1483"/>
      <c r="DF592" s="24"/>
      <c r="DG592" s="24"/>
      <c r="DH592" s="24"/>
      <c r="DI592" s="24"/>
      <c r="DJ592" s="24"/>
      <c r="DK592" s="24"/>
      <c r="DL592" s="141"/>
      <c r="DM592" s="24"/>
      <c r="DN592" s="24"/>
      <c r="DO592" s="24"/>
      <c r="DP592" s="24"/>
      <c r="DQ592" s="24"/>
      <c r="DR592" s="24"/>
      <c r="DS592" s="24"/>
      <c r="DT592" s="24"/>
      <c r="DU592" s="24"/>
      <c r="DV592" s="24"/>
      <c r="DW592" s="24"/>
      <c r="DX592" s="24"/>
      <c r="DY592" s="24"/>
      <c r="DZ592" s="1561"/>
    </row>
    <row r="593" spans="1:130" hidden="1" outlineLevel="1">
      <c r="A593" s="3"/>
      <c r="B593" s="208"/>
      <c r="C593" s="319" t="s">
        <v>308</v>
      </c>
      <c r="D593" s="196"/>
      <c r="E593" s="197"/>
      <c r="F593" s="196"/>
      <c r="G593" s="196"/>
      <c r="H593" s="196"/>
      <c r="I593" s="197"/>
      <c r="J593" s="491"/>
      <c r="K593" s="487"/>
      <c r="L593" s="487"/>
      <c r="M593" s="488"/>
      <c r="N593" s="491">
        <f t="shared" si="1193"/>
        <v>0.22500000000000001</v>
      </c>
      <c r="O593" s="487">
        <f t="shared" si="1193"/>
        <v>0.22500000000000001</v>
      </c>
      <c r="P593" s="487">
        <f t="shared" si="1193"/>
        <v>0.22500000000000001</v>
      </c>
      <c r="Q593" s="1041">
        <f>0.9-P593-O593-N593</f>
        <v>0.22500000000000006</v>
      </c>
      <c r="R593" s="491">
        <f t="shared" si="1194"/>
        <v>0.32500000000000001</v>
      </c>
      <c r="S593" s="487">
        <f t="shared" si="1194"/>
        <v>0.32500000000000001</v>
      </c>
      <c r="T593" s="487">
        <f t="shared" si="1194"/>
        <v>0.32500000000000001</v>
      </c>
      <c r="U593" s="1041">
        <f>1.3-T593-S593-R593</f>
        <v>0.32500000000000012</v>
      </c>
      <c r="V593" s="1100">
        <f t="shared" si="1195"/>
        <v>0.2</v>
      </c>
      <c r="W593" s="1099">
        <f t="shared" si="1195"/>
        <v>0.2</v>
      </c>
      <c r="X593" s="1099">
        <f t="shared" si="1195"/>
        <v>0.2</v>
      </c>
      <c r="Y593" s="1041">
        <f>0.8-X593-W593-V593</f>
        <v>0.20000000000000007</v>
      </c>
      <c r="Z593" s="1075">
        <v>0.4</v>
      </c>
      <c r="AA593" s="1106">
        <v>0.1</v>
      </c>
      <c r="AB593" s="1106">
        <v>0.1</v>
      </c>
      <c r="AC593" s="1041">
        <f>0.7-AB593-AA593-Z593</f>
        <v>9.9999999999999978E-2</v>
      </c>
      <c r="AD593" s="1074">
        <v>0.1</v>
      </c>
      <c r="AE593" s="1075">
        <v>0.3</v>
      </c>
      <c r="AF593" s="1075">
        <v>0</v>
      </c>
      <c r="AG593" s="1075">
        <f>0.5-AF593-AE593-AD593</f>
        <v>0.1</v>
      </c>
      <c r="AH593" s="1135">
        <v>0.6</v>
      </c>
      <c r="AI593" s="1006">
        <v>0</v>
      </c>
      <c r="AJ593" s="1006">
        <v>0</v>
      </c>
      <c r="AK593" s="1067">
        <f>0.7-AJ593-AI593-AH593</f>
        <v>9.9999999999999978E-2</v>
      </c>
      <c r="AL593" s="1006">
        <v>0</v>
      </c>
      <c r="AM593" s="1006">
        <v>0</v>
      </c>
      <c r="AN593" s="1006">
        <v>0.1</v>
      </c>
      <c r="AO593" s="1067">
        <f>0.3-AN593-AM593-AL593</f>
        <v>0.19999999999999998</v>
      </c>
      <c r="AP593" s="1006">
        <v>0</v>
      </c>
      <c r="AQ593" s="1006">
        <v>0.1</v>
      </c>
      <c r="AR593" s="1006">
        <v>0</v>
      </c>
      <c r="AS593" s="1006">
        <f>0.2-SUM(AP593:AR593)</f>
        <v>0.1</v>
      </c>
      <c r="AT593" s="1135">
        <v>0.1</v>
      </c>
      <c r="AU593" s="1006">
        <v>0.1</v>
      </c>
      <c r="AV593" s="1006">
        <v>0.1</v>
      </c>
      <c r="AW593" s="1067">
        <f>0.3-SUM(AT593:AV593)</f>
        <v>0</v>
      </c>
      <c r="AX593" s="1135">
        <v>0</v>
      </c>
      <c r="AY593" s="1006">
        <v>0</v>
      </c>
      <c r="AZ593" s="1006">
        <v>0</v>
      </c>
      <c r="BA593" s="1067">
        <f>0.2-SUM(AX593:AZ593)</f>
        <v>0.2</v>
      </c>
      <c r="BB593" s="1135">
        <v>0.1</v>
      </c>
      <c r="BC593" s="1006">
        <v>0.1</v>
      </c>
      <c r="BD593" s="1006">
        <v>0.2</v>
      </c>
      <c r="BE593" s="1067">
        <f>0.5-SUM(BB593:BD593)</f>
        <v>9.9999999999999978E-2</v>
      </c>
      <c r="BF593" s="1365">
        <v>0.1</v>
      </c>
      <c r="BG593" s="1386">
        <v>0.3</v>
      </c>
      <c r="BH593" s="1386">
        <v>0.1</v>
      </c>
      <c r="BI593" s="1067">
        <f>0.6-SUM(BF593:BH593)</f>
        <v>9.9999999999999978E-2</v>
      </c>
      <c r="BJ593" s="1365">
        <v>0</v>
      </c>
      <c r="BK593" s="1386">
        <v>0.1</v>
      </c>
      <c r="BL593" s="1386">
        <v>0.1</v>
      </c>
      <c r="BM593" s="1067">
        <f>0.5-SUM(BJ593:BL593)</f>
        <v>0.3</v>
      </c>
      <c r="BN593" s="1365">
        <v>0.1</v>
      </c>
      <c r="BO593" s="1386">
        <v>0.1</v>
      </c>
      <c r="BP593" s="1386">
        <f>0.3-SUM(BN593:BO593)</f>
        <v>9.9999999999999978E-2</v>
      </c>
      <c r="BQ593" s="1067">
        <f>0.7-SUM(BN593:BP593)</f>
        <v>0.39999999999999997</v>
      </c>
      <c r="BR593" s="1365">
        <v>0.3</v>
      </c>
      <c r="BS593" s="1386">
        <f>0.6-SUM(BR593)</f>
        <v>0.3</v>
      </c>
      <c r="BT593" s="1386">
        <f>0.8-SUM(BR593:BS593)</f>
        <v>0.20000000000000007</v>
      </c>
      <c r="BU593" s="1067">
        <f>0.9-SUM(BR593:BT593)</f>
        <v>9.9999999999999978E-2</v>
      </c>
      <c r="BV593" s="1010">
        <f t="shared" ref="BV593:CC593" si="1198">BV590*BV603</f>
        <v>7.400000000000008E-2</v>
      </c>
      <c r="BW593" s="1010">
        <f t="shared" si="1198"/>
        <v>0.15036000000000005</v>
      </c>
      <c r="BX593" s="1010">
        <f t="shared" si="1198"/>
        <v>0.22265340000000008</v>
      </c>
      <c r="BY593" s="1011">
        <f t="shared" si="1198"/>
        <v>0.23925555600000009</v>
      </c>
      <c r="BZ593" s="1010">
        <f t="shared" si="1198"/>
        <v>0.25975802046000013</v>
      </c>
      <c r="CA593" s="1010">
        <f t="shared" si="1198"/>
        <v>0.56858091457104021</v>
      </c>
      <c r="CB593" s="1010">
        <f t="shared" si="1198"/>
        <v>0.61146933033985951</v>
      </c>
      <c r="CC593" s="1011">
        <f t="shared" si="1198"/>
        <v>0.66929109874403836</v>
      </c>
      <c r="CD593" s="9"/>
      <c r="CE593" s="458"/>
      <c r="CF593" s="458">
        <v>0</v>
      </c>
      <c r="CG593" s="458">
        <v>0.9</v>
      </c>
      <c r="CH593" s="458">
        <v>1.3</v>
      </c>
      <c r="CI593" s="459">
        <v>0.8</v>
      </c>
      <c r="CJ593" s="888">
        <v>0.7</v>
      </c>
      <c r="CK593" s="83">
        <f>SUM(AD593:AG593)</f>
        <v>0.5</v>
      </c>
      <c r="CL593" s="83">
        <f>SUM(AH593:AK593)</f>
        <v>0.7</v>
      </c>
      <c r="CM593" s="83">
        <f>SUM(AL593:AO593)</f>
        <v>0.3</v>
      </c>
      <c r="CN593" s="83">
        <f>SUM(AP593:AS593)</f>
        <v>0.2</v>
      </c>
      <c r="CO593" s="29">
        <f>SUM(AT593:AW593)</f>
        <v>0.30000000000000004</v>
      </c>
      <c r="CP593" s="29">
        <f>SUM(AX593:BA593)</f>
        <v>0.2</v>
      </c>
      <c r="CQ593" s="29">
        <f>SUM(BB593:BE593)</f>
        <v>0.5</v>
      </c>
      <c r="CR593" s="11">
        <f>SUM(BF593:BI593)</f>
        <v>0.6</v>
      </c>
      <c r="CS593" s="11">
        <f>SUM(BJ593:BM593)</f>
        <v>0.5</v>
      </c>
      <c r="CT593" s="11">
        <f>SUM(BN593:BQ593)</f>
        <v>0.7</v>
      </c>
      <c r="CU593" s="11">
        <f>SUM(BR593:BU593)</f>
        <v>0.9</v>
      </c>
      <c r="CV593" s="11">
        <f>SUM(BV593:BY593)</f>
        <v>0.68626895600000037</v>
      </c>
      <c r="CW593" s="11">
        <f>SUM(BZ593:CC593)</f>
        <v>2.1090993641149383</v>
      </c>
      <c r="CX593" s="11">
        <f t="shared" ref="CX593:DC593" si="1199">CX590*CX603</f>
        <v>2.9222917403331561</v>
      </c>
      <c r="CY593" s="11">
        <f t="shared" si="1199"/>
        <v>3.3820475256818319</v>
      </c>
      <c r="CZ593" s="11">
        <f t="shared" si="1199"/>
        <v>3.7630529553035315</v>
      </c>
      <c r="DA593" s="11">
        <f t="shared" si="1199"/>
        <v>4.0850238375420034</v>
      </c>
      <c r="DB593" s="11">
        <f t="shared" si="1199"/>
        <v>4.068776399112382</v>
      </c>
      <c r="DC593" s="11">
        <f t="shared" si="1199"/>
        <v>4.0774349901036917</v>
      </c>
      <c r="DD593" s="1517"/>
      <c r="DE593" s="1483"/>
      <c r="DF593" s="24"/>
      <c r="DG593" s="24"/>
      <c r="DH593" s="24"/>
      <c r="DI593" s="24"/>
      <c r="DJ593" s="24"/>
      <c r="DK593" s="24"/>
      <c r="DL593" s="141"/>
      <c r="DM593" s="24"/>
      <c r="DN593" s="24"/>
      <c r="DO593" s="24"/>
      <c r="DP593" s="24"/>
      <c r="DQ593" s="24"/>
      <c r="DR593" s="24"/>
      <c r="DS593" s="24"/>
      <c r="DT593" s="24"/>
      <c r="DU593" s="24"/>
      <c r="DV593" s="24"/>
      <c r="DW593" s="24"/>
      <c r="DX593" s="24"/>
      <c r="DY593" s="24"/>
      <c r="DZ593" s="1561"/>
    </row>
    <row r="594" spans="1:130" hidden="1" outlineLevel="1">
      <c r="A594" s="3"/>
      <c r="B594" s="224"/>
      <c r="C594" s="196" t="s">
        <v>657</v>
      </c>
      <c r="D594" s="196"/>
      <c r="E594" s="197"/>
      <c r="F594" s="196"/>
      <c r="G594" s="196"/>
      <c r="H594" s="196"/>
      <c r="I594" s="197"/>
      <c r="J594" s="501"/>
      <c r="K594" s="501"/>
      <c r="L594" s="501"/>
      <c r="M594" s="1096"/>
      <c r="N594" s="501">
        <f t="shared" ref="N594:V594" si="1200">N590+N591-N592-N593</f>
        <v>-1.0250000000000004</v>
      </c>
      <c r="O594" s="501">
        <f t="shared" si="1200"/>
        <v>-2.0500000000000007</v>
      </c>
      <c r="P594" s="501">
        <f t="shared" si="1200"/>
        <v>-3.0750000000000011</v>
      </c>
      <c r="Q594" s="1093">
        <v>25.1</v>
      </c>
      <c r="R594" s="501">
        <f t="shared" si="1200"/>
        <v>25.125000000000004</v>
      </c>
      <c r="S594" s="501">
        <f t="shared" si="1200"/>
        <v>25.150000000000006</v>
      </c>
      <c r="T594" s="501">
        <f t="shared" si="1200"/>
        <v>25.175000000000008</v>
      </c>
      <c r="U594" s="1093">
        <v>25.1</v>
      </c>
      <c r="V594" s="1101">
        <f t="shared" si="1200"/>
        <v>23.700000000000003</v>
      </c>
      <c r="W594" s="1004">
        <f t="shared" ref="W594:AS594" si="1201">W590+W591-W592-W593</f>
        <v>22.300000000000004</v>
      </c>
      <c r="X594" s="1004">
        <f t="shared" si="1201"/>
        <v>20.900000000000006</v>
      </c>
      <c r="Y594" s="1003">
        <v>19.5</v>
      </c>
      <c r="Z594" s="1004">
        <f t="shared" si="1201"/>
        <v>18.600000000000001</v>
      </c>
      <c r="AA594" s="1004">
        <f t="shared" si="1201"/>
        <v>16.7</v>
      </c>
      <c r="AB594" s="1004">
        <f t="shared" si="1201"/>
        <v>12.8</v>
      </c>
      <c r="AC594" s="1003">
        <v>12.4</v>
      </c>
      <c r="AD594" s="1004">
        <f t="shared" si="1201"/>
        <v>12.200000000000001</v>
      </c>
      <c r="AE594" s="1004">
        <f t="shared" si="1201"/>
        <v>12</v>
      </c>
      <c r="AF594" s="1004">
        <f t="shared" si="1201"/>
        <v>11.3</v>
      </c>
      <c r="AG594" s="1004">
        <f t="shared" si="1201"/>
        <v>10.8</v>
      </c>
      <c r="AH594" s="1077">
        <f>AH590+AH591-AH592-AH593</f>
        <v>10.3</v>
      </c>
      <c r="AI594" s="1007">
        <f t="shared" si="1201"/>
        <v>9.1</v>
      </c>
      <c r="AJ594" s="1007">
        <f>AJ590+AJ591-AJ592-AJ593</f>
        <v>8.8999999999999986</v>
      </c>
      <c r="AK594" s="1012">
        <f t="shared" si="1201"/>
        <v>7.9999999999999982</v>
      </c>
      <c r="AL594" s="1007">
        <f t="shared" si="1201"/>
        <v>9.5999999999999979</v>
      </c>
      <c r="AM594" s="1007">
        <f t="shared" si="1201"/>
        <v>9.6999999999999975</v>
      </c>
      <c r="AN594" s="1007">
        <f t="shared" si="1201"/>
        <v>11.499999999999998</v>
      </c>
      <c r="AO594" s="1012">
        <f>AO590+AO591-AO592-AO593</f>
        <v>11.299999999999999</v>
      </c>
      <c r="AP594" s="1007">
        <f t="shared" si="1201"/>
        <v>11.499999999999998</v>
      </c>
      <c r="AQ594" s="1007">
        <f t="shared" si="1201"/>
        <v>10.299999999999997</v>
      </c>
      <c r="AR594" s="1007">
        <f t="shared" si="1201"/>
        <v>9.7999999999999972</v>
      </c>
      <c r="AS594" s="1007">
        <f t="shared" si="1201"/>
        <v>9.3999999999999968</v>
      </c>
      <c r="AT594" s="1013">
        <f t="shared" ref="AT594:BA594" si="1202">AT590+AT591-AT592-AT593</f>
        <v>11.599999999999998</v>
      </c>
      <c r="AU594" s="1007">
        <f t="shared" si="1202"/>
        <v>11.199999999999998</v>
      </c>
      <c r="AV594" s="1007">
        <f t="shared" si="1202"/>
        <v>10.499999999999998</v>
      </c>
      <c r="AW594" s="1012">
        <f t="shared" si="1202"/>
        <v>10.199999999999999</v>
      </c>
      <c r="AX594" s="1013">
        <f t="shared" si="1202"/>
        <v>12.5</v>
      </c>
      <c r="AY594" s="1007">
        <f t="shared" si="1202"/>
        <v>12.5</v>
      </c>
      <c r="AZ594" s="1007">
        <f t="shared" si="1202"/>
        <v>15.9</v>
      </c>
      <c r="BA594" s="1012">
        <f t="shared" si="1202"/>
        <v>15.8</v>
      </c>
      <c r="BB594" s="1013">
        <f t="shared" ref="BB594:BH594" si="1203">BB590+BB591-BB592-BB593</f>
        <v>16.5</v>
      </c>
      <c r="BC594" s="1007">
        <f t="shared" si="1203"/>
        <v>15.300000000000002</v>
      </c>
      <c r="BD594" s="1007">
        <f t="shared" si="1203"/>
        <v>13.700000000000003</v>
      </c>
      <c r="BE594" s="1012">
        <f>BE590+BE591-BE592-BE593</f>
        <v>11.900000000000004</v>
      </c>
      <c r="BF594" s="1013">
        <f>BF590+BF591-BF592-BF593</f>
        <v>13.100000000000005</v>
      </c>
      <c r="BG594" s="1007">
        <f t="shared" si="1203"/>
        <v>12.500000000000005</v>
      </c>
      <c r="BH594" s="1007">
        <f t="shared" si="1203"/>
        <v>11.400000000000006</v>
      </c>
      <c r="BI594" s="1012">
        <f t="shared" ref="BI594:BQ594" si="1204">BI590+BI591-BI592-BI593</f>
        <v>10.100000000000007</v>
      </c>
      <c r="BJ594" s="1013">
        <f t="shared" si="1204"/>
        <v>10.000000000000005</v>
      </c>
      <c r="BK594" s="1007">
        <f t="shared" si="1204"/>
        <v>8.800000000000006</v>
      </c>
      <c r="BL594" s="1007">
        <f t="shared" si="1204"/>
        <v>7.7000000000000064</v>
      </c>
      <c r="BM594" s="1012">
        <f>BM590+BM591-BM592-BM593</f>
        <v>6.8000000000000069</v>
      </c>
      <c r="BN594" s="1013">
        <f>BN590+BN591-BN592-BN593</f>
        <v>7.8000000000000078</v>
      </c>
      <c r="BO594" s="1007">
        <f t="shared" si="1204"/>
        <v>7.500000000000008</v>
      </c>
      <c r="BP594" s="1007">
        <f>BP590+BP591-BP592-BP593</f>
        <v>7.000000000000008</v>
      </c>
      <c r="BQ594" s="1012">
        <f t="shared" si="1204"/>
        <v>9.0000000000000071</v>
      </c>
      <c r="BR594" s="1013">
        <f t="shared" ref="BR594:BY594" si="1205">BR590+BR591-BR592-BR593</f>
        <v>10.700000000000006</v>
      </c>
      <c r="BS594" s="1007">
        <f t="shared" si="1205"/>
        <v>9.7000000000000064</v>
      </c>
      <c r="BT594" s="1007">
        <f t="shared" si="1205"/>
        <v>8.6000000000000068</v>
      </c>
      <c r="BU594" s="1012">
        <f t="shared" si="1205"/>
        <v>7.4000000000000075</v>
      </c>
      <c r="BV594" s="1007">
        <f t="shared" si="1205"/>
        <v>15.036000000000005</v>
      </c>
      <c r="BW594" s="1007">
        <f t="shared" si="1205"/>
        <v>22.265340000000009</v>
      </c>
      <c r="BX594" s="1007">
        <f t="shared" si="1205"/>
        <v>23.92555560000001</v>
      </c>
      <c r="BY594" s="1012">
        <f t="shared" si="1205"/>
        <v>25.975802046000013</v>
      </c>
      <c r="BZ594" s="1007">
        <f>BZ590+BZ591-BZ592-BZ593</f>
        <v>28.429045728552012</v>
      </c>
      <c r="CA594" s="1007">
        <f>CA590+CA591-CA592-CA593</f>
        <v>30.573466516992973</v>
      </c>
      <c r="CB594" s="1007">
        <f>CB590+CB591-CB592-CB593</f>
        <v>33.464554937201918</v>
      </c>
      <c r="CC594" s="1012">
        <f>CC590+CC591-CC592-CC593</f>
        <v>32.469908225923966</v>
      </c>
      <c r="CD594" s="109"/>
      <c r="CE594" s="823"/>
      <c r="CF594" s="823">
        <v>29.1</v>
      </c>
      <c r="CG594" s="823">
        <f t="shared" ref="CG594:CO594" si="1206">CG590+CG591-CG592-CG593</f>
        <v>25.000000000000004</v>
      </c>
      <c r="CH594" s="823">
        <f t="shared" si="1206"/>
        <v>25.100000000000005</v>
      </c>
      <c r="CI594" s="620">
        <f t="shared" si="1206"/>
        <v>19.500000000000007</v>
      </c>
      <c r="CJ594" s="176">
        <f t="shared" si="1206"/>
        <v>12.400000000000007</v>
      </c>
      <c r="CK594" s="176">
        <f t="shared" si="1206"/>
        <v>10.800000000000008</v>
      </c>
      <c r="CL594" s="176">
        <f t="shared" si="1206"/>
        <v>8.0000000000000071</v>
      </c>
      <c r="CM594" s="176">
        <f t="shared" si="1206"/>
        <v>11.300000000000006</v>
      </c>
      <c r="CN594" s="176">
        <f t="shared" si="1206"/>
        <v>9.4000000000000075</v>
      </c>
      <c r="CO594" s="49">
        <f t="shared" si="1206"/>
        <v>10.200000000000006</v>
      </c>
      <c r="CP594" s="49">
        <f t="shared" ref="CP594:CU594" si="1207">CP590+CP591-CP592-CP593</f>
        <v>15.800000000000008</v>
      </c>
      <c r="CQ594" s="49">
        <f t="shared" si="1207"/>
        <v>11.900000000000006</v>
      </c>
      <c r="CR594" s="49">
        <f t="shared" si="1207"/>
        <v>10.100000000000007</v>
      </c>
      <c r="CS594" s="49">
        <f>CS590+CS591-CS592-CS593</f>
        <v>6.8000000000000078</v>
      </c>
      <c r="CT594" s="49">
        <f>CT590+CT591-CT592-CT593</f>
        <v>9.0000000000000089</v>
      </c>
      <c r="CU594" s="49">
        <f t="shared" si="1207"/>
        <v>7.4000000000000075</v>
      </c>
      <c r="CV594" s="49">
        <f t="shared" ref="CV594:DA594" si="1208">CV590+CV591-CV592-CV593</f>
        <v>25.975802046000005</v>
      </c>
      <c r="CW594" s="49">
        <f>CW590+CW591-CW592-CW593</f>
        <v>32.469908225923959</v>
      </c>
      <c r="CX594" s="49">
        <f t="shared" si="1208"/>
        <v>37.578305840909245</v>
      </c>
      <c r="CY594" s="49">
        <f t="shared" si="1208"/>
        <v>41.811699503372573</v>
      </c>
      <c r="CZ594" s="49">
        <f t="shared" si="1208"/>
        <v>45.389153750466704</v>
      </c>
      <c r="DA594" s="49">
        <f t="shared" si="1208"/>
        <v>45.208626656804249</v>
      </c>
      <c r="DB594" s="49">
        <f>DB590+DB591-DB592-DB593</f>
        <v>45.304833223374352</v>
      </c>
      <c r="DC594" s="49">
        <f>DC590+DC591-DC592-DC593</f>
        <v>45.616187989260574</v>
      </c>
      <c r="DD594" s="1519"/>
      <c r="DE594" s="1502"/>
      <c r="DF594" s="24"/>
      <c r="DG594" s="24"/>
      <c r="DH594" s="24"/>
      <c r="DI594" s="24"/>
      <c r="DJ594" s="24"/>
      <c r="DK594" s="24"/>
      <c r="DL594" s="141"/>
      <c r="DM594" s="24"/>
      <c r="DN594" s="24"/>
      <c r="DO594" s="24"/>
      <c r="DP594" s="24"/>
      <c r="DQ594" s="24"/>
      <c r="DR594" s="24"/>
      <c r="DS594" s="24"/>
      <c r="DT594" s="24"/>
      <c r="DU594" s="24"/>
      <c r="DV594" s="24"/>
      <c r="DW594" s="24"/>
      <c r="DX594" s="24"/>
      <c r="DY594" s="24"/>
      <c r="DZ594" s="1561"/>
    </row>
    <row r="595" spans="1:130" hidden="1" outlineLevel="1">
      <c r="A595" s="145"/>
      <c r="B595" s="227"/>
      <c r="C595" s="145"/>
      <c r="D595" s="145"/>
      <c r="E595" s="228"/>
      <c r="F595" s="145"/>
      <c r="G595" s="145"/>
      <c r="H595" s="145"/>
      <c r="I595" s="228"/>
      <c r="J595" s="141"/>
      <c r="K595" s="141"/>
      <c r="L595" s="141"/>
      <c r="M595" s="216"/>
      <c r="N595" s="674"/>
      <c r="O595" s="674"/>
      <c r="P595" s="674"/>
      <c r="Q595" s="675"/>
      <c r="R595" s="674"/>
      <c r="S595" s="674"/>
      <c r="T595" s="674"/>
      <c r="U595" s="675"/>
      <c r="V595" s="674"/>
      <c r="W595" s="547"/>
      <c r="X595" s="547"/>
      <c r="Y595" s="626"/>
      <c r="Z595" s="547"/>
      <c r="AA595" s="146"/>
      <c r="AB595" s="146"/>
      <c r="AC595" s="626"/>
      <c r="AD595" s="547"/>
      <c r="AE595" s="547"/>
      <c r="AF595" s="146"/>
      <c r="AG595" s="146"/>
      <c r="AH595" s="693"/>
      <c r="AI595" s="145"/>
      <c r="AJ595" s="145"/>
      <c r="AK595" s="228"/>
      <c r="AL595" s="145"/>
      <c r="AM595" s="145"/>
      <c r="AN595" s="145"/>
      <c r="AO595" s="228"/>
      <c r="AP595" s="145"/>
      <c r="AQ595" s="145"/>
      <c r="AR595" s="145"/>
      <c r="AS595" s="145"/>
      <c r="AT595" s="227"/>
      <c r="AU595" s="145"/>
      <c r="AV595" s="145"/>
      <c r="AW595" s="228"/>
      <c r="AX595" s="227"/>
      <c r="AY595" s="145"/>
      <c r="AZ595" s="145"/>
      <c r="BA595" s="228"/>
      <c r="BB595" s="227"/>
      <c r="BC595" s="145"/>
      <c r="BD595" s="145"/>
      <c r="BE595" s="228"/>
      <c r="BF595" s="207"/>
      <c r="BG595" s="201"/>
      <c r="BH595" s="201"/>
      <c r="BI595" s="202"/>
      <c r="BJ595" s="207"/>
      <c r="BK595" s="201"/>
      <c r="BL595" s="201"/>
      <c r="BM595" s="202"/>
      <c r="BN595" s="201"/>
      <c r="BO595" s="201"/>
      <c r="BP595" s="201"/>
      <c r="BQ595" s="202"/>
      <c r="BR595" s="201"/>
      <c r="BS595" s="201"/>
      <c r="BT595" s="201"/>
      <c r="BU595" s="202"/>
      <c r="BV595" s="201"/>
      <c r="BW595" s="201"/>
      <c r="BX595" s="201"/>
      <c r="BY595" s="202"/>
      <c r="BZ595" s="201"/>
      <c r="CA595" s="201"/>
      <c r="CB595" s="201"/>
      <c r="CC595" s="202"/>
      <c r="CD595" s="228"/>
      <c r="CE595" s="145"/>
      <c r="CF595" s="145"/>
      <c r="CG595" s="145"/>
      <c r="CH595" s="145"/>
      <c r="CI595" s="141"/>
      <c r="CJ595" s="145"/>
      <c r="CK595" s="145"/>
      <c r="CL595" s="145"/>
      <c r="CM595" s="145"/>
      <c r="CN595" s="145"/>
      <c r="CO595" s="145"/>
      <c r="CP595" s="145"/>
      <c r="CQ595" s="145"/>
      <c r="CR595" s="145"/>
      <c r="CS595" s="201"/>
      <c r="CT595" s="201"/>
      <c r="CU595" s="201"/>
      <c r="CV595" s="201"/>
      <c r="CW595" s="201"/>
      <c r="CX595" s="201"/>
      <c r="CY595" s="201"/>
      <c r="CZ595" s="201"/>
      <c r="DA595" s="201"/>
      <c r="DB595" s="201"/>
      <c r="DC595" s="201"/>
      <c r="DD595" s="1505"/>
      <c r="DE595" s="1551"/>
      <c r="DF595" s="141"/>
      <c r="DG595" s="141"/>
      <c r="DH595" s="141"/>
      <c r="DI595" s="141"/>
      <c r="DJ595" s="141"/>
      <c r="DK595" s="141"/>
      <c r="DL595" s="141"/>
      <c r="DM595" s="141"/>
      <c r="DN595" s="141"/>
      <c r="DO595" s="141"/>
      <c r="DP595" s="141"/>
      <c r="DQ595" s="141"/>
      <c r="DR595" s="141"/>
      <c r="DS595" s="141"/>
      <c r="DT595" s="141"/>
      <c r="DU595" s="141"/>
      <c r="DV595" s="141"/>
      <c r="DW595" s="141"/>
      <c r="DX595" s="141"/>
      <c r="DY595" s="141"/>
      <c r="DZ595" s="1676"/>
    </row>
    <row r="596" spans="1:130" hidden="1" outlineLevel="1">
      <c r="A596" s="3"/>
      <c r="B596" s="208"/>
      <c r="C596" s="196" t="s">
        <v>905</v>
      </c>
      <c r="D596" s="196"/>
      <c r="E596" s="197"/>
      <c r="F596" s="196"/>
      <c r="G596" s="196"/>
      <c r="H596" s="196"/>
      <c r="I596" s="196"/>
      <c r="J596" s="894"/>
      <c r="K596" s="161"/>
      <c r="L596" s="161"/>
      <c r="M596" s="893"/>
      <c r="N596" s="894">
        <f>$CG$596</f>
        <v>6.89</v>
      </c>
      <c r="O596" s="161">
        <f>$CG$596</f>
        <v>6.89</v>
      </c>
      <c r="P596" s="161">
        <f>$CG$596</f>
        <v>6.89</v>
      </c>
      <c r="Q596" s="1042">
        <v>6.89</v>
      </c>
      <c r="R596" s="894">
        <f>$CH$596</f>
        <v>7.75</v>
      </c>
      <c r="S596" s="161">
        <f>$CH$596</f>
        <v>7.75</v>
      </c>
      <c r="T596" s="161">
        <f>$CH$596</f>
        <v>7.75</v>
      </c>
      <c r="U596" s="1042">
        <v>7.75</v>
      </c>
      <c r="V596" s="894">
        <f>$CI$596</f>
        <v>9.39</v>
      </c>
      <c r="W596" s="161">
        <f>$CI$596</f>
        <v>9.39</v>
      </c>
      <c r="X596" s="161">
        <f>$CI$596</f>
        <v>9.39</v>
      </c>
      <c r="Y596" s="1042">
        <v>9.39</v>
      </c>
      <c r="Z596" s="695">
        <v>9.52</v>
      </c>
      <c r="AA596" s="695">
        <v>9.9600000000000009</v>
      </c>
      <c r="AB596" s="695">
        <v>10.48</v>
      </c>
      <c r="AC596" s="1043">
        <v>10.65</v>
      </c>
      <c r="AD596" s="1073">
        <v>10.73</v>
      </c>
      <c r="AE596" s="695">
        <v>11.5</v>
      </c>
      <c r="AF596" s="695">
        <v>11.95</v>
      </c>
      <c r="AG596" s="695">
        <v>12.15</v>
      </c>
      <c r="AH596" s="1073">
        <v>12.68</v>
      </c>
      <c r="AI596" s="695">
        <v>13.29</v>
      </c>
      <c r="AJ596" s="695">
        <v>14.62</v>
      </c>
      <c r="AK596" s="1043">
        <v>14.92</v>
      </c>
      <c r="AL596" s="695">
        <v>16.47</v>
      </c>
      <c r="AM596" s="695">
        <v>16.48</v>
      </c>
      <c r="AN596" s="695">
        <v>16.59</v>
      </c>
      <c r="AO596" s="1043">
        <v>17</v>
      </c>
      <c r="AP596" s="695">
        <v>19.170000000000002</v>
      </c>
      <c r="AQ596" s="695">
        <v>20.079999999999998</v>
      </c>
      <c r="AR596" s="695">
        <v>20.37</v>
      </c>
      <c r="AS596" s="695">
        <v>20.61</v>
      </c>
      <c r="AT596" s="1073">
        <v>21.74</v>
      </c>
      <c r="AU596" s="695">
        <v>22.21</v>
      </c>
      <c r="AV596" s="695">
        <v>18.649999999999999</v>
      </c>
      <c r="AW596" s="1043">
        <v>16.829999999999998</v>
      </c>
      <c r="AX596" s="1073">
        <v>20.75</v>
      </c>
      <c r="AY596" s="695">
        <v>24.34</v>
      </c>
      <c r="AZ596" s="695">
        <v>20.49</v>
      </c>
      <c r="BA596" s="1043">
        <v>15.14</v>
      </c>
      <c r="BB596" s="1073">
        <v>16.18</v>
      </c>
      <c r="BC596" s="695">
        <v>18.36</v>
      </c>
      <c r="BD596" s="695">
        <v>22.22</v>
      </c>
      <c r="BE596" s="1043">
        <v>24.05</v>
      </c>
      <c r="BF596" s="1366">
        <v>30.14</v>
      </c>
      <c r="BG596" s="1387">
        <v>25.34</v>
      </c>
      <c r="BH596" s="1387">
        <v>28.15</v>
      </c>
      <c r="BI596" s="1043">
        <v>25.22</v>
      </c>
      <c r="BJ596" s="1366">
        <v>31.04</v>
      </c>
      <c r="BK596" s="1387">
        <v>32.14</v>
      </c>
      <c r="BL596" s="1387">
        <v>32.26</v>
      </c>
      <c r="BM596" s="1043">
        <v>31.9</v>
      </c>
      <c r="BN596" s="1366">
        <v>29.49</v>
      </c>
      <c r="BO596" s="1387">
        <v>23.23</v>
      </c>
      <c r="BP596" s="1387">
        <v>25.1</v>
      </c>
      <c r="BQ596" s="1043">
        <v>27.43</v>
      </c>
      <c r="BR596" s="1366">
        <f>55.74/2</f>
        <v>27.87</v>
      </c>
      <c r="BS596" s="1387">
        <v>34.56</v>
      </c>
      <c r="BT596" s="1387">
        <v>34.270000000000003</v>
      </c>
      <c r="BU596" s="1043">
        <v>37.72</v>
      </c>
      <c r="BV596" s="366">
        <f t="shared" ref="BV596:CC596" si="1209">BU596*(1+BV597)</f>
        <v>41.51731543624161</v>
      </c>
      <c r="BW596" s="366">
        <f t="shared" si="1209"/>
        <v>45.696910949957207</v>
      </c>
      <c r="BX596" s="366">
        <f t="shared" si="1209"/>
        <v>54.836293139948644</v>
      </c>
      <c r="BY596" s="367">
        <f t="shared" si="1209"/>
        <v>65.803551767938373</v>
      </c>
      <c r="BZ596" s="366">
        <f t="shared" si="1209"/>
        <v>65.803551767938373</v>
      </c>
      <c r="CA596" s="366">
        <f t="shared" si="1209"/>
        <v>66.198373078545998</v>
      </c>
      <c r="CB596" s="366">
        <f t="shared" si="1209"/>
        <v>66.59556331701728</v>
      </c>
      <c r="CC596" s="367">
        <f t="shared" si="1209"/>
        <v>66.928541133602366</v>
      </c>
      <c r="CD596" s="9"/>
      <c r="CE596" s="458"/>
      <c r="CF596" s="799">
        <v>7.69</v>
      </c>
      <c r="CG596" s="799">
        <v>6.89</v>
      </c>
      <c r="CH596" s="799">
        <v>7.75</v>
      </c>
      <c r="CI596" s="695">
        <v>9.39</v>
      </c>
      <c r="CJ596" s="695">
        <v>10.65</v>
      </c>
      <c r="CK596" s="695">
        <v>12.15</v>
      </c>
      <c r="CL596" s="799">
        <v>14.92</v>
      </c>
      <c r="CM596" s="68">
        <f t="shared" ref="CM596:CR596" si="1210">CM598/CM592</f>
        <v>16.756666666666664</v>
      </c>
      <c r="CN596" s="68">
        <f>CN598/CN592</f>
        <v>18.632903225806455</v>
      </c>
      <c r="CO596" s="68">
        <f>CO598/CO592</f>
        <v>19.497857142857139</v>
      </c>
      <c r="CP596" s="68">
        <f t="shared" si="1210"/>
        <v>18.84333333333333</v>
      </c>
      <c r="CQ596" s="68">
        <f t="shared" si="1210"/>
        <v>20.069117647058825</v>
      </c>
      <c r="CR596" s="68">
        <f t="shared" si="1210"/>
        <v>26.679111111111112</v>
      </c>
      <c r="CS596" s="68">
        <f>CS598/CS592</f>
        <v>31.78829268292683</v>
      </c>
      <c r="CT596" s="68">
        <f>CT598/CT592</f>
        <v>26.856470588235293</v>
      </c>
      <c r="CU596" s="366">
        <f>CU598/CU592</f>
        <v>33.949428571428577</v>
      </c>
      <c r="CV596" s="366">
        <f>CV598/CV592</f>
        <v>50.189316769728805</v>
      </c>
      <c r="CW596" s="366">
        <f>CW598/CW592</f>
        <v>66.928541133602366</v>
      </c>
      <c r="CX596" s="366">
        <f t="shared" ref="CX596:DC596" si="1211">CW596*(1+CX597)</f>
        <v>66.928541133602366</v>
      </c>
      <c r="CY596" s="366">
        <f t="shared" si="1211"/>
        <v>66.928541133602366</v>
      </c>
      <c r="CZ596" s="366">
        <f t="shared" si="1211"/>
        <v>66.928541133602366</v>
      </c>
      <c r="DA596" s="366">
        <f t="shared" si="1211"/>
        <v>66.928541133602366</v>
      </c>
      <c r="DB596" s="366">
        <f t="shared" si="1211"/>
        <v>66.928541133602366</v>
      </c>
      <c r="DC596" s="366">
        <f t="shared" si="1211"/>
        <v>66.928541133602366</v>
      </c>
      <c r="DD596" s="1517"/>
      <c r="DE596" s="1483"/>
      <c r="DF596" s="24"/>
      <c r="DG596" s="24"/>
      <c r="DH596" s="24"/>
      <c r="DI596" s="24"/>
      <c r="DJ596" s="24"/>
      <c r="DK596" s="24"/>
      <c r="DL596" s="141"/>
      <c r="DM596" s="24"/>
      <c r="DN596" s="24"/>
      <c r="DO596" s="24"/>
      <c r="DP596" s="24"/>
      <c r="DQ596" s="24"/>
      <c r="DR596" s="24"/>
      <c r="DS596" s="24"/>
      <c r="DT596" s="24"/>
      <c r="DU596" s="24"/>
      <c r="DV596" s="24"/>
      <c r="DW596" s="24"/>
      <c r="DX596" s="24"/>
      <c r="DY596" s="24"/>
      <c r="DZ596" s="1561"/>
    </row>
    <row r="597" spans="1:130" hidden="1" outlineLevel="1">
      <c r="A597" s="3"/>
      <c r="B597" s="208"/>
      <c r="C597" s="196" t="s">
        <v>80</v>
      </c>
      <c r="D597" s="196"/>
      <c r="E597" s="197"/>
      <c r="F597" s="196"/>
      <c r="G597" s="196"/>
      <c r="H597" s="196"/>
      <c r="I597" s="197"/>
      <c r="J597" s="196"/>
      <c r="K597" s="196"/>
      <c r="L597" s="196"/>
      <c r="M597" s="197"/>
      <c r="N597" s="350"/>
      <c r="O597" s="609"/>
      <c r="P597" s="609"/>
      <c r="Q597" s="642"/>
      <c r="R597" s="350"/>
      <c r="S597" s="609"/>
      <c r="T597" s="609"/>
      <c r="U597" s="642"/>
      <c r="V597" s="350"/>
      <c r="W597" s="609"/>
      <c r="X597" s="609"/>
      <c r="Y597" s="642"/>
      <c r="Z597" s="609">
        <f t="shared" ref="Z597:AH597" si="1212">Z596/Y596-1</f>
        <v>1.3844515441959526E-2</v>
      </c>
      <c r="AA597" s="609">
        <f t="shared" si="1212"/>
        <v>4.6218487394958041E-2</v>
      </c>
      <c r="AB597" s="609">
        <f t="shared" si="1212"/>
        <v>5.2208835341365445E-2</v>
      </c>
      <c r="AC597" s="642">
        <f t="shared" si="1212"/>
        <v>1.6221374045801484E-2</v>
      </c>
      <c r="AD597" s="609">
        <f t="shared" si="1212"/>
        <v>7.5117370892019419E-3</v>
      </c>
      <c r="AE597" s="609">
        <f t="shared" si="1212"/>
        <v>7.1761416589002813E-2</v>
      </c>
      <c r="AF597" s="609">
        <f t="shared" si="1212"/>
        <v>3.9130434782608692E-2</v>
      </c>
      <c r="AG597" s="609">
        <f t="shared" si="1212"/>
        <v>1.6736401673640211E-2</v>
      </c>
      <c r="AH597" s="1136">
        <f t="shared" si="1212"/>
        <v>4.3621399176954734E-2</v>
      </c>
      <c r="AI597" s="609">
        <f t="shared" ref="AI597:BU597" si="1213">AI596/AH596-1</f>
        <v>4.8107255520504655E-2</v>
      </c>
      <c r="AJ597" s="609">
        <f t="shared" si="1213"/>
        <v>0.10007524454477057</v>
      </c>
      <c r="AK597" s="642">
        <f t="shared" si="1213"/>
        <v>2.0519835841313228E-2</v>
      </c>
      <c r="AL597" s="609">
        <f t="shared" si="1213"/>
        <v>0.10388739946380698</v>
      </c>
      <c r="AM597" s="609">
        <f t="shared" si="1213"/>
        <v>6.0716454159082112E-4</v>
      </c>
      <c r="AN597" s="609">
        <f t="shared" si="1213"/>
        <v>6.6747572815533118E-3</v>
      </c>
      <c r="AO597" s="642">
        <f t="shared" si="1213"/>
        <v>2.471368294153109E-2</v>
      </c>
      <c r="AP597" s="609">
        <f t="shared" si="1213"/>
        <v>0.12764705882352945</v>
      </c>
      <c r="AQ597" s="609">
        <f t="shared" si="1213"/>
        <v>4.7470005216483813E-2</v>
      </c>
      <c r="AR597" s="609">
        <f t="shared" si="1213"/>
        <v>1.4442231075697309E-2</v>
      </c>
      <c r="AS597" s="609">
        <f t="shared" si="1213"/>
        <v>1.178203240058906E-2</v>
      </c>
      <c r="AT597" s="1136">
        <f t="shared" si="1213"/>
        <v>5.4827753517709743E-2</v>
      </c>
      <c r="AU597" s="609">
        <f t="shared" si="1213"/>
        <v>2.1619135234590692E-2</v>
      </c>
      <c r="AV597" s="609">
        <f t="shared" si="1213"/>
        <v>-0.16028815848716804</v>
      </c>
      <c r="AW597" s="642">
        <f t="shared" si="1213"/>
        <v>-9.7587131367292246E-2</v>
      </c>
      <c r="AX597" s="609">
        <f t="shared" si="1213"/>
        <v>0.23291740938799776</v>
      </c>
      <c r="AY597" s="609">
        <f t="shared" si="1213"/>
        <v>0.17301204819277105</v>
      </c>
      <c r="AZ597" s="609">
        <f t="shared" si="1213"/>
        <v>-0.15817584223500414</v>
      </c>
      <c r="BA597" s="642">
        <f t="shared" si="1213"/>
        <v>-0.26110297706198138</v>
      </c>
      <c r="BB597" s="609">
        <f t="shared" si="1213"/>
        <v>6.869220607661819E-2</v>
      </c>
      <c r="BC597" s="609">
        <f t="shared" si="1213"/>
        <v>0.13473423980222488</v>
      </c>
      <c r="BD597" s="609">
        <f t="shared" si="1213"/>
        <v>0.210239651416122</v>
      </c>
      <c r="BE597" s="609">
        <f t="shared" si="1213"/>
        <v>8.2358235823582371E-2</v>
      </c>
      <c r="BF597" s="1136">
        <f t="shared" si="1213"/>
        <v>0.25322245322245318</v>
      </c>
      <c r="BG597" s="609">
        <f t="shared" si="1213"/>
        <v>-0.15925680159256805</v>
      </c>
      <c r="BH597" s="609">
        <f t="shared" si="1213"/>
        <v>0.11089187056037875</v>
      </c>
      <c r="BI597" s="609">
        <f t="shared" si="1213"/>
        <v>-0.10408525754884546</v>
      </c>
      <c r="BJ597" s="1136">
        <f t="shared" si="1213"/>
        <v>0.23076923076923084</v>
      </c>
      <c r="BK597" s="609">
        <f t="shared" si="1213"/>
        <v>3.5438144329897003E-2</v>
      </c>
      <c r="BL597" s="609">
        <f t="shared" si="1213"/>
        <v>3.7336652146857663E-3</v>
      </c>
      <c r="BM597" s="642">
        <f t="shared" si="1213"/>
        <v>-1.1159330440173587E-2</v>
      </c>
      <c r="BN597" s="1136">
        <f t="shared" si="1213"/>
        <v>-7.554858934169284E-2</v>
      </c>
      <c r="BO597" s="609">
        <f t="shared" si="1213"/>
        <v>-0.2122753475754493</v>
      </c>
      <c r="BP597" s="609">
        <f t="shared" si="1213"/>
        <v>8.0499354283254387E-2</v>
      </c>
      <c r="BQ597" s="642">
        <f t="shared" si="1213"/>
        <v>9.282868525896415E-2</v>
      </c>
      <c r="BR597" s="1136">
        <f t="shared" si="1213"/>
        <v>1.6040831206707962E-2</v>
      </c>
      <c r="BS597" s="609">
        <f t="shared" si="1213"/>
        <v>0.24004305705059203</v>
      </c>
      <c r="BT597" s="609">
        <f t="shared" si="1213"/>
        <v>-8.3912037037037202E-3</v>
      </c>
      <c r="BU597" s="642">
        <f t="shared" si="1213"/>
        <v>0.10067114093959728</v>
      </c>
      <c r="BV597" s="408">
        <f>BU597</f>
        <v>0.10067114093959728</v>
      </c>
      <c r="BW597" s="408">
        <f>BV597</f>
        <v>0.10067114093959728</v>
      </c>
      <c r="BX597" s="408">
        <v>0.2</v>
      </c>
      <c r="BY597" s="410">
        <f>BX597</f>
        <v>0.2</v>
      </c>
      <c r="BZ597" s="408">
        <v>0</v>
      </c>
      <c r="CA597" s="408">
        <v>6.0000000000000001E-3</v>
      </c>
      <c r="CB597" s="408">
        <v>6.0000000000000001E-3</v>
      </c>
      <c r="CC597" s="410">
        <v>5.0000000000000001E-3</v>
      </c>
      <c r="CD597" s="9"/>
      <c r="CE597" s="3"/>
      <c r="CF597" s="3"/>
      <c r="CG597" s="3"/>
      <c r="CH597" s="3"/>
      <c r="CI597" s="3"/>
      <c r="CJ597" s="68"/>
      <c r="CK597" s="3"/>
      <c r="CL597" s="3"/>
      <c r="CM597" s="3"/>
      <c r="CN597" s="3"/>
      <c r="CO597" s="3"/>
      <c r="CP597" s="3"/>
      <c r="CQ597" s="3"/>
      <c r="CR597" s="3"/>
      <c r="CS597" s="3"/>
      <c r="CT597" s="3"/>
      <c r="CU597" s="3"/>
      <c r="CV597" s="3"/>
      <c r="CW597" s="3"/>
      <c r="CX597" s="408">
        <f t="shared" ref="CX597:DC597" si="1214">CW597</f>
        <v>0</v>
      </c>
      <c r="CY597" s="408">
        <f t="shared" si="1214"/>
        <v>0</v>
      </c>
      <c r="CZ597" s="408">
        <f t="shared" si="1214"/>
        <v>0</v>
      </c>
      <c r="DA597" s="408">
        <f t="shared" si="1214"/>
        <v>0</v>
      </c>
      <c r="DB597" s="408">
        <f t="shared" si="1214"/>
        <v>0</v>
      </c>
      <c r="DC597" s="408">
        <f t="shared" si="1214"/>
        <v>0</v>
      </c>
      <c r="DD597" s="1517"/>
      <c r="DE597" s="1483"/>
      <c r="DF597" s="24"/>
      <c r="DG597" s="24"/>
      <c r="DH597" s="24"/>
      <c r="DI597" s="24"/>
      <c r="DJ597" s="24"/>
      <c r="DK597" s="24"/>
      <c r="DL597" s="141"/>
      <c r="DM597" s="24"/>
      <c r="DN597" s="24"/>
      <c r="DO597" s="24"/>
      <c r="DP597" s="24"/>
      <c r="DQ597" s="24"/>
      <c r="DR597" s="24"/>
      <c r="DS597" s="24"/>
      <c r="DT597" s="24"/>
      <c r="DU597" s="24"/>
      <c r="DV597" s="24"/>
      <c r="DW597" s="24"/>
      <c r="DX597" s="24"/>
      <c r="DY597" s="24"/>
      <c r="DZ597" s="1561"/>
    </row>
    <row r="598" spans="1:130" hidden="1" outlineLevel="1">
      <c r="A598" s="3"/>
      <c r="B598" s="208"/>
      <c r="C598" s="196" t="s">
        <v>588</v>
      </c>
      <c r="D598" s="196"/>
      <c r="E598" s="197"/>
      <c r="F598" s="196"/>
      <c r="G598" s="196"/>
      <c r="H598" s="196"/>
      <c r="I598" s="197"/>
      <c r="J598" s="491"/>
      <c r="K598" s="487"/>
      <c r="L598" s="487"/>
      <c r="M598" s="488"/>
      <c r="N598" s="491">
        <f>N592*N596</f>
        <v>15.158000000000001</v>
      </c>
      <c r="O598" s="487">
        <f>O592*O596</f>
        <v>15.158000000000001</v>
      </c>
      <c r="P598" s="487">
        <f>P592*P596</f>
        <v>15.158000000000001</v>
      </c>
      <c r="Q598" s="488">
        <f>Q592*Q596</f>
        <v>15.158000000000001</v>
      </c>
      <c r="R598" s="491">
        <f>R592*R596</f>
        <v>5.8125</v>
      </c>
      <c r="S598" s="610">
        <f t="shared" ref="S598:AF598" si="1215">S592*S596</f>
        <v>5.8125</v>
      </c>
      <c r="T598" s="610">
        <f t="shared" si="1215"/>
        <v>5.8125</v>
      </c>
      <c r="U598" s="611">
        <f t="shared" si="1215"/>
        <v>5.8125</v>
      </c>
      <c r="V598" s="491">
        <f>V592*V596</f>
        <v>21.597000000000001</v>
      </c>
      <c r="W598" s="610">
        <f t="shared" si="1215"/>
        <v>21.597000000000001</v>
      </c>
      <c r="X598" s="610">
        <f t="shared" si="1215"/>
        <v>21.597000000000001</v>
      </c>
      <c r="Y598" s="611">
        <f t="shared" si="1215"/>
        <v>21.597000000000001</v>
      </c>
      <c r="Z598" s="610">
        <f t="shared" si="1215"/>
        <v>6.6639999999999997</v>
      </c>
      <c r="AA598" s="610">
        <f t="shared" si="1215"/>
        <v>22.908000000000001</v>
      </c>
      <c r="AB598" s="610">
        <f t="shared" si="1215"/>
        <v>42.967999999999996</v>
      </c>
      <c r="AC598" s="611">
        <f t="shared" si="1215"/>
        <v>5.3250000000000028</v>
      </c>
      <c r="AD598" s="610">
        <f t="shared" si="1215"/>
        <v>2.1460000000000004</v>
      </c>
      <c r="AE598" s="610">
        <f t="shared" si="1215"/>
        <v>10.35</v>
      </c>
      <c r="AF598" s="610">
        <f t="shared" si="1215"/>
        <v>11.95</v>
      </c>
      <c r="AG598" s="610">
        <f t="shared" ref="AG598:AS598" si="1216">AG592*AG596</f>
        <v>7.2900000000000009</v>
      </c>
      <c r="AH598" s="656">
        <f>AH592*AH596</f>
        <v>13.948</v>
      </c>
      <c r="AI598" s="374">
        <f t="shared" si="1216"/>
        <v>18.605999999999998</v>
      </c>
      <c r="AJ598" s="374">
        <f>AJ592*AJ596</f>
        <v>11.696</v>
      </c>
      <c r="AK598" s="374">
        <f t="shared" si="1216"/>
        <v>13.428000000000004</v>
      </c>
      <c r="AL598" s="498">
        <f t="shared" si="1216"/>
        <v>1.647</v>
      </c>
      <c r="AM598" s="374">
        <f>AM592*AM596</f>
        <v>1.6480000000000001</v>
      </c>
      <c r="AN598" s="374">
        <f t="shared" si="1216"/>
        <v>1.659</v>
      </c>
      <c r="AO598" s="374">
        <f>AO592*AO596</f>
        <v>5.1000000000000005</v>
      </c>
      <c r="AP598" s="498">
        <f>15.29*AP592</f>
        <v>15.29</v>
      </c>
      <c r="AQ598" s="374">
        <f>AQ592*AQ596</f>
        <v>26.103999999999999</v>
      </c>
      <c r="AR598" s="374">
        <f>AR592*AR596</f>
        <v>10.185</v>
      </c>
      <c r="AS598" s="374">
        <f t="shared" si="1216"/>
        <v>6.1830000000000052</v>
      </c>
      <c r="AT598" s="498">
        <f t="shared" ref="AT598:AZ598" si="1217">AT592*AT596</f>
        <v>2.1739999999999999</v>
      </c>
      <c r="AU598" s="374">
        <f>AU592*AU596</f>
        <v>8.8840000000000003</v>
      </c>
      <c r="AV598" s="374">
        <f t="shared" si="1217"/>
        <v>11.19</v>
      </c>
      <c r="AW598" s="496">
        <f t="shared" si="1217"/>
        <v>5.0489999999999968</v>
      </c>
      <c r="AX598" s="498">
        <f t="shared" si="1217"/>
        <v>4.1500000000000004</v>
      </c>
      <c r="AY598" s="374">
        <f t="shared" si="1217"/>
        <v>4.8680000000000003</v>
      </c>
      <c r="AZ598" s="374">
        <f t="shared" si="1217"/>
        <v>18.440999999999999</v>
      </c>
      <c r="BA598" s="496">
        <f>BA592*BA596</f>
        <v>12.112000000000002</v>
      </c>
      <c r="BB598" s="498">
        <f t="shared" ref="BB598:BH598" si="1218">BB592*BB596</f>
        <v>35.596000000000004</v>
      </c>
      <c r="BC598" s="374">
        <f>BC592*BC596</f>
        <v>22.032</v>
      </c>
      <c r="BD598" s="374">
        <f t="shared" si="1218"/>
        <v>35.552</v>
      </c>
      <c r="BE598" s="496">
        <f>BE592*BE596</f>
        <v>43.29</v>
      </c>
      <c r="BF598" s="498">
        <f>BF592*BF596</f>
        <v>21.097999999999999</v>
      </c>
      <c r="BG598" s="374">
        <f t="shared" si="1218"/>
        <v>40.544000000000004</v>
      </c>
      <c r="BH598" s="374">
        <f t="shared" si="1218"/>
        <v>28.15</v>
      </c>
      <c r="BI598" s="496">
        <f t="shared" ref="BI598:BQ598" si="1219">BI592*BI596</f>
        <v>30.264000000000003</v>
      </c>
      <c r="BJ598" s="498">
        <f t="shared" si="1219"/>
        <v>40.351999999999997</v>
      </c>
      <c r="BK598" s="374">
        <f t="shared" si="1219"/>
        <v>35.354000000000006</v>
      </c>
      <c r="BL598" s="374">
        <f t="shared" si="1219"/>
        <v>35.486000000000004</v>
      </c>
      <c r="BM598" s="496">
        <f t="shared" si="1219"/>
        <v>19.139999999999972</v>
      </c>
      <c r="BN598" s="498">
        <f t="shared" si="1219"/>
        <v>14.744999999999999</v>
      </c>
      <c r="BO598" s="374">
        <f t="shared" si="1219"/>
        <v>4.6459999999999999</v>
      </c>
      <c r="BP598" s="374">
        <f t="shared" si="1219"/>
        <v>12.55</v>
      </c>
      <c r="BQ598" s="496">
        <f t="shared" si="1219"/>
        <v>13.715</v>
      </c>
      <c r="BR598" s="498">
        <f t="shared" ref="BR598:BY598" si="1220">BR592*BR596</f>
        <v>22.296000000000003</v>
      </c>
      <c r="BS598" s="374">
        <f t="shared" si="1220"/>
        <v>24.192</v>
      </c>
      <c r="BT598" s="374">
        <f t="shared" si="1220"/>
        <v>30.843</v>
      </c>
      <c r="BU598" s="496">
        <f t="shared" si="1220"/>
        <v>41.492000000000004</v>
      </c>
      <c r="BV598" s="374">
        <f t="shared" si="1220"/>
        <v>46.084220134228225</v>
      </c>
      <c r="BW598" s="374">
        <f t="shared" si="1220"/>
        <v>68.709875304355677</v>
      </c>
      <c r="BX598" s="374">
        <f t="shared" si="1220"/>
        <v>61.047435555031235</v>
      </c>
      <c r="BY598" s="496">
        <f t="shared" si="1220"/>
        <v>47.231596095038647</v>
      </c>
      <c r="BZ598" s="374">
        <f>BZ592*BZ596</f>
        <v>0</v>
      </c>
      <c r="CA598" s="374">
        <f>CA592*CA596</f>
        <v>0</v>
      </c>
      <c r="CB598" s="374">
        <f>CB592*CB596</f>
        <v>0</v>
      </c>
      <c r="CC598" s="496">
        <f>CC592*CC596</f>
        <v>224.19735754738468</v>
      </c>
      <c r="CD598" s="9"/>
      <c r="CE598" s="49"/>
      <c r="CF598" s="49"/>
      <c r="CG598" s="11">
        <f>CG592*CG596</f>
        <v>60.632000000000005</v>
      </c>
      <c r="CH598" s="11">
        <f>CH592*CH596</f>
        <v>23.25</v>
      </c>
      <c r="CI598" s="11">
        <f>CI592*CI596</f>
        <v>86.388000000000005</v>
      </c>
      <c r="CJ598" s="11">
        <f>CJ592*CJ596</f>
        <v>80.94</v>
      </c>
      <c r="CK598" s="11">
        <f>CK592*CK596</f>
        <v>32.805</v>
      </c>
      <c r="CL598" s="11">
        <f>SUM(AH598:AK598)</f>
        <v>57.678000000000004</v>
      </c>
      <c r="CM598" s="11">
        <f>SUM(AL598:AO598)</f>
        <v>10.054</v>
      </c>
      <c r="CN598" s="11">
        <f>SUM(AP598:AS598)</f>
        <v>57.762000000000008</v>
      </c>
      <c r="CO598" s="29">
        <f>SUM(AT598:AW598)</f>
        <v>27.296999999999993</v>
      </c>
      <c r="CP598" s="29">
        <f>SUM(AX598:BA598)</f>
        <v>39.570999999999998</v>
      </c>
      <c r="CQ598" s="29">
        <f>SUM(BB598:BE598)</f>
        <v>136.47</v>
      </c>
      <c r="CR598" s="374">
        <f>SUM(BF598:BI598)</f>
        <v>120.05600000000001</v>
      </c>
      <c r="CS598" s="374">
        <f>SUM(BJ598:BM598)</f>
        <v>130.33199999999999</v>
      </c>
      <c r="CT598" s="374">
        <f>SUM(BN598:BQ598)</f>
        <v>45.655999999999999</v>
      </c>
      <c r="CU598" s="374">
        <f>SUM(BR598:BU598)</f>
        <v>118.82300000000001</v>
      </c>
      <c r="CV598" s="374">
        <f>SUM(BV598:BY598)</f>
        <v>223.07312708865376</v>
      </c>
      <c r="CW598" s="374">
        <f>SUM(BZ598:CC598)</f>
        <v>224.19735754738468</v>
      </c>
      <c r="CX598" s="374">
        <f t="shared" ref="CX598:DC598" si="1221">CX592*CX596</f>
        <v>282.51126647939594</v>
      </c>
      <c r="CY598" s="374">
        <f t="shared" si="1221"/>
        <v>326.95795446657002</v>
      </c>
      <c r="CZ598" s="374">
        <f t="shared" si="1221"/>
        <v>363.79148651004806</v>
      </c>
      <c r="DA598" s="374">
        <f t="shared" si="1221"/>
        <v>394.9178796949767</v>
      </c>
      <c r="DB598" s="374">
        <f t="shared" si="1221"/>
        <v>393.34716574316747</v>
      </c>
      <c r="DC598" s="374">
        <f t="shared" si="1221"/>
        <v>394.18423121240869</v>
      </c>
      <c r="DD598" s="1517"/>
      <c r="DE598" s="1483"/>
      <c r="DF598" s="24"/>
      <c r="DG598" s="24"/>
      <c r="DH598" s="24"/>
      <c r="DI598" s="24"/>
      <c r="DJ598" s="24"/>
      <c r="DK598" s="24"/>
      <c r="DL598" s="141"/>
      <c r="DM598" s="24"/>
      <c r="DN598" s="24"/>
      <c r="DO598" s="24"/>
      <c r="DP598" s="24"/>
      <c r="DQ598" s="24"/>
      <c r="DR598" s="24"/>
      <c r="DS598" s="24"/>
      <c r="DT598" s="24"/>
      <c r="DU598" s="24"/>
      <c r="DV598" s="24"/>
      <c r="DW598" s="24"/>
      <c r="DX598" s="24"/>
      <c r="DY598" s="24"/>
      <c r="DZ598" s="1561"/>
    </row>
    <row r="599" spans="1:130" hidden="1" outlineLevel="1">
      <c r="A599" s="145"/>
      <c r="B599" s="227"/>
      <c r="C599" s="145"/>
      <c r="D599" s="145"/>
      <c r="E599" s="228"/>
      <c r="F599" s="145"/>
      <c r="G599" s="145"/>
      <c r="H599" s="145"/>
      <c r="I599" s="228"/>
      <c r="J599" s="145"/>
      <c r="K599" s="145"/>
      <c r="L599" s="145"/>
      <c r="M599" s="228"/>
      <c r="N599" s="547"/>
      <c r="O599" s="547"/>
      <c r="P599" s="547"/>
      <c r="Q599" s="626"/>
      <c r="R599" s="547"/>
      <c r="S599" s="547"/>
      <c r="T599" s="547"/>
      <c r="U599" s="626"/>
      <c r="V599" s="547"/>
      <c r="W599" s="547"/>
      <c r="X599" s="547"/>
      <c r="Y599" s="626"/>
      <c r="Z599" s="547"/>
      <c r="AA599" s="547"/>
      <c r="AB599" s="547"/>
      <c r="AC599" s="626"/>
      <c r="AD599" s="547"/>
      <c r="AE599" s="547"/>
      <c r="AF599" s="547"/>
      <c r="AG599" s="547"/>
      <c r="AH599" s="693"/>
      <c r="AI599" s="145"/>
      <c r="AJ599" s="145"/>
      <c r="AK599" s="145"/>
      <c r="AL599" s="227"/>
      <c r="AM599" s="145"/>
      <c r="AN599" s="145"/>
      <c r="AO599" s="228"/>
      <c r="AP599" s="145"/>
      <c r="AQ599" s="145"/>
      <c r="AR599" s="145"/>
      <c r="AS599" s="145"/>
      <c r="AT599" s="227"/>
      <c r="AU599" s="145"/>
      <c r="AV599" s="145"/>
      <c r="AW599" s="228"/>
      <c r="AX599" s="227"/>
      <c r="AY599" s="145"/>
      <c r="AZ599" s="145"/>
      <c r="BA599" s="145"/>
      <c r="BB599" s="227"/>
      <c r="BC599" s="145"/>
      <c r="BD599" s="145"/>
      <c r="BE599" s="228"/>
      <c r="BF599" s="227"/>
      <c r="BG599" s="145"/>
      <c r="BH599" s="145"/>
      <c r="BI599" s="228"/>
      <c r="BJ599" s="227"/>
      <c r="BK599" s="145"/>
      <c r="BL599" s="145"/>
      <c r="BM599" s="228"/>
      <c r="BN599" s="145"/>
      <c r="BO599" s="145"/>
      <c r="BP599" s="145"/>
      <c r="BQ599" s="228"/>
      <c r="BR599" s="145"/>
      <c r="BS599" s="145"/>
      <c r="BT599" s="145"/>
      <c r="BU599" s="228"/>
      <c r="BV599" s="145"/>
      <c r="BW599" s="145"/>
      <c r="BX599" s="145"/>
      <c r="BY599" s="228"/>
      <c r="BZ599" s="145"/>
      <c r="CA599" s="145"/>
      <c r="CB599" s="145"/>
      <c r="CC599" s="228"/>
      <c r="CD599" s="228"/>
      <c r="CE599" s="145"/>
      <c r="CF599" s="145"/>
      <c r="CG599" s="145"/>
      <c r="CH599" s="145"/>
      <c r="CI599" s="145"/>
      <c r="CJ599" s="145"/>
      <c r="CK599" s="145"/>
      <c r="CL599" s="145"/>
      <c r="CM599" s="145"/>
      <c r="CN599" s="145"/>
      <c r="CO599" s="145"/>
      <c r="CP599" s="145"/>
      <c r="CQ599" s="145"/>
      <c r="CR599" s="145"/>
      <c r="CS599" s="145"/>
      <c r="CT599" s="145"/>
      <c r="CU599" s="145"/>
      <c r="CV599" s="145"/>
      <c r="CW599" s="145"/>
      <c r="CX599" s="145"/>
      <c r="CY599" s="145"/>
      <c r="CZ599" s="145"/>
      <c r="DA599" s="145"/>
      <c r="DB599" s="145"/>
      <c r="DC599" s="145"/>
      <c r="DD599" s="1505"/>
      <c r="DE599" s="1551"/>
      <c r="DF599" s="141"/>
      <c r="DG599" s="141"/>
      <c r="DH599" s="141"/>
      <c r="DI599" s="141"/>
      <c r="DJ599" s="141"/>
      <c r="DK599" s="141"/>
      <c r="DL599" s="141"/>
      <c r="DM599" s="141"/>
      <c r="DN599" s="141"/>
      <c r="DO599" s="141"/>
      <c r="DP599" s="141"/>
      <c r="DQ599" s="141"/>
      <c r="DR599" s="141"/>
      <c r="DS599" s="141"/>
      <c r="DT599" s="141"/>
      <c r="DU599" s="141"/>
      <c r="DV599" s="141"/>
      <c r="DW599" s="141"/>
      <c r="DX599" s="141"/>
      <c r="DY599" s="141"/>
      <c r="DZ599" s="1676"/>
    </row>
    <row r="600" spans="1:130" hidden="1" outlineLevel="1">
      <c r="A600" s="145"/>
      <c r="B600" s="227"/>
      <c r="C600" s="180" t="s">
        <v>658</v>
      </c>
      <c r="D600" s="145"/>
      <c r="E600" s="228"/>
      <c r="F600" s="145"/>
      <c r="G600" s="145"/>
      <c r="H600" s="145"/>
      <c r="I600" s="228"/>
      <c r="J600" s="145"/>
      <c r="K600" s="145"/>
      <c r="L600" s="145"/>
      <c r="M600" s="228"/>
      <c r="N600" s="547"/>
      <c r="O600" s="547"/>
      <c r="P600" s="547"/>
      <c r="Q600" s="626"/>
      <c r="R600" s="547"/>
      <c r="S600" s="547"/>
      <c r="T600" s="547"/>
      <c r="U600" s="626"/>
      <c r="V600" s="680"/>
      <c r="W600" s="680"/>
      <c r="X600" s="680"/>
      <c r="Y600" s="696"/>
      <c r="Z600" s="680"/>
      <c r="AA600" s="680"/>
      <c r="AB600" s="680"/>
      <c r="AC600" s="696"/>
      <c r="AD600" s="680"/>
      <c r="AE600" s="680"/>
      <c r="AF600" s="680"/>
      <c r="AG600" s="680"/>
      <c r="AH600" s="1137"/>
      <c r="AI600" s="368"/>
      <c r="AJ600" s="368"/>
      <c r="AK600" s="368"/>
      <c r="AL600" s="943"/>
      <c r="AM600" s="368"/>
      <c r="AN600" s="368"/>
      <c r="AO600" s="378"/>
      <c r="AP600" s="368"/>
      <c r="AQ600" s="368"/>
      <c r="AR600" s="368"/>
      <c r="AS600" s="368"/>
      <c r="AT600" s="943"/>
      <c r="AU600" s="368"/>
      <c r="AV600" s="368"/>
      <c r="AW600" s="378"/>
      <c r="AX600" s="943"/>
      <c r="AY600" s="368"/>
      <c r="AZ600" s="368"/>
      <c r="BA600" s="368"/>
      <c r="BB600" s="943"/>
      <c r="BC600" s="368"/>
      <c r="BD600" s="368"/>
      <c r="BE600" s="378"/>
      <c r="BF600" s="943"/>
      <c r="BG600" s="368"/>
      <c r="BH600" s="368"/>
      <c r="BI600" s="378"/>
      <c r="BJ600" s="943"/>
      <c r="BK600" s="368"/>
      <c r="BL600" s="368"/>
      <c r="BM600" s="378"/>
      <c r="BN600" s="368"/>
      <c r="BO600" s="368"/>
      <c r="BP600" s="368"/>
      <c r="BQ600" s="378"/>
      <c r="BR600" s="368"/>
      <c r="BS600" s="368"/>
      <c r="BT600" s="368"/>
      <c r="BU600" s="378"/>
      <c r="BV600" s="368"/>
      <c r="BW600" s="368"/>
      <c r="BX600" s="368"/>
      <c r="BY600" s="378"/>
      <c r="BZ600" s="368"/>
      <c r="CA600" s="368"/>
      <c r="CB600" s="368"/>
      <c r="CC600" s="378"/>
      <c r="CD600" s="228"/>
      <c r="CE600" s="145"/>
      <c r="CF600" s="145"/>
      <c r="CG600" s="145"/>
      <c r="CH600" s="145"/>
      <c r="CI600" s="145"/>
      <c r="CJ600" s="145"/>
      <c r="CK600" s="145"/>
      <c r="CL600" s="145"/>
      <c r="CM600" s="145"/>
      <c r="CN600" s="145"/>
      <c r="CO600" s="145"/>
      <c r="CP600" s="145"/>
      <c r="CQ600" s="145"/>
      <c r="CR600" s="145"/>
      <c r="CS600" s="368"/>
      <c r="CT600" s="368"/>
      <c r="CU600" s="368"/>
      <c r="CV600" s="368"/>
      <c r="CW600" s="368"/>
      <c r="CX600" s="368"/>
      <c r="CY600" s="368"/>
      <c r="CZ600" s="368"/>
      <c r="DA600" s="368"/>
      <c r="DB600" s="368"/>
      <c r="DC600" s="368"/>
      <c r="DD600" s="1505"/>
      <c r="DE600" s="1551"/>
      <c r="DF600" s="141"/>
      <c r="DG600" s="141"/>
      <c r="DH600" s="141"/>
      <c r="DI600" s="141"/>
      <c r="DJ600" s="141"/>
      <c r="DK600" s="141"/>
      <c r="DL600" s="141"/>
      <c r="DM600" s="141"/>
      <c r="DN600" s="141"/>
      <c r="DO600" s="141"/>
      <c r="DP600" s="141"/>
      <c r="DQ600" s="141"/>
      <c r="DR600" s="141"/>
      <c r="DS600" s="141"/>
      <c r="DT600" s="141"/>
      <c r="DU600" s="141"/>
      <c r="DV600" s="141"/>
      <c r="DW600" s="141"/>
      <c r="DX600" s="141"/>
      <c r="DY600" s="141"/>
      <c r="DZ600" s="1676"/>
    </row>
    <row r="601" spans="1:130" hidden="1" outlineLevel="1">
      <c r="A601" s="177"/>
      <c r="B601" s="208"/>
      <c r="C601" s="196" t="s">
        <v>659</v>
      </c>
      <c r="D601" s="196"/>
      <c r="E601" s="383"/>
      <c r="F601" s="475"/>
      <c r="G601" s="475"/>
      <c r="H601" s="475"/>
      <c r="I601" s="383"/>
      <c r="J601" s="475"/>
      <c r="K601" s="475"/>
      <c r="L601" s="475"/>
      <c r="M601" s="383"/>
      <c r="N601" s="800"/>
      <c r="O601" s="800">
        <f t="shared" ref="O601:AK601" si="1222">O591/O567</f>
        <v>7.1616015387212448E-3</v>
      </c>
      <c r="P601" s="800">
        <f t="shared" si="1222"/>
        <v>7.1609421753919336E-3</v>
      </c>
      <c r="Q601" s="801">
        <f t="shared" si="1222"/>
        <v>7.0594404889166755E-3</v>
      </c>
      <c r="R601" s="800">
        <f t="shared" si="1222"/>
        <v>5.4027504911591364E-3</v>
      </c>
      <c r="S601" s="800">
        <f t="shared" si="1222"/>
        <v>5.334626576139671E-3</v>
      </c>
      <c r="T601" s="800">
        <f t="shared" si="1222"/>
        <v>5.3165780570323829E-3</v>
      </c>
      <c r="U601" s="801">
        <f t="shared" si="1222"/>
        <v>5.2833813640730072E-3</v>
      </c>
      <c r="V601" s="800">
        <f t="shared" si="1222"/>
        <v>5.2681992337164753E-3</v>
      </c>
      <c r="W601" s="800">
        <f t="shared" si="1222"/>
        <v>5.2681992337164753E-3</v>
      </c>
      <c r="X601" s="800">
        <f t="shared" si="1222"/>
        <v>5.2681992337164753E-3</v>
      </c>
      <c r="Y601" s="801">
        <f t="shared" si="1222"/>
        <v>5.1789077212806029E-3</v>
      </c>
      <c r="Z601" s="800">
        <f t="shared" si="1222"/>
        <v>9.319664492078286E-4</v>
      </c>
      <c r="AA601" s="800">
        <f t="shared" si="1222"/>
        <v>2.3180343069077423E-3</v>
      </c>
      <c r="AB601" s="800">
        <f t="shared" si="1222"/>
        <v>1.3793103448275861E-3</v>
      </c>
      <c r="AC601" s="801">
        <f t="shared" si="1222"/>
        <v>9.066183136899361E-4</v>
      </c>
      <c r="AD601" s="800">
        <f t="shared" si="1222"/>
        <v>4.5105999097880023E-4</v>
      </c>
      <c r="AE601" s="800">
        <f t="shared" si="1222"/>
        <v>4.5105999097880024E-3</v>
      </c>
      <c r="AF601" s="800">
        <f t="shared" si="1222"/>
        <v>1.3513513513513512E-3</v>
      </c>
      <c r="AG601" s="800">
        <f t="shared" si="1222"/>
        <v>9.0130689499774686E-4</v>
      </c>
      <c r="AH601" s="1138">
        <f t="shared" si="1222"/>
        <v>5.4794520547945206E-3</v>
      </c>
      <c r="AI601" s="800">
        <f t="shared" si="1222"/>
        <v>9.0867787369377563E-4</v>
      </c>
      <c r="AJ601" s="800">
        <f t="shared" si="1222"/>
        <v>2.7027027027027024E-3</v>
      </c>
      <c r="AK601" s="800">
        <f t="shared" si="1222"/>
        <v>4.5167784226051138E-4</v>
      </c>
      <c r="AL601" s="1138">
        <f t="shared" ref="AL601:AQ601" si="1223">AL591/AL567</f>
        <v>7.6754387450097793E-3</v>
      </c>
      <c r="AM601" s="800">
        <f t="shared" si="1223"/>
        <v>9.0090090090090091E-4</v>
      </c>
      <c r="AN601" s="800">
        <f t="shared" si="1223"/>
        <v>8.9686098654708519E-3</v>
      </c>
      <c r="AO601" s="801">
        <f t="shared" si="1223"/>
        <v>1.3392857142857145E-3</v>
      </c>
      <c r="AP601" s="1138">
        <f t="shared" si="1223"/>
        <v>5.3333333333333332E-3</v>
      </c>
      <c r="AQ601" s="800">
        <f t="shared" si="1223"/>
        <v>8.8888888888888893E-4</v>
      </c>
      <c r="AR601" s="800">
        <f t="shared" ref="AR601:AW601" si="1224">AR591/AR567</f>
        <v>0</v>
      </c>
      <c r="AS601" s="800">
        <f t="shared" si="1224"/>
        <v>0</v>
      </c>
      <c r="AT601" s="1138">
        <f t="shared" si="1224"/>
        <v>1.038961038961039E-2</v>
      </c>
      <c r="AU601" s="800">
        <f t="shared" si="1224"/>
        <v>4.3478260869565219E-4</v>
      </c>
      <c r="AV601" s="800">
        <f t="shared" si="1224"/>
        <v>0</v>
      </c>
      <c r="AW601" s="801">
        <f t="shared" si="1224"/>
        <v>0</v>
      </c>
      <c r="AX601" s="800">
        <f t="shared" ref="AX601:BC601" si="1225">AX591/AX567</f>
        <v>1.0729613733905579E-2</v>
      </c>
      <c r="AY601" s="800">
        <f t="shared" si="1225"/>
        <v>8.547008547008547E-4</v>
      </c>
      <c r="AZ601" s="800">
        <f t="shared" si="1225"/>
        <v>1.8297872340425531E-2</v>
      </c>
      <c r="BA601" s="801">
        <f t="shared" si="1225"/>
        <v>3.4482758620689668E-3</v>
      </c>
      <c r="BB601" s="800">
        <f t="shared" si="1225"/>
        <v>1.2195121951219513E-2</v>
      </c>
      <c r="BC601" s="800">
        <f t="shared" si="1225"/>
        <v>4.1152263374485601E-4</v>
      </c>
      <c r="BD601" s="800">
        <f t="shared" ref="BD601:BI601" si="1226">BD591/BD567</f>
        <v>8.2987551867219926E-4</v>
      </c>
      <c r="BE601" s="800">
        <f t="shared" si="1226"/>
        <v>4.2016806722688926E-4</v>
      </c>
      <c r="BF601" s="1138">
        <f t="shared" si="1226"/>
        <v>8.4388185654008432E-3</v>
      </c>
      <c r="BG601" s="800">
        <f t="shared" si="1226"/>
        <v>5.5084745762711863E-3</v>
      </c>
      <c r="BH601" s="800">
        <f t="shared" si="1226"/>
        <v>0</v>
      </c>
      <c r="BI601" s="800">
        <f t="shared" si="1226"/>
        <v>0</v>
      </c>
      <c r="BJ601" s="1138">
        <f t="shared" ref="BJ601:BS601" si="1227">BJ591/BJ567</f>
        <v>5.1282051282051282E-3</v>
      </c>
      <c r="BK601" s="800">
        <f t="shared" si="1227"/>
        <v>0</v>
      </c>
      <c r="BL601" s="800">
        <f t="shared" si="1227"/>
        <v>4.3103448275862074E-4</v>
      </c>
      <c r="BM601" s="801">
        <f t="shared" si="1227"/>
        <v>0</v>
      </c>
      <c r="BN601" s="800">
        <f t="shared" si="1227"/>
        <v>6.956521739130435E-3</v>
      </c>
      <c r="BO601" s="800">
        <f t="shared" si="1227"/>
        <v>0</v>
      </c>
      <c r="BP601" s="800">
        <f t="shared" si="1227"/>
        <v>4.3103448275862014E-4</v>
      </c>
      <c r="BQ601" s="801">
        <f t="shared" si="1227"/>
        <v>1.2446351931330471E-2</v>
      </c>
      <c r="BR601" s="1138">
        <f t="shared" si="1227"/>
        <v>9.8591549295774638E-3</v>
      </c>
      <c r="BS601" s="800">
        <f t="shared" si="1227"/>
        <v>0</v>
      </c>
      <c r="BT601" s="800">
        <f>BT591/BT567</f>
        <v>0</v>
      </c>
      <c r="BU601" s="801">
        <f>BU591/BU567</f>
        <v>0</v>
      </c>
      <c r="BV601" s="254">
        <v>0.03</v>
      </c>
      <c r="BW601" s="254">
        <v>0.03</v>
      </c>
      <c r="BX601" s="254">
        <v>0.01</v>
      </c>
      <c r="BY601" s="1162">
        <v>0.01</v>
      </c>
      <c r="BZ601" s="254">
        <v>8.9999999999999993E-3</v>
      </c>
      <c r="CA601" s="254">
        <v>8.9999999999999993E-3</v>
      </c>
      <c r="CB601" s="254">
        <v>1.1599999999999999E-2</v>
      </c>
      <c r="CC601" s="1162">
        <v>0.01</v>
      </c>
      <c r="CD601" s="369"/>
      <c r="CE601" s="889"/>
      <c r="CF601" s="889"/>
      <c r="CG601" s="802"/>
      <c r="CH601" s="802"/>
      <c r="CI601" s="802">
        <f t="shared" ref="CI601:CO601" si="1228">CI591/CI567</f>
        <v>2.1072796934865901E-2</v>
      </c>
      <c r="CJ601" s="802">
        <f t="shared" si="1228"/>
        <v>5.5917986952469714E-3</v>
      </c>
      <c r="CK601" s="802">
        <f t="shared" si="1228"/>
        <v>7.2169598556608037E-3</v>
      </c>
      <c r="CL601" s="802">
        <f t="shared" si="1228"/>
        <v>9.5890410958904115E-3</v>
      </c>
      <c r="CM601" s="802">
        <f t="shared" si="1228"/>
        <v>1.8962848664141808E-2</v>
      </c>
      <c r="CN601" s="802">
        <f t="shared" si="1228"/>
        <v>6.3389246708860864E-3</v>
      </c>
      <c r="CO601" s="802">
        <f t="shared" si="1228"/>
        <v>1.1064020231508074E-2</v>
      </c>
      <c r="CP601" s="802">
        <f t="shared" ref="CP601:CV601" si="1229">CP591/CP567</f>
        <v>3.4962303931565512E-2</v>
      </c>
      <c r="CQ601" s="802">
        <f t="shared" si="1229"/>
        <v>1.3821138211382113E-2</v>
      </c>
      <c r="CR601" s="802">
        <f t="shared" si="1229"/>
        <v>1.3924050632911392E-2</v>
      </c>
      <c r="CS601" s="802">
        <f t="shared" si="1229"/>
        <v>5.5555555555555558E-3</v>
      </c>
      <c r="CT601" s="802">
        <f t="shared" si="1229"/>
        <v>1.9999999999999997E-2</v>
      </c>
      <c r="CU601" s="802">
        <f t="shared" si="1229"/>
        <v>9.8591549295774638E-3</v>
      </c>
      <c r="CV601" s="802">
        <f t="shared" si="1229"/>
        <v>8.063504989795918E-2</v>
      </c>
      <c r="CW601" s="802">
        <f>CW591/CW567</f>
        <v>3.9652414268609611E-2</v>
      </c>
      <c r="CX601" s="254">
        <v>0.04</v>
      </c>
      <c r="CY601" s="254">
        <v>0.04</v>
      </c>
      <c r="CZ601" s="254">
        <v>0.04</v>
      </c>
      <c r="DA601" s="254">
        <v>0.03</v>
      </c>
      <c r="DB601" s="254">
        <v>0.03</v>
      </c>
      <c r="DC601" s="254">
        <v>0.03</v>
      </c>
      <c r="DD601" s="1532"/>
      <c r="DE601" s="1568"/>
      <c r="DF601" s="715"/>
      <c r="DG601" s="715"/>
      <c r="DH601" s="715"/>
      <c r="DI601" s="715"/>
      <c r="DJ601" s="715"/>
      <c r="DK601" s="715"/>
      <c r="DL601" s="142"/>
      <c r="DM601" s="715"/>
      <c r="DN601" s="715"/>
      <c r="DO601" s="715"/>
      <c r="DP601" s="715"/>
      <c r="DQ601" s="715"/>
      <c r="DR601" s="715"/>
      <c r="DS601" s="715"/>
      <c r="DT601" s="715"/>
      <c r="DU601" s="715"/>
      <c r="DV601" s="715"/>
      <c r="DW601" s="715"/>
      <c r="DX601" s="715"/>
      <c r="DY601" s="715"/>
      <c r="DZ601" s="1687"/>
    </row>
    <row r="602" spans="1:130" hidden="1" outlineLevel="1">
      <c r="A602" s="177"/>
      <c r="B602" s="208"/>
      <c r="C602" s="196" t="s">
        <v>627</v>
      </c>
      <c r="D602" s="196"/>
      <c r="E602" s="383"/>
      <c r="F602" s="475"/>
      <c r="G602" s="475"/>
      <c r="H602" s="475"/>
      <c r="I602" s="383"/>
      <c r="J602" s="475"/>
      <c r="K602" s="475"/>
      <c r="L602" s="475"/>
      <c r="M602" s="383"/>
      <c r="N602" s="802"/>
      <c r="O602" s="802">
        <f t="shared" ref="O602:AF602" si="1230">O592/O590</f>
        <v>-2.1463414634146334</v>
      </c>
      <c r="P602" s="802">
        <f t="shared" si="1230"/>
        <v>-1.0731707317073167</v>
      </c>
      <c r="Q602" s="803">
        <f t="shared" si="1230"/>
        <v>-0.7154471544715445</v>
      </c>
      <c r="R602" s="802">
        <f t="shared" si="1230"/>
        <v>2.98804780876494E-2</v>
      </c>
      <c r="S602" s="802">
        <f t="shared" si="1230"/>
        <v>2.9850746268656712E-2</v>
      </c>
      <c r="T602" s="800">
        <f t="shared" si="1230"/>
        <v>2.9821073558648103E-2</v>
      </c>
      <c r="U602" s="801">
        <f t="shared" si="1230"/>
        <v>2.9791459781529285E-2</v>
      </c>
      <c r="V602" s="800">
        <f t="shared" si="1230"/>
        <v>9.1633466135458155E-2</v>
      </c>
      <c r="W602" s="800">
        <f t="shared" si="1230"/>
        <v>9.7046413502109685E-2</v>
      </c>
      <c r="X602" s="800">
        <f t="shared" si="1230"/>
        <v>0.10313901345291478</v>
      </c>
      <c r="Y602" s="801">
        <f t="shared" si="1230"/>
        <v>0.11004784688995212</v>
      </c>
      <c r="Z602" s="800">
        <f t="shared" si="1230"/>
        <v>3.5897435897435895E-2</v>
      </c>
      <c r="AA602" s="800">
        <f t="shared" si="1230"/>
        <v>0.12365591397849461</v>
      </c>
      <c r="AB602" s="800">
        <f t="shared" si="1230"/>
        <v>0.24550898203592814</v>
      </c>
      <c r="AC602" s="801">
        <f t="shared" si="1230"/>
        <v>3.9062500000000014E-2</v>
      </c>
      <c r="AD602" s="800">
        <f t="shared" si="1230"/>
        <v>1.6129032258064516E-2</v>
      </c>
      <c r="AE602" s="800">
        <f>AE592/AE590</f>
        <v>7.3770491803278687E-2</v>
      </c>
      <c r="AF602" s="800">
        <f t="shared" si="1230"/>
        <v>8.3333333333333329E-2</v>
      </c>
      <c r="AG602" s="800">
        <f t="shared" ref="AG602:AL602" si="1231">AG592/AG590</f>
        <v>5.3097345132743369E-2</v>
      </c>
      <c r="AH602" s="1138">
        <f t="shared" si="1231"/>
        <v>0.10185185185185186</v>
      </c>
      <c r="AI602" s="800">
        <f t="shared" si="1231"/>
        <v>0.13592233009708737</v>
      </c>
      <c r="AJ602" s="800">
        <f t="shared" si="1231"/>
        <v>8.7912087912087919E-2</v>
      </c>
      <c r="AK602" s="800">
        <f t="shared" si="1231"/>
        <v>0.10112359550561803</v>
      </c>
      <c r="AL602" s="1138">
        <f t="shared" si="1231"/>
        <v>1.2500000000000004E-2</v>
      </c>
      <c r="AM602" s="800">
        <f t="shared" ref="AM602:AR602" si="1232">AM592/AM590</f>
        <v>1.041666666666667E-2</v>
      </c>
      <c r="AN602" s="800">
        <f t="shared" si="1232"/>
        <v>1.0309278350515467E-2</v>
      </c>
      <c r="AO602" s="801">
        <f t="shared" si="1232"/>
        <v>2.6086956521739139E-2</v>
      </c>
      <c r="AP602" s="1138">
        <f t="shared" si="1232"/>
        <v>8.8495575221238951E-2</v>
      </c>
      <c r="AQ602" s="800">
        <f t="shared" si="1232"/>
        <v>0.11304347826086959</v>
      </c>
      <c r="AR602" s="800">
        <f t="shared" si="1232"/>
        <v>4.8543689320388363E-2</v>
      </c>
      <c r="AS602" s="800">
        <f t="shared" ref="AS602:AX602" si="1233">AS592/AS590</f>
        <v>3.0612244897959221E-2</v>
      </c>
      <c r="AT602" s="1138">
        <f t="shared" si="1233"/>
        <v>1.063829787234043E-2</v>
      </c>
      <c r="AU602" s="800">
        <f t="shared" si="1233"/>
        <v>3.4482758620689662E-2</v>
      </c>
      <c r="AV602" s="800">
        <f t="shared" si="1233"/>
        <v>5.3571428571428582E-2</v>
      </c>
      <c r="AW602" s="801">
        <f t="shared" si="1233"/>
        <v>2.857142857142856E-2</v>
      </c>
      <c r="AX602" s="800">
        <f t="shared" si="1233"/>
        <v>1.9607843137254905E-2</v>
      </c>
      <c r="AY602" s="800">
        <f t="shared" ref="AY602:BD602" si="1234">AY592/AY590</f>
        <v>1.6E-2</v>
      </c>
      <c r="AZ602" s="800">
        <f t="shared" si="1234"/>
        <v>7.2000000000000008E-2</v>
      </c>
      <c r="BA602" s="801">
        <f t="shared" si="1234"/>
        <v>5.0314465408805034E-2</v>
      </c>
      <c r="BB602" s="800">
        <f t="shared" si="1234"/>
        <v>0.13924050632911392</v>
      </c>
      <c r="BC602" s="800">
        <f t="shared" si="1234"/>
        <v>7.2727272727272724E-2</v>
      </c>
      <c r="BD602" s="800">
        <f t="shared" si="1234"/>
        <v>0.1045751633986928</v>
      </c>
      <c r="BE602" s="800">
        <f t="shared" ref="BE602:BJ602" si="1235">BE592/BE590</f>
        <v>0.13138686131386856</v>
      </c>
      <c r="BF602" s="1138">
        <f t="shared" si="1235"/>
        <v>5.8823529411764684E-2</v>
      </c>
      <c r="BG602" s="800">
        <f t="shared" si="1235"/>
        <v>0.12213740458015263</v>
      </c>
      <c r="BH602" s="800">
        <f t="shared" si="1235"/>
        <v>7.999999999999996E-2</v>
      </c>
      <c r="BI602" s="800">
        <f t="shared" si="1235"/>
        <v>0.10526315789473681</v>
      </c>
      <c r="BJ602" s="1138">
        <f t="shared" si="1235"/>
        <v>0.12871287128712863</v>
      </c>
      <c r="BK602" s="800">
        <f>BK592/BK590</f>
        <v>0.10999999999999995</v>
      </c>
      <c r="BL602" s="800">
        <f>BL592/BL590</f>
        <v>0.12499999999999993</v>
      </c>
      <c r="BM602" s="801">
        <f>BM592/BM590</f>
        <v>7.7922077922077754E-2</v>
      </c>
      <c r="BN602" s="1138">
        <v>0.1</v>
      </c>
      <c r="BO602" s="800">
        <f>BO592/BO590</f>
        <v>2.5641025641025616E-2</v>
      </c>
      <c r="BP602" s="800">
        <f>BP592/BP590</f>
        <v>6.6666666666666596E-2</v>
      </c>
      <c r="BQ602" s="801">
        <f>BQ592/BQ590</f>
        <v>7.1428571428571341E-2</v>
      </c>
      <c r="BR602" s="1138">
        <v>0.1</v>
      </c>
      <c r="BS602" s="800">
        <f>BS592/BS590</f>
        <v>6.5420560747663503E-2</v>
      </c>
      <c r="BT602" s="800">
        <f>BT592/BT590</f>
        <v>9.2783505154639109E-2</v>
      </c>
      <c r="BU602" s="801">
        <f>BU592/BU590</f>
        <v>0.12790697674418597</v>
      </c>
      <c r="BV602" s="254">
        <v>0.15</v>
      </c>
      <c r="BW602" s="254">
        <v>0.1</v>
      </c>
      <c r="BX602" s="254">
        <v>0.05</v>
      </c>
      <c r="BY602" s="1162">
        <v>0.03</v>
      </c>
      <c r="BZ602" s="254">
        <v>0</v>
      </c>
      <c r="CA602" s="254">
        <v>0</v>
      </c>
      <c r="CB602" s="254">
        <v>0</v>
      </c>
      <c r="CC602" s="1162">
        <v>0.10009999999999999</v>
      </c>
      <c r="CD602" s="370"/>
      <c r="CE602" s="890"/>
      <c r="CF602" s="890"/>
      <c r="CG602" s="84">
        <f t="shared" ref="CG602:CN602" si="1236">CG592/CG590</f>
        <v>0.30240549828178698</v>
      </c>
      <c r="CH602" s="84">
        <f>CH592/CH590</f>
        <v>0.11999999999999998</v>
      </c>
      <c r="CI602" s="84">
        <f t="shared" si="1236"/>
        <v>0.36653386454183257</v>
      </c>
      <c r="CJ602" s="84">
        <f t="shared" si="1236"/>
        <v>0.38974358974358958</v>
      </c>
      <c r="CK602" s="84">
        <f t="shared" si="1236"/>
        <v>0.21774193548387086</v>
      </c>
      <c r="CL602" s="84">
        <f t="shared" si="1236"/>
        <v>0.38888888888888862</v>
      </c>
      <c r="CM602" s="84">
        <f t="shared" si="1236"/>
        <v>7.4999999999999942E-2</v>
      </c>
      <c r="CN602" s="84">
        <f t="shared" si="1236"/>
        <v>0.27433628318584058</v>
      </c>
      <c r="CO602" s="84">
        <f t="shared" ref="CO602:CT602" si="1237">CO592/CO590</f>
        <v>0.14893617021276584</v>
      </c>
      <c r="CP602" s="84">
        <f t="shared" si="1237"/>
        <v>0.20588235294117635</v>
      </c>
      <c r="CQ602" s="84">
        <f t="shared" si="1237"/>
        <v>0.43037974683544283</v>
      </c>
      <c r="CR602" s="84">
        <f t="shared" si="1237"/>
        <v>0.3781512605042015</v>
      </c>
      <c r="CS602" s="84">
        <f t="shared" si="1237"/>
        <v>0.40594059405940564</v>
      </c>
      <c r="CT602" s="84">
        <f t="shared" si="1237"/>
        <v>0.24999999999999969</v>
      </c>
      <c r="CU602" s="84">
        <f>CU592/CU590</f>
        <v>0.38888888888888851</v>
      </c>
      <c r="CV602" s="84">
        <f>CV592/CV590</f>
        <v>0.6006261713513511</v>
      </c>
      <c r="CW602" s="84">
        <f>CW592/CW590</f>
        <v>0.12895855701709683</v>
      </c>
      <c r="CX602" s="254">
        <v>0.13</v>
      </c>
      <c r="CY602" s="254">
        <f t="shared" ref="CY602:DC603" si="1238">CX602</f>
        <v>0.13</v>
      </c>
      <c r="CZ602" s="254">
        <f t="shared" si="1238"/>
        <v>0.13</v>
      </c>
      <c r="DA602" s="254">
        <f t="shared" si="1238"/>
        <v>0.13</v>
      </c>
      <c r="DB602" s="254">
        <f t="shared" si="1238"/>
        <v>0.13</v>
      </c>
      <c r="DC602" s="254">
        <f t="shared" si="1238"/>
        <v>0.13</v>
      </c>
      <c r="DD602" s="1532"/>
      <c r="DE602" s="1568"/>
      <c r="DF602" s="715"/>
      <c r="DG602" s="715"/>
      <c r="DH602" s="715"/>
      <c r="DI602" s="715"/>
      <c r="DJ602" s="715"/>
      <c r="DK602" s="715"/>
      <c r="DL602" s="142"/>
      <c r="DM602" s="715"/>
      <c r="DN602" s="715"/>
      <c r="DO602" s="715"/>
      <c r="DP602" s="715"/>
      <c r="DQ602" s="715"/>
      <c r="DR602" s="715"/>
      <c r="DS602" s="715"/>
      <c r="DT602" s="715"/>
      <c r="DU602" s="715"/>
      <c r="DV602" s="715"/>
      <c r="DW602" s="715"/>
      <c r="DX602" s="715"/>
      <c r="DY602" s="715"/>
      <c r="DZ602" s="1687"/>
    </row>
    <row r="603" spans="1:130" hidden="1" outlineLevel="1">
      <c r="A603" s="177"/>
      <c r="B603" s="208"/>
      <c r="C603" s="196" t="s">
        <v>904</v>
      </c>
      <c r="D603" s="196"/>
      <c r="E603" s="383"/>
      <c r="F603" s="475"/>
      <c r="G603" s="475"/>
      <c r="H603" s="475"/>
      <c r="I603" s="383"/>
      <c r="J603" s="475"/>
      <c r="K603" s="475"/>
      <c r="L603" s="475"/>
      <c r="M603" s="383"/>
      <c r="N603" s="802"/>
      <c r="O603" s="802">
        <f t="shared" ref="O603:AF603" si="1239">O593/O590</f>
        <v>-0.21951219512195114</v>
      </c>
      <c r="P603" s="802">
        <f t="shared" si="1239"/>
        <v>-0.10975609756097557</v>
      </c>
      <c r="Q603" s="803">
        <f t="shared" si="1239"/>
        <v>-7.3170731707317069E-2</v>
      </c>
      <c r="R603" s="802">
        <f t="shared" si="1239"/>
        <v>1.294820717131474E-2</v>
      </c>
      <c r="S603" s="802">
        <f t="shared" si="1239"/>
        <v>1.2935323383084577E-2</v>
      </c>
      <c r="T603" s="800">
        <f t="shared" si="1239"/>
        <v>1.2922465208747512E-2</v>
      </c>
      <c r="U603" s="801">
        <f t="shared" si="1239"/>
        <v>1.2909632571996029E-2</v>
      </c>
      <c r="V603" s="800">
        <f t="shared" si="1239"/>
        <v>7.9681274900398405E-3</v>
      </c>
      <c r="W603" s="800">
        <f t="shared" si="1239"/>
        <v>8.4388185654008432E-3</v>
      </c>
      <c r="X603" s="800">
        <f t="shared" si="1239"/>
        <v>8.9686098654708502E-3</v>
      </c>
      <c r="Y603" s="801">
        <f t="shared" si="1239"/>
        <v>9.5693779904306234E-3</v>
      </c>
      <c r="Z603" s="800">
        <f t="shared" si="1239"/>
        <v>2.0512820512820513E-2</v>
      </c>
      <c r="AA603" s="800">
        <f t="shared" si="1239"/>
        <v>5.3763440860215049E-3</v>
      </c>
      <c r="AB603" s="800">
        <f t="shared" si="1239"/>
        <v>5.9880239520958087E-3</v>
      </c>
      <c r="AC603" s="801">
        <f t="shared" si="1239"/>
        <v>7.8124999999999983E-3</v>
      </c>
      <c r="AD603" s="800">
        <f t="shared" si="1239"/>
        <v>8.0645161290322578E-3</v>
      </c>
      <c r="AE603" s="800">
        <f t="shared" si="1239"/>
        <v>2.4590163934426226E-2</v>
      </c>
      <c r="AF603" s="800">
        <f t="shared" si="1239"/>
        <v>0</v>
      </c>
      <c r="AG603" s="800">
        <f t="shared" ref="AG603:AL603" si="1240">AG593/AG590</f>
        <v>8.8495575221238937E-3</v>
      </c>
      <c r="AH603" s="1138">
        <f t="shared" si="1240"/>
        <v>5.5555555555555552E-2</v>
      </c>
      <c r="AI603" s="800">
        <f t="shared" si="1240"/>
        <v>0</v>
      </c>
      <c r="AJ603" s="800">
        <f t="shared" si="1240"/>
        <v>0</v>
      </c>
      <c r="AK603" s="800">
        <f t="shared" si="1240"/>
        <v>1.1235955056179775E-2</v>
      </c>
      <c r="AL603" s="1138">
        <f t="shared" si="1240"/>
        <v>0</v>
      </c>
      <c r="AM603" s="800">
        <f t="shared" ref="AM603:AR603" si="1241">AM593/AM590</f>
        <v>0</v>
      </c>
      <c r="AN603" s="800">
        <f t="shared" si="1241"/>
        <v>1.0309278350515467E-2</v>
      </c>
      <c r="AO603" s="801">
        <f t="shared" si="1241"/>
        <v>1.7391304347826087E-2</v>
      </c>
      <c r="AP603" s="1138">
        <f t="shared" si="1241"/>
        <v>0</v>
      </c>
      <c r="AQ603" s="800">
        <f t="shared" si="1241"/>
        <v>8.6956521739130453E-3</v>
      </c>
      <c r="AR603" s="800">
        <f t="shared" si="1241"/>
        <v>0</v>
      </c>
      <c r="AS603" s="800">
        <f t="shared" ref="AS603:AX603" si="1242">AS593/AS590</f>
        <v>1.0204081632653066E-2</v>
      </c>
      <c r="AT603" s="1138">
        <f t="shared" si="1242"/>
        <v>1.063829787234043E-2</v>
      </c>
      <c r="AU603" s="800">
        <f t="shared" si="1242"/>
        <v>8.6206896551724154E-3</v>
      </c>
      <c r="AV603" s="800">
        <f t="shared" si="1242"/>
        <v>8.9285714285714315E-3</v>
      </c>
      <c r="AW603" s="801">
        <f t="shared" si="1242"/>
        <v>0</v>
      </c>
      <c r="AX603" s="800">
        <f t="shared" si="1242"/>
        <v>0</v>
      </c>
      <c r="AY603" s="800">
        <f t="shared" ref="AY603:BD603" si="1243">AY593/AY590</f>
        <v>0</v>
      </c>
      <c r="AZ603" s="800">
        <f t="shared" si="1243"/>
        <v>0</v>
      </c>
      <c r="BA603" s="801">
        <f t="shared" si="1243"/>
        <v>1.2578616352201259E-2</v>
      </c>
      <c r="BB603" s="800">
        <f t="shared" si="1243"/>
        <v>6.3291139240506328E-3</v>
      </c>
      <c r="BC603" s="800">
        <f t="shared" si="1243"/>
        <v>6.0606060606060606E-3</v>
      </c>
      <c r="BD603" s="800">
        <f t="shared" si="1243"/>
        <v>1.30718954248366E-2</v>
      </c>
      <c r="BE603" s="800">
        <f t="shared" ref="BE603:BJ603" si="1244">BE593/BE590</f>
        <v>7.2992700729926979E-3</v>
      </c>
      <c r="BF603" s="1138">
        <f t="shared" si="1244"/>
        <v>8.403361344537813E-3</v>
      </c>
      <c r="BG603" s="800">
        <f t="shared" si="1244"/>
        <v>2.2900763358778616E-2</v>
      </c>
      <c r="BH603" s="800">
        <f t="shared" si="1244"/>
        <v>7.9999999999999967E-3</v>
      </c>
      <c r="BI603" s="800">
        <f t="shared" si="1244"/>
        <v>8.7719298245613978E-3</v>
      </c>
      <c r="BJ603" s="1138">
        <f t="shared" si="1244"/>
        <v>0</v>
      </c>
      <c r="BK603" s="800">
        <f>BK593/BK590</f>
        <v>9.999999999999995E-3</v>
      </c>
      <c r="BL603" s="800">
        <f>BL593/BL590</f>
        <v>1.1363636363636357E-2</v>
      </c>
      <c r="BM603" s="801">
        <f>BM593/BM590</f>
        <v>3.8961038961038925E-2</v>
      </c>
      <c r="BN603" s="1138">
        <v>1.4999999999999999E-2</v>
      </c>
      <c r="BO603" s="800">
        <f>BO593/BO590</f>
        <v>1.2820512820512808E-2</v>
      </c>
      <c r="BP603" s="800">
        <f>BP593/BP590</f>
        <v>1.3333333333333317E-2</v>
      </c>
      <c r="BQ603" s="801">
        <f>BQ593/BQ590</f>
        <v>5.7142857142857072E-2</v>
      </c>
      <c r="BR603" s="1138">
        <v>1.4999999999999999E-2</v>
      </c>
      <c r="BS603" s="800">
        <f>BS593/BS590</f>
        <v>2.8037383177570076E-2</v>
      </c>
      <c r="BT603" s="800">
        <f>BT593/BT590</f>
        <v>2.0618556701030921E-2</v>
      </c>
      <c r="BU603" s="801">
        <f>BU593/BU590</f>
        <v>1.1627906976744174E-2</v>
      </c>
      <c r="BV603" s="254">
        <v>0.01</v>
      </c>
      <c r="BW603" s="254">
        <v>0.01</v>
      </c>
      <c r="BX603" s="254">
        <v>0.01</v>
      </c>
      <c r="BY603" s="1162">
        <v>0.01</v>
      </c>
      <c r="BZ603" s="254">
        <v>0.01</v>
      </c>
      <c r="CA603" s="254">
        <v>0.02</v>
      </c>
      <c r="CB603" s="254">
        <v>0.02</v>
      </c>
      <c r="CC603" s="1162">
        <v>0.02</v>
      </c>
      <c r="CD603" s="371"/>
      <c r="CE603" s="889"/>
      <c r="CF603" s="889"/>
      <c r="CG603" s="183">
        <f t="shared" ref="CG603:CN603" si="1245">CG593/CG590</f>
        <v>3.0927835051546389E-2</v>
      </c>
      <c r="CH603" s="183">
        <f t="shared" si="1245"/>
        <v>5.1999999999999998E-2</v>
      </c>
      <c r="CI603" s="183">
        <f t="shared" si="1245"/>
        <v>3.1872509960159355E-2</v>
      </c>
      <c r="CJ603" s="183">
        <f t="shared" si="1245"/>
        <v>3.5897435897435881E-2</v>
      </c>
      <c r="CK603" s="183">
        <f t="shared" si="1245"/>
        <v>4.0322580645161268E-2</v>
      </c>
      <c r="CL603" s="183">
        <f t="shared" si="1245"/>
        <v>6.481481481481477E-2</v>
      </c>
      <c r="CM603" s="183">
        <f t="shared" si="1245"/>
        <v>3.7499999999999964E-2</v>
      </c>
      <c r="CN603" s="183">
        <f t="shared" si="1245"/>
        <v>1.769911504424778E-2</v>
      </c>
      <c r="CO603" s="183">
        <f t="shared" ref="CO603:CT603" si="1246">CO593/CO590</f>
        <v>3.1914893617021253E-2</v>
      </c>
      <c r="CP603" s="183">
        <f t="shared" si="1246"/>
        <v>1.9607843137254891E-2</v>
      </c>
      <c r="CQ603" s="183">
        <f t="shared" si="1246"/>
        <v>3.1645569620253146E-2</v>
      </c>
      <c r="CR603" s="183">
        <f t="shared" si="1246"/>
        <v>5.0420168067226864E-2</v>
      </c>
      <c r="CS603" s="183">
        <f t="shared" si="1246"/>
        <v>4.9504950495049473E-2</v>
      </c>
      <c r="CT603" s="183">
        <f t="shared" si="1246"/>
        <v>0.10294117647058811</v>
      </c>
      <c r="CU603" s="183">
        <f>CU593/CU590</f>
        <v>9.9999999999999908E-2</v>
      </c>
      <c r="CV603" s="183">
        <f>CV593/CV590</f>
        <v>9.2739048108108069E-2</v>
      </c>
      <c r="CW603" s="183">
        <f>CW593/CW590</f>
        <v>8.1194773519600208E-2</v>
      </c>
      <c r="CX603" s="254">
        <v>0.09</v>
      </c>
      <c r="CY603" s="254">
        <f t="shared" si="1238"/>
        <v>0.09</v>
      </c>
      <c r="CZ603" s="254">
        <f t="shared" si="1238"/>
        <v>0.09</v>
      </c>
      <c r="DA603" s="254">
        <f t="shared" si="1238"/>
        <v>0.09</v>
      </c>
      <c r="DB603" s="254">
        <f t="shared" si="1238"/>
        <v>0.09</v>
      </c>
      <c r="DC603" s="254">
        <f t="shared" si="1238"/>
        <v>0.09</v>
      </c>
      <c r="DD603" s="1532"/>
      <c r="DE603" s="1568"/>
      <c r="DF603" s="715"/>
      <c r="DG603" s="715"/>
      <c r="DH603" s="715"/>
      <c r="DI603" s="715"/>
      <c r="DJ603" s="715"/>
      <c r="DK603" s="715"/>
      <c r="DL603" s="142"/>
      <c r="DM603" s="715"/>
      <c r="DN603" s="715"/>
      <c r="DO603" s="715"/>
      <c r="DP603" s="715"/>
      <c r="DQ603" s="715"/>
      <c r="DR603" s="715"/>
      <c r="DS603" s="715"/>
      <c r="DT603" s="715"/>
      <c r="DU603" s="715"/>
      <c r="DV603" s="715"/>
      <c r="DW603" s="715"/>
      <c r="DX603" s="715"/>
      <c r="DY603" s="715"/>
      <c r="DZ603" s="1687"/>
    </row>
    <row r="604" spans="1:130" hidden="1" outlineLevel="1">
      <c r="A604" s="177"/>
      <c r="B604" s="208"/>
      <c r="C604" s="196" t="s">
        <v>660</v>
      </c>
      <c r="D604" s="196"/>
      <c r="E604" s="383"/>
      <c r="F604" s="475"/>
      <c r="G604" s="475"/>
      <c r="H604" s="475"/>
      <c r="I604" s="383"/>
      <c r="J604" s="475"/>
      <c r="K604" s="475"/>
      <c r="L604" s="475"/>
      <c r="M604" s="383"/>
      <c r="N604" s="475"/>
      <c r="O604" s="475"/>
      <c r="P604" s="475"/>
      <c r="Q604" s="383"/>
      <c r="R604" s="475"/>
      <c r="S604" s="475"/>
      <c r="T604" s="697"/>
      <c r="U604" s="698"/>
      <c r="V604" s="802"/>
      <c r="W604" s="802"/>
      <c r="X604" s="802"/>
      <c r="Y604" s="803"/>
      <c r="Z604" s="802"/>
      <c r="AA604" s="802"/>
      <c r="AB604" s="802"/>
      <c r="AC604" s="803"/>
      <c r="AD604" s="802"/>
      <c r="AE604" s="802"/>
      <c r="AF604" s="802"/>
      <c r="AG604" s="802"/>
      <c r="AH604" s="1139"/>
      <c r="AI604" s="802"/>
      <c r="AJ604" s="802"/>
      <c r="AK604" s="183"/>
      <c r="AL604" s="1084"/>
      <c r="AM604" s="937"/>
      <c r="AN604" s="937"/>
      <c r="AO604" s="1159"/>
      <c r="AP604" s="1084"/>
      <c r="AQ604" s="937"/>
      <c r="AR604" s="937"/>
      <c r="AS604" s="937"/>
      <c r="AT604" s="1084"/>
      <c r="AU604" s="937"/>
      <c r="AV604" s="937"/>
      <c r="AW604" s="1159"/>
      <c r="AX604" s="937"/>
      <c r="AY604" s="937"/>
      <c r="AZ604" s="937"/>
      <c r="BA604" s="1159"/>
      <c r="BB604" s="937"/>
      <c r="BC604" s="937"/>
      <c r="BD604" s="937"/>
      <c r="BE604" s="937"/>
      <c r="BF604" s="1084"/>
      <c r="BG604" s="937"/>
      <c r="BH604" s="937"/>
      <c r="BI604" s="937"/>
      <c r="BJ604" s="1084"/>
      <c r="BK604" s="201"/>
      <c r="BL604" s="201"/>
      <c r="BM604" s="1159"/>
      <c r="BN604" s="1084"/>
      <c r="BO604" s="201"/>
      <c r="BP604" s="201"/>
      <c r="BQ604" s="1159"/>
      <c r="BR604" s="1084"/>
      <c r="BS604" s="201"/>
      <c r="BT604" s="201"/>
      <c r="BU604" s="1159"/>
      <c r="BV604" s="254">
        <v>1</v>
      </c>
      <c r="BW604" s="254">
        <v>1</v>
      </c>
      <c r="BX604" s="254">
        <v>0.9</v>
      </c>
      <c r="BY604" s="1162">
        <v>0.9</v>
      </c>
      <c r="BZ604" s="254">
        <v>0.9</v>
      </c>
      <c r="CA604" s="254">
        <v>0.9</v>
      </c>
      <c r="CB604" s="254">
        <v>0.9</v>
      </c>
      <c r="CC604" s="1162">
        <v>0.9</v>
      </c>
      <c r="CD604" s="182"/>
      <c r="CE604" s="84"/>
      <c r="CF604" s="84"/>
      <c r="CG604" s="84"/>
      <c r="CH604" s="84"/>
      <c r="CI604" s="84"/>
      <c r="CJ604" s="84"/>
      <c r="CK604" s="183"/>
      <c r="CL604" s="183"/>
      <c r="CM604" s="183"/>
      <c r="CN604" s="183"/>
      <c r="CO604" s="183"/>
      <c r="CP604" s="183"/>
      <c r="CQ604" s="183"/>
      <c r="CR604" s="183"/>
      <c r="CS604" s="183"/>
      <c r="CT604" s="183"/>
      <c r="CU604" s="183"/>
      <c r="CV604" s="183"/>
      <c r="CW604" s="183"/>
      <c r="CX604" s="254">
        <v>0.9</v>
      </c>
      <c r="CY604" s="254">
        <v>0.9</v>
      </c>
      <c r="CZ604" s="254">
        <v>0.9</v>
      </c>
      <c r="DA604" s="254">
        <v>0.9</v>
      </c>
      <c r="DB604" s="254">
        <v>0.9</v>
      </c>
      <c r="DC604" s="254">
        <v>0.9</v>
      </c>
      <c r="DD604" s="1532"/>
      <c r="DE604" s="1568"/>
      <c r="DF604" s="715"/>
      <c r="DG604" s="715"/>
      <c r="DH604" s="715"/>
      <c r="DI604" s="715"/>
      <c r="DJ604" s="715"/>
      <c r="DK604" s="715"/>
      <c r="DL604" s="142"/>
      <c r="DM604" s="715"/>
      <c r="DN604" s="715"/>
      <c r="DO604" s="715"/>
      <c r="DP604" s="715"/>
      <c r="DQ604" s="715"/>
      <c r="DR604" s="715"/>
      <c r="DS604" s="715"/>
      <c r="DT604" s="715"/>
      <c r="DU604" s="715"/>
      <c r="DV604" s="715"/>
      <c r="DW604" s="715"/>
      <c r="DX604" s="715"/>
      <c r="DY604" s="715"/>
      <c r="DZ604" s="1687"/>
    </row>
    <row r="605" spans="1:130" hidden="1" outlineLevel="1">
      <c r="A605" s="145"/>
      <c r="B605" s="227"/>
      <c r="C605" s="145"/>
      <c r="D605" s="145"/>
      <c r="E605" s="228"/>
      <c r="F605" s="145"/>
      <c r="G605" s="145"/>
      <c r="H605" s="145"/>
      <c r="I605" s="228"/>
      <c r="J605" s="145"/>
      <c r="K605" s="145"/>
      <c r="L605" s="145"/>
      <c r="M605" s="228"/>
      <c r="N605" s="145"/>
      <c r="O605" s="145"/>
      <c r="P605" s="145"/>
      <c r="Q605" s="228"/>
      <c r="R605" s="145"/>
      <c r="S605" s="145"/>
      <c r="T605" s="547"/>
      <c r="U605" s="626"/>
      <c r="V605" s="547"/>
      <c r="W605" s="547"/>
      <c r="X605" s="547"/>
      <c r="Y605" s="626"/>
      <c r="Z605" s="547"/>
      <c r="AA605" s="547"/>
      <c r="AB605" s="547"/>
      <c r="AC605" s="626"/>
      <c r="AD605" s="547"/>
      <c r="AE605" s="547"/>
      <c r="AF605" s="547"/>
      <c r="AG605" s="547"/>
      <c r="AH605" s="693"/>
      <c r="AI605" s="145"/>
      <c r="AJ605" s="145"/>
      <c r="AK605" s="145"/>
      <c r="AL605" s="227"/>
      <c r="AM605" s="145"/>
      <c r="AN605" s="145"/>
      <c r="AO605" s="228"/>
      <c r="AP605" s="145"/>
      <c r="AQ605" s="145"/>
      <c r="AR605" s="145"/>
      <c r="AS605" s="145"/>
      <c r="AT605" s="227"/>
      <c r="AU605" s="145"/>
      <c r="AV605" s="145"/>
      <c r="AW605" s="228"/>
      <c r="AX605" s="227"/>
      <c r="AY605" s="145"/>
      <c r="AZ605" s="145"/>
      <c r="BA605" s="145"/>
      <c r="BB605" s="227"/>
      <c r="BC605" s="145"/>
      <c r="BD605" s="145"/>
      <c r="BE605" s="228"/>
      <c r="BF605" s="207"/>
      <c r="BG605" s="201"/>
      <c r="BH605" s="201"/>
      <c r="BI605" s="202"/>
      <c r="BJ605" s="207"/>
      <c r="BK605" s="201"/>
      <c r="BL605" s="201"/>
      <c r="BM605" s="202"/>
      <c r="BN605" s="207"/>
      <c r="BO605" s="201"/>
      <c r="BP605" s="201"/>
      <c r="BQ605" s="202"/>
      <c r="BR605" s="2096"/>
      <c r="BS605" s="201"/>
      <c r="BT605" s="201"/>
      <c r="BU605" s="202"/>
      <c r="BV605" s="1587"/>
      <c r="BW605" s="1587"/>
      <c r="BX605" s="201"/>
      <c r="BY605" s="202"/>
      <c r="BZ605" s="201"/>
      <c r="CA605" s="201"/>
      <c r="CB605" s="201"/>
      <c r="CC605" s="202"/>
      <c r="CD605" s="228"/>
      <c r="CE605" s="145"/>
      <c r="CF605" s="145"/>
      <c r="CG605" s="145"/>
      <c r="CH605" s="145"/>
      <c r="CI605" s="145"/>
      <c r="CJ605" s="145"/>
      <c r="CK605" s="145"/>
      <c r="CL605" s="145"/>
      <c r="CM605" s="145"/>
      <c r="CN605" s="145"/>
      <c r="CO605" s="145"/>
      <c r="CP605" s="145"/>
      <c r="CQ605" s="145"/>
      <c r="CR605" s="145"/>
      <c r="CS605" s="145"/>
      <c r="CT605" s="145"/>
      <c r="CU605" s="145"/>
      <c r="CV605" s="145"/>
      <c r="CW605" s="145"/>
      <c r="CX605" s="201"/>
      <c r="CY605" s="201"/>
      <c r="CZ605" s="201"/>
      <c r="DA605" s="201"/>
      <c r="DB605" s="201"/>
      <c r="DC605" s="201"/>
      <c r="DD605" s="1505"/>
      <c r="DE605" s="1551"/>
      <c r="DF605" s="141"/>
      <c r="DG605" s="141"/>
      <c r="DH605" s="141"/>
      <c r="DI605" s="141"/>
      <c r="DJ605" s="141"/>
      <c r="DK605" s="141"/>
      <c r="DL605" s="141"/>
      <c r="DM605" s="141"/>
      <c r="DN605" s="141"/>
      <c r="DO605" s="141"/>
      <c r="DP605" s="141"/>
      <c r="DQ605" s="141"/>
      <c r="DR605" s="141"/>
      <c r="DS605" s="141"/>
      <c r="DT605" s="141"/>
      <c r="DU605" s="141"/>
      <c r="DV605" s="141"/>
      <c r="DW605" s="141"/>
      <c r="DX605" s="141"/>
      <c r="DY605" s="141"/>
      <c r="DZ605" s="1676"/>
    </row>
    <row r="606" spans="1:130" hidden="1" outlineLevel="1">
      <c r="A606" s="3"/>
      <c r="B606" s="208"/>
      <c r="C606" s="196" t="s">
        <v>33</v>
      </c>
      <c r="D606" s="196"/>
      <c r="E606" s="197"/>
      <c r="F606" s="891"/>
      <c r="G606" s="891"/>
      <c r="H606" s="891"/>
      <c r="I606" s="892"/>
      <c r="J606" s="891"/>
      <c r="K606" s="891"/>
      <c r="L606" s="891"/>
      <c r="M606" s="892"/>
      <c r="N606" s="891"/>
      <c r="O606" s="604">
        <v>6.679538</v>
      </c>
      <c r="P606" s="604">
        <v>7.736129</v>
      </c>
      <c r="Q606" s="605">
        <v>10.484</v>
      </c>
      <c r="R606" s="604">
        <v>11.131691999999999</v>
      </c>
      <c r="S606" s="604">
        <v>12.584615999999999</v>
      </c>
      <c r="T606" s="604">
        <v>11.179523</v>
      </c>
      <c r="U606" s="605">
        <v>9.2848430000000004</v>
      </c>
      <c r="V606" s="604">
        <v>7.8680000000000003</v>
      </c>
      <c r="W606" s="604">
        <v>9.4895379999999996</v>
      </c>
      <c r="X606" s="604">
        <v>11.143547999999999</v>
      </c>
      <c r="Y606" s="605">
        <v>13.673940000000002</v>
      </c>
      <c r="Z606" s="604">
        <v>13.995384</v>
      </c>
      <c r="AA606" s="604">
        <v>13.826718999999999</v>
      </c>
      <c r="AB606" s="604">
        <v>21.161270000000002</v>
      </c>
      <c r="AC606" s="605">
        <v>19.761230000000001</v>
      </c>
      <c r="AD606" s="604">
        <v>17.70185</v>
      </c>
      <c r="AE606" s="604">
        <v>19.398910000000001</v>
      </c>
      <c r="AF606" s="604">
        <v>19.067900000000002</v>
      </c>
      <c r="AG606" s="604">
        <v>18.193850000000001</v>
      </c>
      <c r="AH606" s="1140">
        <v>21.92923</v>
      </c>
      <c r="AI606" s="441">
        <v>27.142620000000001</v>
      </c>
      <c r="AJ606" s="441">
        <v>27.142620000000001</v>
      </c>
      <c r="AK606" s="441">
        <v>28.526940000000003</v>
      </c>
      <c r="AL606" s="1154">
        <v>28.342000000000002</v>
      </c>
      <c r="AM606" s="441">
        <v>13.933384999999999</v>
      </c>
      <c r="AN606" s="441">
        <v>15.296290000000001</v>
      </c>
      <c r="AO606" s="1160">
        <v>23.319540000000003</v>
      </c>
      <c r="AP606" s="1154">
        <v>31.889850000000003</v>
      </c>
      <c r="AQ606" s="441">
        <v>38.219840000000005</v>
      </c>
      <c r="AR606" s="441">
        <v>41.179840000000006</v>
      </c>
      <c r="AS606" s="1160">
        <v>37.587690000000002</v>
      </c>
      <c r="AT606" s="1154">
        <v>27.395190000000003</v>
      </c>
      <c r="AU606" s="441">
        <v>32.423540000000003</v>
      </c>
      <c r="AV606" s="441">
        <v>33.806510000000003</v>
      </c>
      <c r="AW606" s="1160">
        <v>36.911230000000003</v>
      </c>
      <c r="AX606" s="1154">
        <v>31.516920000000002</v>
      </c>
      <c r="AY606" s="441">
        <v>28.236712671874997</v>
      </c>
      <c r="AZ606" s="441">
        <v>37.455706349206352</v>
      </c>
      <c r="BA606" s="441">
        <v>35.981164484375</v>
      </c>
      <c r="BB606" s="1388">
        <v>39.06663850793651</v>
      </c>
      <c r="BC606" s="1389">
        <v>36.527377000000001</v>
      </c>
      <c r="BD606" s="1389">
        <v>47.025287819672137</v>
      </c>
      <c r="BE606" s="1390">
        <v>57.97</v>
      </c>
      <c r="BF606" s="1388">
        <v>65.31</v>
      </c>
      <c r="BG606" s="1375">
        <v>73.599999999999994</v>
      </c>
      <c r="BH606" s="1389">
        <v>86.19</v>
      </c>
      <c r="BI606" s="1390">
        <v>88.72</v>
      </c>
      <c r="BJ606" s="1388">
        <v>99.326300938461515</v>
      </c>
      <c r="BK606" s="1375">
        <v>99.682186859375008</v>
      </c>
      <c r="BL606" s="1375">
        <v>103.92605150000001</v>
      </c>
      <c r="BM606" s="1390">
        <v>94.682462230769261</v>
      </c>
      <c r="BN606" s="1388">
        <v>79.545462999999998</v>
      </c>
      <c r="BO606" s="1375">
        <v>67.859923124999995</v>
      </c>
      <c r="BP606" s="1375">
        <v>47.749839822580668</v>
      </c>
      <c r="BQ606" s="1390">
        <v>43.655683636363626</v>
      </c>
      <c r="BR606" s="2123">
        <v>49.81</v>
      </c>
      <c r="BS606" s="1375">
        <v>60.954062984375014</v>
      </c>
      <c r="BT606" s="1375">
        <v>75.106935822580624</v>
      </c>
      <c r="BU606" s="1390">
        <v>87.748154184615402</v>
      </c>
      <c r="BV606" s="2123">
        <v>87.796406765625008</v>
      </c>
      <c r="BW606" s="2279">
        <v>85.186668047619079</v>
      </c>
      <c r="BX606" s="1391">
        <f t="shared" ref="BX606:CC606" si="1247">BW606*(1+BX607/4)</f>
        <v>87.938701387974632</v>
      </c>
      <c r="BY606" s="1392">
        <f t="shared" si="1247"/>
        <v>90.779641686191184</v>
      </c>
      <c r="BZ606" s="1391">
        <f t="shared" si="1247"/>
        <v>93.712361162979207</v>
      </c>
      <c r="CA606" s="1391">
        <f t="shared" si="1247"/>
        <v>96.739824828770125</v>
      </c>
      <c r="CB606" s="1391">
        <f t="shared" si="1247"/>
        <v>99.865093481373236</v>
      </c>
      <c r="CC606" s="1392">
        <f t="shared" si="1247"/>
        <v>103.09132680047468</v>
      </c>
      <c r="CD606" s="9"/>
      <c r="CE606" s="597"/>
      <c r="CF606" s="597"/>
      <c r="CG606" s="68">
        <f>AVERAGE(N606:Q606)</f>
        <v>8.2998890000000003</v>
      </c>
      <c r="CH606" s="68">
        <f>AVERAGE(R606:U606)</f>
        <v>11.045168500000001</v>
      </c>
      <c r="CI606" s="68">
        <f>AVERAGE(V606:Y606)</f>
        <v>10.543756500000001</v>
      </c>
      <c r="CJ606" s="68">
        <f>AVERAGE(Z606:AC606)</f>
        <v>17.186150749999999</v>
      </c>
      <c r="CK606" s="68">
        <f>AVERAGE(AD606:AG606)</f>
        <v>18.5906275</v>
      </c>
      <c r="CL606" s="68">
        <f>AVERAGE(AH606:AK606)</f>
        <v>26.1853525</v>
      </c>
      <c r="CM606" s="68">
        <f>AVERAGE(AL606:AO606)</f>
        <v>20.222803750000001</v>
      </c>
      <c r="CN606" s="68">
        <f>AVERAGE(AP606:AS606)</f>
        <v>37.219305000000006</v>
      </c>
      <c r="CO606" s="68">
        <f>AVERAGE(AT606:AW606)</f>
        <v>32.634117500000002</v>
      </c>
      <c r="CP606" s="68">
        <f>AVERAGE(AX606:BA606)</f>
        <v>33.297625876364087</v>
      </c>
      <c r="CQ606" s="68">
        <f>AVERAGE(BB606:BE606)</f>
        <v>45.147325831902165</v>
      </c>
      <c r="CR606" s="68">
        <f>AVERAGE(BF606:BI606)</f>
        <v>78.454999999999998</v>
      </c>
      <c r="CS606" s="68">
        <f>AVERAGE(BJ606:BM606)</f>
        <v>99.404250382151446</v>
      </c>
      <c r="CT606" s="68">
        <f>AVERAGE(BN606:BQ606)</f>
        <v>59.702727395986074</v>
      </c>
      <c r="CU606" s="68">
        <f>AVERAGE(BR606:BU606)</f>
        <v>68.404788247892753</v>
      </c>
      <c r="CV606" s="68">
        <f>AVERAGE(BV606:BY606)</f>
        <v>87.925354471852472</v>
      </c>
      <c r="CW606" s="68">
        <f>AVERAGE(BZ606:CC606)</f>
        <v>98.352151568399307</v>
      </c>
      <c r="CX606" s="1391">
        <f t="shared" ref="CX606:DC606" si="1248">CW606*(1+CX607/4)</f>
        <v>101.54859649437228</v>
      </c>
      <c r="CY606" s="1391">
        <f t="shared" si="1248"/>
        <v>104.84892588043937</v>
      </c>
      <c r="CZ606" s="1391">
        <f t="shared" si="1248"/>
        <v>108.25651597155364</v>
      </c>
      <c r="DA606" s="1391">
        <f t="shared" si="1248"/>
        <v>111.77485274062913</v>
      </c>
      <c r="DB606" s="1391">
        <f t="shared" si="1248"/>
        <v>115.40753545469957</v>
      </c>
      <c r="DC606" s="1391">
        <f t="shared" si="1248"/>
        <v>119.1582803569773</v>
      </c>
      <c r="DD606" s="1517"/>
      <c r="DE606" s="1483"/>
      <c r="DF606" s="24"/>
      <c r="DG606" s="24"/>
      <c r="DH606" s="24"/>
      <c r="DI606" s="24"/>
      <c r="DJ606" s="24"/>
      <c r="DK606" s="24"/>
      <c r="DL606" s="141"/>
      <c r="DM606" s="24"/>
      <c r="DN606" s="24"/>
      <c r="DO606" s="24"/>
      <c r="DP606" s="24"/>
      <c r="DQ606" s="24"/>
      <c r="DR606" s="24"/>
      <c r="DS606" s="24"/>
      <c r="DT606" s="24"/>
      <c r="DU606" s="24"/>
      <c r="DV606" s="24"/>
      <c r="DW606" s="24"/>
      <c r="DX606" s="24"/>
      <c r="DY606" s="24"/>
      <c r="DZ606" s="1561"/>
    </row>
    <row r="607" spans="1:130" hidden="1" outlineLevel="1">
      <c r="A607" s="3"/>
      <c r="B607" s="208"/>
      <c r="C607" s="196" t="s">
        <v>599</v>
      </c>
      <c r="D607" s="196"/>
      <c r="E607" s="197"/>
      <c r="F607" s="196"/>
      <c r="G607" s="196"/>
      <c r="H607" s="196"/>
      <c r="I607" s="197"/>
      <c r="J607" s="196"/>
      <c r="K607" s="196"/>
      <c r="L607" s="196"/>
      <c r="M607" s="197"/>
      <c r="N607" s="335"/>
      <c r="O607" s="335"/>
      <c r="P607" s="335"/>
      <c r="Q607" s="336"/>
      <c r="R607" s="335"/>
      <c r="S607" s="335"/>
      <c r="T607" s="684"/>
      <c r="U607" s="685"/>
      <c r="V607" s="684"/>
      <c r="W607" s="684"/>
      <c r="X607" s="684"/>
      <c r="Y607" s="685"/>
      <c r="Z607" s="684"/>
      <c r="AA607" s="684"/>
      <c r="AB607" s="684"/>
      <c r="AC607" s="685"/>
      <c r="AD607" s="684"/>
      <c r="AE607" s="684"/>
      <c r="AF607" s="684"/>
      <c r="AG607" s="684"/>
      <c r="AH607" s="686"/>
      <c r="AI607" s="350"/>
      <c r="AJ607" s="350"/>
      <c r="AK607" s="351"/>
      <c r="AL607" s="350"/>
      <c r="AM607" s="333"/>
      <c r="AN607" s="333"/>
      <c r="AO607" s="334"/>
      <c r="AP607" s="350"/>
      <c r="AQ607" s="350"/>
      <c r="AR607" s="350"/>
      <c r="AS607" s="334"/>
      <c r="AT607" s="944"/>
      <c r="AU607" s="350"/>
      <c r="AV607" s="350"/>
      <c r="AW607" s="334"/>
      <c r="AX607" s="944"/>
      <c r="AY607" s="350"/>
      <c r="AZ607" s="350"/>
      <c r="BA607" s="350"/>
      <c r="BB607" s="1298"/>
      <c r="BC607" s="1299"/>
      <c r="BD607" s="350"/>
      <c r="BE607" s="351"/>
      <c r="BF607" s="944"/>
      <c r="BG607" s="775"/>
      <c r="BH607" s="350"/>
      <c r="BI607" s="351"/>
      <c r="BJ607" s="944"/>
      <c r="BK607" s="775"/>
      <c r="BL607" s="775"/>
      <c r="BM607" s="351"/>
      <c r="BN607" s="350"/>
      <c r="BO607" s="350"/>
      <c r="BP607" s="350"/>
      <c r="BQ607" s="351"/>
      <c r="BR607" s="350"/>
      <c r="BS607" s="350"/>
      <c r="BT607" s="2173"/>
      <c r="BU607" s="351"/>
      <c r="BV607" s="350"/>
      <c r="BW607" s="350"/>
      <c r="BX607" s="342">
        <v>0.12922366391028087</v>
      </c>
      <c r="BY607" s="1218">
        <v>0.12922366391028087</v>
      </c>
      <c r="BZ607" s="342">
        <v>0.12922366391028087</v>
      </c>
      <c r="CA607" s="342">
        <v>0.12922366391028087</v>
      </c>
      <c r="CB607" s="342">
        <v>0.12922366391028087</v>
      </c>
      <c r="CC607" s="1218">
        <v>0.12922366391028087</v>
      </c>
      <c r="CD607" s="9"/>
      <c r="CE607" s="3"/>
      <c r="CF607" s="3"/>
      <c r="CG607" s="3"/>
      <c r="CH607" s="3"/>
      <c r="CI607" s="3"/>
      <c r="CJ607" s="3"/>
      <c r="CK607" s="3"/>
      <c r="CL607" s="184"/>
      <c r="CM607" s="184"/>
      <c r="CN607" s="184"/>
      <c r="CO607" s="184"/>
      <c r="CP607" s="184"/>
      <c r="CQ607" s="184"/>
      <c r="CR607" s="184"/>
      <c r="CS607" s="184"/>
      <c r="CT607" s="184"/>
      <c r="CU607" s="184"/>
      <c r="CV607" s="184"/>
      <c r="CW607" s="184"/>
      <c r="CX607" s="342">
        <v>0.13</v>
      </c>
      <c r="CY607" s="342">
        <v>0.13</v>
      </c>
      <c r="CZ607" s="342">
        <v>0.13</v>
      </c>
      <c r="DA607" s="342">
        <v>0.13</v>
      </c>
      <c r="DB607" s="342">
        <v>0.13</v>
      </c>
      <c r="DC607" s="342">
        <v>0.13</v>
      </c>
      <c r="DD607" s="1517"/>
      <c r="DE607" s="1483"/>
      <c r="DF607" s="24"/>
      <c r="DG607" s="24"/>
      <c r="DH607" s="24"/>
      <c r="DI607" s="24"/>
      <c r="DJ607" s="24"/>
      <c r="DK607" s="24"/>
      <c r="DL607" s="141"/>
      <c r="DM607" s="24"/>
      <c r="DN607" s="24"/>
      <c r="DO607" s="24"/>
      <c r="DP607" s="24"/>
      <c r="DQ607" s="24"/>
      <c r="DR607" s="24"/>
      <c r="DS607" s="24"/>
      <c r="DT607" s="24"/>
      <c r="DU607" s="24"/>
      <c r="DV607" s="24"/>
      <c r="DW607" s="24"/>
      <c r="DX607" s="24"/>
      <c r="DY607" s="24"/>
      <c r="DZ607" s="1561"/>
    </row>
    <row r="608" spans="1:130" hidden="1" outlineLevel="1">
      <c r="A608" s="3"/>
      <c r="B608" s="208"/>
      <c r="C608" s="196" t="s">
        <v>881</v>
      </c>
      <c r="D608" s="196"/>
      <c r="E608" s="197"/>
      <c r="F608" s="196"/>
      <c r="G608" s="196"/>
      <c r="H608" s="196"/>
      <c r="I608" s="197"/>
      <c r="J608" s="196"/>
      <c r="K608" s="196"/>
      <c r="L608" s="196"/>
      <c r="M608" s="197"/>
      <c r="N608" s="335"/>
      <c r="O608" s="335"/>
      <c r="P608" s="335"/>
      <c r="Q608" s="336"/>
      <c r="R608" s="335"/>
      <c r="S608" s="335"/>
      <c r="T608" s="684"/>
      <c r="U608" s="685"/>
      <c r="V608" s="684"/>
      <c r="W608" s="684"/>
      <c r="X608" s="684"/>
      <c r="Y608" s="685"/>
      <c r="Z608" s="684"/>
      <c r="AA608" s="684"/>
      <c r="AB608" s="684"/>
      <c r="AC608" s="685"/>
      <c r="AD608" s="701"/>
      <c r="AE608" s="701"/>
      <c r="AF608" s="701"/>
      <c r="AG608" s="701"/>
      <c r="AH608" s="700"/>
      <c r="AI608" s="350"/>
      <c r="AJ608" s="350"/>
      <c r="AK608" s="351"/>
      <c r="AL608" s="350"/>
      <c r="AM608" s="350"/>
      <c r="AN608" s="350"/>
      <c r="AO608" s="351"/>
      <c r="AP608" s="350"/>
      <c r="AQ608" s="350"/>
      <c r="AR608" s="350"/>
      <c r="AS608" s="350"/>
      <c r="AT608" s="944"/>
      <c r="AU608" s="350"/>
      <c r="AV608" s="350"/>
      <c r="AW608" s="351"/>
      <c r="AX608" s="944"/>
      <c r="AY608" s="350"/>
      <c r="AZ608" s="350"/>
      <c r="BA608" s="350"/>
      <c r="BB608" s="944"/>
      <c r="BC608" s="350"/>
      <c r="BD608" s="350"/>
      <c r="BE608" s="351"/>
      <c r="BF608" s="944"/>
      <c r="BG608" s="350"/>
      <c r="BH608" s="350"/>
      <c r="BI608" s="351"/>
      <c r="BJ608" s="944"/>
      <c r="BK608" s="350"/>
      <c r="BL608" s="350"/>
      <c r="BM608" s="351"/>
      <c r="BN608" s="350"/>
      <c r="BO608" s="350"/>
      <c r="BP608" s="350"/>
      <c r="BQ608" s="351"/>
      <c r="BR608" s="350"/>
      <c r="BS608" s="350"/>
      <c r="BT608" s="350"/>
      <c r="BU608" s="351"/>
      <c r="BV608" s="350"/>
      <c r="BW608" s="350"/>
      <c r="BX608" s="350"/>
      <c r="BY608" s="351"/>
      <c r="BZ608" s="350"/>
      <c r="CA608" s="350"/>
      <c r="CB608" s="350"/>
      <c r="CC608" s="351"/>
      <c r="CD608" s="25"/>
      <c r="CE608" s="24"/>
      <c r="CF608" s="24"/>
      <c r="CG608" s="24"/>
      <c r="CH608" s="24"/>
      <c r="CI608" s="363">
        <f t="shared" ref="CI608:CR608" si="1249">(CI606-CI596)*CI592</f>
        <v>10.6145598</v>
      </c>
      <c r="CJ608" s="363">
        <f t="shared" si="1249"/>
        <v>49.674745699999988</v>
      </c>
      <c r="CK608" s="363">
        <f t="shared" si="1249"/>
        <v>17.389694250000002</v>
      </c>
      <c r="CL608" s="363">
        <f t="shared" si="1249"/>
        <v>47.314480500000002</v>
      </c>
      <c r="CM608" s="363">
        <f t="shared" si="1249"/>
        <v>2.0796822500000021</v>
      </c>
      <c r="CN608" s="363">
        <f t="shared" si="1249"/>
        <v>57.617845500000008</v>
      </c>
      <c r="CO608" s="363">
        <f t="shared" si="1249"/>
        <v>18.390764500000007</v>
      </c>
      <c r="CP608" s="363">
        <f t="shared" si="1249"/>
        <v>30.354014340364589</v>
      </c>
      <c r="CQ608" s="363">
        <f t="shared" si="1249"/>
        <v>170.53181565693473</v>
      </c>
      <c r="CR608" s="363">
        <f t="shared" si="1249"/>
        <v>232.99149999999997</v>
      </c>
      <c r="CS608" s="363">
        <f>(CS606-CS596)*CS592</f>
        <v>277.22542656682094</v>
      </c>
      <c r="CT608" s="363">
        <f>(CT606-CT596)*CT592</f>
        <v>55.838636573176316</v>
      </c>
      <c r="CU608" s="363">
        <f>(CU606-CU596)*CU592</f>
        <v>120.59375886762462</v>
      </c>
      <c r="CV608" s="363">
        <f>(CV606-CV596)*CV592</f>
        <v>167.72286366777629</v>
      </c>
      <c r="CW608" s="363">
        <f>(CW606-CW596)*CW592</f>
        <v>105.26287148582141</v>
      </c>
      <c r="CX608" s="350"/>
      <c r="CY608" s="350"/>
      <c r="CZ608" s="350"/>
      <c r="DA608" s="350"/>
      <c r="DB608" s="350"/>
      <c r="DC608" s="350"/>
      <c r="DD608" s="1517"/>
      <c r="DE608" s="1483"/>
      <c r="DF608" s="24"/>
      <c r="DG608" s="24"/>
      <c r="DH608" s="24"/>
      <c r="DI608" s="24"/>
      <c r="DJ608" s="24"/>
      <c r="DK608" s="24"/>
      <c r="DL608" s="141"/>
      <c r="DM608" s="24"/>
      <c r="DN608" s="24"/>
      <c r="DO608" s="24"/>
      <c r="DP608" s="24"/>
      <c r="DQ608" s="24"/>
      <c r="DR608" s="24"/>
      <c r="DS608" s="24"/>
      <c r="DT608" s="24"/>
      <c r="DU608" s="24"/>
      <c r="DV608" s="24"/>
      <c r="DW608" s="24"/>
      <c r="DX608" s="24"/>
      <c r="DY608" s="24"/>
      <c r="DZ608" s="1561"/>
    </row>
    <row r="609" spans="1:130" hidden="1" outlineLevel="1">
      <c r="A609" s="145"/>
      <c r="B609" s="227"/>
      <c r="C609" s="145" t="s">
        <v>882</v>
      </c>
      <c r="D609" s="145"/>
      <c r="E609" s="228"/>
      <c r="F609" s="145"/>
      <c r="G609" s="145"/>
      <c r="H609" s="145"/>
      <c r="I609" s="228"/>
      <c r="J609" s="145"/>
      <c r="K609" s="145"/>
      <c r="L609" s="145"/>
      <c r="M609" s="228"/>
      <c r="N609" s="145"/>
      <c r="O609" s="145"/>
      <c r="P609" s="145"/>
      <c r="Q609" s="228"/>
      <c r="R609" s="145"/>
      <c r="S609" s="145"/>
      <c r="T609" s="547"/>
      <c r="U609" s="626"/>
      <c r="V609" s="547"/>
      <c r="W609" s="547"/>
      <c r="X609" s="547"/>
      <c r="Y609" s="626"/>
      <c r="Z609" s="547"/>
      <c r="AA609" s="547"/>
      <c r="AB609" s="547"/>
      <c r="AC609" s="626"/>
      <c r="AD609" s="693"/>
      <c r="AE609" s="547"/>
      <c r="AF609" s="547"/>
      <c r="AG609" s="547"/>
      <c r="AH609" s="693"/>
      <c r="AI609" s="145"/>
      <c r="AJ609" s="145"/>
      <c r="AK609" s="228"/>
      <c r="AL609" s="145"/>
      <c r="AM609" s="145"/>
      <c r="AN609" s="145"/>
      <c r="AO609" s="228"/>
      <c r="AP609" s="145"/>
      <c r="AQ609" s="145"/>
      <c r="AR609" s="145"/>
      <c r="AS609" s="145"/>
      <c r="AT609" s="227"/>
      <c r="AU609" s="145"/>
      <c r="AV609" s="145"/>
      <c r="AW609" s="228"/>
      <c r="AX609" s="227"/>
      <c r="AY609" s="145"/>
      <c r="AZ609" s="145"/>
      <c r="BA609" s="145"/>
      <c r="BB609" s="227"/>
      <c r="BC609" s="145"/>
      <c r="BD609" s="145"/>
      <c r="BE609" s="228"/>
      <c r="BF609" s="207"/>
      <c r="BG609" s="201"/>
      <c r="BH609" s="201"/>
      <c r="BI609" s="202"/>
      <c r="BJ609" s="207"/>
      <c r="BK609" s="201"/>
      <c r="BL609" s="201"/>
      <c r="BM609" s="202"/>
      <c r="BN609" s="201"/>
      <c r="BO609" s="201"/>
      <c r="BP609" s="1587"/>
      <c r="BQ609" s="202"/>
      <c r="BR609" s="201"/>
      <c r="BS609" s="201"/>
      <c r="BT609" s="201"/>
      <c r="BU609" s="202"/>
      <c r="BV609" s="201"/>
      <c r="BW609" s="201"/>
      <c r="BX609" s="201"/>
      <c r="BY609" s="202"/>
      <c r="BZ609" s="201"/>
      <c r="CA609" s="201"/>
      <c r="CB609" s="201"/>
      <c r="CC609" s="202"/>
      <c r="CD609" s="228"/>
      <c r="CE609" s="145"/>
      <c r="CF609" s="145"/>
      <c r="CG609" s="145"/>
      <c r="CH609" s="145"/>
      <c r="CI609" s="145"/>
      <c r="CJ609" s="364">
        <f t="shared" ref="CJ609:CR609" si="1250">CJ608/CI608-1</f>
        <v>3.6798686555046762</v>
      </c>
      <c r="CK609" s="364">
        <f t="shared" si="1250"/>
        <v>-0.64992887220759332</v>
      </c>
      <c r="CL609" s="364">
        <f t="shared" si="1250"/>
        <v>1.7208345253108748</v>
      </c>
      <c r="CM609" s="364">
        <f t="shared" si="1250"/>
        <v>-0.95604554402747799</v>
      </c>
      <c r="CN609" s="364">
        <f t="shared" si="1250"/>
        <v>26.705119616229812</v>
      </c>
      <c r="CO609" s="364">
        <f t="shared" si="1250"/>
        <v>-0.68081478332958478</v>
      </c>
      <c r="CP609" s="364">
        <f t="shared" si="1250"/>
        <v>0.65050312836992608</v>
      </c>
      <c r="CQ609" s="364">
        <f t="shared" si="1250"/>
        <v>4.6180976178219213</v>
      </c>
      <c r="CR609" s="364">
        <f t="shared" si="1250"/>
        <v>0.36626411383971735</v>
      </c>
      <c r="CS609" s="364">
        <f>CS608/CR608-1</f>
        <v>0.18985210433350996</v>
      </c>
      <c r="CT609" s="364">
        <f>CT608/CS608-1</f>
        <v>-0.79858039262600877</v>
      </c>
      <c r="CU609" s="364">
        <f>CU608/CT608-1</f>
        <v>1.1596830844819603</v>
      </c>
      <c r="CV609" s="364">
        <f>CV608/CU608-1</f>
        <v>0.39080882163964348</v>
      </c>
      <c r="CW609" s="364">
        <f>CW608/CV608-1</f>
        <v>-0.37239998659738482</v>
      </c>
      <c r="CX609" s="201"/>
      <c r="CY609" s="201"/>
      <c r="CZ609" s="201"/>
      <c r="DA609" s="201"/>
      <c r="DB609" s="201"/>
      <c r="DC609" s="201"/>
      <c r="DD609" s="1505"/>
      <c r="DE609" s="1551"/>
      <c r="DF609" s="141"/>
      <c r="DG609" s="141"/>
      <c r="DH609" s="141"/>
      <c r="DI609" s="141"/>
      <c r="DJ609" s="141"/>
      <c r="DK609" s="141"/>
      <c r="DL609" s="141"/>
      <c r="DM609" s="141"/>
      <c r="DN609" s="141"/>
      <c r="DO609" s="141"/>
      <c r="DP609" s="141"/>
      <c r="DQ609" s="141"/>
      <c r="DR609" s="141"/>
      <c r="DS609" s="141"/>
      <c r="DT609" s="141"/>
      <c r="DU609" s="141"/>
      <c r="DV609" s="141"/>
      <c r="DW609" s="141"/>
      <c r="DX609" s="141"/>
      <c r="DY609" s="141"/>
      <c r="DZ609" s="1676"/>
    </row>
    <row r="610" spans="1:130" hidden="1" outlineLevel="1">
      <c r="A610" s="145"/>
      <c r="B610" s="227"/>
      <c r="C610" s="145"/>
      <c r="D610" s="145"/>
      <c r="E610" s="228"/>
      <c r="F610" s="145"/>
      <c r="G610" s="145"/>
      <c r="H610" s="145"/>
      <c r="I610" s="228"/>
      <c r="J610" s="145"/>
      <c r="K610" s="145"/>
      <c r="L610" s="145"/>
      <c r="M610" s="228"/>
      <c r="N610" s="145"/>
      <c r="O610" s="145"/>
      <c r="P610" s="145"/>
      <c r="Q610" s="228"/>
      <c r="R610" s="145"/>
      <c r="S610" s="145"/>
      <c r="T610" s="547"/>
      <c r="U610" s="626"/>
      <c r="V610" s="547"/>
      <c r="W610" s="547"/>
      <c r="X610" s="547"/>
      <c r="Y610" s="626"/>
      <c r="Z610" s="547"/>
      <c r="AA610" s="547"/>
      <c r="AB610" s="547"/>
      <c r="AC610" s="547"/>
      <c r="AD610" s="693"/>
      <c r="AE610" s="547"/>
      <c r="AF610" s="547"/>
      <c r="AG610" s="547"/>
      <c r="AH610" s="693"/>
      <c r="AI610" s="145"/>
      <c r="AJ610" s="145"/>
      <c r="AK610" s="145"/>
      <c r="AL610" s="227"/>
      <c r="AM610" s="145"/>
      <c r="AN610" s="145"/>
      <c r="AO610" s="228"/>
      <c r="AP610" s="145"/>
      <c r="AQ610" s="145"/>
      <c r="AR610" s="145"/>
      <c r="AS610" s="145"/>
      <c r="AT610" s="227"/>
      <c r="AU610" s="145"/>
      <c r="AV610" s="145"/>
      <c r="AW610" s="228"/>
      <c r="AX610" s="227"/>
      <c r="AY610" s="145"/>
      <c r="AZ610" s="145"/>
      <c r="BA610" s="145"/>
      <c r="BB610" s="227"/>
      <c r="BC610" s="145"/>
      <c r="BD610" s="145"/>
      <c r="BE610" s="228"/>
      <c r="BF610" s="207"/>
      <c r="BG610" s="201"/>
      <c r="BH610" s="201"/>
      <c r="BI610" s="202"/>
      <c r="BJ610" s="207"/>
      <c r="BK610" s="201"/>
      <c r="BL610" s="201"/>
      <c r="BM610" s="202"/>
      <c r="BN610" s="201"/>
      <c r="BO610" s="201"/>
      <c r="BP610" s="201"/>
      <c r="BQ610" s="202"/>
      <c r="BR610" s="201"/>
      <c r="BS610" s="201"/>
      <c r="BT610" s="201"/>
      <c r="BU610" s="202"/>
      <c r="BV610" s="201"/>
      <c r="BW610" s="201"/>
      <c r="BX610" s="201"/>
      <c r="BY610" s="202"/>
      <c r="BZ610" s="201"/>
      <c r="CA610" s="201"/>
      <c r="CB610" s="201"/>
      <c r="CC610" s="202"/>
      <c r="CD610" s="228"/>
      <c r="CE610" s="145"/>
      <c r="CF610" s="145"/>
      <c r="CG610" s="145"/>
      <c r="CH610" s="145"/>
      <c r="CI610" s="145"/>
      <c r="CJ610" s="145"/>
      <c r="CK610" s="145"/>
      <c r="CL610" s="145"/>
      <c r="CM610" s="145"/>
      <c r="CN610" s="145"/>
      <c r="CO610" s="145"/>
      <c r="CP610" s="145"/>
      <c r="CQ610" s="145"/>
      <c r="CR610" s="145"/>
      <c r="CS610" s="201"/>
      <c r="CT610" s="201"/>
      <c r="CU610" s="201"/>
      <c r="CV610" s="201"/>
      <c r="CW610" s="201"/>
      <c r="CX610" s="201"/>
      <c r="CY610" s="201"/>
      <c r="CZ610" s="201"/>
      <c r="DA610" s="201"/>
      <c r="DB610" s="201"/>
      <c r="DC610" s="201"/>
      <c r="DD610" s="1505"/>
      <c r="DE610" s="1551"/>
      <c r="DF610" s="141"/>
      <c r="DG610" s="141"/>
      <c r="DH610" s="141"/>
      <c r="DI610" s="141"/>
      <c r="DJ610" s="141"/>
      <c r="DK610" s="141"/>
      <c r="DL610" s="141"/>
      <c r="DM610" s="141"/>
      <c r="DN610" s="141"/>
      <c r="DO610" s="141"/>
      <c r="DP610" s="141"/>
      <c r="DQ610" s="141"/>
      <c r="DR610" s="141"/>
      <c r="DS610" s="141"/>
      <c r="DT610" s="141"/>
      <c r="DU610" s="141"/>
      <c r="DV610" s="141"/>
      <c r="DW610" s="141"/>
      <c r="DX610" s="141"/>
      <c r="DY610" s="141"/>
      <c r="DZ610" s="1676"/>
    </row>
    <row r="611" spans="1:130" hidden="1" outlineLevel="1">
      <c r="A611" s="3"/>
      <c r="B611" s="208"/>
      <c r="C611" s="187" t="s">
        <v>661</v>
      </c>
      <c r="D611" s="196"/>
      <c r="E611" s="197"/>
      <c r="F611" s="196"/>
      <c r="G611" s="196"/>
      <c r="H611" s="196"/>
      <c r="I611" s="197"/>
      <c r="J611" s="196"/>
      <c r="K611" s="196"/>
      <c r="L611" s="196"/>
      <c r="M611" s="197"/>
      <c r="N611" s="196"/>
      <c r="O611" s="196"/>
      <c r="P611" s="196"/>
      <c r="Q611" s="197"/>
      <c r="R611" s="196"/>
      <c r="S611" s="196"/>
      <c r="T611" s="691"/>
      <c r="U611" s="692"/>
      <c r="V611" s="699"/>
      <c r="W611" s="699"/>
      <c r="X611" s="699"/>
      <c r="Y611" s="56"/>
      <c r="Z611" s="150"/>
      <c r="AA611" s="150"/>
      <c r="AB611" s="150"/>
      <c r="AC611" s="150"/>
      <c r="AD611" s="186"/>
      <c r="AE611" s="150"/>
      <c r="AF611" s="150"/>
      <c r="AG611" s="184"/>
      <c r="AH611" s="186"/>
      <c r="AI611" s="46"/>
      <c r="AJ611" s="11"/>
      <c r="AK611" s="11"/>
      <c r="AL611" s="10"/>
      <c r="AM611" s="11"/>
      <c r="AN611" s="11"/>
      <c r="AO611" s="12"/>
      <c r="AP611" s="11"/>
      <c r="AQ611" s="11"/>
      <c r="AR611" s="11"/>
      <c r="AS611" s="11"/>
      <c r="AT611" s="10"/>
      <c r="AU611" s="11"/>
      <c r="AV611" s="11"/>
      <c r="AW611" s="12"/>
      <c r="AX611" s="10"/>
      <c r="AY611" s="11"/>
      <c r="AZ611" s="11"/>
      <c r="BA611" s="11"/>
      <c r="BB611" s="10"/>
      <c r="BC611" s="11"/>
      <c r="BD611" s="11"/>
      <c r="BE611" s="12"/>
      <c r="BF611" s="10"/>
      <c r="BG611" s="11"/>
      <c r="BH611" s="11"/>
      <c r="BI611" s="12"/>
      <c r="BJ611" s="10"/>
      <c r="BK611" s="11"/>
      <c r="BL611" s="11"/>
      <c r="BM611" s="12"/>
      <c r="BN611" s="11"/>
      <c r="BO611" s="11"/>
      <c r="BP611" s="11"/>
      <c r="BQ611" s="12"/>
      <c r="BR611" s="11"/>
      <c r="BS611" s="11"/>
      <c r="BT611" s="11"/>
      <c r="BU611" s="12"/>
      <c r="BV611" s="11"/>
      <c r="BW611" s="11"/>
      <c r="BX611" s="11"/>
      <c r="BY611" s="12"/>
      <c r="BZ611" s="11"/>
      <c r="CA611" s="11"/>
      <c r="CB611" s="11"/>
      <c r="CC611" s="12"/>
      <c r="CD611" s="9"/>
      <c r="CE611" s="3"/>
      <c r="CF611" s="3"/>
      <c r="CG611" s="3"/>
      <c r="CH611" s="3"/>
      <c r="CI611" s="3"/>
      <c r="CJ611" s="3"/>
      <c r="CK611" s="3"/>
      <c r="CL611" s="184"/>
      <c r="CM611" s="184"/>
      <c r="CN611" s="184"/>
      <c r="CO611" s="184"/>
      <c r="CP611" s="184"/>
      <c r="CQ611" s="184"/>
      <c r="CR611" s="184"/>
      <c r="CS611" s="11"/>
      <c r="CT611" s="11"/>
      <c r="CU611" s="11"/>
      <c r="CV611" s="11"/>
      <c r="CW611" s="11"/>
      <c r="CX611" s="11"/>
      <c r="CY611" s="11"/>
      <c r="CZ611" s="11"/>
      <c r="DA611" s="11"/>
      <c r="DB611" s="11"/>
      <c r="DC611" s="11"/>
      <c r="DD611" s="1517"/>
      <c r="DE611" s="1483"/>
      <c r="DF611" s="24"/>
      <c r="DG611" s="24"/>
      <c r="DH611" s="24"/>
      <c r="DI611" s="24"/>
      <c r="DJ611" s="24"/>
      <c r="DK611" s="24"/>
      <c r="DL611" s="141"/>
      <c r="DM611" s="24"/>
      <c r="DN611" s="24"/>
      <c r="DO611" s="24"/>
      <c r="DP611" s="24"/>
      <c r="DQ611" s="24"/>
      <c r="DR611" s="24"/>
      <c r="DS611" s="24"/>
      <c r="DT611" s="24"/>
      <c r="DU611" s="24"/>
      <c r="DV611" s="24"/>
      <c r="DW611" s="24"/>
      <c r="DX611" s="24"/>
      <c r="DY611" s="24"/>
      <c r="DZ611" s="1561"/>
    </row>
    <row r="612" spans="1:130" hidden="1" outlineLevel="1">
      <c r="A612" s="3"/>
      <c r="B612" s="208"/>
      <c r="C612" s="196" t="s">
        <v>662</v>
      </c>
      <c r="D612" s="196"/>
      <c r="E612" s="197"/>
      <c r="F612" s="196"/>
      <c r="G612" s="196"/>
      <c r="H612" s="196"/>
      <c r="I612" s="197"/>
      <c r="J612" s="196"/>
      <c r="K612" s="196"/>
      <c r="L612" s="196"/>
      <c r="M612" s="197"/>
      <c r="N612" s="196"/>
      <c r="O612" s="196"/>
      <c r="P612" s="196"/>
      <c r="Q612" s="197"/>
      <c r="R612" s="196"/>
      <c r="S612" s="196"/>
      <c r="T612" s="691"/>
      <c r="U612" s="692"/>
      <c r="V612" s="699"/>
      <c r="W612" s="699"/>
      <c r="X612" s="699"/>
      <c r="Y612" s="56"/>
      <c r="Z612" s="150"/>
      <c r="AA612" s="150"/>
      <c r="AB612" s="150"/>
      <c r="AC612" s="150"/>
      <c r="AD612" s="186"/>
      <c r="AE612" s="150"/>
      <c r="AF612" s="150"/>
      <c r="AG612" s="184"/>
      <c r="AH612" s="186"/>
      <c r="AI612" s="362"/>
      <c r="AJ612" s="362"/>
      <c r="AK612" s="362"/>
      <c r="AL612" s="938"/>
      <c r="AM612" s="362"/>
      <c r="AN612" s="362"/>
      <c r="AO612" s="379"/>
      <c r="AP612" s="362">
        <f>AP594*AP604</f>
        <v>0</v>
      </c>
      <c r="AQ612" s="362">
        <f>AQ594*AQ604</f>
        <v>0</v>
      </c>
      <c r="AR612" s="362">
        <f>AR594*AR604</f>
        <v>0</v>
      </c>
      <c r="AS612" s="362">
        <f>AS594*AS604</f>
        <v>0</v>
      </c>
      <c r="AT612" s="938">
        <f t="shared" ref="AT612:BA612" si="1251">AT594*AT604</f>
        <v>0</v>
      </c>
      <c r="AU612" s="362">
        <f>AU594*AU604</f>
        <v>0</v>
      </c>
      <c r="AV612" s="362">
        <f t="shared" si="1251"/>
        <v>0</v>
      </c>
      <c r="AW612" s="379">
        <f t="shared" si="1251"/>
        <v>0</v>
      </c>
      <c r="AX612" s="938">
        <f t="shared" si="1251"/>
        <v>0</v>
      </c>
      <c r="AY612" s="362">
        <f t="shared" si="1251"/>
        <v>0</v>
      </c>
      <c r="AZ612" s="362">
        <f t="shared" si="1251"/>
        <v>0</v>
      </c>
      <c r="BA612" s="362">
        <f t="shared" si="1251"/>
        <v>0</v>
      </c>
      <c r="BB612" s="938">
        <f t="shared" ref="BB612:BI612" si="1252">BB594*BB604</f>
        <v>0</v>
      </c>
      <c r="BC612" s="362">
        <f t="shared" si="1252"/>
        <v>0</v>
      </c>
      <c r="BD612" s="362">
        <f>BD594*BD604</f>
        <v>0</v>
      </c>
      <c r="BE612" s="379">
        <f>BE594*BE604</f>
        <v>0</v>
      </c>
      <c r="BF612" s="938">
        <f>BF594*BF604</f>
        <v>0</v>
      </c>
      <c r="BG612" s="362">
        <f t="shared" si="1252"/>
        <v>0</v>
      </c>
      <c r="BH612" s="362">
        <f t="shared" si="1252"/>
        <v>0</v>
      </c>
      <c r="BI612" s="379">
        <f t="shared" si="1252"/>
        <v>0</v>
      </c>
      <c r="BJ612" s="938">
        <f t="shared" ref="BJ612:BP612" si="1253">BJ594*BJ604</f>
        <v>0</v>
      </c>
      <c r="BK612" s="362">
        <f t="shared" si="1253"/>
        <v>0</v>
      </c>
      <c r="BL612" s="362">
        <f t="shared" si="1253"/>
        <v>0</v>
      </c>
      <c r="BM612" s="379">
        <f t="shared" si="1253"/>
        <v>0</v>
      </c>
      <c r="BN612" s="362">
        <f t="shared" si="1253"/>
        <v>0</v>
      </c>
      <c r="BO612" s="362">
        <f t="shared" si="1253"/>
        <v>0</v>
      </c>
      <c r="BP612" s="362">
        <f t="shared" si="1253"/>
        <v>0</v>
      </c>
      <c r="BQ612" s="379">
        <f>BQ594*BQ604</f>
        <v>0</v>
      </c>
      <c r="BR612" s="362">
        <f>BR594*BR604</f>
        <v>0</v>
      </c>
      <c r="BS612" s="362">
        <f t="shared" ref="BS612:BY612" si="1254">BS594*BS604</f>
        <v>0</v>
      </c>
      <c r="BT612" s="362">
        <f>BT594*BT604</f>
        <v>0</v>
      </c>
      <c r="BU612" s="379">
        <f t="shared" si="1254"/>
        <v>0</v>
      </c>
      <c r="BV612" s="362">
        <f t="shared" si="1254"/>
        <v>15.036000000000005</v>
      </c>
      <c r="BW612" s="362">
        <f t="shared" si="1254"/>
        <v>22.265340000000009</v>
      </c>
      <c r="BX612" s="362">
        <f t="shared" si="1254"/>
        <v>21.533000040000008</v>
      </c>
      <c r="BY612" s="379">
        <f t="shared" si="1254"/>
        <v>23.378221841400013</v>
      </c>
      <c r="BZ612" s="362">
        <f>BZ594*BZ604</f>
        <v>25.586141155696811</v>
      </c>
      <c r="CA612" s="362">
        <f>CA594*CA604</f>
        <v>27.516119865293675</v>
      </c>
      <c r="CB612" s="362">
        <f>CB594*CB604</f>
        <v>30.118099443481725</v>
      </c>
      <c r="CC612" s="379">
        <f>CC594*CC604</f>
        <v>29.222917403331572</v>
      </c>
      <c r="CD612" s="9"/>
      <c r="CE612" s="3"/>
      <c r="CF612" s="3"/>
      <c r="CG612" s="3"/>
      <c r="CH612" s="3"/>
      <c r="CI612" s="3"/>
      <c r="CJ612" s="3"/>
      <c r="CK612" s="3"/>
      <c r="CL612" s="83"/>
      <c r="CM612" s="83"/>
      <c r="CN612" s="83"/>
      <c r="CO612" s="362"/>
      <c r="CP612" s="362"/>
      <c r="CQ612" s="362"/>
      <c r="CR612" s="362"/>
      <c r="CS612" s="362"/>
      <c r="CT612" s="362"/>
      <c r="CU612" s="362"/>
      <c r="CV612" s="362">
        <f t="shared" ref="CV612:DA612" si="1255">CV594*CV604</f>
        <v>0</v>
      </c>
      <c r="CW612" s="362">
        <f t="shared" si="1255"/>
        <v>0</v>
      </c>
      <c r="CX612" s="362">
        <f t="shared" si="1255"/>
        <v>33.82047525681832</v>
      </c>
      <c r="CY612" s="362">
        <f t="shared" si="1255"/>
        <v>37.630529553035316</v>
      </c>
      <c r="CZ612" s="362">
        <f t="shared" si="1255"/>
        <v>40.850238375420034</v>
      </c>
      <c r="DA612" s="362">
        <f t="shared" si="1255"/>
        <v>40.687763991123823</v>
      </c>
      <c r="DB612" s="362">
        <f>DB594*DB604</f>
        <v>40.774349901036921</v>
      </c>
      <c r="DC612" s="362">
        <f>DC594*DC604</f>
        <v>41.054569190334519</v>
      </c>
      <c r="DD612" s="1517"/>
      <c r="DE612" s="1483"/>
      <c r="DF612" s="24"/>
      <c r="DG612" s="24"/>
      <c r="DH612" s="24"/>
      <c r="DI612" s="24"/>
      <c r="DJ612" s="24"/>
      <c r="DK612" s="24"/>
      <c r="DL612" s="141"/>
      <c r="DM612" s="24"/>
      <c r="DN612" s="24"/>
      <c r="DO612" s="24"/>
      <c r="DP612" s="24"/>
      <c r="DQ612" s="24"/>
      <c r="DR612" s="24"/>
      <c r="DS612" s="24"/>
      <c r="DT612" s="24"/>
      <c r="DU612" s="24"/>
      <c r="DV612" s="24"/>
      <c r="DW612" s="24"/>
      <c r="DX612" s="24"/>
      <c r="DY612" s="24"/>
      <c r="DZ612" s="1561"/>
    </row>
    <row r="613" spans="1:130" hidden="1" outlineLevel="1">
      <c r="A613" s="3"/>
      <c r="B613" s="208"/>
      <c r="C613" s="196" t="s">
        <v>667</v>
      </c>
      <c r="D613" s="196"/>
      <c r="E613" s="197"/>
      <c r="F613" s="196"/>
      <c r="G613" s="196"/>
      <c r="H613" s="196"/>
      <c r="I613" s="197"/>
      <c r="J613" s="196"/>
      <c r="K613" s="196"/>
      <c r="L613" s="196"/>
      <c r="M613" s="197"/>
      <c r="N613" s="196"/>
      <c r="O613" s="196"/>
      <c r="P613" s="196"/>
      <c r="Q613" s="197"/>
      <c r="R613" s="196"/>
      <c r="S613" s="196"/>
      <c r="T613" s="691"/>
      <c r="U613" s="692"/>
      <c r="V613" s="699"/>
      <c r="W613" s="699"/>
      <c r="X613" s="699"/>
      <c r="Y613" s="56"/>
      <c r="Z613" s="150"/>
      <c r="AA613" s="150"/>
      <c r="AB613" s="150"/>
      <c r="AC613" s="150"/>
      <c r="AD613" s="186"/>
      <c r="AE613" s="150"/>
      <c r="AF613" s="150"/>
      <c r="AG613" s="184"/>
      <c r="AH613" s="186"/>
      <c r="AI613" s="363"/>
      <c r="AJ613" s="363"/>
      <c r="AK613" s="363"/>
      <c r="AL613" s="939"/>
      <c r="AM613" s="363"/>
      <c r="AN613" s="363"/>
      <c r="AO613" s="380"/>
      <c r="AP613" s="363">
        <f t="shared" ref="AP613:AU613" si="1256">AP612*AP596</f>
        <v>0</v>
      </c>
      <c r="AQ613" s="363">
        <f t="shared" si="1256"/>
        <v>0</v>
      </c>
      <c r="AR613" s="363">
        <f t="shared" si="1256"/>
        <v>0</v>
      </c>
      <c r="AS613" s="363">
        <f t="shared" si="1256"/>
        <v>0</v>
      </c>
      <c r="AT613" s="939">
        <f t="shared" si="1256"/>
        <v>0</v>
      </c>
      <c r="AU613" s="363">
        <f t="shared" si="1256"/>
        <v>0</v>
      </c>
      <c r="AV613" s="363">
        <f t="shared" ref="AV613:BD613" si="1257">AV612*AV596</f>
        <v>0</v>
      </c>
      <c r="AW613" s="380">
        <f t="shared" si="1257"/>
        <v>0</v>
      </c>
      <c r="AX613" s="939">
        <f t="shared" si="1257"/>
        <v>0</v>
      </c>
      <c r="AY613" s="363">
        <f t="shared" si="1257"/>
        <v>0</v>
      </c>
      <c r="AZ613" s="363">
        <f t="shared" si="1257"/>
        <v>0</v>
      </c>
      <c r="BA613" s="363">
        <f t="shared" si="1257"/>
        <v>0</v>
      </c>
      <c r="BB613" s="939">
        <f t="shared" si="1257"/>
        <v>0</v>
      </c>
      <c r="BC613" s="363">
        <f t="shared" si="1257"/>
        <v>0</v>
      </c>
      <c r="BD613" s="363">
        <f t="shared" si="1257"/>
        <v>0</v>
      </c>
      <c r="BE613" s="380">
        <f t="shared" ref="BE613:BM613" si="1258">BE612*BE596</f>
        <v>0</v>
      </c>
      <c r="BF613" s="939">
        <f t="shared" si="1258"/>
        <v>0</v>
      </c>
      <c r="BG613" s="363">
        <f>BG612*BG596</f>
        <v>0</v>
      </c>
      <c r="BH613" s="363">
        <f t="shared" si="1258"/>
        <v>0</v>
      </c>
      <c r="BI613" s="363">
        <f t="shared" si="1258"/>
        <v>0</v>
      </c>
      <c r="BJ613" s="939">
        <f t="shared" si="1258"/>
        <v>0</v>
      </c>
      <c r="BK613" s="363">
        <f t="shared" si="1258"/>
        <v>0</v>
      </c>
      <c r="BL613" s="363">
        <f t="shared" si="1258"/>
        <v>0</v>
      </c>
      <c r="BM613" s="380">
        <f t="shared" si="1258"/>
        <v>0</v>
      </c>
      <c r="BN613" s="363">
        <f t="shared" ref="BN613:BU613" si="1259">BN612*BN596</f>
        <v>0</v>
      </c>
      <c r="BO613" s="363">
        <f t="shared" si="1259"/>
        <v>0</v>
      </c>
      <c r="BP613" s="363">
        <f t="shared" si="1259"/>
        <v>0</v>
      </c>
      <c r="BQ613" s="380">
        <f t="shared" si="1259"/>
        <v>0</v>
      </c>
      <c r="BR613" s="363">
        <f>BR612*BR596</f>
        <v>0</v>
      </c>
      <c r="BS613" s="363">
        <f t="shared" si="1259"/>
        <v>0</v>
      </c>
      <c r="BT613" s="363">
        <f>BT612*BT596</f>
        <v>0</v>
      </c>
      <c r="BU613" s="380">
        <f t="shared" si="1259"/>
        <v>0</v>
      </c>
      <c r="BV613" s="363">
        <f t="shared" ref="BV613:CC613" si="1260">BV612*BV596</f>
        <v>624.25435489932909</v>
      </c>
      <c r="BW613" s="363">
        <f t="shared" si="1260"/>
        <v>1017.4572592505206</v>
      </c>
      <c r="BX613" s="363">
        <f t="shared" si="1260"/>
        <v>1180.7899023759662</v>
      </c>
      <c r="BY613" s="380">
        <f t="shared" si="1260"/>
        <v>1538.3700311829132</v>
      </c>
      <c r="BZ613" s="363">
        <f t="shared" si="1260"/>
        <v>1683.6589640806737</v>
      </c>
      <c r="CA613" s="363">
        <f t="shared" si="1260"/>
        <v>1821.5223685167016</v>
      </c>
      <c r="CB613" s="363">
        <f t="shared" si="1260"/>
        <v>2005.73179847661</v>
      </c>
      <c r="CC613" s="380">
        <f t="shared" si="1260"/>
        <v>1955.8472294727414</v>
      </c>
      <c r="CD613" s="9"/>
      <c r="CE613" s="3"/>
      <c r="CF613" s="3"/>
      <c r="CG613" s="3"/>
      <c r="CH613" s="3"/>
      <c r="CI613" s="3"/>
      <c r="CJ613" s="3"/>
      <c r="CK613" s="3"/>
      <c r="CL613" s="184"/>
      <c r="CM613" s="184"/>
      <c r="CN613" s="184"/>
      <c r="CO613" s="363"/>
      <c r="CP613" s="363"/>
      <c r="CQ613" s="363"/>
      <c r="CR613" s="363"/>
      <c r="CS613" s="363"/>
      <c r="CT613" s="363"/>
      <c r="CU613" s="363"/>
      <c r="CV613" s="363">
        <f t="shared" ref="CV613:DA613" si="1261">CV612*CV596</f>
        <v>0</v>
      </c>
      <c r="CW613" s="363">
        <f t="shared" si="1261"/>
        <v>0</v>
      </c>
      <c r="CX613" s="363">
        <f t="shared" si="1261"/>
        <v>2263.5550693839459</v>
      </c>
      <c r="CY613" s="363">
        <f t="shared" si="1261"/>
        <v>2518.5564450695638</v>
      </c>
      <c r="CZ613" s="363">
        <f t="shared" si="1261"/>
        <v>2734.0468594267618</v>
      </c>
      <c r="DA613" s="363">
        <f t="shared" si="1261"/>
        <v>2723.1726859142359</v>
      </c>
      <c r="DB613" s="363">
        <f>DB612*DB596</f>
        <v>2728.9677545474451</v>
      </c>
      <c r="DC613" s="363">
        <f>DC612*DC596</f>
        <v>2747.7224227776283</v>
      </c>
      <c r="DD613" s="1517"/>
      <c r="DE613" s="1483"/>
      <c r="DF613" s="24"/>
      <c r="DG613" s="24"/>
      <c r="DH613" s="24"/>
      <c r="DI613" s="24"/>
      <c r="DJ613" s="24"/>
      <c r="DK613" s="24"/>
      <c r="DL613" s="141"/>
      <c r="DM613" s="24"/>
      <c r="DN613" s="24"/>
      <c r="DO613" s="24"/>
      <c r="DP613" s="24"/>
      <c r="DQ613" s="24"/>
      <c r="DR613" s="24"/>
      <c r="DS613" s="24"/>
      <c r="DT613" s="24"/>
      <c r="DU613" s="24"/>
      <c r="DV613" s="24"/>
      <c r="DW613" s="24"/>
      <c r="DX613" s="24"/>
      <c r="DY613" s="24"/>
      <c r="DZ613" s="1561"/>
    </row>
    <row r="614" spans="1:130" hidden="1" outlineLevel="1">
      <c r="A614" s="3"/>
      <c r="B614" s="208"/>
      <c r="C614" s="196" t="s">
        <v>284</v>
      </c>
      <c r="D614" s="196"/>
      <c r="E614" s="197"/>
      <c r="F614" s="196"/>
      <c r="G614" s="196"/>
      <c r="H614" s="196"/>
      <c r="I614" s="197"/>
      <c r="J614" s="196"/>
      <c r="K614" s="196"/>
      <c r="L614" s="196"/>
      <c r="M614" s="197"/>
      <c r="N614" s="196"/>
      <c r="O614" s="196"/>
      <c r="P614" s="196"/>
      <c r="Q614" s="197"/>
      <c r="R614" s="196"/>
      <c r="S614" s="196"/>
      <c r="T614" s="691"/>
      <c r="U614" s="692"/>
      <c r="V614" s="699"/>
      <c r="W614" s="699"/>
      <c r="X614" s="699"/>
      <c r="Y614" s="56"/>
      <c r="Z614" s="150"/>
      <c r="AA614" s="150"/>
      <c r="AB614" s="150"/>
      <c r="AC614" s="150"/>
      <c r="AD614" s="601"/>
      <c r="AE614" s="150"/>
      <c r="AF614" s="150"/>
      <c r="AG614" s="184"/>
      <c r="AH614" s="601"/>
      <c r="AI614" s="362"/>
      <c r="AJ614" s="362"/>
      <c r="AK614" s="362"/>
      <c r="AL614" s="938"/>
      <c r="AM614" s="362"/>
      <c r="AN614" s="362"/>
      <c r="AO614" s="379"/>
      <c r="AP614" s="362">
        <f>AP613/AP606</f>
        <v>0</v>
      </c>
      <c r="AQ614" s="362">
        <f>AQ613/AQ606</f>
        <v>0</v>
      </c>
      <c r="AR614" s="362">
        <f>AR613/AR606</f>
        <v>0</v>
      </c>
      <c r="AS614" s="362">
        <f>AS613/AS606</f>
        <v>0</v>
      </c>
      <c r="AT614" s="938">
        <f t="shared" ref="AT614:BA614" si="1262">AT613/AT606</f>
        <v>0</v>
      </c>
      <c r="AU614" s="362">
        <f>AU613/AU606</f>
        <v>0</v>
      </c>
      <c r="AV614" s="362">
        <f t="shared" si="1262"/>
        <v>0</v>
      </c>
      <c r="AW614" s="379">
        <f t="shared" si="1262"/>
        <v>0</v>
      </c>
      <c r="AX614" s="938">
        <f t="shared" si="1262"/>
        <v>0</v>
      </c>
      <c r="AY614" s="362">
        <f t="shared" si="1262"/>
        <v>0</v>
      </c>
      <c r="AZ614" s="362">
        <f t="shared" si="1262"/>
        <v>0</v>
      </c>
      <c r="BA614" s="362">
        <f t="shared" si="1262"/>
        <v>0</v>
      </c>
      <c r="BB614" s="938">
        <f t="shared" ref="BB614:BI614" si="1263">BB613/BB606</f>
        <v>0</v>
      </c>
      <c r="BC614" s="362">
        <f t="shared" si="1263"/>
        <v>0</v>
      </c>
      <c r="BD614" s="362">
        <f t="shared" si="1263"/>
        <v>0</v>
      </c>
      <c r="BE614" s="362">
        <f>BE613/BE606</f>
        <v>0</v>
      </c>
      <c r="BF614" s="938">
        <f>BF613/BF606</f>
        <v>0</v>
      </c>
      <c r="BG614" s="362">
        <f>BG613/BG606</f>
        <v>0</v>
      </c>
      <c r="BH614" s="362">
        <f t="shared" si="1263"/>
        <v>0</v>
      </c>
      <c r="BI614" s="362">
        <f t="shared" si="1263"/>
        <v>0</v>
      </c>
      <c r="BJ614" s="938">
        <f t="shared" ref="BJ614:BP614" si="1264">BJ613/BJ606</f>
        <v>0</v>
      </c>
      <c r="BK614" s="362">
        <f t="shared" si="1264"/>
        <v>0</v>
      </c>
      <c r="BL614" s="362">
        <f>BL613/BL606</f>
        <v>0</v>
      </c>
      <c r="BM614" s="379">
        <f t="shared" si="1264"/>
        <v>0</v>
      </c>
      <c r="BN614" s="362">
        <f t="shared" si="1264"/>
        <v>0</v>
      </c>
      <c r="BO614" s="362">
        <f t="shared" si="1264"/>
        <v>0</v>
      </c>
      <c r="BP614" s="362">
        <f t="shared" si="1264"/>
        <v>0</v>
      </c>
      <c r="BQ614" s="379">
        <f>BQ613/BQ606</f>
        <v>0</v>
      </c>
      <c r="BR614" s="362">
        <f>BR613/BR606</f>
        <v>0</v>
      </c>
      <c r="BS614" s="362">
        <f t="shared" ref="BS614:BY614" si="1265">BS613/BS606</f>
        <v>0</v>
      </c>
      <c r="BT614" s="362">
        <f>BT613/BT606</f>
        <v>0</v>
      </c>
      <c r="BU614" s="379">
        <f t="shared" si="1265"/>
        <v>0</v>
      </c>
      <c r="BV614" s="362">
        <f t="shared" si="1265"/>
        <v>7.1102494725757257</v>
      </c>
      <c r="BW614" s="362">
        <f t="shared" si="1265"/>
        <v>11.943855565307064</v>
      </c>
      <c r="BX614" s="362">
        <f t="shared" si="1265"/>
        <v>13.427420279570287</v>
      </c>
      <c r="BY614" s="379">
        <f t="shared" si="1265"/>
        <v>16.946200740698892</v>
      </c>
      <c r="BZ614" s="362">
        <f>BZ613/BZ606</f>
        <v>17.966242053730241</v>
      </c>
      <c r="CA614" s="362">
        <f>CA613/CA606</f>
        <v>18.829084833891351</v>
      </c>
      <c r="CB614" s="362">
        <f>CB613/CB606</f>
        <v>20.084413167356796</v>
      </c>
      <c r="CC614" s="379">
        <f>CC613/CC606</f>
        <v>18.971986200722135</v>
      </c>
      <c r="CD614" s="9"/>
      <c r="CE614" s="3"/>
      <c r="CF614" s="3"/>
      <c r="CG614" s="3"/>
      <c r="CH614" s="3"/>
      <c r="CI614" s="3"/>
      <c r="CJ614" s="3"/>
      <c r="CK614" s="3"/>
      <c r="CL614" s="83"/>
      <c r="CM614" s="83"/>
      <c r="CN614" s="83"/>
      <c r="CO614" s="362"/>
      <c r="CP614" s="362"/>
      <c r="CQ614" s="362"/>
      <c r="CR614" s="362"/>
      <c r="CS614" s="362"/>
      <c r="CT614" s="362"/>
      <c r="CU614" s="362"/>
      <c r="CV614" s="362">
        <f t="shared" ref="CV614:DA614" si="1266">CV613/CV606</f>
        <v>0</v>
      </c>
      <c r="CW614" s="362">
        <f t="shared" si="1266"/>
        <v>0</v>
      </c>
      <c r="CX614" s="362">
        <f t="shared" si="1266"/>
        <v>22.290362915152549</v>
      </c>
      <c r="CY614" s="362">
        <f t="shared" si="1266"/>
        <v>24.02081303094614</v>
      </c>
      <c r="CZ614" s="362">
        <f t="shared" si="1266"/>
        <v>25.255263712210933</v>
      </c>
      <c r="DA614" s="362">
        <f t="shared" si="1266"/>
        <v>24.363017433208281</v>
      </c>
      <c r="DB614" s="362">
        <f>DB613/DB606</f>
        <v>23.646356746077775</v>
      </c>
      <c r="DC614" s="362">
        <f>DC613/DC606</f>
        <v>23.059433339805963</v>
      </c>
      <c r="DD614" s="1517"/>
      <c r="DE614" s="1483"/>
      <c r="DF614" s="24"/>
      <c r="DG614" s="24"/>
      <c r="DH614" s="24"/>
      <c r="DI614" s="24"/>
      <c r="DJ614" s="24"/>
      <c r="DK614" s="24"/>
      <c r="DL614" s="141"/>
      <c r="DM614" s="24"/>
      <c r="DN614" s="24"/>
      <c r="DO614" s="24"/>
      <c r="DP614" s="24"/>
      <c r="DQ614" s="24"/>
      <c r="DR614" s="24"/>
      <c r="DS614" s="24"/>
      <c r="DT614" s="24"/>
      <c r="DU614" s="24"/>
      <c r="DV614" s="24"/>
      <c r="DW614" s="24"/>
      <c r="DX614" s="24"/>
      <c r="DY614" s="24"/>
      <c r="DZ614" s="1561"/>
    </row>
    <row r="615" spans="1:130" hidden="1" outlineLevel="1">
      <c r="A615" s="145"/>
      <c r="B615" s="245"/>
      <c r="C615" s="246"/>
      <c r="D615" s="246"/>
      <c r="E615" s="247"/>
      <c r="F615" s="246"/>
      <c r="G615" s="246"/>
      <c r="H615" s="246"/>
      <c r="I615" s="247"/>
      <c r="J615" s="246"/>
      <c r="K615" s="246"/>
      <c r="L615" s="246"/>
      <c r="M615" s="247"/>
      <c r="N615" s="246"/>
      <c r="O615" s="246"/>
      <c r="P615" s="246"/>
      <c r="Q615" s="247"/>
      <c r="R615" s="246"/>
      <c r="S615" s="246"/>
      <c r="T615" s="246"/>
      <c r="U615" s="247"/>
      <c r="V615" s="246"/>
      <c r="W615" s="246"/>
      <c r="X615" s="246"/>
      <c r="Y615" s="247"/>
      <c r="Z615" s="245"/>
      <c r="AA615" s="246"/>
      <c r="AB615" s="246"/>
      <c r="AC615" s="247"/>
      <c r="AD615" s="245"/>
      <c r="AE615" s="246"/>
      <c r="AF615" s="246"/>
      <c r="AG615" s="246"/>
      <c r="AH615" s="245"/>
      <c r="AI615" s="246"/>
      <c r="AJ615" s="246"/>
      <c r="AK615" s="247"/>
      <c r="AL615" s="246"/>
      <c r="AM615" s="246"/>
      <c r="AN615" s="246"/>
      <c r="AO615" s="247"/>
      <c r="AP615" s="246"/>
      <c r="AQ615" s="246"/>
      <c r="AR615" s="246"/>
      <c r="AS615" s="246"/>
      <c r="AT615" s="245"/>
      <c r="AU615" s="246"/>
      <c r="AV615" s="246"/>
      <c r="AW615" s="246"/>
      <c r="AX615" s="245"/>
      <c r="AY615" s="246"/>
      <c r="AZ615" s="246"/>
      <c r="BA615" s="246"/>
      <c r="BB615" s="245"/>
      <c r="BC615" s="246"/>
      <c r="BD615" s="246"/>
      <c r="BE615" s="246"/>
      <c r="BF615" s="245"/>
      <c r="BG615" s="246"/>
      <c r="BH615" s="246"/>
      <c r="BI615" s="246"/>
      <c r="BJ615" s="245"/>
      <c r="BK615" s="246"/>
      <c r="BL615" s="246"/>
      <c r="BM615" s="247"/>
      <c r="BN615" s="246"/>
      <c r="BO615" s="246"/>
      <c r="BP615" s="246"/>
      <c r="BQ615" s="247"/>
      <c r="BR615" s="246"/>
      <c r="BS615" s="246"/>
      <c r="BT615" s="246"/>
      <c r="BU615" s="247"/>
      <c r="BV615" s="246"/>
      <c r="BW615" s="246"/>
      <c r="BX615" s="246"/>
      <c r="BY615" s="247"/>
      <c r="BZ615" s="246"/>
      <c r="CA615" s="246"/>
      <c r="CB615" s="246"/>
      <c r="CC615" s="247"/>
      <c r="CD615" s="9"/>
      <c r="CE615" s="246"/>
      <c r="CF615" s="246"/>
      <c r="CG615" s="246"/>
      <c r="CH615" s="246"/>
      <c r="CI615" s="246"/>
      <c r="CJ615" s="246"/>
      <c r="CK615" s="246"/>
      <c r="CL615" s="246"/>
      <c r="CM615" s="246"/>
      <c r="CN615" s="246"/>
      <c r="CO615" s="246"/>
      <c r="CP615" s="246"/>
      <c r="CQ615" s="246"/>
      <c r="CR615" s="246"/>
      <c r="CS615" s="1276"/>
      <c r="CT615" s="1276"/>
      <c r="CU615" s="246"/>
      <c r="CV615" s="246"/>
      <c r="CW615" s="246"/>
      <c r="CX615" s="246"/>
      <c r="CY615" s="246"/>
      <c r="CZ615" s="246"/>
      <c r="DA615" s="246"/>
      <c r="DB615" s="246"/>
      <c r="DC615" s="246"/>
      <c r="DD615" s="1526"/>
      <c r="DE615" s="1483"/>
      <c r="DF615" s="141"/>
      <c r="DG615" s="141"/>
      <c r="DH615" s="141"/>
      <c r="DI615" s="141"/>
      <c r="DJ615" s="141"/>
      <c r="DK615" s="141"/>
      <c r="DL615" s="141"/>
      <c r="DM615" s="141"/>
      <c r="DN615" s="141"/>
      <c r="DO615" s="141"/>
      <c r="DP615" s="141"/>
      <c r="DQ615" s="141"/>
      <c r="DR615" s="141"/>
      <c r="DS615" s="141"/>
      <c r="DT615" s="141"/>
      <c r="DU615" s="141"/>
      <c r="DV615" s="141"/>
      <c r="DW615" s="141"/>
      <c r="DX615" s="141"/>
      <c r="DY615" s="141"/>
      <c r="DZ615" s="1676"/>
    </row>
    <row r="616" spans="1:130" collapsed="1">
      <c r="A616" s="145"/>
      <c r="B616" s="145"/>
      <c r="C616" s="145"/>
      <c r="D616" s="145"/>
      <c r="E616" s="228"/>
      <c r="F616" s="145"/>
      <c r="G616" s="145"/>
      <c r="H616" s="145"/>
      <c r="I616" s="228"/>
      <c r="J616" s="145"/>
      <c r="K616" s="145"/>
      <c r="L616" s="145"/>
      <c r="M616" s="228"/>
      <c r="N616" s="145"/>
      <c r="O616" s="145"/>
      <c r="P616" s="145"/>
      <c r="Q616" s="228"/>
      <c r="R616" s="145"/>
      <c r="S616" s="145"/>
      <c r="T616" s="145"/>
      <c r="U616" s="228"/>
      <c r="V616" s="145"/>
      <c r="W616" s="145"/>
      <c r="X616" s="145"/>
      <c r="Y616" s="145"/>
      <c r="Z616" s="145"/>
      <c r="AA616" s="145"/>
      <c r="AB616" s="145"/>
      <c r="AC616" s="145"/>
      <c r="AD616" s="145"/>
      <c r="AE616" s="145"/>
      <c r="AF616" s="145"/>
      <c r="AG616" s="145"/>
      <c r="AH616" s="227"/>
      <c r="AI616" s="145"/>
      <c r="AJ616" s="145"/>
      <c r="AK616" s="145"/>
      <c r="AL616" s="145"/>
      <c r="AM616" s="145"/>
      <c r="AN616" s="145"/>
      <c r="AO616" s="145"/>
      <c r="AP616" s="145"/>
      <c r="AQ616" s="145"/>
      <c r="AR616" s="145"/>
      <c r="AS616" s="145"/>
      <c r="AT616" s="145"/>
      <c r="AU616" s="145"/>
      <c r="AV616" s="145"/>
      <c r="AW616" s="145"/>
      <c r="AX616" s="145"/>
      <c r="AY616" s="145"/>
      <c r="AZ616" s="145"/>
      <c r="BA616" s="145"/>
      <c r="BB616" s="145"/>
      <c r="BC616" s="145"/>
      <c r="BD616" s="145"/>
      <c r="BE616" s="145"/>
      <c r="BF616" s="145"/>
      <c r="BG616" s="145"/>
      <c r="BH616" s="145"/>
      <c r="BI616" s="145"/>
      <c r="BJ616" s="145"/>
      <c r="BK616" s="145"/>
      <c r="BL616" s="145"/>
      <c r="BM616" s="145"/>
      <c r="BN616" s="145"/>
      <c r="BO616" s="145"/>
      <c r="BP616" s="145"/>
      <c r="BQ616" s="228"/>
      <c r="BR616" s="145"/>
      <c r="BS616" s="145"/>
      <c r="BT616" s="145"/>
      <c r="BU616" s="1598"/>
      <c r="BV616" s="145"/>
      <c r="BW616" s="145"/>
      <c r="BX616" s="145"/>
      <c r="BY616" s="228"/>
      <c r="BZ616" s="145"/>
      <c r="CA616" s="145"/>
      <c r="CB616" s="145"/>
      <c r="CC616" s="228"/>
      <c r="CD616" s="145"/>
      <c r="CE616" s="145"/>
      <c r="CF616" s="145"/>
      <c r="CG616" s="145"/>
      <c r="CH616" s="145"/>
      <c r="CI616" s="145"/>
      <c r="CJ616" s="145"/>
      <c r="CK616" s="145"/>
      <c r="CL616" s="145"/>
      <c r="CM616" s="145"/>
      <c r="CN616" s="145"/>
      <c r="CO616" s="145"/>
      <c r="CP616" s="145"/>
      <c r="CQ616" s="145"/>
      <c r="CR616" s="145"/>
      <c r="CS616" s="141"/>
      <c r="CT616" s="141"/>
      <c r="CU616" s="141"/>
      <c r="CV616" s="141"/>
      <c r="CW616" s="141"/>
      <c r="CX616" s="141"/>
      <c r="CY616" s="141"/>
      <c r="CZ616" s="141"/>
      <c r="DA616" s="141"/>
      <c r="DB616" s="141"/>
      <c r="DC616" s="141"/>
      <c r="DD616" s="1505"/>
      <c r="DE616" s="1551"/>
      <c r="DF616" s="141"/>
      <c r="DG616" s="141"/>
      <c r="DH616" s="141"/>
      <c r="DI616" s="141"/>
      <c r="DJ616" s="141"/>
      <c r="DK616" s="141"/>
      <c r="DL616" s="141"/>
      <c r="DM616" s="141"/>
      <c r="DN616" s="141"/>
      <c r="DO616" s="141"/>
      <c r="DP616" s="141"/>
      <c r="DQ616" s="141"/>
      <c r="DR616" s="141"/>
      <c r="DS616" s="141"/>
      <c r="DT616" s="141"/>
      <c r="DU616" s="141"/>
      <c r="DV616" s="141"/>
      <c r="DW616" s="141"/>
      <c r="DX616" s="141"/>
      <c r="DY616" s="141"/>
      <c r="DZ616" s="1676"/>
    </row>
    <row r="617" spans="1:130">
      <c r="A617" s="145"/>
      <c r="B617" s="145"/>
      <c r="C617" s="145"/>
      <c r="D617" s="145"/>
      <c r="E617" s="228"/>
      <c r="F617" s="145"/>
      <c r="G617" s="145"/>
      <c r="H617" s="145"/>
      <c r="I617" s="228"/>
      <c r="J617" s="145"/>
      <c r="K617" s="145"/>
      <c r="L617" s="145"/>
      <c r="M617" s="228"/>
      <c r="N617" s="145"/>
      <c r="O617" s="145"/>
      <c r="P617" s="145"/>
      <c r="Q617" s="228"/>
      <c r="R617" s="145"/>
      <c r="S617" s="145"/>
      <c r="T617" s="145"/>
      <c r="U617" s="228"/>
      <c r="V617" s="145"/>
      <c r="W617" s="145"/>
      <c r="X617" s="145"/>
      <c r="Y617" s="145"/>
      <c r="Z617" s="145"/>
      <c r="AA617" s="145"/>
      <c r="AB617" s="145"/>
      <c r="AC617" s="145"/>
      <c r="AD617" s="145"/>
      <c r="AE617" s="145"/>
      <c r="AF617" s="145"/>
      <c r="AG617" s="145"/>
      <c r="AH617" s="227"/>
      <c r="AI617" s="145"/>
      <c r="AJ617" s="145"/>
      <c r="AK617" s="145"/>
      <c r="AL617" s="145"/>
      <c r="AM617" s="145"/>
      <c r="AN617" s="145"/>
      <c r="AO617" s="145"/>
      <c r="AP617" s="145"/>
      <c r="AQ617" s="145"/>
      <c r="AR617" s="145"/>
      <c r="AS617" s="145"/>
      <c r="AT617" s="145"/>
      <c r="AU617" s="145"/>
      <c r="AV617" s="145"/>
      <c r="AW617" s="145"/>
      <c r="AX617" s="145"/>
      <c r="AY617" s="145"/>
      <c r="AZ617" s="145"/>
      <c r="BA617" s="145"/>
      <c r="BB617" s="145"/>
      <c r="BC617" s="145"/>
      <c r="BD617" s="145"/>
      <c r="BE617" s="145"/>
      <c r="BF617" s="145"/>
      <c r="BG617" s="145"/>
      <c r="BH617" s="145"/>
      <c r="BI617" s="145"/>
      <c r="BJ617" s="145"/>
      <c r="BK617" s="145"/>
      <c r="BL617" s="145"/>
      <c r="BM617" s="145"/>
      <c r="BN617" s="145"/>
      <c r="BO617" s="145"/>
      <c r="BP617" s="145"/>
      <c r="BQ617" s="228"/>
      <c r="BR617" s="145"/>
      <c r="BS617" s="145"/>
      <c r="BT617" s="145"/>
      <c r="BU617" s="1598"/>
      <c r="BV617" s="145"/>
      <c r="BW617" s="145"/>
      <c r="BX617" s="145"/>
      <c r="BY617" s="228"/>
      <c r="BZ617" s="145"/>
      <c r="CA617" s="145"/>
      <c r="CB617" s="145"/>
      <c r="CC617" s="228"/>
      <c r="CD617" s="145"/>
      <c r="CE617" s="145"/>
      <c r="CF617" s="145"/>
      <c r="CG617" s="145"/>
      <c r="CH617" s="145"/>
      <c r="CI617" s="145"/>
      <c r="CJ617" s="145"/>
      <c r="CK617" s="145"/>
      <c r="CL617" s="145"/>
      <c r="CM617" s="145"/>
      <c r="CN617" s="145"/>
      <c r="CO617" s="145"/>
      <c r="CP617" s="145"/>
      <c r="CQ617" s="145"/>
      <c r="CR617" s="145"/>
      <c r="CS617" s="141"/>
      <c r="CT617" s="141"/>
      <c r="CU617" s="141"/>
      <c r="CV617" s="141"/>
      <c r="CW617" s="141"/>
      <c r="CX617" s="141"/>
      <c r="CY617" s="141"/>
      <c r="CZ617" s="141"/>
      <c r="DA617" s="141"/>
      <c r="DB617" s="141"/>
      <c r="DC617" s="141"/>
      <c r="DD617" s="1505"/>
      <c r="DE617" s="1551"/>
      <c r="DF617" s="141"/>
      <c r="DG617" s="141"/>
      <c r="DH617" s="141"/>
      <c r="DI617" s="141"/>
      <c r="DJ617" s="141"/>
      <c r="DK617" s="141"/>
      <c r="DL617" s="141"/>
      <c r="DM617" s="141"/>
      <c r="DN617" s="141"/>
      <c r="DO617" s="141"/>
      <c r="DP617" s="141"/>
      <c r="DQ617" s="141"/>
      <c r="DR617" s="141"/>
      <c r="DS617" s="141"/>
      <c r="DT617" s="141"/>
      <c r="DU617" s="141"/>
      <c r="DV617" s="141"/>
      <c r="DW617" s="141"/>
      <c r="DX617" s="141"/>
      <c r="DY617" s="141"/>
      <c r="DZ617" s="1676"/>
    </row>
    <row r="618" spans="1:130">
      <c r="A618" s="3" t="s">
        <v>25</v>
      </c>
      <c r="B618" s="234" t="s">
        <v>28</v>
      </c>
      <c r="C618" s="235"/>
      <c r="D618" s="235"/>
      <c r="E618" s="236"/>
      <c r="F618" s="235"/>
      <c r="G618" s="235"/>
      <c r="H618" s="235"/>
      <c r="I618" s="236"/>
      <c r="J618" s="235"/>
      <c r="K618" s="235"/>
      <c r="L618" s="235"/>
      <c r="M618" s="236"/>
      <c r="N618" s="235"/>
      <c r="O618" s="235"/>
      <c r="P618" s="235"/>
      <c r="Q618" s="236"/>
      <c r="R618" s="235"/>
      <c r="S618" s="235"/>
      <c r="T618" s="235"/>
      <c r="U618" s="236"/>
      <c r="V618" s="110"/>
      <c r="W618" s="111"/>
      <c r="X618" s="111"/>
      <c r="Y618" s="112"/>
      <c r="Z618" s="110"/>
      <c r="AA618" s="111"/>
      <c r="AB618" s="111"/>
      <c r="AC618" s="112"/>
      <c r="AD618" s="110"/>
      <c r="AE618" s="111"/>
      <c r="AF618" s="111"/>
      <c r="AG618" s="111"/>
      <c r="AH618" s="110"/>
      <c r="AI618" s="111"/>
      <c r="AJ618" s="111"/>
      <c r="AK618" s="111"/>
      <c r="AL618" s="110"/>
      <c r="AM618" s="111"/>
      <c r="AN618" s="111"/>
      <c r="AO618" s="112"/>
      <c r="AP618" s="111"/>
      <c r="AQ618" s="111"/>
      <c r="AR618" s="111"/>
      <c r="AS618" s="112"/>
      <c r="AT618" s="111"/>
      <c r="AU618" s="111"/>
      <c r="AV618" s="111"/>
      <c r="AW618" s="112"/>
      <c r="AX618" s="111"/>
      <c r="AY618" s="111"/>
      <c r="AZ618" s="111"/>
      <c r="BA618" s="112"/>
      <c r="BB618" s="111"/>
      <c r="BC618" s="111"/>
      <c r="BD618" s="111"/>
      <c r="BE618" s="112"/>
      <c r="BF618" s="111"/>
      <c r="BG618" s="111"/>
      <c r="BH618" s="111"/>
      <c r="BI618" s="112"/>
      <c r="BJ618" s="111"/>
      <c r="BK618" s="111"/>
      <c r="BL618" s="111"/>
      <c r="BM618" s="112"/>
      <c r="BN618" s="111"/>
      <c r="BO618" s="111"/>
      <c r="BP618" s="111"/>
      <c r="BQ618" s="112"/>
      <c r="BR618" s="111"/>
      <c r="BS618" s="111"/>
      <c r="BT618" s="111"/>
      <c r="BU618" s="112"/>
      <c r="BV618" s="111"/>
      <c r="BW618" s="111"/>
      <c r="BX618" s="111"/>
      <c r="BY618" s="112"/>
      <c r="BZ618" s="111"/>
      <c r="CA618" s="111"/>
      <c r="CB618" s="111"/>
      <c r="CC618" s="112"/>
      <c r="CD618" s="9"/>
      <c r="CE618" s="111"/>
      <c r="CF618" s="111"/>
      <c r="CG618" s="111"/>
      <c r="CH618" s="111"/>
      <c r="CI618" s="111"/>
      <c r="CJ618" s="111"/>
      <c r="CK618" s="111"/>
      <c r="CL618" s="111"/>
      <c r="CM618" s="111"/>
      <c r="CN618" s="111"/>
      <c r="CO618" s="156"/>
      <c r="CP618" s="156"/>
      <c r="CQ618" s="156"/>
      <c r="CR618" s="156"/>
      <c r="CS618" s="111"/>
      <c r="CT618" s="111"/>
      <c r="CU618" s="112"/>
      <c r="CV618" s="112"/>
      <c r="CW618" s="112"/>
      <c r="CX618" s="112"/>
      <c r="CY618" s="112"/>
      <c r="CZ618" s="112"/>
      <c r="DA618" s="112"/>
      <c r="DB618" s="112"/>
      <c r="DC618" s="112"/>
      <c r="DD618" s="1533"/>
      <c r="DE618" s="1551"/>
      <c r="DF618" s="24"/>
      <c r="DG618" s="24"/>
      <c r="DH618" s="24"/>
      <c r="DI618" s="24"/>
      <c r="DJ618" s="24"/>
      <c r="DK618" s="24"/>
      <c r="DL618" s="141"/>
      <c r="DM618" s="24"/>
      <c r="DN618" s="24"/>
      <c r="DO618" s="24"/>
      <c r="DP618" s="24"/>
      <c r="DQ618" s="24"/>
      <c r="DR618" s="24"/>
      <c r="DS618" s="24"/>
      <c r="DT618" s="24"/>
      <c r="DU618" s="24"/>
      <c r="DV618" s="24"/>
      <c r="DW618" s="24"/>
      <c r="DX618" s="24"/>
      <c r="DY618" s="24"/>
      <c r="DZ618" s="1561"/>
    </row>
    <row r="619" spans="1:130" outlineLevel="1">
      <c r="A619" s="3"/>
      <c r="B619" s="232" t="s">
        <v>286</v>
      </c>
      <c r="C619" s="193"/>
      <c r="D619" s="193"/>
      <c r="E619" s="194"/>
      <c r="F619" s="866" t="s">
        <v>687</v>
      </c>
      <c r="G619" s="866" t="s">
        <v>687</v>
      </c>
      <c r="H619" s="866" t="s">
        <v>687</v>
      </c>
      <c r="I619" s="868" t="s">
        <v>687</v>
      </c>
      <c r="J619" s="866" t="s">
        <v>687</v>
      </c>
      <c r="K619" s="866" t="s">
        <v>687</v>
      </c>
      <c r="L619" s="866" t="s">
        <v>687</v>
      </c>
      <c r="M619" s="868" t="s">
        <v>687</v>
      </c>
      <c r="N619" s="866" t="s">
        <v>687</v>
      </c>
      <c r="O619" s="866" t="s">
        <v>687</v>
      </c>
      <c r="P619" s="866" t="s">
        <v>687</v>
      </c>
      <c r="Q619" s="1023">
        <f t="shared" ref="Q619:AB619" si="1267">SUM(Q620:Q623)</f>
        <v>680.26236561653354</v>
      </c>
      <c r="R619" s="1019">
        <f t="shared" si="1267"/>
        <v>714.22488345032104</v>
      </c>
      <c r="S619" s="1019">
        <f t="shared" si="1267"/>
        <v>834.81680169199649</v>
      </c>
      <c r="T619" s="1019">
        <f t="shared" si="1267"/>
        <v>748.8909767732564</v>
      </c>
      <c r="U619" s="1023">
        <f t="shared" si="1267"/>
        <v>748.79343562788586</v>
      </c>
      <c r="V619" s="1019">
        <f t="shared" si="1267"/>
        <v>823.57649571832212</v>
      </c>
      <c r="W619" s="1019">
        <f t="shared" si="1267"/>
        <v>954.92508108797108</v>
      </c>
      <c r="X619" s="1019">
        <f t="shared" si="1267"/>
        <v>919.89553710847395</v>
      </c>
      <c r="Y619" s="1023">
        <f t="shared" si="1267"/>
        <v>940.36705711427976</v>
      </c>
      <c r="Z619" s="1019">
        <f t="shared" si="1267"/>
        <v>1009.9049524614122</v>
      </c>
      <c r="AA619" s="1019">
        <f t="shared" si="1267"/>
        <v>1117.0674262637269</v>
      </c>
      <c r="AB619" s="1019">
        <f t="shared" si="1267"/>
        <v>1128.7699816586423</v>
      </c>
      <c r="AC619" s="1023">
        <f t="shared" ref="AC619:AJ619" si="1268">SUM(AC620:AC623)</f>
        <v>1085.520633982266</v>
      </c>
      <c r="AD619" s="1019">
        <f t="shared" si="1268"/>
        <v>1263.9988334361215</v>
      </c>
      <c r="AE619" s="1019">
        <f t="shared" si="1268"/>
        <v>1427.9700114953569</v>
      </c>
      <c r="AF619" s="1019">
        <f t="shared" si="1268"/>
        <v>1410.029773424646</v>
      </c>
      <c r="AG619" s="1019">
        <f t="shared" si="1268"/>
        <v>1366.7077743125046</v>
      </c>
      <c r="AH619" s="1141">
        <f t="shared" si="1268"/>
        <v>1765.988572513043</v>
      </c>
      <c r="AI619" s="1019">
        <f t="shared" si="1268"/>
        <v>2204.1036084876764</v>
      </c>
      <c r="AJ619" s="1019">
        <f t="shared" si="1268"/>
        <v>2111.0268418486398</v>
      </c>
      <c r="AK619" s="1019">
        <f t="shared" ref="AK619:AP619" si="1269">SUM(AK620:AK623)</f>
        <v>1993.0649197251787</v>
      </c>
      <c r="AL619" s="1141">
        <f t="shared" si="1269"/>
        <v>2108.9897603707814</v>
      </c>
      <c r="AM619" s="1019">
        <f t="shared" si="1269"/>
        <v>1822.7877252563499</v>
      </c>
      <c r="AN619" s="1019">
        <f t="shared" si="1269"/>
        <v>1591.8920069350916</v>
      </c>
      <c r="AO619" s="1019">
        <f t="shared" si="1269"/>
        <v>1928.1865719438424</v>
      </c>
      <c r="AP619" s="1141">
        <f t="shared" si="1269"/>
        <v>2208</v>
      </c>
      <c r="AQ619" s="1019">
        <f t="shared" ref="AQ619:AV619" si="1270">SUM(AQ620:AQ623)</f>
        <v>2619</v>
      </c>
      <c r="AR619" s="1019">
        <f t="shared" si="1270"/>
        <v>2641</v>
      </c>
      <c r="AS619" s="1019">
        <f t="shared" si="1270"/>
        <v>2382</v>
      </c>
      <c r="AT619" s="1141">
        <f t="shared" si="1270"/>
        <v>2447</v>
      </c>
      <c r="AU619" s="1019">
        <f t="shared" si="1270"/>
        <v>2475</v>
      </c>
      <c r="AV619" s="1019">
        <f t="shared" si="1270"/>
        <v>2252</v>
      </c>
      <c r="AW619" s="1019">
        <f t="shared" ref="AW619:BB619" si="1271">SUM(AW620:AW623)</f>
        <v>2403</v>
      </c>
      <c r="AX619" s="1300">
        <f t="shared" si="1271"/>
        <v>2694</v>
      </c>
      <c r="AY619" s="1301">
        <f t="shared" si="1271"/>
        <v>1994.9999999999998</v>
      </c>
      <c r="AZ619" s="1301">
        <f t="shared" si="1271"/>
        <v>3035</v>
      </c>
      <c r="BA619" s="1301">
        <f t="shared" si="1271"/>
        <v>4754</v>
      </c>
      <c r="BB619" s="1300">
        <f t="shared" si="1271"/>
        <v>4035</v>
      </c>
      <c r="BC619" s="1301">
        <f t="shared" ref="BC619:BH619" si="1272">SUM(BC620:BC623)</f>
        <v>3824</v>
      </c>
      <c r="BD619" s="1301">
        <f t="shared" si="1272"/>
        <v>3764</v>
      </c>
      <c r="BE619" s="1301">
        <f t="shared" si="1272"/>
        <v>3728.0000000000005</v>
      </c>
      <c r="BF619" s="1300">
        <f t="shared" si="1272"/>
        <v>3804.0000000000005</v>
      </c>
      <c r="BG619" s="1301">
        <f t="shared" si="1272"/>
        <v>3972</v>
      </c>
      <c r="BH619" s="1301">
        <f t="shared" si="1272"/>
        <v>3703</v>
      </c>
      <c r="BI619" s="1301">
        <f t="shared" ref="BI619:BN619" si="1273">SUM(BI620:BI623)</f>
        <v>3651</v>
      </c>
      <c r="BJ619" s="1300">
        <f t="shared" si="1273"/>
        <v>3943</v>
      </c>
      <c r="BK619" s="1301">
        <f t="shared" si="1273"/>
        <v>3888</v>
      </c>
      <c r="BL619" s="1301">
        <f t="shared" si="1273"/>
        <v>3550</v>
      </c>
      <c r="BM619" s="1324">
        <f t="shared" si="1273"/>
        <v>3191</v>
      </c>
      <c r="BN619" s="1300">
        <f t="shared" si="1273"/>
        <v>3360</v>
      </c>
      <c r="BO619" s="1301">
        <f t="shared" ref="BO619:BT619" si="1274">SUM(BO620:BO623)</f>
        <v>3317</v>
      </c>
      <c r="BP619" s="1301">
        <f t="shared" si="1274"/>
        <v>2822</v>
      </c>
      <c r="BQ619" s="1324">
        <f t="shared" si="1274"/>
        <v>3495</v>
      </c>
      <c r="BR619" s="1300">
        <f t="shared" si="1274"/>
        <v>4714</v>
      </c>
      <c r="BS619" s="2164">
        <f t="shared" si="1274"/>
        <v>4888</v>
      </c>
      <c r="BT619" s="2164">
        <f t="shared" si="1274"/>
        <v>4649</v>
      </c>
      <c r="BU619" s="1324">
        <f>SUM(BU620:BU623)</f>
        <v>4842.0000000000009</v>
      </c>
      <c r="BV619" s="1301" t="s">
        <v>687</v>
      </c>
      <c r="BW619" s="1301" t="s">
        <v>687</v>
      </c>
      <c r="BX619" s="1301" t="s">
        <v>687</v>
      </c>
      <c r="BY619" s="1324" t="s">
        <v>687</v>
      </c>
      <c r="BZ619" s="1301" t="s">
        <v>687</v>
      </c>
      <c r="CA619" s="1301" t="s">
        <v>687</v>
      </c>
      <c r="CB619" s="1301" t="s">
        <v>687</v>
      </c>
      <c r="CC619" s="1324" t="s">
        <v>687</v>
      </c>
      <c r="CD619" s="244"/>
      <c r="CE619" s="777">
        <f>SUM(CE620:CE623)</f>
        <v>0</v>
      </c>
      <c r="CF619" s="777">
        <f t="shared" ref="CF619:CK619" si="1275">SUM(CF620:CF623)</f>
        <v>2151</v>
      </c>
      <c r="CG619" s="777">
        <f t="shared" si="1275"/>
        <v>2719</v>
      </c>
      <c r="CH619" s="777">
        <f t="shared" si="1275"/>
        <v>3047</v>
      </c>
      <c r="CI619" s="777">
        <f t="shared" si="1275"/>
        <v>3639</v>
      </c>
      <c r="CJ619" s="777">
        <f t="shared" si="1275"/>
        <v>4341</v>
      </c>
      <c r="CK619" s="777">
        <f t="shared" si="1275"/>
        <v>5468</v>
      </c>
      <c r="CL619" s="777">
        <f t="shared" ref="CL619:DC619" si="1276">CL11</f>
        <v>8074.1839425745384</v>
      </c>
      <c r="CM619" s="777">
        <f t="shared" si="1276"/>
        <v>7451.8560645060661</v>
      </c>
      <c r="CN619" s="777">
        <f t="shared" si="1276"/>
        <v>9850</v>
      </c>
      <c r="CO619" s="777">
        <f t="shared" si="1276"/>
        <v>9577</v>
      </c>
      <c r="CP619" s="777">
        <f t="shared" si="1276"/>
        <v>12478</v>
      </c>
      <c r="CQ619" s="777">
        <f t="shared" si="1276"/>
        <v>15351</v>
      </c>
      <c r="CR619" s="777">
        <f t="shared" si="1276"/>
        <v>15130</v>
      </c>
      <c r="CS619" s="777">
        <f t="shared" si="1276"/>
        <v>14572</v>
      </c>
      <c r="CT619" s="777">
        <f t="shared" si="1276"/>
        <v>12994</v>
      </c>
      <c r="CU619" s="777">
        <f t="shared" si="1276"/>
        <v>19093</v>
      </c>
      <c r="CV619" s="777">
        <f t="shared" si="1276"/>
        <v>20340.119929259999</v>
      </c>
      <c r="CW619" s="777">
        <f t="shared" si="1276"/>
        <v>19080.648419283676</v>
      </c>
      <c r="CX619" s="777">
        <f t="shared" si="1276"/>
        <v>20472.086350997615</v>
      </c>
      <c r="CY619" s="777">
        <f t="shared" si="1276"/>
        <v>21214.245870229453</v>
      </c>
      <c r="CZ619" s="777">
        <f t="shared" si="1276"/>
        <v>22021.737746247112</v>
      </c>
      <c r="DA619" s="777">
        <f t="shared" si="1276"/>
        <v>23042.389750333001</v>
      </c>
      <c r="DB619" s="777">
        <f t="shared" si="1276"/>
        <v>24199.14107577363</v>
      </c>
      <c r="DC619" s="777">
        <f t="shared" si="1276"/>
        <v>25509.214931826064</v>
      </c>
      <c r="DD619" s="1517"/>
      <c r="DE619" s="1483"/>
      <c r="DF619" s="24"/>
      <c r="DG619" s="24"/>
      <c r="DH619" s="24"/>
      <c r="DI619" s="24"/>
      <c r="DJ619" s="24"/>
      <c r="DK619" s="24"/>
      <c r="DL619" s="141"/>
      <c r="DM619" s="24"/>
      <c r="DN619" s="24"/>
      <c r="DO619" s="24"/>
      <c r="DP619" s="24"/>
      <c r="DQ619" s="24"/>
      <c r="DR619" s="24"/>
      <c r="DS619" s="24"/>
      <c r="DT619" s="24"/>
      <c r="DU619" s="24"/>
      <c r="DV619" s="24"/>
      <c r="DW619" s="24"/>
      <c r="DX619" s="24"/>
      <c r="DY619" s="24"/>
      <c r="DZ619" s="1561"/>
    </row>
    <row r="620" spans="1:130" outlineLevel="1">
      <c r="A620" s="3"/>
      <c r="B620" s="208"/>
      <c r="C620" s="201"/>
      <c r="D620" s="196" t="s">
        <v>640</v>
      </c>
      <c r="E620" s="197"/>
      <c r="F620" s="865" t="s">
        <v>687</v>
      </c>
      <c r="G620" s="865" t="s">
        <v>687</v>
      </c>
      <c r="H620" s="865" t="s">
        <v>687</v>
      </c>
      <c r="I620" s="867" t="s">
        <v>687</v>
      </c>
      <c r="J620" s="865" t="s">
        <v>687</v>
      </c>
      <c r="K620" s="865" t="s">
        <v>687</v>
      </c>
      <c r="L620" s="865" t="s">
        <v>687</v>
      </c>
      <c r="M620" s="867" t="s">
        <v>687</v>
      </c>
      <c r="N620" s="865" t="s">
        <v>687</v>
      </c>
      <c r="O620" s="865" t="s">
        <v>687</v>
      </c>
      <c r="P620" s="865" t="s">
        <v>687</v>
      </c>
      <c r="Q620" s="1024">
        <f t="shared" ref="Q620:AB620" si="1277">Q$11*Q626</f>
        <v>312.92068818360542</v>
      </c>
      <c r="R620" s="1020">
        <f t="shared" si="1277"/>
        <v>271.40545571112199</v>
      </c>
      <c r="S620" s="1020">
        <f t="shared" si="1277"/>
        <v>342.27488869371854</v>
      </c>
      <c r="T620" s="1020">
        <f t="shared" si="1277"/>
        <v>314.53421024476768</v>
      </c>
      <c r="U620" s="1024">
        <f t="shared" si="1277"/>
        <v>329.46911167626979</v>
      </c>
      <c r="V620" s="1020">
        <f t="shared" si="1277"/>
        <v>329.43059828732885</v>
      </c>
      <c r="W620" s="1020">
        <f t="shared" si="1277"/>
        <v>362.87153081342899</v>
      </c>
      <c r="X620" s="1020">
        <f t="shared" si="1277"/>
        <v>331.16239335905055</v>
      </c>
      <c r="Y620" s="1024">
        <f t="shared" si="1277"/>
        <v>357.33948170342632</v>
      </c>
      <c r="Z620" s="1020">
        <f t="shared" si="1277"/>
        <v>363.56578288610837</v>
      </c>
      <c r="AA620" s="1020">
        <f t="shared" si="1277"/>
        <v>357.46157640439264</v>
      </c>
      <c r="AB620" s="1020">
        <f t="shared" si="1277"/>
        <v>440.22029284687045</v>
      </c>
      <c r="AC620" s="1024">
        <f>AC$11*AC626</f>
        <v>412.49784091326109</v>
      </c>
      <c r="AD620" s="1020">
        <f t="shared" ref="AD620:AE623" si="1278">AD$11*AD626</f>
        <v>442.39959170264251</v>
      </c>
      <c r="AE620" s="1020">
        <f t="shared" si="1278"/>
        <v>542.62860436823564</v>
      </c>
      <c r="AF620" s="1020">
        <f t="shared" ref="AF620:AL620" si="1279">AF$11*AF626</f>
        <v>507.61071843287255</v>
      </c>
      <c r="AG620" s="1020">
        <f t="shared" si="1279"/>
        <v>546.68310972500183</v>
      </c>
      <c r="AH620" s="1142">
        <f t="shared" si="1279"/>
        <v>582.77622892930424</v>
      </c>
      <c r="AI620" s="1020">
        <f t="shared" si="1279"/>
        <v>705.31315471605649</v>
      </c>
      <c r="AJ620" s="1020">
        <f t="shared" si="1279"/>
        <v>591.08751571761923</v>
      </c>
      <c r="AK620" s="1020">
        <f t="shared" si="1279"/>
        <v>577.98882672030174</v>
      </c>
      <c r="AL620" s="1142">
        <f t="shared" si="1279"/>
        <v>485.06764488527972</v>
      </c>
      <c r="AM620" s="1020">
        <f t="shared" ref="AM620:AO623" si="1280">AM$11*AM626</f>
        <v>419.24117680896046</v>
      </c>
      <c r="AN620" s="1020">
        <f t="shared" si="1280"/>
        <v>413.89192180312381</v>
      </c>
      <c r="AO620" s="1020">
        <f t="shared" ref="AO620:AQ622" si="1281">AO$11*AO626</f>
        <v>462.76477726652217</v>
      </c>
      <c r="AP620" s="1142">
        <f t="shared" si="1281"/>
        <v>485.76</v>
      </c>
      <c r="AQ620" s="1020">
        <f t="shared" ref="AQ620:AV620" si="1282">AQ$11*AQ626</f>
        <v>654.75</v>
      </c>
      <c r="AR620" s="1020">
        <f t="shared" si="1282"/>
        <v>633.84</v>
      </c>
      <c r="AS620" s="1020">
        <f t="shared" si="1282"/>
        <v>595.5</v>
      </c>
      <c r="AT620" s="1142">
        <f t="shared" si="1282"/>
        <v>562.81000000000006</v>
      </c>
      <c r="AU620" s="1020">
        <f t="shared" si="1282"/>
        <v>544.5</v>
      </c>
      <c r="AV620" s="1020">
        <f t="shared" si="1282"/>
        <v>495.44</v>
      </c>
      <c r="AW620" s="1020">
        <f t="shared" ref="AW620:AX623" si="1283">AW$11*AW626</f>
        <v>480.6</v>
      </c>
      <c r="AX620" s="1302">
        <f t="shared" si="1283"/>
        <v>511.86</v>
      </c>
      <c r="AY620" s="1303">
        <f t="shared" ref="AY620:AZ623" si="1284">AY$11*AY626</f>
        <v>438.9</v>
      </c>
      <c r="AZ620" s="1303">
        <f t="shared" si="1284"/>
        <v>637.35</v>
      </c>
      <c r="BA620" s="1303">
        <f t="shared" ref="BA620:BC623" si="1285">BA$11*BA626</f>
        <v>1283.5800000000002</v>
      </c>
      <c r="BB620" s="1302">
        <f t="shared" si="1285"/>
        <v>928.05000000000007</v>
      </c>
      <c r="BC620" s="1303">
        <f t="shared" si="1285"/>
        <v>1032.48</v>
      </c>
      <c r="BD620" s="1303">
        <f t="shared" ref="BD620:BG623" si="1286">BD$11*BD626</f>
        <v>1016.2800000000001</v>
      </c>
      <c r="BE620" s="1303">
        <f t="shared" si="1286"/>
        <v>1043.8400000000001</v>
      </c>
      <c r="BF620" s="1302">
        <f t="shared" si="1286"/>
        <v>989.04000000000008</v>
      </c>
      <c r="BG620" s="1303">
        <f t="shared" si="1286"/>
        <v>993</v>
      </c>
      <c r="BH620" s="1303">
        <f t="shared" ref="BH620:BK623" si="1287">BH$11*BH626</f>
        <v>925.75</v>
      </c>
      <c r="BI620" s="1303">
        <f t="shared" si="1287"/>
        <v>876.24</v>
      </c>
      <c r="BJ620" s="1302">
        <f t="shared" si="1287"/>
        <v>1064.6100000000001</v>
      </c>
      <c r="BK620" s="1303">
        <f t="shared" si="1287"/>
        <v>1049.76</v>
      </c>
      <c r="BL620" s="1303">
        <f t="shared" ref="BL620:BO623" si="1288">BL$11*BL626</f>
        <v>1029.5</v>
      </c>
      <c r="BM620" s="1325">
        <f t="shared" si="1288"/>
        <v>1021.12</v>
      </c>
      <c r="BN620" s="1302">
        <f t="shared" si="1288"/>
        <v>1008</v>
      </c>
      <c r="BO620" s="1303">
        <f t="shared" si="1288"/>
        <v>1028.27</v>
      </c>
      <c r="BP620" s="1303">
        <f t="shared" ref="BP620:BR623" si="1289">BP$11*BP626</f>
        <v>846.6</v>
      </c>
      <c r="BQ620" s="1325">
        <f t="shared" si="1289"/>
        <v>1328.1</v>
      </c>
      <c r="BR620" s="1302">
        <f t="shared" si="1289"/>
        <v>1885.6000000000001</v>
      </c>
      <c r="BS620" s="1303">
        <f t="shared" ref="BS620:BU622" si="1290">BS$11*BS626</f>
        <v>1906.3200000000002</v>
      </c>
      <c r="BT620" s="1303">
        <f t="shared" si="1290"/>
        <v>1766.6200000000001</v>
      </c>
      <c r="BU620" s="1325">
        <f t="shared" si="1290"/>
        <v>1307.3400000000001</v>
      </c>
      <c r="BV620" s="1303" t="s">
        <v>687</v>
      </c>
      <c r="BW620" s="1303" t="s">
        <v>687</v>
      </c>
      <c r="BX620" s="1303" t="s">
        <v>687</v>
      </c>
      <c r="BY620" s="1325" t="s">
        <v>687</v>
      </c>
      <c r="BZ620" s="1303" t="s">
        <v>687</v>
      </c>
      <c r="CA620" s="1303" t="s">
        <v>687</v>
      </c>
      <c r="CB620" s="1303" t="s">
        <v>687</v>
      </c>
      <c r="CC620" s="1325" t="s">
        <v>687</v>
      </c>
      <c r="CD620" s="244"/>
      <c r="CE620" s="459"/>
      <c r="CF620" s="459">
        <v>1160</v>
      </c>
      <c r="CG620" s="459">
        <v>1310</v>
      </c>
      <c r="CH620" s="459">
        <v>1261</v>
      </c>
      <c r="CI620" s="459">
        <v>1268</v>
      </c>
      <c r="CJ620" s="459">
        <v>1386</v>
      </c>
      <c r="CK620" s="459">
        <v>1780</v>
      </c>
      <c r="CL620" s="39">
        <v>1949</v>
      </c>
      <c r="CM620" s="39">
        <v>1492</v>
      </c>
      <c r="CN620" s="39">
        <v>1889</v>
      </c>
      <c r="CO620" s="39">
        <v>1589</v>
      </c>
      <c r="CP620" s="39">
        <f>CP$11*0.23</f>
        <v>2869.94</v>
      </c>
      <c r="CQ620" s="39">
        <v>3403</v>
      </c>
      <c r="CR620" s="53">
        <f>CR$11*CR626</f>
        <v>3782.5</v>
      </c>
      <c r="CS620" s="53">
        <f>CS$11*CS626</f>
        <v>4080.1600000000003</v>
      </c>
      <c r="CT620" s="53">
        <f t="shared" ref="CS620:CV623" si="1291">CT$11*CT626</f>
        <v>4158.08</v>
      </c>
      <c r="CU620" s="53">
        <f t="shared" si="1291"/>
        <v>5155.1100000000006</v>
      </c>
      <c r="CV620" s="53">
        <f t="shared" si="1291"/>
        <v>5491.8323809002004</v>
      </c>
      <c r="CW620" s="53">
        <f t="shared" ref="CW620:DA623" si="1292">CW$11*CW626</f>
        <v>5151.7750732065924</v>
      </c>
      <c r="CX620" s="53">
        <f t="shared" si="1292"/>
        <v>5527.4633147693567</v>
      </c>
      <c r="CY620" s="53">
        <f t="shared" si="1292"/>
        <v>5727.8463849619529</v>
      </c>
      <c r="CZ620" s="53">
        <f t="shared" si="1292"/>
        <v>5945.8691914867204</v>
      </c>
      <c r="DA620" s="53">
        <f t="shared" si="1292"/>
        <v>6221.445232589911</v>
      </c>
      <c r="DB620" s="53">
        <f t="shared" ref="DB620:DC623" si="1293">DB$11*DB626</f>
        <v>6533.7680904588806</v>
      </c>
      <c r="DC620" s="53">
        <f t="shared" si="1293"/>
        <v>6887.4880315930377</v>
      </c>
      <c r="DD620" s="1517"/>
      <c r="DE620" s="1483"/>
      <c r="DF620" s="24"/>
      <c r="DG620" s="24"/>
      <c r="DH620" s="24"/>
      <c r="DI620" s="24"/>
      <c r="DJ620" s="24"/>
      <c r="DK620" s="24"/>
      <c r="DL620" s="141"/>
      <c r="DM620" s="24"/>
      <c r="DN620" s="24"/>
      <c r="DO620" s="24"/>
      <c r="DP620" s="24"/>
      <c r="DQ620" s="24"/>
      <c r="DR620" s="24"/>
      <c r="DS620" s="24"/>
      <c r="DT620" s="24"/>
      <c r="DU620" s="24"/>
      <c r="DV620" s="24"/>
      <c r="DW620" s="24"/>
      <c r="DX620" s="24"/>
      <c r="DY620" s="24"/>
      <c r="DZ620" s="1561"/>
    </row>
    <row r="621" spans="1:130" outlineLevel="1">
      <c r="A621" s="3"/>
      <c r="B621" s="208"/>
      <c r="C621" s="196"/>
      <c r="D621" s="197" t="s">
        <v>577</v>
      </c>
      <c r="E621" s="24"/>
      <c r="F621" s="865" t="s">
        <v>687</v>
      </c>
      <c r="G621" s="865" t="s">
        <v>687</v>
      </c>
      <c r="H621" s="865" t="s">
        <v>687</v>
      </c>
      <c r="I621" s="867" t="s">
        <v>687</v>
      </c>
      <c r="J621" s="865" t="s">
        <v>687</v>
      </c>
      <c r="K621" s="865" t="s">
        <v>687</v>
      </c>
      <c r="L621" s="865" t="s">
        <v>687</v>
      </c>
      <c r="M621" s="867" t="s">
        <v>687</v>
      </c>
      <c r="N621" s="865" t="s">
        <v>687</v>
      </c>
      <c r="O621" s="865" t="s">
        <v>687</v>
      </c>
      <c r="P621" s="865" t="s">
        <v>687</v>
      </c>
      <c r="Q621" s="1024">
        <f t="shared" ref="Q621:AB621" si="1294">Q$11*Q627</f>
        <v>176.86821506029872</v>
      </c>
      <c r="R621" s="1020">
        <f t="shared" si="1294"/>
        <v>214.26746503509631</v>
      </c>
      <c r="S621" s="1020">
        <f t="shared" si="1294"/>
        <v>258.79320852451889</v>
      </c>
      <c r="T621" s="1020">
        <f t="shared" si="1294"/>
        <v>224.66729303197693</v>
      </c>
      <c r="U621" s="1024">
        <f t="shared" si="1294"/>
        <v>202.1742276195292</v>
      </c>
      <c r="V621" s="1020">
        <f t="shared" si="1294"/>
        <v>247.07294871549664</v>
      </c>
      <c r="W621" s="1020">
        <f t="shared" si="1294"/>
        <v>305.57602594815074</v>
      </c>
      <c r="X621" s="1020">
        <f t="shared" si="1294"/>
        <v>275.96866113254214</v>
      </c>
      <c r="Y621" s="1024">
        <f t="shared" si="1294"/>
        <v>235.09176427856994</v>
      </c>
      <c r="Z621" s="1020">
        <f t="shared" si="1294"/>
        <v>292.87243621380952</v>
      </c>
      <c r="AA621" s="1020">
        <f t="shared" si="1294"/>
        <v>379.8029249296672</v>
      </c>
      <c r="AB621" s="1020">
        <f t="shared" si="1294"/>
        <v>304.76789504783341</v>
      </c>
      <c r="AC621" s="1024">
        <f>AC$11*AC627</f>
        <v>238.8145394760985</v>
      </c>
      <c r="AD621" s="1020">
        <f t="shared" si="1278"/>
        <v>353.91967336211405</v>
      </c>
      <c r="AE621" s="1020">
        <f t="shared" si="1278"/>
        <v>456.95040367851419</v>
      </c>
      <c r="AF621" s="1020">
        <f t="shared" ref="AF621:AG623" si="1295">AF$11*AF627</f>
        <v>408.90863429314732</v>
      </c>
      <c r="AG621" s="1020">
        <f t="shared" si="1295"/>
        <v>355.3440213212512</v>
      </c>
      <c r="AH621" s="1142">
        <f t="shared" ref="AH621:AI623" si="1296">AH$11*AH627</f>
        <v>565.11634320417375</v>
      </c>
      <c r="AI621" s="1020">
        <f t="shared" si="1296"/>
        <v>705.31315471605649</v>
      </c>
      <c r="AJ621" s="1020">
        <f t="shared" ref="AJ621:AK623" si="1297">AJ$11*AJ627</f>
        <v>654.41832097307838</v>
      </c>
      <c r="AK621" s="1020">
        <f t="shared" si="1297"/>
        <v>498.26622993129467</v>
      </c>
      <c r="AL621" s="1142">
        <f>AL$11*AL627</f>
        <v>611.60703050752659</v>
      </c>
      <c r="AM621" s="1020">
        <f t="shared" si="1280"/>
        <v>528.60844032434147</v>
      </c>
      <c r="AN621" s="1020">
        <f t="shared" si="1280"/>
        <v>445.7297619418257</v>
      </c>
      <c r="AO621" s="1020">
        <f t="shared" si="1281"/>
        <v>424.20104582764532</v>
      </c>
      <c r="AP621" s="1142">
        <f t="shared" si="1281"/>
        <v>485.76</v>
      </c>
      <c r="AQ621" s="1020">
        <f t="shared" si="1281"/>
        <v>654.75</v>
      </c>
      <c r="AR621" s="1020">
        <f t="shared" ref="AR621:AT622" si="1298">AR$11*AR627</f>
        <v>633.84</v>
      </c>
      <c r="AS621" s="1020">
        <f t="shared" si="1298"/>
        <v>500.21999999999997</v>
      </c>
      <c r="AT621" s="1142">
        <f t="shared" si="1298"/>
        <v>562.81000000000006</v>
      </c>
      <c r="AU621" s="1020">
        <f t="shared" ref="AU621:AV623" si="1299">AU$11*AU627</f>
        <v>618.75</v>
      </c>
      <c r="AV621" s="1020">
        <f t="shared" si="1299"/>
        <v>540.48</v>
      </c>
      <c r="AW621" s="1020">
        <f t="shared" si="1283"/>
        <v>480.6</v>
      </c>
      <c r="AX621" s="1302">
        <f t="shared" si="1283"/>
        <v>592.67999999999995</v>
      </c>
      <c r="AY621" s="1303">
        <f t="shared" si="1284"/>
        <v>418.95</v>
      </c>
      <c r="AZ621" s="1303">
        <f t="shared" si="1284"/>
        <v>546.29999999999995</v>
      </c>
      <c r="BA621" s="1303">
        <f t="shared" si="1285"/>
        <v>855.71999999999991</v>
      </c>
      <c r="BB621" s="1302">
        <f t="shared" si="1285"/>
        <v>726.3</v>
      </c>
      <c r="BC621" s="1303">
        <f t="shared" si="1285"/>
        <v>879.52</v>
      </c>
      <c r="BD621" s="1303">
        <f t="shared" si="1286"/>
        <v>828.08</v>
      </c>
      <c r="BE621" s="1303">
        <f t="shared" si="1286"/>
        <v>708.32</v>
      </c>
      <c r="BF621" s="1302">
        <f t="shared" si="1286"/>
        <v>760.80000000000007</v>
      </c>
      <c r="BG621" s="1303">
        <f t="shared" si="1286"/>
        <v>913.56000000000006</v>
      </c>
      <c r="BH621" s="1303">
        <f t="shared" si="1287"/>
        <v>777.63</v>
      </c>
      <c r="BI621" s="1303">
        <f t="shared" si="1287"/>
        <v>730.2</v>
      </c>
      <c r="BJ621" s="1302">
        <f t="shared" si="1287"/>
        <v>828.03</v>
      </c>
      <c r="BK621" s="1303">
        <f t="shared" si="1287"/>
        <v>933.12</v>
      </c>
      <c r="BL621" s="1303">
        <f t="shared" si="1288"/>
        <v>745.5</v>
      </c>
      <c r="BM621" s="1325">
        <f t="shared" si="1288"/>
        <v>670.11</v>
      </c>
      <c r="BN621" s="1302">
        <f t="shared" si="1288"/>
        <v>705.6</v>
      </c>
      <c r="BO621" s="1303">
        <f t="shared" si="1288"/>
        <v>762.91000000000008</v>
      </c>
      <c r="BP621" s="1303">
        <f t="shared" si="1289"/>
        <v>649.06000000000006</v>
      </c>
      <c r="BQ621" s="1325">
        <f t="shared" si="1289"/>
        <v>664.05</v>
      </c>
      <c r="BR621" s="1302">
        <f t="shared" si="1289"/>
        <v>754.24</v>
      </c>
      <c r="BS621" s="1303">
        <f t="shared" si="1290"/>
        <v>830.96</v>
      </c>
      <c r="BT621" s="1303">
        <f t="shared" si="1290"/>
        <v>836.81999999999994</v>
      </c>
      <c r="BU621" s="1325">
        <f t="shared" si="1290"/>
        <v>823.1400000000001</v>
      </c>
      <c r="BV621" s="1303" t="s">
        <v>687</v>
      </c>
      <c r="BW621" s="1303" t="s">
        <v>687</v>
      </c>
      <c r="BX621" s="1303" t="s">
        <v>687</v>
      </c>
      <c r="BY621" s="1325" t="s">
        <v>687</v>
      </c>
      <c r="BZ621" s="1303" t="s">
        <v>687</v>
      </c>
      <c r="CA621" s="1303" t="s">
        <v>687</v>
      </c>
      <c r="CB621" s="1303" t="s">
        <v>687</v>
      </c>
      <c r="CC621" s="1325" t="s">
        <v>687</v>
      </c>
      <c r="CD621" s="244"/>
      <c r="CE621" s="459"/>
      <c r="CF621" s="459">
        <v>703</v>
      </c>
      <c r="CG621" s="459">
        <v>810</v>
      </c>
      <c r="CH621" s="459">
        <v>901</v>
      </c>
      <c r="CI621" s="459">
        <v>1069</v>
      </c>
      <c r="CJ621" s="459">
        <v>1225</v>
      </c>
      <c r="CK621" s="459">
        <v>1591</v>
      </c>
      <c r="CL621" s="39">
        <v>2344</v>
      </c>
      <c r="CM621" s="39">
        <v>2008</v>
      </c>
      <c r="CN621" s="39">
        <v>2260</v>
      </c>
      <c r="CO621" s="39">
        <v>2196</v>
      </c>
      <c r="CP621" s="39">
        <f>CP$11*0.19</f>
        <v>2370.8200000000002</v>
      </c>
      <c r="CQ621" s="39">
        <v>3056</v>
      </c>
      <c r="CR621" s="53">
        <f>CR$11*CR627</f>
        <v>3177.2999999999997</v>
      </c>
      <c r="CS621" s="53">
        <f t="shared" si="1291"/>
        <v>3205.84</v>
      </c>
      <c r="CT621" s="53">
        <f t="shared" si="1291"/>
        <v>2728.74</v>
      </c>
      <c r="CU621" s="53">
        <f t="shared" si="1291"/>
        <v>3245.8100000000004</v>
      </c>
      <c r="CV621" s="53">
        <f t="shared" si="1291"/>
        <v>3457.8203879742</v>
      </c>
      <c r="CW621" s="53">
        <f t="shared" si="1292"/>
        <v>3243.7102312782254</v>
      </c>
      <c r="CX621" s="53">
        <f t="shared" si="1292"/>
        <v>3480.2546796695947</v>
      </c>
      <c r="CY621" s="53">
        <f t="shared" si="1292"/>
        <v>3606.4217979390073</v>
      </c>
      <c r="CZ621" s="53">
        <f t="shared" si="1292"/>
        <v>3743.6954168620096</v>
      </c>
      <c r="DA621" s="53">
        <f t="shared" si="1292"/>
        <v>3917.2062575566106</v>
      </c>
      <c r="DB621" s="53">
        <f t="shared" si="1293"/>
        <v>4113.8539828815174</v>
      </c>
      <c r="DC621" s="53">
        <f t="shared" si="1293"/>
        <v>4336.5665384104313</v>
      </c>
      <c r="DD621" s="1517"/>
      <c r="DE621" s="1483"/>
      <c r="DF621" s="24"/>
      <c r="DG621" s="24"/>
      <c r="DH621" s="24"/>
      <c r="DI621" s="24"/>
      <c r="DJ621" s="24"/>
      <c r="DK621" s="24"/>
      <c r="DL621" s="141"/>
      <c r="DM621" s="24"/>
      <c r="DN621" s="24"/>
      <c r="DO621" s="24"/>
      <c r="DP621" s="24"/>
      <c r="DQ621" s="24"/>
      <c r="DR621" s="24"/>
      <c r="DS621" s="24"/>
      <c r="DT621" s="24"/>
      <c r="DU621" s="24"/>
      <c r="DV621" s="24"/>
      <c r="DW621" s="24"/>
      <c r="DX621" s="24"/>
      <c r="DY621" s="24"/>
      <c r="DZ621" s="1561"/>
    </row>
    <row r="622" spans="1:130" outlineLevel="1">
      <c r="A622" s="3"/>
      <c r="B622" s="208"/>
      <c r="C622" s="196"/>
      <c r="D622" s="197" t="s">
        <v>641</v>
      </c>
      <c r="E622" s="24"/>
      <c r="F622" s="865" t="s">
        <v>687</v>
      </c>
      <c r="G622" s="865" t="s">
        <v>687</v>
      </c>
      <c r="H622" s="865" t="s">
        <v>687</v>
      </c>
      <c r="I622" s="867" t="s">
        <v>687</v>
      </c>
      <c r="J622" s="865" t="s">
        <v>687</v>
      </c>
      <c r="K622" s="865" t="s">
        <v>687</v>
      </c>
      <c r="L622" s="865" t="s">
        <v>687</v>
      </c>
      <c r="M622" s="867" t="s">
        <v>687</v>
      </c>
      <c r="N622" s="865" t="s">
        <v>687</v>
      </c>
      <c r="O622" s="865" t="s">
        <v>687</v>
      </c>
      <c r="P622" s="865" t="s">
        <v>687</v>
      </c>
      <c r="Q622" s="1024">
        <f t="shared" ref="Q622:AB622" si="1300">Q$11*Q628</f>
        <v>190.4734623726294</v>
      </c>
      <c r="R622" s="1020">
        <f t="shared" si="1300"/>
        <v>228.55196270410275</v>
      </c>
      <c r="S622" s="1020">
        <f t="shared" si="1300"/>
        <v>233.74870447375903</v>
      </c>
      <c r="T622" s="1020">
        <f t="shared" si="1300"/>
        <v>209.68947349651182</v>
      </c>
      <c r="U622" s="1024">
        <f t="shared" si="1300"/>
        <v>217.15009633208689</v>
      </c>
      <c r="V622" s="1020">
        <f t="shared" si="1300"/>
        <v>247.07294871549664</v>
      </c>
      <c r="W622" s="1020">
        <f t="shared" si="1300"/>
        <v>286.47752432639129</v>
      </c>
      <c r="X622" s="1020">
        <f t="shared" si="1300"/>
        <v>312.76448261688114</v>
      </c>
      <c r="Y622" s="1024">
        <f t="shared" si="1300"/>
        <v>347.9358111322835</v>
      </c>
      <c r="Z622" s="1020">
        <f t="shared" si="1300"/>
        <v>353.46673336149428</v>
      </c>
      <c r="AA622" s="1020">
        <f t="shared" si="1300"/>
        <v>379.8029249296672</v>
      </c>
      <c r="AB622" s="1020">
        <f t="shared" si="1300"/>
        <v>383.78179376393837</v>
      </c>
      <c r="AC622" s="1024">
        <f>AC$11*AC628</f>
        <v>434.20825359290643</v>
      </c>
      <c r="AD622" s="1020">
        <f t="shared" si="1278"/>
        <v>467.67956837136495</v>
      </c>
      <c r="AE622" s="1020">
        <f t="shared" si="1278"/>
        <v>428.39100344860702</v>
      </c>
      <c r="AF622" s="1020">
        <f t="shared" si="1295"/>
        <v>493.51042069862609</v>
      </c>
      <c r="AG622" s="1020">
        <f t="shared" si="1295"/>
        <v>464.68064326625159</v>
      </c>
      <c r="AH622" s="1142">
        <f>AH$11*AH628</f>
        <v>618.096000379565</v>
      </c>
      <c r="AI622" s="1020">
        <f>AI$11*AI628</f>
        <v>793.47729905556344</v>
      </c>
      <c r="AJ622" s="1020">
        <f t="shared" si="1297"/>
        <v>865.52100515794223</v>
      </c>
      <c r="AK622" s="1020">
        <f t="shared" si="1297"/>
        <v>916.80986307358228</v>
      </c>
      <c r="AL622" s="1142">
        <f>AL$11*AL628</f>
        <v>1012.3150849779751</v>
      </c>
      <c r="AM622" s="1020">
        <f t="shared" si="1280"/>
        <v>874.93810812304787</v>
      </c>
      <c r="AN622" s="1020">
        <f t="shared" si="1280"/>
        <v>732.27032319014211</v>
      </c>
      <c r="AO622" s="1020">
        <f t="shared" si="1281"/>
        <v>1041.2207488496749</v>
      </c>
      <c r="AP622" s="1142">
        <f t="shared" si="1281"/>
        <v>1236.48</v>
      </c>
      <c r="AQ622" s="1020">
        <f t="shared" si="1281"/>
        <v>1309.5</v>
      </c>
      <c r="AR622" s="1020">
        <f t="shared" si="1298"/>
        <v>1373.32</v>
      </c>
      <c r="AS622" s="1020">
        <f t="shared" si="1298"/>
        <v>1286.28</v>
      </c>
      <c r="AT622" s="1142">
        <f t="shared" si="1298"/>
        <v>1321.38</v>
      </c>
      <c r="AU622" s="1020">
        <f t="shared" si="1299"/>
        <v>1311.75</v>
      </c>
      <c r="AV622" s="1020">
        <f t="shared" si="1299"/>
        <v>1216.0800000000002</v>
      </c>
      <c r="AW622" s="1020">
        <f t="shared" si="1283"/>
        <v>1441.8</v>
      </c>
      <c r="AX622" s="1302">
        <f t="shared" si="1283"/>
        <v>1589.4599999999998</v>
      </c>
      <c r="AY622" s="1303">
        <f t="shared" si="1284"/>
        <v>1137.1499999999999</v>
      </c>
      <c r="AZ622" s="1303">
        <f t="shared" si="1284"/>
        <v>1851.35</v>
      </c>
      <c r="BA622" s="1303">
        <f t="shared" si="1285"/>
        <v>2614.7000000000003</v>
      </c>
      <c r="BB622" s="1302">
        <f t="shared" si="1285"/>
        <v>2380.65</v>
      </c>
      <c r="BC622" s="1303">
        <f t="shared" si="1285"/>
        <v>1912</v>
      </c>
      <c r="BD622" s="1303">
        <f t="shared" si="1286"/>
        <v>1919.64</v>
      </c>
      <c r="BE622" s="1303">
        <f t="shared" si="1286"/>
        <v>1975.8400000000001</v>
      </c>
      <c r="BF622" s="1302">
        <f t="shared" si="1286"/>
        <v>2054.1600000000003</v>
      </c>
      <c r="BG622" s="1303">
        <f t="shared" si="1286"/>
        <v>2065.44</v>
      </c>
      <c r="BH622" s="1303">
        <f t="shared" si="1287"/>
        <v>1999.6200000000001</v>
      </c>
      <c r="BI622" s="1303">
        <f t="shared" si="1287"/>
        <v>2044.5600000000002</v>
      </c>
      <c r="BJ622" s="1302">
        <f t="shared" si="1287"/>
        <v>2050.36</v>
      </c>
      <c r="BK622" s="1303">
        <f t="shared" si="1287"/>
        <v>1905.12</v>
      </c>
      <c r="BL622" s="1303">
        <f t="shared" si="1288"/>
        <v>1775</v>
      </c>
      <c r="BM622" s="1325">
        <f t="shared" si="1288"/>
        <v>1499.77</v>
      </c>
      <c r="BN622" s="1302">
        <f t="shared" si="1288"/>
        <v>1646.3999999999999</v>
      </c>
      <c r="BO622" s="1303">
        <f t="shared" si="1288"/>
        <v>1525.8200000000002</v>
      </c>
      <c r="BP622" s="1303">
        <f t="shared" si="1289"/>
        <v>1326.34</v>
      </c>
      <c r="BQ622" s="1325">
        <f t="shared" si="1289"/>
        <v>1502.85</v>
      </c>
      <c r="BR622" s="1302">
        <f t="shared" si="1289"/>
        <v>2074.16</v>
      </c>
      <c r="BS622" s="1303">
        <f t="shared" si="1290"/>
        <v>2150.7199999999998</v>
      </c>
      <c r="BT622" s="1303">
        <f t="shared" si="1290"/>
        <v>2045.56</v>
      </c>
      <c r="BU622" s="1325">
        <f t="shared" si="1290"/>
        <v>2711.5200000000004</v>
      </c>
      <c r="BV622" s="1303" t="s">
        <v>687</v>
      </c>
      <c r="BW622" s="1303" t="s">
        <v>687</v>
      </c>
      <c r="BX622" s="1303" t="s">
        <v>687</v>
      </c>
      <c r="BY622" s="1325" t="s">
        <v>687</v>
      </c>
      <c r="BZ622" s="1303" t="s">
        <v>687</v>
      </c>
      <c r="CA622" s="1303" t="s">
        <v>687</v>
      </c>
      <c r="CB622" s="1303" t="s">
        <v>687</v>
      </c>
      <c r="CC622" s="1325" t="s">
        <v>687</v>
      </c>
      <c r="CD622" s="244"/>
      <c r="CE622" s="459"/>
      <c r="CF622" s="459">
        <v>288</v>
      </c>
      <c r="CG622" s="459">
        <v>599</v>
      </c>
      <c r="CH622" s="459">
        <v>885</v>
      </c>
      <c r="CI622" s="459">
        <v>1197</v>
      </c>
      <c r="CJ622" s="459">
        <v>1550</v>
      </c>
      <c r="CK622" s="459">
        <v>1840</v>
      </c>
      <c r="CL622" s="39">
        <v>3343</v>
      </c>
      <c r="CM622" s="39">
        <v>3639</v>
      </c>
      <c r="CN622" s="39">
        <v>5239</v>
      </c>
      <c r="CO622" s="39">
        <v>5434</v>
      </c>
      <c r="CP622" s="39">
        <f>CP$11*0.58</f>
        <v>7237.24</v>
      </c>
      <c r="CQ622" s="39">
        <f>4145+4129</f>
        <v>8274</v>
      </c>
      <c r="CR622" s="53">
        <f>CR$11*CR628</f>
        <v>8170.2000000000007</v>
      </c>
      <c r="CS622" s="53">
        <f t="shared" si="1291"/>
        <v>7286</v>
      </c>
      <c r="CT622" s="53">
        <f t="shared" si="1291"/>
        <v>6107.1799999999994</v>
      </c>
      <c r="CU622" s="53">
        <f t="shared" si="1291"/>
        <v>10692.080000000002</v>
      </c>
      <c r="CV622" s="53">
        <f t="shared" si="1291"/>
        <v>11390.4671603856</v>
      </c>
      <c r="CW622" s="53">
        <f t="shared" si="1292"/>
        <v>10685.163114798859</v>
      </c>
      <c r="CX622" s="53">
        <f t="shared" si="1292"/>
        <v>11464.368356558665</v>
      </c>
      <c r="CY622" s="53">
        <f t="shared" si="1292"/>
        <v>11879.977687328495</v>
      </c>
      <c r="CZ622" s="53">
        <f t="shared" si="1292"/>
        <v>12332.173137898384</v>
      </c>
      <c r="DA622" s="53">
        <f t="shared" si="1292"/>
        <v>12903.738260186481</v>
      </c>
      <c r="DB622" s="53">
        <f t="shared" si="1293"/>
        <v>13551.519002433235</v>
      </c>
      <c r="DC622" s="53">
        <f t="shared" si="1293"/>
        <v>14285.160361822596</v>
      </c>
      <c r="DD622" s="1517"/>
      <c r="DE622" s="1483"/>
      <c r="DF622" s="24"/>
      <c r="DG622" s="24"/>
      <c r="DH622" s="24"/>
      <c r="DI622" s="24"/>
      <c r="DJ622" s="24"/>
      <c r="DK622" s="24"/>
      <c r="DL622" s="141"/>
      <c r="DM622" s="24"/>
      <c r="DN622" s="24"/>
      <c r="DO622" s="24"/>
      <c r="DP622" s="24"/>
      <c r="DQ622" s="24"/>
      <c r="DR622" s="24"/>
      <c r="DS622" s="24"/>
      <c r="DT622" s="24"/>
      <c r="DU622" s="24"/>
      <c r="DV622" s="24"/>
      <c r="DW622" s="24"/>
      <c r="DX622" s="24"/>
      <c r="DY622" s="24"/>
      <c r="DZ622" s="1561"/>
    </row>
    <row r="623" spans="1:130" outlineLevel="1">
      <c r="A623" s="3"/>
      <c r="B623" s="208"/>
      <c r="C623" s="196"/>
      <c r="D623" s="197" t="s">
        <v>52</v>
      </c>
      <c r="E623" s="24"/>
      <c r="F623" s="865" t="s">
        <v>687</v>
      </c>
      <c r="G623" s="865" t="s">
        <v>687</v>
      </c>
      <c r="H623" s="865" t="s">
        <v>687</v>
      </c>
      <c r="I623" s="867" t="s">
        <v>687</v>
      </c>
      <c r="J623" s="865" t="s">
        <v>687</v>
      </c>
      <c r="K623" s="865" t="s">
        <v>687</v>
      </c>
      <c r="L623" s="865" t="s">
        <v>687</v>
      </c>
      <c r="M623" s="867" t="s">
        <v>687</v>
      </c>
      <c r="N623" s="865" t="s">
        <v>687</v>
      </c>
      <c r="O623" s="865" t="s">
        <v>687</v>
      </c>
      <c r="P623" s="865" t="s">
        <v>687</v>
      </c>
      <c r="Q623" s="865" t="s">
        <v>687</v>
      </c>
      <c r="R623" s="869" t="s">
        <v>687</v>
      </c>
      <c r="S623" s="865" t="s">
        <v>687</v>
      </c>
      <c r="T623" s="865" t="s">
        <v>687</v>
      </c>
      <c r="U623" s="865" t="s">
        <v>687</v>
      </c>
      <c r="V623" s="869" t="s">
        <v>687</v>
      </c>
      <c r="W623" s="865" t="s">
        <v>687</v>
      </c>
      <c r="X623" s="865" t="s">
        <v>687</v>
      </c>
      <c r="Y623" s="867" t="s">
        <v>687</v>
      </c>
      <c r="Z623" s="869" t="s">
        <v>687</v>
      </c>
      <c r="AA623" s="865" t="s">
        <v>687</v>
      </c>
      <c r="AB623" s="865" t="s">
        <v>687</v>
      </c>
      <c r="AC623" s="1024">
        <f>AC$11*AC629</f>
        <v>0</v>
      </c>
      <c r="AD623" s="1020">
        <f t="shared" si="1278"/>
        <v>0</v>
      </c>
      <c r="AE623" s="1020">
        <f t="shared" si="1278"/>
        <v>0</v>
      </c>
      <c r="AF623" s="1020">
        <f t="shared" si="1295"/>
        <v>0</v>
      </c>
      <c r="AG623" s="1020">
        <f t="shared" si="1295"/>
        <v>0</v>
      </c>
      <c r="AH623" s="1142">
        <f t="shared" si="1296"/>
        <v>0</v>
      </c>
      <c r="AI623" s="1020">
        <f t="shared" si="1296"/>
        <v>0</v>
      </c>
      <c r="AJ623" s="1020">
        <f t="shared" si="1297"/>
        <v>0</v>
      </c>
      <c r="AK623" s="1020">
        <f t="shared" si="1297"/>
        <v>0</v>
      </c>
      <c r="AL623" s="1142">
        <f>AL$11*AL629</f>
        <v>0</v>
      </c>
      <c r="AM623" s="1020">
        <f t="shared" si="1280"/>
        <v>0</v>
      </c>
      <c r="AN623" s="1020">
        <f t="shared" si="1280"/>
        <v>0</v>
      </c>
      <c r="AO623" s="1020">
        <f t="shared" si="1280"/>
        <v>0</v>
      </c>
      <c r="AP623" s="1142">
        <f>AP$11*AP629</f>
        <v>0</v>
      </c>
      <c r="AQ623" s="1020">
        <f>AQ$11*AQ629</f>
        <v>0</v>
      </c>
      <c r="AR623" s="1020">
        <f>AR$11*AR629</f>
        <v>0</v>
      </c>
      <c r="AS623" s="1020">
        <v>0</v>
      </c>
      <c r="AT623" s="1142">
        <f>AT$11*AT629</f>
        <v>0</v>
      </c>
      <c r="AU623" s="1020">
        <f t="shared" si="1299"/>
        <v>0</v>
      </c>
      <c r="AV623" s="1020">
        <f t="shared" si="1299"/>
        <v>0</v>
      </c>
      <c r="AW623" s="1020">
        <f t="shared" si="1283"/>
        <v>0</v>
      </c>
      <c r="AX623" s="1302">
        <f t="shared" si="1283"/>
        <v>0</v>
      </c>
      <c r="AY623" s="1303">
        <f t="shared" si="1284"/>
        <v>0</v>
      </c>
      <c r="AZ623" s="1303">
        <f t="shared" si="1284"/>
        <v>0</v>
      </c>
      <c r="BA623" s="1303">
        <f t="shared" si="1285"/>
        <v>0</v>
      </c>
      <c r="BB623" s="1302">
        <f t="shared" si="1285"/>
        <v>0</v>
      </c>
      <c r="BC623" s="1303">
        <f t="shared" si="1285"/>
        <v>0</v>
      </c>
      <c r="BD623" s="1303">
        <f t="shared" si="1286"/>
        <v>0</v>
      </c>
      <c r="BE623" s="1303">
        <f t="shared" si="1286"/>
        <v>0</v>
      </c>
      <c r="BF623" s="1302" t="s">
        <v>687</v>
      </c>
      <c r="BG623" s="1303">
        <f>BG$11*BG629</f>
        <v>0</v>
      </c>
      <c r="BH623" s="1303">
        <f t="shared" si="1287"/>
        <v>0</v>
      </c>
      <c r="BI623" s="1303">
        <f t="shared" si="1287"/>
        <v>0</v>
      </c>
      <c r="BJ623" s="1302" t="s">
        <v>687</v>
      </c>
      <c r="BK623" s="1303">
        <f>BK$11*BK629</f>
        <v>0</v>
      </c>
      <c r="BL623" s="1303">
        <f t="shared" si="1288"/>
        <v>0</v>
      </c>
      <c r="BM623" s="1325">
        <f t="shared" si="1288"/>
        <v>0</v>
      </c>
      <c r="BN623" s="1302" t="s">
        <v>687</v>
      </c>
      <c r="BO623" s="1303">
        <f>BO$11*BO629</f>
        <v>0</v>
      </c>
      <c r="BP623" s="1303">
        <f t="shared" si="1289"/>
        <v>0</v>
      </c>
      <c r="BQ623" s="1325">
        <f t="shared" si="1289"/>
        <v>0</v>
      </c>
      <c r="BR623" s="1302" t="s">
        <v>687</v>
      </c>
      <c r="BS623" s="1303" t="s">
        <v>687</v>
      </c>
      <c r="BT623" s="1303" t="s">
        <v>687</v>
      </c>
      <c r="BU623" s="1325">
        <f>BU$11*BU629</f>
        <v>0</v>
      </c>
      <c r="BV623" s="1303" t="s">
        <v>687</v>
      </c>
      <c r="BW623" s="1303" t="s">
        <v>687</v>
      </c>
      <c r="BX623" s="1303" t="s">
        <v>687</v>
      </c>
      <c r="BY623" s="1325" t="s">
        <v>687</v>
      </c>
      <c r="BZ623" s="1303" t="s">
        <v>687</v>
      </c>
      <c r="CA623" s="1303" t="s">
        <v>687</v>
      </c>
      <c r="CB623" s="1303" t="s">
        <v>687</v>
      </c>
      <c r="CC623" s="1325" t="s">
        <v>687</v>
      </c>
      <c r="CD623" s="244"/>
      <c r="CE623" s="459"/>
      <c r="CF623" s="459"/>
      <c r="CG623" s="459"/>
      <c r="CH623" s="459"/>
      <c r="CI623" s="459">
        <v>105</v>
      </c>
      <c r="CJ623" s="459">
        <v>180</v>
      </c>
      <c r="CK623" s="459">
        <v>257</v>
      </c>
      <c r="CL623" s="39">
        <v>438</v>
      </c>
      <c r="CM623" s="39">
        <v>314</v>
      </c>
      <c r="CN623" s="39">
        <v>462</v>
      </c>
      <c r="CO623" s="39">
        <v>307</v>
      </c>
      <c r="CP623" s="39">
        <f>CP$11*0</f>
        <v>0</v>
      </c>
      <c r="CQ623" s="39">
        <v>0</v>
      </c>
      <c r="CR623" s="53">
        <f>CR$11*CR629</f>
        <v>0</v>
      </c>
      <c r="CS623" s="53">
        <f t="shared" si="1291"/>
        <v>0</v>
      </c>
      <c r="CT623" s="53">
        <f t="shared" si="1291"/>
        <v>0</v>
      </c>
      <c r="CU623" s="53">
        <f t="shared" si="1291"/>
        <v>0</v>
      </c>
      <c r="CV623" s="53">
        <f t="shared" si="1291"/>
        <v>0</v>
      </c>
      <c r="CW623" s="53">
        <f t="shared" si="1292"/>
        <v>0</v>
      </c>
      <c r="CX623" s="53">
        <f t="shared" si="1292"/>
        <v>0</v>
      </c>
      <c r="CY623" s="53">
        <f t="shared" si="1292"/>
        <v>0</v>
      </c>
      <c r="CZ623" s="53">
        <f t="shared" si="1292"/>
        <v>0</v>
      </c>
      <c r="DA623" s="53">
        <f t="shared" si="1292"/>
        <v>0</v>
      </c>
      <c r="DB623" s="53">
        <f t="shared" si="1293"/>
        <v>0</v>
      </c>
      <c r="DC623" s="53">
        <f t="shared" si="1293"/>
        <v>0</v>
      </c>
      <c r="DD623" s="1517"/>
      <c r="DE623" s="1483"/>
      <c r="DF623" s="24"/>
      <c r="DG623" s="24"/>
      <c r="DH623" s="24"/>
      <c r="DI623" s="24"/>
      <c r="DJ623" s="24"/>
      <c r="DK623" s="24"/>
      <c r="DL623" s="141"/>
      <c r="DM623" s="24"/>
      <c r="DN623" s="24"/>
      <c r="DO623" s="24"/>
      <c r="DP623" s="24"/>
      <c r="DQ623" s="24"/>
      <c r="DR623" s="24"/>
      <c r="DS623" s="24"/>
      <c r="DT623" s="24"/>
      <c r="DU623" s="24"/>
      <c r="DV623" s="24"/>
      <c r="DW623" s="24"/>
      <c r="DX623" s="24"/>
      <c r="DY623" s="24"/>
      <c r="DZ623" s="1561"/>
    </row>
    <row r="624" spans="1:130" outlineLevel="1">
      <c r="A624" s="145"/>
      <c r="B624" s="227"/>
      <c r="C624" s="145"/>
      <c r="D624" s="145"/>
      <c r="E624" s="24"/>
      <c r="F624" s="547"/>
      <c r="G624" s="547"/>
      <c r="H624" s="547"/>
      <c r="I624" s="626"/>
      <c r="J624" s="547"/>
      <c r="K624" s="547"/>
      <c r="L624" s="547"/>
      <c r="M624" s="626"/>
      <c r="N624" s="547"/>
      <c r="O624" s="547"/>
      <c r="P624" s="547"/>
      <c r="Q624" s="547"/>
      <c r="R624" s="693"/>
      <c r="S624" s="547"/>
      <c r="T624" s="547"/>
      <c r="U624" s="547"/>
      <c r="V624" s="693"/>
      <c r="W624" s="547"/>
      <c r="X624" s="547"/>
      <c r="Y624" s="626"/>
      <c r="Z624" s="693"/>
      <c r="AA624" s="547"/>
      <c r="AB624" s="547"/>
      <c r="AC624" s="626"/>
      <c r="AD624" s="693"/>
      <c r="AE624" s="547"/>
      <c r="AF624" s="547"/>
      <c r="AG624" s="547"/>
      <c r="AH624" s="693"/>
      <c r="AI624" s="547"/>
      <c r="AJ624" s="547"/>
      <c r="AK624" s="547"/>
      <c r="AL624" s="693"/>
      <c r="AM624" s="547"/>
      <c r="AN624" s="547"/>
      <c r="AO624" s="626"/>
      <c r="AP624" s="693"/>
      <c r="AQ624" s="547"/>
      <c r="AR624" s="547"/>
      <c r="AS624" s="626"/>
      <c r="AT624" s="693"/>
      <c r="AU624" s="547"/>
      <c r="AV624" s="547"/>
      <c r="AW624" s="547"/>
      <c r="AX624" s="1304"/>
      <c r="AY624" s="1305"/>
      <c r="AZ624" s="1305"/>
      <c r="BA624" s="1306"/>
      <c r="BB624" s="1304"/>
      <c r="BC624" s="1305"/>
      <c r="BD624" s="1305"/>
      <c r="BE624" s="1306"/>
      <c r="BF624" s="1304"/>
      <c r="BG624" s="1305"/>
      <c r="BH624" s="1305"/>
      <c r="BI624" s="1305"/>
      <c r="BJ624" s="1304"/>
      <c r="BK624" s="1305"/>
      <c r="BL624" s="1305"/>
      <c r="BM624" s="1306"/>
      <c r="BN624" s="1304"/>
      <c r="BO624" s="1305"/>
      <c r="BP624" s="1305"/>
      <c r="BQ624" s="1306"/>
      <c r="BR624" s="1305"/>
      <c r="BS624" s="1305"/>
      <c r="BT624" s="1305"/>
      <c r="BU624" s="1306"/>
      <c r="BV624" s="1305"/>
      <c r="BW624" s="1305"/>
      <c r="BX624" s="1305"/>
      <c r="BY624" s="1306"/>
      <c r="BZ624" s="1305"/>
      <c r="CA624" s="1305"/>
      <c r="CB624" s="1305"/>
      <c r="CC624" s="1306"/>
      <c r="CD624" s="244"/>
      <c r="CE624" s="547"/>
      <c r="CF624" s="547"/>
      <c r="CG624" s="547"/>
      <c r="CH624" s="547"/>
      <c r="CI624" s="547"/>
      <c r="CJ624" s="547"/>
      <c r="CK624" s="547"/>
      <c r="CL624" s="547"/>
      <c r="CM624" s="547"/>
      <c r="CN624" s="547"/>
      <c r="CO624" s="547"/>
      <c r="CP624" s="547"/>
      <c r="CQ624" s="547"/>
      <c r="CR624" s="547"/>
      <c r="CS624" s="146"/>
      <c r="CT624" s="146"/>
      <c r="CU624" s="146"/>
      <c r="CV624" s="146"/>
      <c r="CW624" s="146"/>
      <c r="CX624" s="146"/>
      <c r="CY624" s="146"/>
      <c r="CZ624" s="146"/>
      <c r="DA624" s="146"/>
      <c r="DB624" s="146"/>
      <c r="DC624" s="146"/>
      <c r="DD624" s="1517"/>
      <c r="DE624" s="1483"/>
      <c r="DF624" s="141"/>
      <c r="DG624" s="141"/>
      <c r="DH624" s="141"/>
      <c r="DI624" s="141"/>
      <c r="DJ624" s="141"/>
      <c r="DK624" s="141"/>
      <c r="DL624" s="141"/>
      <c r="DM624" s="141"/>
      <c r="DN624" s="141"/>
      <c r="DO624" s="141"/>
      <c r="DP624" s="141"/>
      <c r="DQ624" s="141"/>
      <c r="DR624" s="141"/>
      <c r="DS624" s="141"/>
      <c r="DT624" s="141"/>
      <c r="DU624" s="141"/>
      <c r="DV624" s="141"/>
      <c r="DW624" s="141"/>
      <c r="DX624" s="141"/>
      <c r="DY624" s="141"/>
      <c r="DZ624" s="1676"/>
    </row>
    <row r="625" spans="1:130" outlineLevel="1">
      <c r="A625" s="3"/>
      <c r="B625" s="209"/>
      <c r="C625" s="188" t="s">
        <v>273</v>
      </c>
      <c r="D625" s="188"/>
      <c r="E625" s="198"/>
      <c r="F625" s="184"/>
      <c r="G625" s="184"/>
      <c r="H625" s="184"/>
      <c r="I625" s="244"/>
      <c r="J625" s="184"/>
      <c r="K625" s="184"/>
      <c r="L625" s="184"/>
      <c r="M625" s="244"/>
      <c r="N625" s="184"/>
      <c r="O625" s="184"/>
      <c r="P625" s="184"/>
      <c r="Q625" s="184"/>
      <c r="R625" s="774"/>
      <c r="S625" s="184"/>
      <c r="T625" s="184"/>
      <c r="U625" s="184"/>
      <c r="V625" s="774"/>
      <c r="W625" s="184"/>
      <c r="X625" s="184"/>
      <c r="Y625" s="244"/>
      <c r="Z625" s="774"/>
      <c r="AA625" s="184"/>
      <c r="AB625" s="184"/>
      <c r="AC625" s="244"/>
      <c r="AD625" s="774"/>
      <c r="AE625" s="184"/>
      <c r="AF625" s="184"/>
      <c r="AG625" s="184"/>
      <c r="AH625" s="774"/>
      <c r="AI625" s="184"/>
      <c r="AJ625" s="184"/>
      <c r="AK625" s="184"/>
      <c r="AL625" s="774"/>
      <c r="AM625" s="184"/>
      <c r="AN625" s="184"/>
      <c r="AO625" s="244"/>
      <c r="AP625" s="774"/>
      <c r="AQ625" s="184"/>
      <c r="AR625" s="184"/>
      <c r="AS625" s="244"/>
      <c r="AT625" s="774"/>
      <c r="AU625" s="184"/>
      <c r="AV625" s="184"/>
      <c r="AW625" s="184"/>
      <c r="AX625" s="1307"/>
      <c r="AY625" s="1308"/>
      <c r="AZ625" s="1308"/>
      <c r="BA625" s="1309"/>
      <c r="BB625" s="1307"/>
      <c r="BC625" s="1308"/>
      <c r="BD625" s="1308"/>
      <c r="BE625" s="1309"/>
      <c r="BF625" s="1307"/>
      <c r="BG625" s="1308"/>
      <c r="BH625" s="1308"/>
      <c r="BI625" s="1308"/>
      <c r="BJ625" s="1307"/>
      <c r="BK625" s="1308"/>
      <c r="BL625" s="1308"/>
      <c r="BM625" s="1487"/>
      <c r="BN625" s="1307"/>
      <c r="BO625" s="1400"/>
      <c r="BP625" s="1400"/>
      <c r="BQ625" s="1309"/>
      <c r="BR625" s="1400"/>
      <c r="BS625" s="1400"/>
      <c r="BT625" s="1400"/>
      <c r="BU625" s="1309"/>
      <c r="BV625" s="1400"/>
      <c r="BW625" s="1400"/>
      <c r="BX625" s="1400"/>
      <c r="BY625" s="1309"/>
      <c r="BZ625" s="1400"/>
      <c r="CA625" s="1400"/>
      <c r="CB625" s="1400"/>
      <c r="CC625" s="1309"/>
      <c r="CD625" s="244"/>
      <c r="CE625" s="184"/>
      <c r="CF625" s="184"/>
      <c r="CG625" s="184"/>
      <c r="CH625" s="184"/>
      <c r="CI625" s="184"/>
      <c r="CJ625" s="184"/>
      <c r="CK625" s="184"/>
      <c r="CL625" s="184"/>
      <c r="CM625" s="184"/>
      <c r="CN625" s="184"/>
      <c r="CO625" s="184"/>
      <c r="CP625" s="184"/>
      <c r="CQ625" s="184"/>
      <c r="CR625" s="184"/>
      <c r="CS625" s="699"/>
      <c r="CT625" s="699"/>
      <c r="CU625" s="699"/>
      <c r="CV625" s="699"/>
      <c r="CW625" s="699"/>
      <c r="CX625" s="699"/>
      <c r="CY625" s="699"/>
      <c r="CZ625" s="699"/>
      <c r="DA625" s="699"/>
      <c r="DB625" s="699"/>
      <c r="DC625" s="699"/>
      <c r="DD625" s="1517"/>
      <c r="DE625" s="1483"/>
      <c r="DF625" s="24"/>
      <c r="DG625" s="24"/>
      <c r="DH625" s="24"/>
      <c r="DI625" s="24"/>
      <c r="DJ625" s="24"/>
      <c r="DK625" s="24"/>
      <c r="DL625" s="141"/>
      <c r="DM625" s="24"/>
      <c r="DN625" s="24"/>
      <c r="DO625" s="24"/>
      <c r="DP625" s="24"/>
      <c r="DQ625" s="24"/>
      <c r="DR625" s="24"/>
      <c r="DS625" s="24"/>
      <c r="DT625" s="24"/>
      <c r="DU625" s="24"/>
      <c r="DV625" s="24"/>
      <c r="DW625" s="24"/>
      <c r="DX625" s="24"/>
      <c r="DY625" s="24"/>
      <c r="DZ625" s="1561"/>
    </row>
    <row r="626" spans="1:130" outlineLevel="1">
      <c r="A626" s="3"/>
      <c r="B626" s="208"/>
      <c r="C626" s="196"/>
      <c r="D626" s="196" t="s">
        <v>640</v>
      </c>
      <c r="E626" s="197"/>
      <c r="F626" s="1016" t="s">
        <v>687</v>
      </c>
      <c r="G626" s="1016" t="s">
        <v>687</v>
      </c>
      <c r="H626" s="1016" t="s">
        <v>687</v>
      </c>
      <c r="I626" s="1017" t="s">
        <v>687</v>
      </c>
      <c r="J626" s="1016" t="s">
        <v>687</v>
      </c>
      <c r="K626" s="1016" t="s">
        <v>687</v>
      </c>
      <c r="L626" s="1016" t="s">
        <v>687</v>
      </c>
      <c r="M626" s="1017" t="s">
        <v>687</v>
      </c>
      <c r="N626" s="1016" t="s">
        <v>687</v>
      </c>
      <c r="O626" s="1016" t="s">
        <v>687</v>
      </c>
      <c r="P626" s="1016" t="s">
        <v>687</v>
      </c>
      <c r="Q626" s="1016">
        <v>0.46</v>
      </c>
      <c r="R626" s="1018">
        <v>0.38</v>
      </c>
      <c r="S626" s="1016">
        <v>0.41</v>
      </c>
      <c r="T626" s="1016">
        <v>0.42</v>
      </c>
      <c r="U626" s="1016">
        <v>0.44</v>
      </c>
      <c r="V626" s="1018">
        <v>0.4</v>
      </c>
      <c r="W626" s="1016">
        <v>0.38</v>
      </c>
      <c r="X626" s="1016">
        <v>0.36</v>
      </c>
      <c r="Y626" s="1017">
        <v>0.38</v>
      </c>
      <c r="Z626" s="1018">
        <v>0.36</v>
      </c>
      <c r="AA626" s="1016">
        <v>0.32</v>
      </c>
      <c r="AB626" s="1016">
        <v>0.39</v>
      </c>
      <c r="AC626" s="1017">
        <v>0.38</v>
      </c>
      <c r="AD626" s="1018">
        <v>0.35</v>
      </c>
      <c r="AE626" s="1016">
        <v>0.38</v>
      </c>
      <c r="AF626" s="1016">
        <v>0.36</v>
      </c>
      <c r="AG626" s="1016">
        <v>0.4</v>
      </c>
      <c r="AH626" s="1018">
        <v>0.33</v>
      </c>
      <c r="AI626" s="1016">
        <v>0.32</v>
      </c>
      <c r="AJ626" s="1016">
        <v>0.28000000000000003</v>
      </c>
      <c r="AK626" s="1016">
        <v>0.28999999999999998</v>
      </c>
      <c r="AL626" s="1018">
        <v>0.23</v>
      </c>
      <c r="AM626" s="1016">
        <v>0.23</v>
      </c>
      <c r="AN626" s="1016">
        <v>0.26</v>
      </c>
      <c r="AO626" s="1017">
        <v>0.24</v>
      </c>
      <c r="AP626" s="1018">
        <v>0.22</v>
      </c>
      <c r="AQ626" s="1016">
        <v>0.25</v>
      </c>
      <c r="AR626" s="1016">
        <v>0.24</v>
      </c>
      <c r="AS626" s="1017">
        <v>0.25</v>
      </c>
      <c r="AT626" s="1018">
        <v>0.23</v>
      </c>
      <c r="AU626" s="1016">
        <v>0.22</v>
      </c>
      <c r="AV626" s="1016">
        <v>0.22</v>
      </c>
      <c r="AW626" s="1017">
        <v>0.2</v>
      </c>
      <c r="AX626" s="1310">
        <v>0.19</v>
      </c>
      <c r="AY626" s="1310">
        <v>0.22</v>
      </c>
      <c r="AZ626" s="1310">
        <v>0.21</v>
      </c>
      <c r="BA626" s="1311">
        <v>0.27</v>
      </c>
      <c r="BB626" s="1312">
        <v>0.23</v>
      </c>
      <c r="BC626" s="1310">
        <v>0.27</v>
      </c>
      <c r="BD626" s="1310">
        <v>0.27</v>
      </c>
      <c r="BE626" s="1311">
        <v>0.28000000000000003</v>
      </c>
      <c r="BF626" s="1312">
        <v>0.26</v>
      </c>
      <c r="BG626" s="1310">
        <v>0.25</v>
      </c>
      <c r="BH626" s="1310">
        <v>0.25</v>
      </c>
      <c r="BI626" s="1310">
        <v>0.24</v>
      </c>
      <c r="BJ626" s="1312">
        <v>0.27</v>
      </c>
      <c r="BK626" s="1310">
        <v>0.27</v>
      </c>
      <c r="BL626" s="1310">
        <v>0.28999999999999998</v>
      </c>
      <c r="BM626" s="1311">
        <v>0.32</v>
      </c>
      <c r="BN626" s="1312">
        <v>0.3</v>
      </c>
      <c r="BO626" s="1310">
        <v>0.31</v>
      </c>
      <c r="BP626" s="1310">
        <v>0.3</v>
      </c>
      <c r="BQ626" s="1311">
        <v>0.38</v>
      </c>
      <c r="BR626" s="1312">
        <v>0.4</v>
      </c>
      <c r="BS626" s="1310">
        <v>0.39</v>
      </c>
      <c r="BT626" s="1310">
        <v>0.38</v>
      </c>
      <c r="BU626" s="2206">
        <f>CU626</f>
        <v>0.27</v>
      </c>
      <c r="BV626" s="1310" t="s">
        <v>687</v>
      </c>
      <c r="BW626" s="1310" t="s">
        <v>687</v>
      </c>
      <c r="BX626" s="1310" t="s">
        <v>687</v>
      </c>
      <c r="BY626" s="1311" t="s">
        <v>687</v>
      </c>
      <c r="BZ626" s="1310" t="s">
        <v>687</v>
      </c>
      <c r="CA626" s="1310" t="s">
        <v>687</v>
      </c>
      <c r="CB626" s="1310" t="s">
        <v>687</v>
      </c>
      <c r="CC626" s="1311" t="s">
        <v>687</v>
      </c>
      <c r="CD626" s="244"/>
      <c r="CE626" s="701"/>
      <c r="CF626" s="701">
        <f t="shared" ref="CF626:CK626" si="1301">CF620/CF$619</f>
        <v>0.53928405392840539</v>
      </c>
      <c r="CG626" s="701">
        <f t="shared" si="1301"/>
        <v>0.48179477749172489</v>
      </c>
      <c r="CH626" s="701">
        <f t="shared" si="1301"/>
        <v>0.41384968821791929</v>
      </c>
      <c r="CI626" s="701">
        <f t="shared" si="1301"/>
        <v>0.34844737565265183</v>
      </c>
      <c r="CJ626" s="701">
        <f t="shared" si="1301"/>
        <v>0.31928127159640635</v>
      </c>
      <c r="CK626" s="701">
        <f t="shared" si="1301"/>
        <v>0.32553035844915873</v>
      </c>
      <c r="CL626" s="701">
        <f t="shared" ref="CL626:CM629" si="1302">CL620/CL$619</f>
        <v>0.24138662357233107</v>
      </c>
      <c r="CM626" s="701">
        <f t="shared" si="1302"/>
        <v>0.20021857468591547</v>
      </c>
      <c r="CN626" s="701">
        <f t="shared" ref="CN626:CO629" si="1303">CN620/CN$619</f>
        <v>0.19177664974619291</v>
      </c>
      <c r="CO626" s="701">
        <f t="shared" si="1303"/>
        <v>0.16591834603738123</v>
      </c>
      <c r="CP626" s="701">
        <f t="shared" ref="CP626:CQ629" si="1304">CP620/CP$619</f>
        <v>0.23</v>
      </c>
      <c r="CQ626" s="701">
        <f t="shared" si="1304"/>
        <v>0.22167936942218747</v>
      </c>
      <c r="CR626" s="350">
        <v>0.25</v>
      </c>
      <c r="CS626" s="350">
        <v>0.28000000000000003</v>
      </c>
      <c r="CT626" s="350">
        <v>0.32</v>
      </c>
      <c r="CU626" s="350">
        <v>0.27</v>
      </c>
      <c r="CV626" s="342">
        <f>CU626</f>
        <v>0.27</v>
      </c>
      <c r="CW626" s="342">
        <f t="shared" ref="CW626:DC629" si="1305">CV626</f>
        <v>0.27</v>
      </c>
      <c r="CX626" s="342">
        <f t="shared" si="1305"/>
        <v>0.27</v>
      </c>
      <c r="CY626" s="342">
        <f t="shared" si="1305"/>
        <v>0.27</v>
      </c>
      <c r="CZ626" s="342">
        <f t="shared" si="1305"/>
        <v>0.27</v>
      </c>
      <c r="DA626" s="342">
        <f t="shared" si="1305"/>
        <v>0.27</v>
      </c>
      <c r="DB626" s="342">
        <f t="shared" si="1305"/>
        <v>0.27</v>
      </c>
      <c r="DC626" s="342">
        <f t="shared" si="1305"/>
        <v>0.27</v>
      </c>
      <c r="DD626" s="1517"/>
      <c r="DE626" s="1483"/>
      <c r="DF626" s="24"/>
      <c r="DG626" s="24"/>
      <c r="DH626" s="24"/>
      <c r="DI626" s="24"/>
      <c r="DJ626" s="24"/>
      <c r="DK626" s="24"/>
      <c r="DL626" s="141"/>
      <c r="DM626" s="24"/>
      <c r="DN626" s="24"/>
      <c r="DO626" s="24"/>
      <c r="DP626" s="24"/>
      <c r="DQ626" s="24"/>
      <c r="DR626" s="24"/>
      <c r="DS626" s="24"/>
      <c r="DT626" s="24"/>
      <c r="DU626" s="24"/>
      <c r="DV626" s="24"/>
      <c r="DW626" s="24"/>
      <c r="DX626" s="24"/>
      <c r="DY626" s="24"/>
      <c r="DZ626" s="1561"/>
    </row>
    <row r="627" spans="1:130" outlineLevel="1">
      <c r="A627" s="3"/>
      <c r="B627" s="208"/>
      <c r="C627" s="196"/>
      <c r="D627" s="197" t="s">
        <v>577</v>
      </c>
      <c r="E627" s="24"/>
      <c r="F627" s="1016" t="s">
        <v>687</v>
      </c>
      <c r="G627" s="1016" t="s">
        <v>687</v>
      </c>
      <c r="H627" s="1016" t="s">
        <v>687</v>
      </c>
      <c r="I627" s="1017" t="s">
        <v>687</v>
      </c>
      <c r="J627" s="1016" t="s">
        <v>687</v>
      </c>
      <c r="K627" s="1016" t="s">
        <v>687</v>
      </c>
      <c r="L627" s="1016" t="s">
        <v>687</v>
      </c>
      <c r="M627" s="1017" t="s">
        <v>687</v>
      </c>
      <c r="N627" s="1016" t="s">
        <v>687</v>
      </c>
      <c r="O627" s="1016" t="s">
        <v>687</v>
      </c>
      <c r="P627" s="1016" t="s">
        <v>687</v>
      </c>
      <c r="Q627" s="1016">
        <v>0.26</v>
      </c>
      <c r="R627" s="1018">
        <v>0.3</v>
      </c>
      <c r="S627" s="1016">
        <v>0.31</v>
      </c>
      <c r="T627" s="1016">
        <v>0.3</v>
      </c>
      <c r="U627" s="1016">
        <v>0.27</v>
      </c>
      <c r="V627" s="1018">
        <v>0.3</v>
      </c>
      <c r="W627" s="1016">
        <v>0.32</v>
      </c>
      <c r="X627" s="1016">
        <v>0.3</v>
      </c>
      <c r="Y627" s="1017">
        <v>0.25</v>
      </c>
      <c r="Z627" s="1018">
        <v>0.28999999999999998</v>
      </c>
      <c r="AA627" s="1016">
        <v>0.34</v>
      </c>
      <c r="AB627" s="1016">
        <v>0.27</v>
      </c>
      <c r="AC627" s="1017">
        <v>0.22</v>
      </c>
      <c r="AD627" s="1018">
        <v>0.28000000000000003</v>
      </c>
      <c r="AE627" s="1016">
        <v>0.32</v>
      </c>
      <c r="AF627" s="1016">
        <v>0.28999999999999998</v>
      </c>
      <c r="AG627" s="1016">
        <v>0.26</v>
      </c>
      <c r="AH627" s="1018">
        <v>0.32</v>
      </c>
      <c r="AI627" s="1016">
        <v>0.32</v>
      </c>
      <c r="AJ627" s="1016">
        <v>0.31</v>
      </c>
      <c r="AK627" s="1016">
        <v>0.25</v>
      </c>
      <c r="AL627" s="1018">
        <v>0.28999999999999998</v>
      </c>
      <c r="AM627" s="1016">
        <v>0.28999999999999998</v>
      </c>
      <c r="AN627" s="1016">
        <v>0.28000000000000003</v>
      </c>
      <c r="AO627" s="1017">
        <v>0.22</v>
      </c>
      <c r="AP627" s="1018">
        <v>0.22</v>
      </c>
      <c r="AQ627" s="1016">
        <v>0.25</v>
      </c>
      <c r="AR627" s="1016">
        <v>0.24</v>
      </c>
      <c r="AS627" s="1017">
        <v>0.21</v>
      </c>
      <c r="AT627" s="1018">
        <v>0.23</v>
      </c>
      <c r="AU627" s="1016">
        <v>0.25</v>
      </c>
      <c r="AV627" s="1016">
        <v>0.24</v>
      </c>
      <c r="AW627" s="1017">
        <v>0.2</v>
      </c>
      <c r="AX627" s="1310">
        <v>0.22</v>
      </c>
      <c r="AY627" s="1310">
        <v>0.21</v>
      </c>
      <c r="AZ627" s="1310">
        <v>0.18</v>
      </c>
      <c r="BA627" s="1311">
        <v>0.18</v>
      </c>
      <c r="BB627" s="1312">
        <v>0.18</v>
      </c>
      <c r="BC627" s="1310">
        <v>0.23</v>
      </c>
      <c r="BD627" s="1310">
        <v>0.22</v>
      </c>
      <c r="BE627" s="1311">
        <v>0.19</v>
      </c>
      <c r="BF627" s="1312">
        <v>0.2</v>
      </c>
      <c r="BG627" s="1310">
        <v>0.23</v>
      </c>
      <c r="BH627" s="1310">
        <v>0.21</v>
      </c>
      <c r="BI627" s="1310">
        <v>0.2</v>
      </c>
      <c r="BJ627" s="1312">
        <v>0.21</v>
      </c>
      <c r="BK627" s="1310">
        <v>0.24</v>
      </c>
      <c r="BL627" s="1310">
        <v>0.21</v>
      </c>
      <c r="BM627" s="1311">
        <v>0.21</v>
      </c>
      <c r="BN627" s="1312">
        <v>0.21</v>
      </c>
      <c r="BO627" s="1310">
        <v>0.23</v>
      </c>
      <c r="BP627" s="1310">
        <v>0.23</v>
      </c>
      <c r="BQ627" s="1311">
        <v>0.19</v>
      </c>
      <c r="BR627" s="1312">
        <v>0.16</v>
      </c>
      <c r="BS627" s="1310">
        <v>0.17</v>
      </c>
      <c r="BT627" s="1310">
        <v>0.18</v>
      </c>
      <c r="BU627" s="2206">
        <f>CU627</f>
        <v>0.17</v>
      </c>
      <c r="BV627" s="1310" t="s">
        <v>687</v>
      </c>
      <c r="BW627" s="1310" t="s">
        <v>687</v>
      </c>
      <c r="BX627" s="1310" t="s">
        <v>687</v>
      </c>
      <c r="BY627" s="1311" t="s">
        <v>687</v>
      </c>
      <c r="BZ627" s="1310" t="s">
        <v>687</v>
      </c>
      <c r="CA627" s="1310" t="s">
        <v>687</v>
      </c>
      <c r="CB627" s="1310" t="s">
        <v>687</v>
      </c>
      <c r="CC627" s="1311" t="s">
        <v>687</v>
      </c>
      <c r="CD627" s="244"/>
      <c r="CE627" s="701"/>
      <c r="CF627" s="701">
        <f t="shared" ref="CF627:CK627" si="1306">CF621/CF$619</f>
        <v>0.32682473268247325</v>
      </c>
      <c r="CG627" s="701">
        <f t="shared" si="1306"/>
        <v>0.29790364104450168</v>
      </c>
      <c r="CH627" s="701">
        <f t="shared" si="1306"/>
        <v>0.29570068920249426</v>
      </c>
      <c r="CI627" s="701">
        <f t="shared" si="1306"/>
        <v>0.29376202253366307</v>
      </c>
      <c r="CJ627" s="701">
        <f t="shared" si="1306"/>
        <v>0.28219304307763188</v>
      </c>
      <c r="CK627" s="701">
        <f t="shared" si="1306"/>
        <v>0.29096561814191663</v>
      </c>
      <c r="CL627" s="701">
        <f t="shared" si="1302"/>
        <v>0.29030797622039201</v>
      </c>
      <c r="CM627" s="701">
        <f t="shared" si="1302"/>
        <v>0.2694630683440471</v>
      </c>
      <c r="CN627" s="701">
        <f t="shared" si="1303"/>
        <v>0.22944162436548224</v>
      </c>
      <c r="CO627" s="701">
        <f t="shared" si="1303"/>
        <v>0.22929936305732485</v>
      </c>
      <c r="CP627" s="701">
        <f t="shared" si="1304"/>
        <v>0.19</v>
      </c>
      <c r="CQ627" s="701">
        <f t="shared" si="1304"/>
        <v>0.19907497882874081</v>
      </c>
      <c r="CR627" s="350">
        <v>0.21</v>
      </c>
      <c r="CS627" s="350">
        <v>0.22</v>
      </c>
      <c r="CT627" s="350">
        <v>0.21</v>
      </c>
      <c r="CU627" s="350">
        <v>0.17</v>
      </c>
      <c r="CV627" s="342">
        <f>CU627</f>
        <v>0.17</v>
      </c>
      <c r="CW627" s="342">
        <f t="shared" si="1305"/>
        <v>0.17</v>
      </c>
      <c r="CX627" s="342">
        <f t="shared" si="1305"/>
        <v>0.17</v>
      </c>
      <c r="CY627" s="342">
        <f t="shared" si="1305"/>
        <v>0.17</v>
      </c>
      <c r="CZ627" s="342">
        <f t="shared" si="1305"/>
        <v>0.17</v>
      </c>
      <c r="DA627" s="342">
        <f t="shared" si="1305"/>
        <v>0.17</v>
      </c>
      <c r="DB627" s="342">
        <f t="shared" si="1305"/>
        <v>0.17</v>
      </c>
      <c r="DC627" s="342">
        <f t="shared" si="1305"/>
        <v>0.17</v>
      </c>
      <c r="DD627" s="1517"/>
      <c r="DE627" s="1483"/>
      <c r="DF627" s="24"/>
      <c r="DG627" s="24"/>
      <c r="DH627" s="24"/>
      <c r="DI627" s="24"/>
      <c r="DJ627" s="24"/>
      <c r="DK627" s="24"/>
      <c r="DL627" s="141"/>
      <c r="DM627" s="24"/>
      <c r="DN627" s="24"/>
      <c r="DO627" s="24"/>
      <c r="DP627" s="24"/>
      <c r="DQ627" s="24"/>
      <c r="DR627" s="24"/>
      <c r="DS627" s="24"/>
      <c r="DT627" s="24"/>
      <c r="DU627" s="24"/>
      <c r="DV627" s="24"/>
      <c r="DW627" s="24"/>
      <c r="DX627" s="24"/>
      <c r="DY627" s="24"/>
      <c r="DZ627" s="1561"/>
    </row>
    <row r="628" spans="1:130" outlineLevel="1">
      <c r="A628" s="3"/>
      <c r="B628" s="208"/>
      <c r="C628" s="196"/>
      <c r="D628" s="197" t="s">
        <v>641</v>
      </c>
      <c r="E628" s="24"/>
      <c r="F628" s="1016" t="s">
        <v>687</v>
      </c>
      <c r="G628" s="1016" t="s">
        <v>687</v>
      </c>
      <c r="H628" s="1016" t="s">
        <v>687</v>
      </c>
      <c r="I628" s="1017" t="s">
        <v>687</v>
      </c>
      <c r="J628" s="1016" t="s">
        <v>687</v>
      </c>
      <c r="K628" s="1016" t="s">
        <v>687</v>
      </c>
      <c r="L628" s="1016" t="s">
        <v>687</v>
      </c>
      <c r="M628" s="1017" t="s">
        <v>687</v>
      </c>
      <c r="N628" s="1016" t="s">
        <v>687</v>
      </c>
      <c r="O628" s="1016" t="s">
        <v>687</v>
      </c>
      <c r="P628" s="1016" t="s">
        <v>687</v>
      </c>
      <c r="Q628" s="1016">
        <v>0.28000000000000003</v>
      </c>
      <c r="R628" s="1018">
        <v>0.32</v>
      </c>
      <c r="S628" s="1016">
        <v>0.28000000000000003</v>
      </c>
      <c r="T628" s="1016">
        <v>0.28000000000000003</v>
      </c>
      <c r="U628" s="1016">
        <v>0.28999999999999998</v>
      </c>
      <c r="V628" s="1018">
        <v>0.3</v>
      </c>
      <c r="W628" s="1016">
        <v>0.3</v>
      </c>
      <c r="X628" s="1016">
        <v>0.34</v>
      </c>
      <c r="Y628" s="1017">
        <v>0.37</v>
      </c>
      <c r="Z628" s="1018">
        <v>0.35</v>
      </c>
      <c r="AA628" s="1016">
        <v>0.34</v>
      </c>
      <c r="AB628" s="1016">
        <v>0.34</v>
      </c>
      <c r="AC628" s="1017">
        <v>0.4</v>
      </c>
      <c r="AD628" s="1018">
        <v>0.37</v>
      </c>
      <c r="AE628" s="1016">
        <v>0.3</v>
      </c>
      <c r="AF628" s="1016">
        <v>0.35</v>
      </c>
      <c r="AG628" s="1016">
        <v>0.34</v>
      </c>
      <c r="AH628" s="1018">
        <v>0.35</v>
      </c>
      <c r="AI628" s="1016">
        <v>0.36</v>
      </c>
      <c r="AJ628" s="1016">
        <v>0.41</v>
      </c>
      <c r="AK628" s="1016">
        <v>0.46</v>
      </c>
      <c r="AL628" s="1018">
        <v>0.48</v>
      </c>
      <c r="AM628" s="1016">
        <v>0.48</v>
      </c>
      <c r="AN628" s="1016">
        <v>0.46</v>
      </c>
      <c r="AO628" s="1017">
        <v>0.54</v>
      </c>
      <c r="AP628" s="1018">
        <v>0.56000000000000005</v>
      </c>
      <c r="AQ628" s="1016">
        <v>0.5</v>
      </c>
      <c r="AR628" s="1016">
        <v>0.52</v>
      </c>
      <c r="AS628" s="1017">
        <v>0.54</v>
      </c>
      <c r="AT628" s="1018">
        <v>0.54</v>
      </c>
      <c r="AU628" s="1016">
        <v>0.53</v>
      </c>
      <c r="AV628" s="1016">
        <v>0.54</v>
      </c>
      <c r="AW628" s="1017">
        <v>0.6</v>
      </c>
      <c r="AX628" s="1310">
        <v>0.59</v>
      </c>
      <c r="AY628" s="1310">
        <v>0.56999999999999995</v>
      </c>
      <c r="AZ628" s="1310">
        <v>0.61</v>
      </c>
      <c r="BA628" s="1311">
        <v>0.55000000000000004</v>
      </c>
      <c r="BB628" s="1312">
        <v>0.59</v>
      </c>
      <c r="BC628" s="1310">
        <v>0.5</v>
      </c>
      <c r="BD628" s="1310">
        <v>0.51</v>
      </c>
      <c r="BE628" s="1311">
        <v>0.53</v>
      </c>
      <c r="BF628" s="1312">
        <v>0.54</v>
      </c>
      <c r="BG628" s="1310">
        <v>0.52</v>
      </c>
      <c r="BH628" s="1310">
        <v>0.54</v>
      </c>
      <c r="BI628" s="1310">
        <v>0.56000000000000005</v>
      </c>
      <c r="BJ628" s="1312">
        <v>0.52</v>
      </c>
      <c r="BK628" s="1310">
        <v>0.49</v>
      </c>
      <c r="BL628" s="1310">
        <v>0.5</v>
      </c>
      <c r="BM628" s="1311">
        <v>0.47</v>
      </c>
      <c r="BN628" s="1312">
        <v>0.49</v>
      </c>
      <c r="BO628" s="1310">
        <v>0.46</v>
      </c>
      <c r="BP628" s="1310">
        <v>0.47</v>
      </c>
      <c r="BQ628" s="1311">
        <v>0.43</v>
      </c>
      <c r="BR628" s="1312">
        <v>0.44</v>
      </c>
      <c r="BS628" s="1310">
        <v>0.44</v>
      </c>
      <c r="BT628" s="1310">
        <v>0.44</v>
      </c>
      <c r="BU628" s="2206">
        <f>CU628</f>
        <v>0.56000000000000005</v>
      </c>
      <c r="BV628" s="1310" t="s">
        <v>687</v>
      </c>
      <c r="BW628" s="1310" t="s">
        <v>687</v>
      </c>
      <c r="BX628" s="1310" t="s">
        <v>687</v>
      </c>
      <c r="BY628" s="1311" t="s">
        <v>687</v>
      </c>
      <c r="BZ628" s="1310" t="s">
        <v>687</v>
      </c>
      <c r="CA628" s="1310" t="s">
        <v>687</v>
      </c>
      <c r="CB628" s="1310" t="s">
        <v>687</v>
      </c>
      <c r="CC628" s="1311" t="s">
        <v>687</v>
      </c>
      <c r="CD628" s="244"/>
      <c r="CE628" s="701"/>
      <c r="CF628" s="701">
        <f t="shared" ref="CF628:CK628" si="1307">CF622/CF$619</f>
        <v>0.13389121338912133</v>
      </c>
      <c r="CG628" s="701">
        <f t="shared" si="1307"/>
        <v>0.22030158146377343</v>
      </c>
      <c r="CH628" s="701">
        <f t="shared" si="1307"/>
        <v>0.29044962257958645</v>
      </c>
      <c r="CI628" s="701">
        <f t="shared" si="1307"/>
        <v>0.32893652102225884</v>
      </c>
      <c r="CJ628" s="701">
        <f t="shared" si="1307"/>
        <v>0.35706058511863625</v>
      </c>
      <c r="CK628" s="701">
        <f t="shared" si="1307"/>
        <v>0.33650329188002925</v>
      </c>
      <c r="CL628" s="701">
        <f t="shared" si="1302"/>
        <v>0.41403565038599421</v>
      </c>
      <c r="CM628" s="701">
        <f t="shared" si="1302"/>
        <v>0.48833471399600969</v>
      </c>
      <c r="CN628" s="701">
        <f t="shared" si="1303"/>
        <v>0.53187817258883252</v>
      </c>
      <c r="CO628" s="701">
        <f t="shared" si="1303"/>
        <v>0.5674010650516863</v>
      </c>
      <c r="CP628" s="701">
        <f t="shared" si="1304"/>
        <v>0.57999999999999996</v>
      </c>
      <c r="CQ628" s="701">
        <f t="shared" si="1304"/>
        <v>0.53898768809849518</v>
      </c>
      <c r="CR628" s="350">
        <v>0.54</v>
      </c>
      <c r="CS628" s="350">
        <v>0.5</v>
      </c>
      <c r="CT628" s="350">
        <v>0.47</v>
      </c>
      <c r="CU628" s="350">
        <v>0.56000000000000005</v>
      </c>
      <c r="CV628" s="342">
        <f>CU628</f>
        <v>0.56000000000000005</v>
      </c>
      <c r="CW628" s="342">
        <f t="shared" si="1305"/>
        <v>0.56000000000000005</v>
      </c>
      <c r="CX628" s="342">
        <f t="shared" si="1305"/>
        <v>0.56000000000000005</v>
      </c>
      <c r="CY628" s="342">
        <f t="shared" si="1305"/>
        <v>0.56000000000000005</v>
      </c>
      <c r="CZ628" s="342">
        <f t="shared" si="1305"/>
        <v>0.56000000000000005</v>
      </c>
      <c r="DA628" s="342">
        <f t="shared" si="1305"/>
        <v>0.56000000000000005</v>
      </c>
      <c r="DB628" s="342">
        <f t="shared" si="1305"/>
        <v>0.56000000000000005</v>
      </c>
      <c r="DC628" s="342">
        <f t="shared" si="1305"/>
        <v>0.56000000000000005</v>
      </c>
      <c r="DD628" s="1517"/>
      <c r="DE628" s="1483"/>
      <c r="DF628" s="24"/>
      <c r="DG628" s="24"/>
      <c r="DH628" s="24"/>
      <c r="DI628" s="24"/>
      <c r="DJ628" s="24"/>
      <c r="DK628" s="24"/>
      <c r="DL628" s="141"/>
      <c r="DM628" s="24"/>
      <c r="DN628" s="24"/>
      <c r="DO628" s="24"/>
      <c r="DP628" s="24"/>
      <c r="DQ628" s="24"/>
      <c r="DR628" s="24"/>
      <c r="DS628" s="24"/>
      <c r="DT628" s="24"/>
      <c r="DU628" s="24"/>
      <c r="DV628" s="24"/>
      <c r="DW628" s="24"/>
      <c r="DX628" s="24"/>
      <c r="DY628" s="24"/>
      <c r="DZ628" s="1561"/>
    </row>
    <row r="629" spans="1:130" outlineLevel="1">
      <c r="A629" s="3"/>
      <c r="B629" s="208"/>
      <c r="C629" s="196"/>
      <c r="D629" s="197" t="s">
        <v>52</v>
      </c>
      <c r="E629" s="24"/>
      <c r="F629" s="1016" t="s">
        <v>687</v>
      </c>
      <c r="G629" s="1016" t="s">
        <v>687</v>
      </c>
      <c r="H629" s="1016" t="s">
        <v>687</v>
      </c>
      <c r="I629" s="1017" t="s">
        <v>687</v>
      </c>
      <c r="J629" s="1016" t="s">
        <v>687</v>
      </c>
      <c r="K629" s="1016" t="s">
        <v>687</v>
      </c>
      <c r="L629" s="1016" t="s">
        <v>687</v>
      </c>
      <c r="M629" s="1017" t="s">
        <v>687</v>
      </c>
      <c r="N629" s="1016" t="s">
        <v>687</v>
      </c>
      <c r="O629" s="1016" t="s">
        <v>687</v>
      </c>
      <c r="P629" s="1016" t="s">
        <v>687</v>
      </c>
      <c r="Q629" s="1016" t="s">
        <v>687</v>
      </c>
      <c r="R629" s="1018" t="s">
        <v>687</v>
      </c>
      <c r="S629" s="1016" t="s">
        <v>687</v>
      </c>
      <c r="T629" s="1016" t="s">
        <v>687</v>
      </c>
      <c r="U629" s="1016" t="s">
        <v>687</v>
      </c>
      <c r="V629" s="1018" t="s">
        <v>687</v>
      </c>
      <c r="W629" s="1016" t="s">
        <v>687</v>
      </c>
      <c r="X629" s="1016" t="s">
        <v>687</v>
      </c>
      <c r="Y629" s="1017" t="s">
        <v>687</v>
      </c>
      <c r="Z629" s="1018" t="s">
        <v>687</v>
      </c>
      <c r="AA629" s="1016" t="s">
        <v>687</v>
      </c>
      <c r="AB629" s="1016" t="s">
        <v>687</v>
      </c>
      <c r="AC629" s="1017">
        <v>0</v>
      </c>
      <c r="AD629" s="1018">
        <v>0</v>
      </c>
      <c r="AE629" s="1016">
        <v>0</v>
      </c>
      <c r="AF629" s="1016">
        <v>0</v>
      </c>
      <c r="AG629" s="1016">
        <v>0</v>
      </c>
      <c r="AH629" s="1018">
        <v>0</v>
      </c>
      <c r="AI629" s="1016">
        <v>0</v>
      </c>
      <c r="AJ629" s="1016">
        <v>0</v>
      </c>
      <c r="AK629" s="1016">
        <v>0</v>
      </c>
      <c r="AL629" s="1018">
        <v>0</v>
      </c>
      <c r="AM629" s="1016">
        <v>0</v>
      </c>
      <c r="AN629" s="1016">
        <v>0</v>
      </c>
      <c r="AO629" s="1017">
        <v>0</v>
      </c>
      <c r="AP629" s="1018">
        <v>0</v>
      </c>
      <c r="AQ629" s="1016">
        <v>0</v>
      </c>
      <c r="AR629" s="1016">
        <v>0</v>
      </c>
      <c r="AS629" s="1017">
        <v>0</v>
      </c>
      <c r="AT629" s="1018">
        <v>0</v>
      </c>
      <c r="AU629" s="1016">
        <v>0</v>
      </c>
      <c r="AV629" s="1016">
        <v>0</v>
      </c>
      <c r="AW629" s="1017">
        <v>0</v>
      </c>
      <c r="AX629" s="1310">
        <v>0</v>
      </c>
      <c r="AY629" s="1310">
        <v>0</v>
      </c>
      <c r="AZ629" s="1310">
        <v>0</v>
      </c>
      <c r="BA629" s="1311">
        <v>0</v>
      </c>
      <c r="BB629" s="1312">
        <v>0</v>
      </c>
      <c r="BC629" s="1310">
        <v>0</v>
      </c>
      <c r="BD629" s="1310">
        <v>0</v>
      </c>
      <c r="BE629" s="1311">
        <v>0</v>
      </c>
      <c r="BF629" s="1312">
        <v>0</v>
      </c>
      <c r="BG629" s="1310">
        <v>0</v>
      </c>
      <c r="BH629" s="1310">
        <v>0</v>
      </c>
      <c r="BI629" s="1310">
        <v>0</v>
      </c>
      <c r="BJ629" s="1312">
        <v>0</v>
      </c>
      <c r="BK629" s="1310">
        <v>0</v>
      </c>
      <c r="BL629" s="1310">
        <v>0</v>
      </c>
      <c r="BM629" s="1311">
        <v>0</v>
      </c>
      <c r="BN629" s="1312">
        <v>0</v>
      </c>
      <c r="BO629" s="1310">
        <v>0</v>
      </c>
      <c r="BP629" s="1310">
        <v>0</v>
      </c>
      <c r="BQ629" s="1311">
        <v>0</v>
      </c>
      <c r="BR629" s="1312">
        <v>0</v>
      </c>
      <c r="BS629" s="1310">
        <v>0</v>
      </c>
      <c r="BT629" s="1310">
        <v>0</v>
      </c>
      <c r="BU629" s="2206">
        <f>CU629</f>
        <v>0</v>
      </c>
      <c r="BV629" s="1310" t="s">
        <v>687</v>
      </c>
      <c r="BW629" s="1310" t="s">
        <v>687</v>
      </c>
      <c r="BX629" s="1310" t="s">
        <v>687</v>
      </c>
      <c r="BY629" s="1311" t="s">
        <v>687</v>
      </c>
      <c r="BZ629" s="1310" t="s">
        <v>687</v>
      </c>
      <c r="CA629" s="1310" t="s">
        <v>687</v>
      </c>
      <c r="CB629" s="1310" t="s">
        <v>687</v>
      </c>
      <c r="CC629" s="1311" t="s">
        <v>687</v>
      </c>
      <c r="CD629" s="244"/>
      <c r="CE629" s="701"/>
      <c r="CF629" s="701">
        <f t="shared" ref="CF629:CK629" si="1308">CF623/CF$619</f>
        <v>0</v>
      </c>
      <c r="CG629" s="701">
        <f t="shared" si="1308"/>
        <v>0</v>
      </c>
      <c r="CH629" s="701">
        <f t="shared" si="1308"/>
        <v>0</v>
      </c>
      <c r="CI629" s="701">
        <f t="shared" si="1308"/>
        <v>2.8854080791426217E-2</v>
      </c>
      <c r="CJ629" s="701">
        <f t="shared" si="1308"/>
        <v>4.1465100207325502E-2</v>
      </c>
      <c r="CK629" s="701">
        <f t="shared" si="1308"/>
        <v>4.700073152889539E-2</v>
      </c>
      <c r="CL629" s="701">
        <f t="shared" si="1302"/>
        <v>5.4246968252786562E-2</v>
      </c>
      <c r="CM629" s="701">
        <f t="shared" si="1302"/>
        <v>4.2137153117545213E-2</v>
      </c>
      <c r="CN629" s="701">
        <f t="shared" si="1303"/>
        <v>4.6903553299492383E-2</v>
      </c>
      <c r="CO629" s="701">
        <f t="shared" si="1303"/>
        <v>3.2055967421948418E-2</v>
      </c>
      <c r="CP629" s="701">
        <f t="shared" si="1304"/>
        <v>0</v>
      </c>
      <c r="CQ629" s="701">
        <f t="shared" si="1304"/>
        <v>0</v>
      </c>
      <c r="CR629" s="350">
        <v>0</v>
      </c>
      <c r="CS629" s="350">
        <v>0</v>
      </c>
      <c r="CT629" s="350">
        <v>0</v>
      </c>
      <c r="CU629" s="350">
        <v>0</v>
      </c>
      <c r="CV629" s="342">
        <f>CU629</f>
        <v>0</v>
      </c>
      <c r="CW629" s="342">
        <f t="shared" si="1305"/>
        <v>0</v>
      </c>
      <c r="CX629" s="342">
        <f t="shared" si="1305"/>
        <v>0</v>
      </c>
      <c r="CY629" s="342">
        <f t="shared" si="1305"/>
        <v>0</v>
      </c>
      <c r="CZ629" s="342">
        <f t="shared" si="1305"/>
        <v>0</v>
      </c>
      <c r="DA629" s="342">
        <f t="shared" si="1305"/>
        <v>0</v>
      </c>
      <c r="DB629" s="342">
        <f t="shared" si="1305"/>
        <v>0</v>
      </c>
      <c r="DC629" s="342">
        <f t="shared" si="1305"/>
        <v>0</v>
      </c>
      <c r="DD629" s="1517"/>
      <c r="DE629" s="1483"/>
      <c r="DF629" s="24"/>
      <c r="DG629" s="24"/>
      <c r="DH629" s="24"/>
      <c r="DI629" s="24"/>
      <c r="DJ629" s="24"/>
      <c r="DK629" s="24"/>
      <c r="DL629" s="141"/>
      <c r="DM629" s="24"/>
      <c r="DN629" s="24"/>
      <c r="DO629" s="24"/>
      <c r="DP629" s="24"/>
      <c r="DQ629" s="24"/>
      <c r="DR629" s="24"/>
      <c r="DS629" s="24"/>
      <c r="DT629" s="24"/>
      <c r="DU629" s="24"/>
      <c r="DV629" s="24"/>
      <c r="DW629" s="24"/>
      <c r="DX629" s="24"/>
      <c r="DY629" s="24"/>
      <c r="DZ629" s="1561"/>
    </row>
    <row r="630" spans="1:130" outlineLevel="1">
      <c r="A630" s="145"/>
      <c r="B630" s="227"/>
      <c r="C630" s="145"/>
      <c r="D630" s="145"/>
      <c r="E630" s="228"/>
      <c r="F630" s="701"/>
      <c r="G630" s="701"/>
      <c r="H630" s="701"/>
      <c r="I630" s="702"/>
      <c r="J630" s="701"/>
      <c r="K630" s="701"/>
      <c r="L630" s="701"/>
      <c r="M630" s="702"/>
      <c r="N630" s="701"/>
      <c r="O630" s="701"/>
      <c r="P630" s="701"/>
      <c r="Q630" s="701"/>
      <c r="R630" s="700"/>
      <c r="S630" s="701"/>
      <c r="T630" s="701"/>
      <c r="U630" s="701"/>
      <c r="V630" s="700"/>
      <c r="W630" s="701"/>
      <c r="X630" s="701"/>
      <c r="Y630" s="702"/>
      <c r="Z630" s="700"/>
      <c r="AA630" s="701"/>
      <c r="AB630" s="701"/>
      <c r="AC630" s="702"/>
      <c r="AD630" s="700"/>
      <c r="AE630" s="701"/>
      <c r="AF630" s="701"/>
      <c r="AG630" s="701"/>
      <c r="AH630" s="700"/>
      <c r="AI630" s="701"/>
      <c r="AJ630" s="701"/>
      <c r="AK630" s="701"/>
      <c r="AL630" s="700"/>
      <c r="AM630" s="701"/>
      <c r="AN630" s="701"/>
      <c r="AO630" s="702"/>
      <c r="AP630" s="700"/>
      <c r="AQ630" s="701"/>
      <c r="AR630" s="701"/>
      <c r="AS630" s="702"/>
      <c r="AT630" s="700"/>
      <c r="AU630" s="701"/>
      <c r="AV630" s="701"/>
      <c r="AW630" s="702"/>
      <c r="AX630" s="1313"/>
      <c r="AY630" s="1313"/>
      <c r="AZ630" s="1313"/>
      <c r="BA630" s="1314"/>
      <c r="BB630" s="1315"/>
      <c r="BC630" s="1313"/>
      <c r="BD630" s="1313"/>
      <c r="BE630" s="1314"/>
      <c r="BF630" s="1315"/>
      <c r="BG630" s="1313"/>
      <c r="BH630" s="1313"/>
      <c r="BI630" s="1314"/>
      <c r="BJ630" s="1315"/>
      <c r="BK630" s="1313"/>
      <c r="BL630" s="1313"/>
      <c r="BM630" s="1314"/>
      <c r="BN630" s="1315"/>
      <c r="BO630" s="1313"/>
      <c r="BP630" s="1313"/>
      <c r="BQ630" s="1314"/>
      <c r="BR630" s="1313"/>
      <c r="BS630" s="1313"/>
      <c r="BT630" s="1313"/>
      <c r="BU630" s="1314"/>
      <c r="BV630" s="1313"/>
      <c r="BW630" s="1313"/>
      <c r="BX630" s="1313"/>
      <c r="BY630" s="1314"/>
      <c r="BZ630" s="1313"/>
      <c r="CA630" s="1313"/>
      <c r="CB630" s="1313"/>
      <c r="CC630" s="1314"/>
      <c r="CD630" s="626"/>
      <c r="CE630" s="350"/>
      <c r="CF630" s="350"/>
      <c r="CG630" s="350"/>
      <c r="CH630" s="350"/>
      <c r="CI630" s="350"/>
      <c r="CJ630" s="350"/>
      <c r="CK630" s="350"/>
      <c r="CL630" s="350"/>
      <c r="CM630" s="350"/>
      <c r="CN630" s="350"/>
      <c r="CO630" s="350"/>
      <c r="CP630" s="350"/>
      <c r="CQ630" s="350"/>
      <c r="CR630" s="350"/>
      <c r="CS630" s="350"/>
      <c r="CT630" s="350"/>
      <c r="CU630" s="350"/>
      <c r="CV630" s="350"/>
      <c r="CW630" s="350"/>
      <c r="CX630" s="350"/>
      <c r="CY630" s="350"/>
      <c r="CZ630" s="350"/>
      <c r="DA630" s="350"/>
      <c r="DB630" s="350"/>
      <c r="DC630" s="350"/>
      <c r="DD630" s="1505"/>
      <c r="DE630" s="1551"/>
      <c r="DF630" s="141"/>
      <c r="DG630" s="141"/>
      <c r="DH630" s="141"/>
      <c r="DI630" s="141"/>
      <c r="DJ630" s="141"/>
      <c r="DK630" s="141"/>
      <c r="DL630" s="141"/>
      <c r="DM630" s="141"/>
      <c r="DN630" s="141"/>
      <c r="DO630" s="141"/>
      <c r="DP630" s="141"/>
      <c r="DQ630" s="141"/>
      <c r="DR630" s="141"/>
      <c r="DS630" s="141"/>
      <c r="DT630" s="141"/>
      <c r="DU630" s="141"/>
      <c r="DV630" s="141"/>
      <c r="DW630" s="141"/>
      <c r="DX630" s="141"/>
      <c r="DY630" s="141"/>
      <c r="DZ630" s="1676"/>
    </row>
    <row r="631" spans="1:130" outlineLevel="1">
      <c r="A631" s="3"/>
      <c r="B631" s="209"/>
      <c r="C631" s="188" t="s">
        <v>51</v>
      </c>
      <c r="D631" s="188"/>
      <c r="E631" s="198"/>
      <c r="F631" s="776"/>
      <c r="G631" s="776"/>
      <c r="H631" s="776"/>
      <c r="I631" s="778"/>
      <c r="J631" s="776"/>
      <c r="K631" s="776"/>
      <c r="L631" s="776"/>
      <c r="M631" s="778"/>
      <c r="N631" s="776"/>
      <c r="O631" s="776"/>
      <c r="P631" s="776"/>
      <c r="Q631" s="776"/>
      <c r="R631" s="870"/>
      <c r="S631" s="776"/>
      <c r="T631" s="776"/>
      <c r="U631" s="776"/>
      <c r="V631" s="870"/>
      <c r="W631" s="776"/>
      <c r="X631" s="776"/>
      <c r="Y631" s="778"/>
      <c r="Z631" s="870"/>
      <c r="AA631" s="776"/>
      <c r="AB631" s="776"/>
      <c r="AC631" s="778"/>
      <c r="AD631" s="870"/>
      <c r="AE631" s="776"/>
      <c r="AF631" s="776"/>
      <c r="AG631" s="776"/>
      <c r="AH631" s="870"/>
      <c r="AI631" s="776"/>
      <c r="AJ631" s="776"/>
      <c r="AK631" s="776"/>
      <c r="AL631" s="870"/>
      <c r="AM631" s="776"/>
      <c r="AN631" s="776"/>
      <c r="AO631" s="778"/>
      <c r="AP631" s="870"/>
      <c r="AQ631" s="776"/>
      <c r="AR631" s="776"/>
      <c r="AS631" s="778"/>
      <c r="AT631" s="870"/>
      <c r="AU631" s="776"/>
      <c r="AV631" s="776"/>
      <c r="AW631" s="778"/>
      <c r="AX631" s="1316"/>
      <c r="AY631" s="1316"/>
      <c r="AZ631" s="1316"/>
      <c r="BA631" s="1317"/>
      <c r="BB631" s="1318"/>
      <c r="BC631" s="1316"/>
      <c r="BD631" s="1316"/>
      <c r="BE631" s="1317"/>
      <c r="BF631" s="1318"/>
      <c r="BG631" s="1316"/>
      <c r="BH631" s="1316"/>
      <c r="BI631" s="1317"/>
      <c r="BJ631" s="1318"/>
      <c r="BK631" s="1316"/>
      <c r="BL631" s="1316"/>
      <c r="BM631" s="1317"/>
      <c r="BN631" s="1318"/>
      <c r="BO631" s="1316"/>
      <c r="BP631" s="1316"/>
      <c r="BQ631" s="1317"/>
      <c r="BR631" s="1316"/>
      <c r="BS631" s="1316"/>
      <c r="BT631" s="1316"/>
      <c r="BU631" s="1317"/>
      <c r="BV631" s="1316"/>
      <c r="BW631" s="1316"/>
      <c r="BX631" s="1316"/>
      <c r="BY631" s="1317"/>
      <c r="BZ631" s="1316"/>
      <c r="CA631" s="1316"/>
      <c r="CB631" s="1316"/>
      <c r="CC631" s="1317"/>
      <c r="CD631" s="244"/>
      <c r="CE631" s="184"/>
      <c r="CF631" s="184"/>
      <c r="CG631" s="184"/>
      <c r="CH631" s="184"/>
      <c r="CI631" s="184"/>
      <c r="CJ631" s="184"/>
      <c r="CK631" s="184"/>
      <c r="CL631" s="184"/>
      <c r="CM631" s="184"/>
      <c r="CN631" s="184"/>
      <c r="CO631" s="184"/>
      <c r="CP631" s="184"/>
      <c r="CQ631" s="184"/>
      <c r="CR631" s="184"/>
      <c r="CS631" s="699"/>
      <c r="CT631" s="699"/>
      <c r="CU631" s="699"/>
      <c r="CV631" s="699"/>
      <c r="CW631" s="699"/>
      <c r="CX631" s="699"/>
      <c r="CY631" s="699"/>
      <c r="CZ631" s="699"/>
      <c r="DA631" s="699"/>
      <c r="DB631" s="699"/>
      <c r="DC631" s="699"/>
      <c r="DD631" s="1517"/>
      <c r="DE631" s="1483"/>
      <c r="DF631" s="24"/>
      <c r="DG631" s="24"/>
      <c r="DH631" s="24"/>
      <c r="DI631" s="24"/>
      <c r="DJ631" s="24"/>
      <c r="DK631" s="24"/>
      <c r="DL631" s="141"/>
      <c r="DM631" s="24"/>
      <c r="DN631" s="24"/>
      <c r="DO631" s="24"/>
      <c r="DP631" s="24"/>
      <c r="DQ631" s="24"/>
      <c r="DR631" s="24"/>
      <c r="DS631" s="24"/>
      <c r="DT631" s="24"/>
      <c r="DU631" s="24"/>
      <c r="DV631" s="24"/>
      <c r="DW631" s="24"/>
      <c r="DX631" s="24"/>
      <c r="DY631" s="24"/>
      <c r="DZ631" s="1561"/>
    </row>
    <row r="632" spans="1:130" outlineLevel="1">
      <c r="A632" s="3"/>
      <c r="B632" s="208"/>
      <c r="C632" s="196"/>
      <c r="D632" s="196" t="s">
        <v>640</v>
      </c>
      <c r="E632" s="197"/>
      <c r="F632" s="988" t="s">
        <v>687</v>
      </c>
      <c r="G632" s="988" t="s">
        <v>687</v>
      </c>
      <c r="H632" s="988" t="s">
        <v>687</v>
      </c>
      <c r="I632" s="989" t="s">
        <v>687</v>
      </c>
      <c r="J632" s="988" t="s">
        <v>687</v>
      </c>
      <c r="K632" s="988" t="s">
        <v>687</v>
      </c>
      <c r="L632" s="988" t="s">
        <v>687</v>
      </c>
      <c r="M632" s="989" t="s">
        <v>687</v>
      </c>
      <c r="N632" s="988" t="s">
        <v>687</v>
      </c>
      <c r="O632" s="988" t="s">
        <v>687</v>
      </c>
      <c r="P632" s="988" t="s">
        <v>687</v>
      </c>
      <c r="Q632" s="988" t="s">
        <v>687</v>
      </c>
      <c r="R632" s="990" t="s">
        <v>687</v>
      </c>
      <c r="S632" s="988" t="s">
        <v>687</v>
      </c>
      <c r="T632" s="988" t="s">
        <v>687</v>
      </c>
      <c r="U632" s="988" t="s">
        <v>687</v>
      </c>
      <c r="V632" s="1092">
        <f t="shared" ref="V632:AF632" si="1309">V620/R620-1</f>
        <v>0.21379504853420328</v>
      </c>
      <c r="W632" s="1021">
        <f t="shared" si="1309"/>
        <v>6.0175732430494344E-2</v>
      </c>
      <c r="X632" s="1021">
        <f t="shared" si="1309"/>
        <v>5.2866055814224433E-2</v>
      </c>
      <c r="Y632" s="1022">
        <f t="shared" si="1309"/>
        <v>8.4591753944270875E-2</v>
      </c>
      <c r="Z632" s="1021">
        <f t="shared" si="1309"/>
        <v>0.10361874329902676</v>
      </c>
      <c r="AA632" s="1021">
        <f t="shared" si="1309"/>
        <v>-1.4908732015733395E-2</v>
      </c>
      <c r="AB632" s="1021">
        <f t="shared" si="1309"/>
        <v>0.32931849048928052</v>
      </c>
      <c r="AC632" s="1022">
        <f t="shared" si="1309"/>
        <v>0.15435842394715693</v>
      </c>
      <c r="AD632" s="1021">
        <f t="shared" si="1309"/>
        <v>0.21683506129406527</v>
      </c>
      <c r="AE632" s="1021">
        <f t="shared" si="1309"/>
        <v>0.51800540306006315</v>
      </c>
      <c r="AF632" s="1021">
        <f t="shared" si="1309"/>
        <v>0.15308341455636554</v>
      </c>
      <c r="AG632" s="1021">
        <f>AG620/AC620-1</f>
        <v>0.32529932402714534</v>
      </c>
      <c r="AH632" s="1092">
        <f>AH620/AD620-1</f>
        <v>0.31730733901991348</v>
      </c>
      <c r="AI632" s="1021">
        <f t="shared" ref="AH632:BU634" si="1310">AI620/AE620-1</f>
        <v>0.29980828330498532</v>
      </c>
      <c r="AJ632" s="1021">
        <f t="shared" si="1310"/>
        <v>0.1644504228406789</v>
      </c>
      <c r="AK632" s="1021">
        <f t="shared" si="1310"/>
        <v>5.7264833023737749E-2</v>
      </c>
      <c r="AL632" s="1092">
        <f t="shared" si="1310"/>
        <v>-0.16766055167270288</v>
      </c>
      <c r="AM632" s="1021">
        <f t="shared" si="1310"/>
        <v>-0.40559569319568733</v>
      </c>
      <c r="AN632" s="1021">
        <f t="shared" si="1310"/>
        <v>-0.29977894846817776</v>
      </c>
      <c r="AO632" s="1021">
        <f t="shared" si="1310"/>
        <v>-0.19935342021678626</v>
      </c>
      <c r="AP632" s="1092">
        <f t="shared" si="1310"/>
        <v>1.4273372425901432E-3</v>
      </c>
      <c r="AQ632" s="1021">
        <f t="shared" si="1310"/>
        <v>0.5617502197269999</v>
      </c>
      <c r="AR632" s="1021">
        <f t="shared" si="1310"/>
        <v>0.53141428138696334</v>
      </c>
      <c r="AS632" s="1021">
        <f t="shared" si="1310"/>
        <v>0.28683086797902746</v>
      </c>
      <c r="AT632" s="1092">
        <f t="shared" si="1310"/>
        <v>0.15861742424242431</v>
      </c>
      <c r="AU632" s="1021">
        <f t="shared" si="1310"/>
        <v>-0.16838487972508587</v>
      </c>
      <c r="AV632" s="1021">
        <f t="shared" si="1310"/>
        <v>-0.21835163448188821</v>
      </c>
      <c r="AW632" s="1022">
        <f t="shared" si="1310"/>
        <v>-0.19294710327455911</v>
      </c>
      <c r="AX632" s="1319">
        <f t="shared" si="1310"/>
        <v>-9.0527886853467465E-2</v>
      </c>
      <c r="AY632" s="1320">
        <f t="shared" si="1310"/>
        <v>-0.19393939393939397</v>
      </c>
      <c r="AZ632" s="1320">
        <f t="shared" si="1310"/>
        <v>0.28643226223155183</v>
      </c>
      <c r="BA632" s="1320">
        <f t="shared" si="1310"/>
        <v>1.6707865168539326</v>
      </c>
      <c r="BB632" s="1319">
        <f t="shared" si="1310"/>
        <v>0.81309342398312046</v>
      </c>
      <c r="BC632" s="1320">
        <f t="shared" si="1310"/>
        <v>1.3524265208475734</v>
      </c>
      <c r="BD632" s="1320">
        <f t="shared" si="1310"/>
        <v>0.59453989173923283</v>
      </c>
      <c r="BE632" s="1320">
        <f t="shared" si="1310"/>
        <v>-0.18677449009800717</v>
      </c>
      <c r="BF632" s="1319">
        <f t="shared" si="1310"/>
        <v>6.5718441894294433E-2</v>
      </c>
      <c r="BG632" s="1320">
        <f t="shared" si="1310"/>
        <v>-3.8238028823802894E-2</v>
      </c>
      <c r="BH632" s="1320">
        <f t="shared" si="1310"/>
        <v>-8.9079781162671789E-2</v>
      </c>
      <c r="BI632" s="1320">
        <f t="shared" si="1310"/>
        <v>-0.16056100551808716</v>
      </c>
      <c r="BJ632" s="1319">
        <f t="shared" si="1310"/>
        <v>7.640742538218892E-2</v>
      </c>
      <c r="BK632" s="1320">
        <f t="shared" si="1310"/>
        <v>5.7160120845921369E-2</v>
      </c>
      <c r="BL632" s="1320">
        <f t="shared" si="1310"/>
        <v>0.11207129354577372</v>
      </c>
      <c r="BM632" s="1326">
        <f t="shared" si="1310"/>
        <v>0.16534282844882675</v>
      </c>
      <c r="BN632" s="1319">
        <f t="shared" si="1310"/>
        <v>-5.3174401893651302E-2</v>
      </c>
      <c r="BO632" s="1320">
        <f t="shared" si="1310"/>
        <v>-2.0471345831428178E-2</v>
      </c>
      <c r="BP632" s="1320">
        <f t="shared" si="1310"/>
        <v>-0.17765905779504609</v>
      </c>
      <c r="BQ632" s="1326">
        <f t="shared" si="1310"/>
        <v>0.30063068003760574</v>
      </c>
      <c r="BR632" s="1319">
        <f t="shared" si="1310"/>
        <v>0.87063492063492087</v>
      </c>
      <c r="BS632" s="1320">
        <f t="shared" si="1310"/>
        <v>0.85390996528149232</v>
      </c>
      <c r="BT632" s="1320">
        <f t="shared" si="1310"/>
        <v>1.0867233640444129</v>
      </c>
      <c r="BU632" s="1326">
        <f t="shared" si="1310"/>
        <v>-1.5631353060763353E-2</v>
      </c>
      <c r="BV632" s="1320" t="s">
        <v>687</v>
      </c>
      <c r="BW632" s="1320" t="s">
        <v>687</v>
      </c>
      <c r="BX632" s="1320" t="s">
        <v>687</v>
      </c>
      <c r="BY632" s="1326" t="s">
        <v>687</v>
      </c>
      <c r="BZ632" s="1320" t="s">
        <v>687</v>
      </c>
      <c r="CA632" s="1320" t="s">
        <v>687</v>
      </c>
      <c r="CB632" s="1320" t="s">
        <v>687</v>
      </c>
      <c r="CC632" s="1326" t="s">
        <v>687</v>
      </c>
      <c r="CD632" s="244"/>
      <c r="CE632" s="701"/>
      <c r="CF632" s="701"/>
      <c r="CG632" s="701">
        <f t="shared" ref="CG632:CO632" si="1311">CG620/CF620-1</f>
        <v>0.1293103448275863</v>
      </c>
      <c r="CH632" s="701">
        <f t="shared" si="1311"/>
        <v>-3.7404580152671785E-2</v>
      </c>
      <c r="CI632" s="701">
        <f t="shared" si="1311"/>
        <v>5.5511498810467685E-3</v>
      </c>
      <c r="CJ632" s="701">
        <f t="shared" si="1311"/>
        <v>9.3059936908517438E-2</v>
      </c>
      <c r="CK632" s="701">
        <f t="shared" si="1311"/>
        <v>0.28427128427128423</v>
      </c>
      <c r="CL632" s="701">
        <f>CL620/CK620-1</f>
        <v>9.4943820224719033E-2</v>
      </c>
      <c r="CM632" s="701">
        <f t="shared" si="1311"/>
        <v>-0.23447922011287836</v>
      </c>
      <c r="CN632" s="701">
        <f t="shared" si="1311"/>
        <v>0.26608579088471851</v>
      </c>
      <c r="CO632" s="701">
        <f t="shared" si="1311"/>
        <v>-0.15881418740074116</v>
      </c>
      <c r="CP632" s="701">
        <f>CP620/CO620-1</f>
        <v>0.80612964128382636</v>
      </c>
      <c r="CQ632" s="701">
        <f t="shared" ref="CQ632:CR634" si="1312">CQ620/CP620-1</f>
        <v>0.18573907468448825</v>
      </c>
      <c r="CR632" s="701">
        <f t="shared" si="1312"/>
        <v>0.11151924772259769</v>
      </c>
      <c r="CS632" s="701">
        <f t="shared" ref="CS632:CV634" si="1313">CS620/CR620-1</f>
        <v>7.8693985459352467E-2</v>
      </c>
      <c r="CT632" s="701">
        <f t="shared" si="1313"/>
        <v>1.9097290302340975E-2</v>
      </c>
      <c r="CU632" s="701">
        <f t="shared" si="1313"/>
        <v>0.23978134138833318</v>
      </c>
      <c r="CV632" s="701">
        <f t="shared" si="1313"/>
        <v>6.5318175732467454E-2</v>
      </c>
      <c r="CW632" s="701">
        <f t="shared" ref="CW632:DC634" si="1314">CW620/CV620-1</f>
        <v>-6.1920554763520874E-2</v>
      </c>
      <c r="CX632" s="701">
        <f t="shared" si="1314"/>
        <v>7.2924038069256403E-2</v>
      </c>
      <c r="CY632" s="701">
        <f t="shared" si="1314"/>
        <v>3.6252265963877761E-2</v>
      </c>
      <c r="CZ632" s="701">
        <f t="shared" si="1314"/>
        <v>3.8063661605375998E-2</v>
      </c>
      <c r="DA632" s="701">
        <f t="shared" si="1314"/>
        <v>4.6347477925979153E-2</v>
      </c>
      <c r="DB632" s="701">
        <f t="shared" si="1314"/>
        <v>5.0201013782605219E-2</v>
      </c>
      <c r="DC632" s="701">
        <f t="shared" si="1314"/>
        <v>5.4137204785502879E-2</v>
      </c>
      <c r="DD632" s="1517"/>
      <c r="DE632" s="1483"/>
      <c r="DF632" s="24"/>
      <c r="DG632" s="24"/>
      <c r="DH632" s="24"/>
      <c r="DI632" s="24"/>
      <c r="DJ632" s="24"/>
      <c r="DK632" s="24"/>
      <c r="DL632" s="141"/>
      <c r="DM632" s="24"/>
      <c r="DN632" s="24"/>
      <c r="DO632" s="24"/>
      <c r="DP632" s="24"/>
      <c r="DQ632" s="24"/>
      <c r="DR632" s="24"/>
      <c r="DS632" s="24"/>
      <c r="DT632" s="24"/>
      <c r="DU632" s="24"/>
      <c r="DV632" s="24"/>
      <c r="DW632" s="24"/>
      <c r="DX632" s="24"/>
      <c r="DY632" s="24"/>
      <c r="DZ632" s="1561"/>
    </row>
    <row r="633" spans="1:130" outlineLevel="1">
      <c r="A633" s="3"/>
      <c r="B633" s="208"/>
      <c r="C633" s="196"/>
      <c r="D633" s="197" t="s">
        <v>577</v>
      </c>
      <c r="E633" s="24"/>
      <c r="F633" s="988" t="s">
        <v>687</v>
      </c>
      <c r="G633" s="988" t="s">
        <v>687</v>
      </c>
      <c r="H633" s="988" t="s">
        <v>687</v>
      </c>
      <c r="I633" s="989" t="s">
        <v>687</v>
      </c>
      <c r="J633" s="988" t="s">
        <v>687</v>
      </c>
      <c r="K633" s="988" t="s">
        <v>687</v>
      </c>
      <c r="L633" s="988" t="s">
        <v>687</v>
      </c>
      <c r="M633" s="989" t="s">
        <v>687</v>
      </c>
      <c r="N633" s="988" t="s">
        <v>687</v>
      </c>
      <c r="O633" s="988" t="s">
        <v>687</v>
      </c>
      <c r="P633" s="988" t="s">
        <v>687</v>
      </c>
      <c r="Q633" s="989" t="s">
        <v>687</v>
      </c>
      <c r="R633" s="988" t="s">
        <v>687</v>
      </c>
      <c r="S633" s="988" t="s">
        <v>687</v>
      </c>
      <c r="T633" s="988" t="s">
        <v>687</v>
      </c>
      <c r="U633" s="988" t="s">
        <v>687</v>
      </c>
      <c r="V633" s="1092">
        <f t="shared" ref="V633:AF633" si="1315">V621/R621-1</f>
        <v>0.15310529610749302</v>
      </c>
      <c r="W633" s="1021">
        <f t="shared" si="1315"/>
        <v>0.1807729719429616</v>
      </c>
      <c r="X633" s="1021">
        <f t="shared" si="1315"/>
        <v>0.22834373178326173</v>
      </c>
      <c r="Y633" s="1022">
        <f t="shared" si="1315"/>
        <v>0.16281766992075819</v>
      </c>
      <c r="Z633" s="1021">
        <f t="shared" si="1315"/>
        <v>0.18536827983969539</v>
      </c>
      <c r="AA633" s="1021">
        <f t="shared" si="1315"/>
        <v>0.24290812327702382</v>
      </c>
      <c r="AB633" s="1021">
        <f t="shared" si="1315"/>
        <v>0.10435689979109464</v>
      </c>
      <c r="AC633" s="1022">
        <f t="shared" si="1315"/>
        <v>1.5835413073497895E-2</v>
      </c>
      <c r="AD633" s="1021">
        <f t="shared" si="1315"/>
        <v>0.20844309535410632</v>
      </c>
      <c r="AE633" s="1021">
        <f t="shared" si="1315"/>
        <v>0.2031250253355299</v>
      </c>
      <c r="AF633" s="1021">
        <f t="shared" si="1315"/>
        <v>0.34170508422144996</v>
      </c>
      <c r="AG633" s="1021">
        <f>AG621/AC621-1</f>
        <v>0.48794969561229506</v>
      </c>
      <c r="AH633" s="1092">
        <f t="shared" si="1310"/>
        <v>0.59673616850898581</v>
      </c>
      <c r="AI633" s="1021">
        <f t="shared" si="1310"/>
        <v>0.5435223364246704</v>
      </c>
      <c r="AJ633" s="1021">
        <f t="shared" si="1310"/>
        <v>0.60040230528349459</v>
      </c>
      <c r="AK633" s="1021">
        <f t="shared" si="1310"/>
        <v>0.40220800135774248</v>
      </c>
      <c r="AL633" s="1092">
        <f t="shared" si="1310"/>
        <v>8.2267462023401405E-2</v>
      </c>
      <c r="AM633" s="1021">
        <f t="shared" si="1310"/>
        <v>-0.25053370011630138</v>
      </c>
      <c r="AN633" s="1021">
        <f t="shared" si="1310"/>
        <v>-0.31889168188467898</v>
      </c>
      <c r="AO633" s="1021">
        <f t="shared" si="1310"/>
        <v>-0.14864580349718282</v>
      </c>
      <c r="AP633" s="1092">
        <f t="shared" si="1310"/>
        <v>-0.2057645256351871</v>
      </c>
      <c r="AQ633" s="1021">
        <f t="shared" si="1310"/>
        <v>0.23862948461106881</v>
      </c>
      <c r="AR633" s="1021">
        <f t="shared" si="1310"/>
        <v>0.42202754700217993</v>
      </c>
      <c r="AS633" s="1021">
        <f t="shared" si="1310"/>
        <v>0.17920501356623597</v>
      </c>
      <c r="AT633" s="1092">
        <f t="shared" si="1310"/>
        <v>0.15861742424242431</v>
      </c>
      <c r="AU633" s="1021">
        <f t="shared" si="1310"/>
        <v>-5.4982817869415834E-2</v>
      </c>
      <c r="AV633" s="1021">
        <f t="shared" si="1310"/>
        <v>-0.14729269216205987</v>
      </c>
      <c r="AW633" s="1022">
        <f t="shared" si="1310"/>
        <v>-3.9222741993522714E-2</v>
      </c>
      <c r="AX633" s="1319">
        <f t="shared" si="1310"/>
        <v>5.3072973117037625E-2</v>
      </c>
      <c r="AY633" s="1320">
        <f t="shared" si="1310"/>
        <v>-0.32290909090909092</v>
      </c>
      <c r="AZ633" s="1320">
        <f t="shared" si="1310"/>
        <v>1.0768206039076356E-2</v>
      </c>
      <c r="BA633" s="1320">
        <f t="shared" si="1310"/>
        <v>0.78052434456928821</v>
      </c>
      <c r="BB633" s="1319">
        <f t="shared" si="1310"/>
        <v>0.22545049605183243</v>
      </c>
      <c r="BC633" s="1320">
        <f t="shared" si="1310"/>
        <v>1.0993435970879579</v>
      </c>
      <c r="BD633" s="1320">
        <f t="shared" si="1310"/>
        <v>0.51579718103606087</v>
      </c>
      <c r="BE633" s="1320">
        <f t="shared" si="1310"/>
        <v>-0.17225260599261427</v>
      </c>
      <c r="BF633" s="1319">
        <f t="shared" si="1310"/>
        <v>4.7501032631144247E-2</v>
      </c>
      <c r="BG633" s="1320">
        <f t="shared" si="1310"/>
        <v>3.8702928870292919E-2</v>
      </c>
      <c r="BH633" s="1320">
        <f t="shared" si="1310"/>
        <v>-6.0924065307699782E-2</v>
      </c>
      <c r="BI633" s="1320">
        <f t="shared" si="1310"/>
        <v>3.0889993223401913E-2</v>
      </c>
      <c r="BJ633" s="1319">
        <f t="shared" si="1310"/>
        <v>8.8367507886435215E-2</v>
      </c>
      <c r="BK633" s="1320">
        <f t="shared" si="1310"/>
        <v>2.1410744778668001E-2</v>
      </c>
      <c r="BL633" s="1320">
        <f t="shared" si="1310"/>
        <v>-4.1317850391574429E-2</v>
      </c>
      <c r="BM633" s="1326">
        <f t="shared" si="1310"/>
        <v>-8.2292522596548956E-2</v>
      </c>
      <c r="BN633" s="1319">
        <f t="shared" si="1310"/>
        <v>-0.14785696170428597</v>
      </c>
      <c r="BO633" s="1320">
        <f t="shared" si="1310"/>
        <v>-0.18240955075445808</v>
      </c>
      <c r="BP633" s="1320">
        <f t="shared" si="1310"/>
        <v>-0.12936284372904083</v>
      </c>
      <c r="BQ633" s="1326">
        <f t="shared" si="1310"/>
        <v>-9.0432913999195508E-3</v>
      </c>
      <c r="BR633" s="1319">
        <f t="shared" si="1310"/>
        <v>6.8934240362811705E-2</v>
      </c>
      <c r="BS633" s="1320">
        <f t="shared" si="1310"/>
        <v>8.9197939468613541E-2</v>
      </c>
      <c r="BT633" s="1320">
        <f t="shared" si="1310"/>
        <v>0.28927988167503749</v>
      </c>
      <c r="BU633" s="1326">
        <f t="shared" si="1310"/>
        <v>0.2395753331827426</v>
      </c>
      <c r="BV633" s="1320" t="s">
        <v>687</v>
      </c>
      <c r="BW633" s="1320" t="s">
        <v>687</v>
      </c>
      <c r="BX633" s="1320" t="s">
        <v>687</v>
      </c>
      <c r="BY633" s="1326" t="s">
        <v>687</v>
      </c>
      <c r="BZ633" s="1320" t="s">
        <v>687</v>
      </c>
      <c r="CA633" s="1320" t="s">
        <v>687</v>
      </c>
      <c r="CB633" s="1320" t="s">
        <v>687</v>
      </c>
      <c r="CC633" s="1326" t="s">
        <v>687</v>
      </c>
      <c r="CD633" s="244"/>
      <c r="CE633" s="701"/>
      <c r="CF633" s="701"/>
      <c r="CG633" s="701">
        <f t="shared" ref="CG633:CO635" si="1316">CG621/CF621-1</f>
        <v>0.15220483641536275</v>
      </c>
      <c r="CH633" s="701">
        <f t="shared" si="1316"/>
        <v>0.1123456790123456</v>
      </c>
      <c r="CI633" s="701">
        <f t="shared" si="1316"/>
        <v>0.18645948945615975</v>
      </c>
      <c r="CJ633" s="701">
        <f t="shared" si="1316"/>
        <v>0.14593077642656693</v>
      </c>
      <c r="CK633" s="701">
        <f t="shared" si="1316"/>
        <v>0.29877551020408166</v>
      </c>
      <c r="CL633" s="701">
        <f t="shared" si="1316"/>
        <v>0.47328724072910111</v>
      </c>
      <c r="CM633" s="701">
        <f t="shared" si="1316"/>
        <v>-0.14334470989761094</v>
      </c>
      <c r="CN633" s="701">
        <f t="shared" si="1316"/>
        <v>0.1254980079681276</v>
      </c>
      <c r="CO633" s="701">
        <f t="shared" si="1316"/>
        <v>-2.831858407079646E-2</v>
      </c>
      <c r="CP633" s="701">
        <f>CP621/CO621-1</f>
        <v>7.9608378870674068E-2</v>
      </c>
      <c r="CQ633" s="701">
        <f t="shared" si="1312"/>
        <v>0.28900549177077961</v>
      </c>
      <c r="CR633" s="701">
        <f t="shared" si="1312"/>
        <v>3.9692408376963195E-2</v>
      </c>
      <c r="CS633" s="701">
        <f t="shared" si="1313"/>
        <v>8.9824693922513354E-3</v>
      </c>
      <c r="CT633" s="701">
        <f t="shared" si="1313"/>
        <v>-0.148822149577022</v>
      </c>
      <c r="CU633" s="701">
        <f t="shared" si="1313"/>
        <v>0.18949038750485592</v>
      </c>
      <c r="CV633" s="701">
        <f t="shared" si="1313"/>
        <v>6.5318175732467232E-2</v>
      </c>
      <c r="CW633" s="701">
        <f t="shared" si="1314"/>
        <v>-6.1920554763520652E-2</v>
      </c>
      <c r="CX633" s="701">
        <f t="shared" si="1314"/>
        <v>7.2924038069256181E-2</v>
      </c>
      <c r="CY633" s="701">
        <f t="shared" si="1314"/>
        <v>3.6252265963877761E-2</v>
      </c>
      <c r="CZ633" s="701">
        <f t="shared" si="1314"/>
        <v>3.8063661605375998E-2</v>
      </c>
      <c r="DA633" s="701">
        <f t="shared" si="1314"/>
        <v>4.6347477925979153E-2</v>
      </c>
      <c r="DB633" s="701">
        <f t="shared" si="1314"/>
        <v>5.0201013782605219E-2</v>
      </c>
      <c r="DC633" s="701">
        <f t="shared" si="1314"/>
        <v>5.4137204785503101E-2</v>
      </c>
      <c r="DD633" s="1517"/>
      <c r="DE633" s="1483"/>
      <c r="DF633" s="24"/>
      <c r="DG633" s="24"/>
      <c r="DH633" s="24"/>
      <c r="DI633" s="24"/>
      <c r="DJ633" s="24"/>
      <c r="DK633" s="24"/>
      <c r="DL633" s="141"/>
      <c r="DM633" s="24"/>
      <c r="DN633" s="24"/>
      <c r="DO633" s="24"/>
      <c r="DP633" s="24"/>
      <c r="DQ633" s="24"/>
      <c r="DR633" s="24"/>
      <c r="DS633" s="24"/>
      <c r="DT633" s="24"/>
      <c r="DU633" s="24"/>
      <c r="DV633" s="24"/>
      <c r="DW633" s="24"/>
      <c r="DX633" s="24"/>
      <c r="DY633" s="24"/>
      <c r="DZ633" s="1561"/>
    </row>
    <row r="634" spans="1:130" outlineLevel="1">
      <c r="A634" s="3"/>
      <c r="B634" s="208"/>
      <c r="C634" s="196"/>
      <c r="D634" s="197" t="s">
        <v>641</v>
      </c>
      <c r="E634" s="24"/>
      <c r="F634" s="988" t="s">
        <v>687</v>
      </c>
      <c r="G634" s="988" t="s">
        <v>687</v>
      </c>
      <c r="H634" s="988" t="s">
        <v>687</v>
      </c>
      <c r="I634" s="989" t="s">
        <v>687</v>
      </c>
      <c r="J634" s="988" t="s">
        <v>687</v>
      </c>
      <c r="K634" s="988" t="s">
        <v>687</v>
      </c>
      <c r="L634" s="988" t="s">
        <v>687</v>
      </c>
      <c r="M634" s="989" t="s">
        <v>687</v>
      </c>
      <c r="N634" s="988" t="s">
        <v>687</v>
      </c>
      <c r="O634" s="988" t="s">
        <v>687</v>
      </c>
      <c r="P634" s="988" t="s">
        <v>687</v>
      </c>
      <c r="Q634" s="989" t="s">
        <v>687</v>
      </c>
      <c r="R634" s="988" t="s">
        <v>687</v>
      </c>
      <c r="S634" s="988" t="s">
        <v>687</v>
      </c>
      <c r="T634" s="988" t="s">
        <v>687</v>
      </c>
      <c r="U634" s="988" t="s">
        <v>687</v>
      </c>
      <c r="V634" s="1092">
        <f t="shared" ref="V634:AF634" si="1317">V622/R622-1</f>
        <v>8.1036215100774633E-2</v>
      </c>
      <c r="W634" s="1021">
        <f t="shared" si="1317"/>
        <v>0.22557908918186831</v>
      </c>
      <c r="X634" s="1021">
        <f t="shared" si="1317"/>
        <v>0.491560245736818</v>
      </c>
      <c r="Y634" s="1022">
        <f t="shared" si="1317"/>
        <v>0.60228255482874138</v>
      </c>
      <c r="Z634" s="1021">
        <f t="shared" si="1317"/>
        <v>0.43061688946170151</v>
      </c>
      <c r="AA634" s="1021">
        <f t="shared" si="1317"/>
        <v>0.3257686648288256</v>
      </c>
      <c r="AB634" s="1021">
        <f t="shared" si="1317"/>
        <v>0.22706322199010498</v>
      </c>
      <c r="AC634" s="1022">
        <f t="shared" si="1317"/>
        <v>0.24795505291584541</v>
      </c>
      <c r="AD634" s="1021">
        <f t="shared" si="1317"/>
        <v>0.32312187889281208</v>
      </c>
      <c r="AE634" s="1021">
        <f t="shared" si="1317"/>
        <v>0.12792971125205921</v>
      </c>
      <c r="AF634" s="1021">
        <f t="shared" si="1317"/>
        <v>0.28591410201751533</v>
      </c>
      <c r="AG634" s="1021">
        <f>AG622/AC622-1</f>
        <v>7.0179204151919805E-2</v>
      </c>
      <c r="AH634" s="1092">
        <f t="shared" si="1310"/>
        <v>0.3216228421780456</v>
      </c>
      <c r="AI634" s="1021">
        <f t="shared" si="1310"/>
        <v>0.85222680370960435</v>
      </c>
      <c r="AJ634" s="1021">
        <f t="shared" si="1310"/>
        <v>0.75380492256412412</v>
      </c>
      <c r="AK634" s="1021">
        <f t="shared" si="1310"/>
        <v>0.97298914073395304</v>
      </c>
      <c r="AL634" s="1092">
        <f t="shared" si="1310"/>
        <v>0.63779588341669435</v>
      </c>
      <c r="AM634" s="1021">
        <f t="shared" si="1310"/>
        <v>0.10266306189785546</v>
      </c>
      <c r="AN634" s="1021">
        <f t="shared" si="1310"/>
        <v>-0.15395430171389568</v>
      </c>
      <c r="AO634" s="1021">
        <f t="shared" si="1310"/>
        <v>0.13569976806205841</v>
      </c>
      <c r="AP634" s="1092">
        <f t="shared" si="1310"/>
        <v>0.22143788860649272</v>
      </c>
      <c r="AQ634" s="1021">
        <f t="shared" si="1310"/>
        <v>0.49667729390504167</v>
      </c>
      <c r="AR634" s="1021">
        <f t="shared" si="1310"/>
        <v>0.87542763445215055</v>
      </c>
      <c r="AS634" s="1021">
        <f t="shared" si="1310"/>
        <v>0.23535763325986614</v>
      </c>
      <c r="AT634" s="1092">
        <f t="shared" si="1310"/>
        <v>6.8662655279503104E-2</v>
      </c>
      <c r="AU634" s="1021">
        <f t="shared" si="1310"/>
        <v>1.7182130584192379E-3</v>
      </c>
      <c r="AV634" s="1021">
        <f t="shared" si="1310"/>
        <v>-0.11449625724521584</v>
      </c>
      <c r="AW634" s="1022">
        <f t="shared" si="1310"/>
        <v>0.12090680100755669</v>
      </c>
      <c r="AX634" s="1319">
        <f t="shared" si="1310"/>
        <v>0.20287880851836682</v>
      </c>
      <c r="AY634" s="1320">
        <f t="shared" si="1310"/>
        <v>-0.13310463121783889</v>
      </c>
      <c r="AZ634" s="1320">
        <f t="shared" si="1310"/>
        <v>0.5223916189724358</v>
      </c>
      <c r="BA634" s="1320">
        <f t="shared" si="1310"/>
        <v>0.8134970176168681</v>
      </c>
      <c r="BB634" s="1319">
        <f t="shared" si="1310"/>
        <v>0.49777282850779536</v>
      </c>
      <c r="BC634" s="1320">
        <f t="shared" si="1310"/>
        <v>0.68139647364024114</v>
      </c>
      <c r="BD634" s="1320">
        <f t="shared" si="1310"/>
        <v>3.6886596267588612E-2</v>
      </c>
      <c r="BE634" s="1320">
        <f t="shared" si="1310"/>
        <v>-0.24433395800665469</v>
      </c>
      <c r="BF634" s="1319">
        <f t="shared" si="1310"/>
        <v>-0.1371432171885828</v>
      </c>
      <c r="BG634" s="1320">
        <f t="shared" si="1310"/>
        <v>8.0251046025104689E-2</v>
      </c>
      <c r="BH634" s="1320">
        <f t="shared" si="1310"/>
        <v>4.166406201162709E-2</v>
      </c>
      <c r="BI634" s="1320">
        <f t="shared" si="1310"/>
        <v>3.4780144141226099E-2</v>
      </c>
      <c r="BJ634" s="1319">
        <f t="shared" si="1310"/>
        <v>-1.849904583868911E-3</v>
      </c>
      <c r="BK634" s="1320">
        <f t="shared" si="1310"/>
        <v>-7.762026493144325E-2</v>
      </c>
      <c r="BL634" s="1320">
        <f t="shared" si="1310"/>
        <v>-0.11233134295516156</v>
      </c>
      <c r="BM634" s="1326">
        <f t="shared" si="1310"/>
        <v>-0.26645830887819388</v>
      </c>
      <c r="BN634" s="1319">
        <f t="shared" si="1310"/>
        <v>-0.19701906006750047</v>
      </c>
      <c r="BO634" s="1320">
        <f t="shared" si="1310"/>
        <v>-0.19909507012681604</v>
      </c>
      <c r="BP634" s="1320">
        <f t="shared" si="1310"/>
        <v>-0.25276619718309867</v>
      </c>
      <c r="BQ634" s="1326">
        <f t="shared" si="1310"/>
        <v>2.0536482260613553E-3</v>
      </c>
      <c r="BR634" s="1319">
        <f t="shared" si="1310"/>
        <v>0.25981535471331396</v>
      </c>
      <c r="BS634" s="1320">
        <f t="shared" si="1310"/>
        <v>0.40955027460644078</v>
      </c>
      <c r="BT634" s="1320">
        <f t="shared" si="1310"/>
        <v>0.54225914923775198</v>
      </c>
      <c r="BU634" s="1326">
        <f t="shared" si="1310"/>
        <v>0.80425192134943657</v>
      </c>
      <c r="BV634" s="1320" t="s">
        <v>687</v>
      </c>
      <c r="BW634" s="1320" t="s">
        <v>687</v>
      </c>
      <c r="BX634" s="1320" t="s">
        <v>687</v>
      </c>
      <c r="BY634" s="1326" t="s">
        <v>687</v>
      </c>
      <c r="BZ634" s="1320" t="s">
        <v>687</v>
      </c>
      <c r="CA634" s="1320" t="s">
        <v>687</v>
      </c>
      <c r="CB634" s="1320" t="s">
        <v>687</v>
      </c>
      <c r="CC634" s="1326" t="s">
        <v>687</v>
      </c>
      <c r="CD634" s="244"/>
      <c r="CE634" s="701"/>
      <c r="CF634" s="701"/>
      <c r="CG634" s="701">
        <f t="shared" si="1316"/>
        <v>1.0798611111111112</v>
      </c>
      <c r="CH634" s="701">
        <f t="shared" si="1316"/>
        <v>0.47746243739565952</v>
      </c>
      <c r="CI634" s="701">
        <f t="shared" si="1316"/>
        <v>0.35254237288135593</v>
      </c>
      <c r="CJ634" s="701">
        <f t="shared" si="1316"/>
        <v>0.29490392648287389</v>
      </c>
      <c r="CK634" s="701">
        <f t="shared" si="1316"/>
        <v>0.18709677419354831</v>
      </c>
      <c r="CL634" s="701">
        <f t="shared" si="1316"/>
        <v>0.8168478260869565</v>
      </c>
      <c r="CM634" s="701">
        <f t="shared" si="1316"/>
        <v>8.8543224648519381E-2</v>
      </c>
      <c r="CN634" s="701">
        <f t="shared" si="1316"/>
        <v>0.43968123110744717</v>
      </c>
      <c r="CO634" s="701">
        <f t="shared" si="1316"/>
        <v>3.7220843672456594E-2</v>
      </c>
      <c r="CP634" s="701">
        <f>CP622/CO622-1</f>
        <v>0.3318439455281561</v>
      </c>
      <c r="CQ634" s="701">
        <f t="shared" si="1312"/>
        <v>0.14325350547998972</v>
      </c>
      <c r="CR634" s="701">
        <f t="shared" si="1312"/>
        <v>-1.2545322697606887E-2</v>
      </c>
      <c r="CS634" s="701">
        <f t="shared" si="1313"/>
        <v>-0.10822256493109117</v>
      </c>
      <c r="CT634" s="701">
        <f t="shared" si="1313"/>
        <v>-0.16179247872632452</v>
      </c>
      <c r="CU634" s="701">
        <f t="shared" si="1313"/>
        <v>0.75073929374932513</v>
      </c>
      <c r="CV634" s="701">
        <f t="shared" si="1313"/>
        <v>6.5318175732467232E-2</v>
      </c>
      <c r="CW634" s="701">
        <f t="shared" si="1314"/>
        <v>-6.1920554763520763E-2</v>
      </c>
      <c r="CX634" s="701">
        <f t="shared" si="1314"/>
        <v>7.2924038069256403E-2</v>
      </c>
      <c r="CY634" s="701">
        <f t="shared" si="1314"/>
        <v>3.6252265963877761E-2</v>
      </c>
      <c r="CZ634" s="701">
        <f t="shared" si="1314"/>
        <v>3.8063661605375998E-2</v>
      </c>
      <c r="DA634" s="701">
        <f t="shared" si="1314"/>
        <v>4.634747792597893E-2</v>
      </c>
      <c r="DB634" s="701">
        <f t="shared" si="1314"/>
        <v>5.0201013782605441E-2</v>
      </c>
      <c r="DC634" s="701">
        <f t="shared" si="1314"/>
        <v>5.4137204785502879E-2</v>
      </c>
      <c r="DD634" s="1517"/>
      <c r="DE634" s="1483"/>
      <c r="DF634" s="24"/>
      <c r="DG634" s="24"/>
      <c r="DH634" s="24"/>
      <c r="DI634" s="24"/>
      <c r="DJ634" s="24"/>
      <c r="DK634" s="24"/>
      <c r="DL634" s="141"/>
      <c r="DM634" s="24"/>
      <c r="DN634" s="24"/>
      <c r="DO634" s="24"/>
      <c r="DP634" s="24"/>
      <c r="DQ634" s="24"/>
      <c r="DR634" s="24"/>
      <c r="DS634" s="24"/>
      <c r="DT634" s="24"/>
      <c r="DU634" s="24"/>
      <c r="DV634" s="24"/>
      <c r="DW634" s="24"/>
      <c r="DX634" s="24"/>
      <c r="DY634" s="24"/>
      <c r="DZ634" s="1561"/>
    </row>
    <row r="635" spans="1:130" outlineLevel="1">
      <c r="A635" s="3"/>
      <c r="B635" s="208"/>
      <c r="C635" s="196"/>
      <c r="D635" s="197" t="s">
        <v>52</v>
      </c>
      <c r="E635" s="24"/>
      <c r="F635" s="988" t="s">
        <v>687</v>
      </c>
      <c r="G635" s="988" t="s">
        <v>687</v>
      </c>
      <c r="H635" s="988" t="s">
        <v>687</v>
      </c>
      <c r="I635" s="989" t="s">
        <v>687</v>
      </c>
      <c r="J635" s="988" t="s">
        <v>687</v>
      </c>
      <c r="K635" s="988" t="s">
        <v>687</v>
      </c>
      <c r="L635" s="988" t="s">
        <v>687</v>
      </c>
      <c r="M635" s="989" t="s">
        <v>687</v>
      </c>
      <c r="N635" s="988" t="s">
        <v>687</v>
      </c>
      <c r="O635" s="988" t="s">
        <v>687</v>
      </c>
      <c r="P635" s="988" t="s">
        <v>687</v>
      </c>
      <c r="Q635" s="989" t="s">
        <v>687</v>
      </c>
      <c r="R635" s="988" t="s">
        <v>687</v>
      </c>
      <c r="S635" s="988" t="s">
        <v>687</v>
      </c>
      <c r="T635" s="988" t="s">
        <v>687</v>
      </c>
      <c r="U635" s="988" t="s">
        <v>687</v>
      </c>
      <c r="V635" s="990" t="s">
        <v>687</v>
      </c>
      <c r="W635" s="988" t="s">
        <v>687</v>
      </c>
      <c r="X635" s="988" t="s">
        <v>687</v>
      </c>
      <c r="Y635" s="989" t="s">
        <v>687</v>
      </c>
      <c r="Z635" s="990" t="s">
        <v>687</v>
      </c>
      <c r="AA635" s="988" t="s">
        <v>687</v>
      </c>
      <c r="AB635" s="988" t="s">
        <v>687</v>
      </c>
      <c r="AC635" s="989" t="s">
        <v>687</v>
      </c>
      <c r="AD635" s="990" t="s">
        <v>687</v>
      </c>
      <c r="AE635" s="988" t="s">
        <v>687</v>
      </c>
      <c r="AF635" s="988" t="s">
        <v>687</v>
      </c>
      <c r="AG635" s="988" t="s">
        <v>687</v>
      </c>
      <c r="AH635" s="1092"/>
      <c r="AI635" s="1021"/>
      <c r="AJ635" s="1021"/>
      <c r="AK635" s="1021"/>
      <c r="AL635" s="1092"/>
      <c r="AM635" s="1021"/>
      <c r="AN635" s="1021"/>
      <c r="AO635" s="1021"/>
      <c r="AP635" s="1092"/>
      <c r="AQ635" s="1021"/>
      <c r="AR635" s="1021"/>
      <c r="AS635" s="1021"/>
      <c r="AT635" s="1092"/>
      <c r="AU635" s="1021"/>
      <c r="AV635" s="1021"/>
      <c r="AW635" s="1022"/>
      <c r="AX635" s="1319"/>
      <c r="AY635" s="1320"/>
      <c r="AZ635" s="1320"/>
      <c r="BA635" s="1321"/>
      <c r="BB635" s="1319"/>
      <c r="BC635" s="1320"/>
      <c r="BD635" s="1320"/>
      <c r="BE635" s="1320"/>
      <c r="BF635" s="1319"/>
      <c r="BG635" s="1320"/>
      <c r="BH635" s="1320"/>
      <c r="BI635" s="1320"/>
      <c r="BJ635" s="1319"/>
      <c r="BK635" s="1320"/>
      <c r="BL635" s="1320"/>
      <c r="BM635" s="1326"/>
      <c r="BN635" s="1319"/>
      <c r="BO635" s="1035"/>
      <c r="BP635" s="1035"/>
      <c r="BQ635" s="1321"/>
      <c r="BR635" s="1035"/>
      <c r="BS635" s="1035"/>
      <c r="BT635" s="1035"/>
      <c r="BU635" s="1321" t="s">
        <v>687</v>
      </c>
      <c r="BV635" s="1035" t="s">
        <v>687</v>
      </c>
      <c r="BW635" s="1035" t="s">
        <v>687</v>
      </c>
      <c r="BX635" s="1035" t="s">
        <v>687</v>
      </c>
      <c r="BY635" s="1321" t="s">
        <v>687</v>
      </c>
      <c r="BZ635" s="1035" t="s">
        <v>687</v>
      </c>
      <c r="CA635" s="1035" t="s">
        <v>687</v>
      </c>
      <c r="CB635" s="1035" t="s">
        <v>687</v>
      </c>
      <c r="CC635" s="1321" t="s">
        <v>687</v>
      </c>
      <c r="CD635" s="244"/>
      <c r="CE635" s="701"/>
      <c r="CF635" s="701"/>
      <c r="CG635" s="701"/>
      <c r="CH635" s="701"/>
      <c r="CI635" s="701"/>
      <c r="CJ635" s="701">
        <f t="shared" si="1316"/>
        <v>0.71428571428571419</v>
      </c>
      <c r="CK635" s="701">
        <f t="shared" si="1316"/>
        <v>0.42777777777777781</v>
      </c>
      <c r="CL635" s="701">
        <f t="shared" si="1316"/>
        <v>0.70428015564202329</v>
      </c>
      <c r="CM635" s="701">
        <f t="shared" si="1316"/>
        <v>-0.28310502283105021</v>
      </c>
      <c r="CN635" s="701">
        <f t="shared" si="1316"/>
        <v>0.47133757961783429</v>
      </c>
      <c r="CO635" s="701">
        <f t="shared" si="1316"/>
        <v>-0.33549783549783552</v>
      </c>
      <c r="CP635" s="701"/>
      <c r="CQ635" s="701"/>
      <c r="CR635" s="701"/>
      <c r="CS635" s="701"/>
      <c r="CT635" s="701"/>
      <c r="CU635" s="701"/>
      <c r="CV635" s="701"/>
      <c r="CW635" s="701"/>
      <c r="CX635" s="701"/>
      <c r="CY635" s="701"/>
      <c r="CZ635" s="701"/>
      <c r="DA635" s="701"/>
      <c r="DB635" s="701"/>
      <c r="DC635" s="701"/>
      <c r="DD635" s="1517"/>
      <c r="DE635" s="1483"/>
      <c r="DF635" s="24"/>
      <c r="DG635" s="24"/>
      <c r="DH635" s="24"/>
      <c r="DI635" s="24"/>
      <c r="DJ635" s="24"/>
      <c r="DK635" s="24"/>
      <c r="DL635" s="141"/>
      <c r="DM635" s="24"/>
      <c r="DN635" s="24"/>
      <c r="DO635" s="24"/>
      <c r="DP635" s="24"/>
      <c r="DQ635" s="24"/>
      <c r="DR635" s="24"/>
      <c r="DS635" s="24"/>
      <c r="DT635" s="24"/>
      <c r="DU635" s="24"/>
      <c r="DV635" s="24"/>
      <c r="DW635" s="24"/>
      <c r="DX635" s="24"/>
      <c r="DY635" s="24"/>
      <c r="DZ635" s="1561"/>
    </row>
    <row r="636" spans="1:130" outlineLevel="1">
      <c r="A636" s="3"/>
      <c r="B636" s="208"/>
      <c r="C636" s="196"/>
      <c r="D636" s="196"/>
      <c r="E636" s="24"/>
      <c r="F636" s="865"/>
      <c r="G636" s="865"/>
      <c r="H636" s="865"/>
      <c r="I636" s="867"/>
      <c r="J636" s="865"/>
      <c r="K636" s="865"/>
      <c r="L636" s="865"/>
      <c r="M636" s="867"/>
      <c r="N636" s="865"/>
      <c r="O636" s="865"/>
      <c r="P636" s="865"/>
      <c r="Q636" s="867"/>
      <c r="R636" s="865"/>
      <c r="S636" s="865"/>
      <c r="T636" s="865"/>
      <c r="U636" s="865"/>
      <c r="V636" s="869"/>
      <c r="W636" s="865"/>
      <c r="X636" s="865"/>
      <c r="Y636" s="867"/>
      <c r="Z636" s="869"/>
      <c r="AA636" s="865"/>
      <c r="AB636" s="865"/>
      <c r="AC636" s="867"/>
      <c r="AD636" s="869"/>
      <c r="AE636" s="865"/>
      <c r="AF636" s="865"/>
      <c r="AG636" s="865"/>
      <c r="AH636" s="869"/>
      <c r="AI636" s="865"/>
      <c r="AJ636" s="865"/>
      <c r="AK636" s="867"/>
      <c r="AL636" s="865"/>
      <c r="AM636" s="865"/>
      <c r="AN636" s="865"/>
      <c r="AO636" s="867"/>
      <c r="AP636" s="865"/>
      <c r="AQ636" s="865"/>
      <c r="AR636" s="865"/>
      <c r="AS636" s="867"/>
      <c r="AT636" s="865"/>
      <c r="AU636" s="865"/>
      <c r="AV636" s="865"/>
      <c r="AW636" s="867"/>
      <c r="AX636" s="1322"/>
      <c r="AY636" s="1322"/>
      <c r="AZ636" s="1322"/>
      <c r="BA636" s="1323"/>
      <c r="BB636" s="1322"/>
      <c r="BC636" s="1322"/>
      <c r="BD636" s="1322"/>
      <c r="BE636" s="1323"/>
      <c r="BF636" s="1322"/>
      <c r="BG636" s="1322"/>
      <c r="BH636" s="1322"/>
      <c r="BI636" s="1323"/>
      <c r="BJ636" s="1322"/>
      <c r="BK636" s="1322"/>
      <c r="BL636" s="1322"/>
      <c r="BM636" s="1323"/>
      <c r="BN636" s="1322"/>
      <c r="BO636" s="1322"/>
      <c r="BP636" s="1322"/>
      <c r="BQ636" s="1323"/>
      <c r="BR636" s="1322"/>
      <c r="BS636" s="1322"/>
      <c r="BT636" s="1322"/>
      <c r="BU636" s="1323"/>
      <c r="BV636" s="1322"/>
      <c r="BW636" s="1322"/>
      <c r="BX636" s="1322"/>
      <c r="BY636" s="1323"/>
      <c r="BZ636" s="1322"/>
      <c r="CA636" s="1322"/>
      <c r="CB636" s="1322"/>
      <c r="CC636" s="1323"/>
      <c r="CD636" s="244"/>
      <c r="CE636" s="701"/>
      <c r="CF636" s="701"/>
      <c r="CG636" s="701"/>
      <c r="CH636" s="701"/>
      <c r="CI636" s="701"/>
      <c r="CJ636" s="701"/>
      <c r="CK636" s="701"/>
      <c r="CL636" s="701"/>
      <c r="CM636" s="701"/>
      <c r="CN636" s="701"/>
      <c r="CO636" s="701"/>
      <c r="CP636" s="701"/>
      <c r="CQ636" s="701"/>
      <c r="CR636" s="701"/>
      <c r="CS636" s="701"/>
      <c r="CT636" s="701"/>
      <c r="CU636" s="701"/>
      <c r="CV636" s="701"/>
      <c r="CW636" s="701"/>
      <c r="CX636" s="701"/>
      <c r="CY636" s="701"/>
      <c r="CZ636" s="701"/>
      <c r="DA636" s="701"/>
      <c r="DB636" s="701"/>
      <c r="DC636" s="701"/>
      <c r="DD636" s="1517"/>
      <c r="DE636" s="1483"/>
      <c r="DF636" s="24"/>
      <c r="DG636" s="24"/>
      <c r="DH636" s="24"/>
      <c r="DI636" s="24"/>
      <c r="DJ636" s="24"/>
      <c r="DK636" s="24"/>
      <c r="DL636" s="141"/>
      <c r="DM636" s="24"/>
      <c r="DN636" s="24"/>
      <c r="DO636" s="24"/>
      <c r="DP636" s="24"/>
      <c r="DQ636" s="24"/>
      <c r="DR636" s="24"/>
      <c r="DS636" s="24"/>
      <c r="DT636" s="24"/>
      <c r="DU636" s="24"/>
      <c r="DV636" s="24"/>
      <c r="DW636" s="24"/>
      <c r="DX636" s="24"/>
      <c r="DY636" s="24"/>
      <c r="DZ636" s="1561"/>
    </row>
    <row r="637" spans="1:130" outlineLevel="1">
      <c r="A637" s="3"/>
      <c r="B637" s="208"/>
      <c r="C637" s="187" t="s">
        <v>974</v>
      </c>
      <c r="D637" s="196"/>
      <c r="E637" s="24"/>
      <c r="F637" s="988"/>
      <c r="G637" s="988"/>
      <c r="H637" s="988"/>
      <c r="I637" s="989"/>
      <c r="J637" s="988"/>
      <c r="K637" s="988"/>
      <c r="L637" s="988"/>
      <c r="M637" s="989"/>
      <c r="N637" s="988"/>
      <c r="O637" s="988"/>
      <c r="P637" s="988"/>
      <c r="Q637" s="989"/>
      <c r="R637" s="988"/>
      <c r="S637" s="988"/>
      <c r="T637" s="988"/>
      <c r="U637" s="988"/>
      <c r="V637" s="990"/>
      <c r="W637" s="988"/>
      <c r="X637" s="988"/>
      <c r="Y637" s="989"/>
      <c r="Z637" s="990"/>
      <c r="AA637" s="988"/>
      <c r="AB637" s="988"/>
      <c r="AC637" s="989"/>
      <c r="AD637" s="990"/>
      <c r="AE637" s="988"/>
      <c r="AF637" s="988"/>
      <c r="AG637" s="988"/>
      <c r="AH637" s="990"/>
      <c r="AI637" s="988"/>
      <c r="AJ637" s="988"/>
      <c r="AK637" s="989"/>
      <c r="AL637" s="988"/>
      <c r="AM637" s="988"/>
      <c r="AN637" s="988"/>
      <c r="AO637" s="989"/>
      <c r="AP637" s="988"/>
      <c r="AQ637" s="988"/>
      <c r="AR637" s="988"/>
      <c r="AS637" s="989"/>
      <c r="AT637" s="988"/>
      <c r="AU637" s="988"/>
      <c r="AV637" s="988"/>
      <c r="AW637" s="989"/>
      <c r="AX637" s="1035"/>
      <c r="AY637" s="1035"/>
      <c r="AZ637" s="1035"/>
      <c r="BA637" s="1321"/>
      <c r="BB637" s="1035"/>
      <c r="BC637" s="1035"/>
      <c r="BD637" s="1035"/>
      <c r="BE637" s="1321"/>
      <c r="BF637" s="1035"/>
      <c r="BG637" s="1035"/>
      <c r="BH637" s="1035"/>
      <c r="BI637" s="1321"/>
      <c r="BJ637" s="1035"/>
      <c r="BK637" s="1035"/>
      <c r="BL637" s="1035"/>
      <c r="BM637" s="1321"/>
      <c r="BN637" s="1035"/>
      <c r="BO637" s="1035"/>
      <c r="BP637" s="1035"/>
      <c r="BQ637" s="1321"/>
      <c r="BR637" s="2165" t="s">
        <v>975</v>
      </c>
      <c r="BS637" s="1035"/>
      <c r="BT637" s="1035"/>
      <c r="BU637" s="1321"/>
      <c r="BV637" s="1035"/>
      <c r="BW637" s="1035"/>
      <c r="BX637" s="1035"/>
      <c r="BY637" s="1321"/>
      <c r="BZ637" s="1035"/>
      <c r="CA637" s="1035"/>
      <c r="CB637" s="1035"/>
      <c r="CC637" s="1321"/>
      <c r="CD637" s="244"/>
      <c r="CE637" s="701"/>
      <c r="CF637" s="701"/>
      <c r="CG637" s="701"/>
      <c r="CH637" s="701"/>
      <c r="CI637" s="701"/>
      <c r="CJ637" s="701"/>
      <c r="CK637" s="701"/>
      <c r="CL637" s="701"/>
      <c r="CM637" s="701"/>
      <c r="CN637" s="701"/>
      <c r="CO637" s="701"/>
      <c r="CP637" s="701"/>
      <c r="CQ637" s="701"/>
      <c r="CR637" s="701"/>
      <c r="CS637" s="701"/>
      <c r="CT637" s="701"/>
      <c r="CU637" s="701"/>
      <c r="CV637" s="701"/>
      <c r="CW637" s="701"/>
      <c r="CX637" s="701"/>
      <c r="CY637" s="701"/>
      <c r="CZ637" s="701"/>
      <c r="DA637" s="701"/>
      <c r="DB637" s="701"/>
      <c r="DC637" s="701"/>
      <c r="DD637" s="1517"/>
      <c r="DE637" s="1483"/>
      <c r="DF637" s="24"/>
      <c r="DG637" s="24"/>
      <c r="DH637" s="24"/>
      <c r="DI637" s="24"/>
      <c r="DJ637" s="24"/>
      <c r="DK637" s="24"/>
      <c r="DL637" s="141"/>
      <c r="DM637" s="24"/>
      <c r="DN637" s="24"/>
      <c r="DO637" s="24"/>
      <c r="DP637" s="24"/>
      <c r="DQ637" s="24"/>
      <c r="DR637" s="24"/>
      <c r="DS637" s="24"/>
      <c r="DT637" s="24"/>
      <c r="DU637" s="24"/>
      <c r="DV637" s="24"/>
      <c r="DW637" s="24"/>
      <c r="DX637" s="24"/>
      <c r="DY637" s="24"/>
      <c r="DZ637" s="1561"/>
    </row>
    <row r="638" spans="1:130" outlineLevel="1">
      <c r="A638" s="3"/>
      <c r="B638" s="208"/>
      <c r="C638" s="196"/>
      <c r="D638" s="196" t="s">
        <v>943</v>
      </c>
      <c r="E638" s="24"/>
      <c r="F638" s="988"/>
      <c r="G638" s="988"/>
      <c r="H638" s="988"/>
      <c r="I638" s="989"/>
      <c r="J638" s="988"/>
      <c r="K638" s="988"/>
      <c r="L638" s="988"/>
      <c r="M638" s="989"/>
      <c r="N638" s="988"/>
      <c r="O638" s="988"/>
      <c r="P638" s="988"/>
      <c r="Q638" s="989">
        <v>0.52</v>
      </c>
      <c r="R638" s="988">
        <v>0.53</v>
      </c>
      <c r="S638" s="988">
        <v>0.51</v>
      </c>
      <c r="T638" s="988">
        <v>0.49</v>
      </c>
      <c r="U638" s="988">
        <v>0.53</v>
      </c>
      <c r="V638" s="990">
        <v>0.59</v>
      </c>
      <c r="W638" s="988">
        <v>0.57999999999999996</v>
      </c>
      <c r="X638" s="988">
        <v>0.56000000000000005</v>
      </c>
      <c r="Y638" s="989">
        <v>0.56999999999999995</v>
      </c>
      <c r="Z638" s="990">
        <v>0.55000000000000004</v>
      </c>
      <c r="AA638" s="988">
        <v>0.56000000000000005</v>
      </c>
      <c r="AB638" s="988">
        <v>0.53</v>
      </c>
      <c r="AC638" s="989">
        <v>0.54</v>
      </c>
      <c r="AD638" s="990">
        <v>0.52</v>
      </c>
      <c r="AE638" s="988">
        <v>0.46</v>
      </c>
      <c r="AF638" s="988">
        <v>0.47</v>
      </c>
      <c r="AG638" s="988">
        <v>0.47</v>
      </c>
      <c r="AH638" s="990">
        <v>0.51</v>
      </c>
      <c r="AI638" s="988">
        <v>0.48</v>
      </c>
      <c r="AJ638" s="988">
        <v>0.5</v>
      </c>
      <c r="AK638" s="989">
        <v>0.56999999999999995</v>
      </c>
      <c r="AL638" s="988">
        <v>0.56000000000000005</v>
      </c>
      <c r="AM638" s="988">
        <v>0.56999999999999995</v>
      </c>
      <c r="AN638" s="988">
        <v>0.48</v>
      </c>
      <c r="AO638" s="989">
        <v>0.54</v>
      </c>
      <c r="AP638" s="988">
        <v>0.52</v>
      </c>
      <c r="AQ638" s="988">
        <v>0.48</v>
      </c>
      <c r="AR638" s="988">
        <v>0.49</v>
      </c>
      <c r="AS638" s="989">
        <v>0.54</v>
      </c>
      <c r="AT638" s="988">
        <v>0.5</v>
      </c>
      <c r="AU638" s="988">
        <v>0.45</v>
      </c>
      <c r="AV638" s="988">
        <v>0.47</v>
      </c>
      <c r="AW638" s="989">
        <v>0.55000000000000004</v>
      </c>
      <c r="AX638" s="1035">
        <v>0.53</v>
      </c>
      <c r="AY638" s="1035">
        <v>0.59</v>
      </c>
      <c r="AZ638" s="1035">
        <v>0.64</v>
      </c>
      <c r="BA638" s="1321">
        <v>0.69</v>
      </c>
      <c r="BB638" s="1035">
        <v>0.63</v>
      </c>
      <c r="BC638" s="1035">
        <v>0.61</v>
      </c>
      <c r="BD638" s="1035">
        <v>0.6</v>
      </c>
      <c r="BE638" s="1321">
        <v>0.66</v>
      </c>
      <c r="BF638" s="1035">
        <v>0.64</v>
      </c>
      <c r="BG638" s="1035">
        <v>0.62</v>
      </c>
      <c r="BH638" s="1035">
        <v>0.62</v>
      </c>
      <c r="BI638" s="1321">
        <v>0.65</v>
      </c>
      <c r="BJ638" s="1035">
        <v>0.63</v>
      </c>
      <c r="BK638" s="1035">
        <v>0.63</v>
      </c>
      <c r="BL638" s="1035">
        <v>0.64</v>
      </c>
      <c r="BM638" s="1321">
        <v>0.67</v>
      </c>
      <c r="BN638" s="1035">
        <v>0.67</v>
      </c>
      <c r="BO638" s="1035">
        <v>0.65</v>
      </c>
      <c r="BP638" s="1035">
        <v>0.66</v>
      </c>
      <c r="BQ638" s="1321">
        <v>0.63</v>
      </c>
      <c r="BR638" s="1035">
        <v>0.64</v>
      </c>
      <c r="BS638" s="1320">
        <f t="shared" ref="BS638:BU640" si="1318">BS12/BS$11</f>
        <v>0.49468085106382981</v>
      </c>
      <c r="BT638" s="1320">
        <f t="shared" si="1318"/>
        <v>0.49860184986018496</v>
      </c>
      <c r="BU638" s="1326">
        <f t="shared" si="1318"/>
        <v>0.49772821148285834</v>
      </c>
      <c r="BV638" s="1035"/>
      <c r="BW638" s="1035"/>
      <c r="BX638" s="1035"/>
      <c r="BY638" s="1321"/>
      <c r="BZ638" s="1035"/>
      <c r="CA638" s="1035"/>
      <c r="CB638" s="1035"/>
      <c r="CC638" s="1321"/>
      <c r="CD638" s="244"/>
      <c r="CE638" s="701"/>
      <c r="CF638" s="701"/>
      <c r="CG638" s="701"/>
      <c r="CH638" s="701"/>
      <c r="CI638" s="701"/>
      <c r="CJ638" s="350">
        <v>0.54</v>
      </c>
      <c r="CK638" s="350">
        <v>0.48</v>
      </c>
      <c r="CL638" s="350">
        <v>0.51</v>
      </c>
      <c r="CM638" s="350">
        <v>0.54</v>
      </c>
      <c r="CN638" s="350">
        <v>0.51</v>
      </c>
      <c r="CO638" s="350">
        <v>0.49</v>
      </c>
      <c r="CP638" s="350">
        <v>0.63</v>
      </c>
      <c r="CQ638" s="350">
        <v>0.63</v>
      </c>
      <c r="CR638" s="350">
        <v>0.63</v>
      </c>
      <c r="CS638" s="701"/>
      <c r="CT638" s="701"/>
      <c r="CU638" s="701"/>
      <c r="CV638" s="701"/>
      <c r="CW638" s="701"/>
      <c r="CX638" s="701"/>
      <c r="CY638" s="701"/>
      <c r="CZ638" s="701"/>
      <c r="DA638" s="701"/>
      <c r="DB638" s="701"/>
      <c r="DC638" s="701"/>
      <c r="DD638" s="1517"/>
      <c r="DE638" s="1483"/>
      <c r="DF638" s="24"/>
      <c r="DG638" s="24"/>
      <c r="DH638" s="24"/>
      <c r="DI638" s="24"/>
      <c r="DJ638" s="24"/>
      <c r="DK638" s="24"/>
      <c r="DL638" s="141"/>
      <c r="DM638" s="24"/>
      <c r="DN638" s="24"/>
      <c r="DO638" s="24"/>
      <c r="DP638" s="24"/>
      <c r="DQ638" s="24"/>
      <c r="DR638" s="24"/>
      <c r="DS638" s="24"/>
      <c r="DT638" s="24"/>
      <c r="DU638" s="24"/>
      <c r="DV638" s="24"/>
      <c r="DW638" s="24"/>
      <c r="DX638" s="24"/>
      <c r="DY638" s="24"/>
      <c r="DZ638" s="1561"/>
    </row>
    <row r="639" spans="1:130" outlineLevel="1">
      <c r="A639" s="3"/>
      <c r="B639" s="208"/>
      <c r="C639" s="196"/>
      <c r="D639" s="196" t="s">
        <v>944</v>
      </c>
      <c r="E639" s="24"/>
      <c r="F639" s="988"/>
      <c r="G639" s="988"/>
      <c r="H639" s="988"/>
      <c r="I639" s="989"/>
      <c r="J639" s="988"/>
      <c r="K639" s="988"/>
      <c r="L639" s="988"/>
      <c r="M639" s="989"/>
      <c r="N639" s="988"/>
      <c r="O639" s="988"/>
      <c r="P639" s="988"/>
      <c r="Q639" s="989">
        <v>0.41</v>
      </c>
      <c r="R639" s="988">
        <v>0.4</v>
      </c>
      <c r="S639" s="988">
        <v>0.43</v>
      </c>
      <c r="T639" s="988">
        <v>0.43</v>
      </c>
      <c r="U639" s="988">
        <v>0.41</v>
      </c>
      <c r="V639" s="990">
        <v>0.35</v>
      </c>
      <c r="W639" s="988">
        <v>0.35</v>
      </c>
      <c r="X639" s="988">
        <v>0.37</v>
      </c>
      <c r="Y639" s="989">
        <v>0.38</v>
      </c>
      <c r="Z639" s="990">
        <v>0.39</v>
      </c>
      <c r="AA639" s="988">
        <v>0.39</v>
      </c>
      <c r="AB639" s="988">
        <v>0.4</v>
      </c>
      <c r="AC639" s="989">
        <v>0.37</v>
      </c>
      <c r="AD639" s="990">
        <v>0.37</v>
      </c>
      <c r="AE639" s="988">
        <v>0.37</v>
      </c>
      <c r="AF639" s="988">
        <v>0.34</v>
      </c>
      <c r="AG639" s="988">
        <v>0.36</v>
      </c>
      <c r="AH639" s="990">
        <v>0.31</v>
      </c>
      <c r="AI639" s="988">
        <v>0.34</v>
      </c>
      <c r="AJ639" s="988">
        <v>0.34</v>
      </c>
      <c r="AK639" s="989">
        <v>0.24</v>
      </c>
      <c r="AL639" s="988">
        <v>0.26</v>
      </c>
      <c r="AM639" s="988">
        <v>0.21</v>
      </c>
      <c r="AN639" s="988">
        <v>0.3</v>
      </c>
      <c r="AO639" s="989">
        <v>0.28999999999999998</v>
      </c>
      <c r="AP639" s="988">
        <v>0.31</v>
      </c>
      <c r="AQ639" s="988">
        <v>0.3</v>
      </c>
      <c r="AR639" s="988">
        <v>0.33</v>
      </c>
      <c r="AS639" s="989">
        <v>0.28999999999999998</v>
      </c>
      <c r="AT639" s="988">
        <v>0.32</v>
      </c>
      <c r="AU639" s="988">
        <v>0.33</v>
      </c>
      <c r="AV639" s="988">
        <v>0.33</v>
      </c>
      <c r="AW639" s="989">
        <v>0.28999999999999998</v>
      </c>
      <c r="AX639" s="1035">
        <v>0.28999999999999998</v>
      </c>
      <c r="AY639" s="1035">
        <v>0.25</v>
      </c>
      <c r="AZ639" s="1035">
        <v>0.28000000000000003</v>
      </c>
      <c r="BA639" s="1321">
        <v>0.21</v>
      </c>
      <c r="BB639" s="1035">
        <v>0.24</v>
      </c>
      <c r="BC639" s="1035">
        <v>0.24</v>
      </c>
      <c r="BD639" s="1035">
        <v>0.26</v>
      </c>
      <c r="BE639" s="1321">
        <v>0.23</v>
      </c>
      <c r="BF639" s="1035">
        <v>0.24</v>
      </c>
      <c r="BG639" s="1035">
        <v>0.24</v>
      </c>
      <c r="BH639" s="1035">
        <v>0.25</v>
      </c>
      <c r="BI639" s="1321">
        <v>0.23</v>
      </c>
      <c r="BJ639" s="1035">
        <v>0.24</v>
      </c>
      <c r="BK639" s="1035">
        <v>0.23</v>
      </c>
      <c r="BL639" s="1035">
        <v>0.23</v>
      </c>
      <c r="BM639" s="1321">
        <v>0.21</v>
      </c>
      <c r="BN639" s="1035">
        <v>0.21</v>
      </c>
      <c r="BO639" s="1035">
        <v>0.21</v>
      </c>
      <c r="BP639" s="1035">
        <v>0.22</v>
      </c>
      <c r="BQ639" s="1321">
        <v>0.19</v>
      </c>
      <c r="BR639" s="1035">
        <v>0.17</v>
      </c>
      <c r="BS639" s="1320">
        <f t="shared" si="1318"/>
        <v>0.22013093289689034</v>
      </c>
      <c r="BT639" s="1320">
        <f t="shared" si="1318"/>
        <v>0.21574532157453216</v>
      </c>
      <c r="BU639" s="1326">
        <f t="shared" si="1318"/>
        <v>0.20921106980586535</v>
      </c>
      <c r="BV639" s="1035"/>
      <c r="BW639" s="1035"/>
      <c r="BX639" s="1035"/>
      <c r="BY639" s="1321"/>
      <c r="BZ639" s="1035"/>
      <c r="CA639" s="1035"/>
      <c r="CB639" s="1035"/>
      <c r="CC639" s="1321"/>
      <c r="CD639" s="244"/>
      <c r="CE639" s="701"/>
      <c r="CF639" s="701"/>
      <c r="CG639" s="701"/>
      <c r="CH639" s="701"/>
      <c r="CI639" s="701"/>
      <c r="CJ639" s="350">
        <v>0.39</v>
      </c>
      <c r="CK639" s="350">
        <v>0.36</v>
      </c>
      <c r="CL639" s="350">
        <v>0.31</v>
      </c>
      <c r="CM639" s="350">
        <v>0.26</v>
      </c>
      <c r="CN639" s="350">
        <v>0.31</v>
      </c>
      <c r="CO639" s="350">
        <v>0.32</v>
      </c>
      <c r="CP639" s="350">
        <v>0.25</v>
      </c>
      <c r="CQ639" s="350">
        <v>0.24</v>
      </c>
      <c r="CR639" s="350">
        <v>0.24</v>
      </c>
      <c r="CS639" s="701"/>
      <c r="CT639" s="701"/>
      <c r="CU639" s="701"/>
      <c r="CV639" s="701"/>
      <c r="CW639" s="701"/>
      <c r="CX639" s="701"/>
      <c r="CY639" s="701"/>
      <c r="CZ639" s="701"/>
      <c r="DA639" s="701"/>
      <c r="DB639" s="701"/>
      <c r="DC639" s="701"/>
      <c r="DD639" s="1517"/>
      <c r="DE639" s="1483"/>
      <c r="DF639" s="24"/>
      <c r="DG639" s="24"/>
      <c r="DH639" s="24"/>
      <c r="DI639" s="24"/>
      <c r="DJ639" s="24"/>
      <c r="DK639" s="24"/>
      <c r="DL639" s="141"/>
      <c r="DM639" s="24"/>
      <c r="DN639" s="24"/>
      <c r="DO639" s="24"/>
      <c r="DP639" s="24"/>
      <c r="DQ639" s="24"/>
      <c r="DR639" s="24"/>
      <c r="DS639" s="24"/>
      <c r="DT639" s="24"/>
      <c r="DU639" s="24"/>
      <c r="DV639" s="24"/>
      <c r="DW639" s="24"/>
      <c r="DX639" s="24"/>
      <c r="DY639" s="24"/>
      <c r="DZ639" s="1561"/>
    </row>
    <row r="640" spans="1:130" outlineLevel="1">
      <c r="A640" s="3"/>
      <c r="B640" s="208"/>
      <c r="C640" s="196"/>
      <c r="D640" s="196" t="s">
        <v>969</v>
      </c>
      <c r="E640" s="24"/>
      <c r="F640" s="988"/>
      <c r="G640" s="988"/>
      <c r="H640" s="988"/>
      <c r="I640" s="989"/>
      <c r="J640" s="988"/>
      <c r="K640" s="988"/>
      <c r="L640" s="988"/>
      <c r="M640" s="989"/>
      <c r="N640" s="988"/>
      <c r="O640" s="988"/>
      <c r="P640" s="988"/>
      <c r="Q640" s="989">
        <v>7.0000000000000007E-2</v>
      </c>
      <c r="R640" s="988">
        <v>7.0000000000000007E-2</v>
      </c>
      <c r="S640" s="988">
        <v>0.06</v>
      </c>
      <c r="T640" s="988">
        <v>0.08</v>
      </c>
      <c r="U640" s="988">
        <v>0.06</v>
      </c>
      <c r="V640" s="990">
        <v>0.06</v>
      </c>
      <c r="W640" s="988">
        <v>7.0000000000000007E-2</v>
      </c>
      <c r="X640" s="988">
        <v>7.0000000000000007E-2</v>
      </c>
      <c r="Y640" s="989">
        <v>0.05</v>
      </c>
      <c r="Z640" s="990">
        <v>0.06</v>
      </c>
      <c r="AA640" s="988">
        <v>0.05</v>
      </c>
      <c r="AB640" s="988">
        <v>7.0000000000000007E-2</v>
      </c>
      <c r="AC640" s="989">
        <v>0.09</v>
      </c>
      <c r="AD640" s="990">
        <v>0.11</v>
      </c>
      <c r="AE640" s="988">
        <v>0.17</v>
      </c>
      <c r="AF640" s="988">
        <v>0.19</v>
      </c>
      <c r="AG640" s="988">
        <v>0.17</v>
      </c>
      <c r="AH640" s="990">
        <v>0.18</v>
      </c>
      <c r="AI640" s="988">
        <v>0.18</v>
      </c>
      <c r="AJ640" s="988">
        <v>0.16</v>
      </c>
      <c r="AK640" s="989">
        <v>0.19</v>
      </c>
      <c r="AL640" s="988">
        <v>0.18</v>
      </c>
      <c r="AM640" s="988">
        <v>0.22</v>
      </c>
      <c r="AN640" s="988">
        <v>0.22</v>
      </c>
      <c r="AO640" s="989">
        <v>0.17</v>
      </c>
      <c r="AP640" s="988">
        <v>0.17</v>
      </c>
      <c r="AQ640" s="988">
        <v>0.22</v>
      </c>
      <c r="AR640" s="988">
        <v>0.18</v>
      </c>
      <c r="AS640" s="989">
        <v>0.17</v>
      </c>
      <c r="AT640" s="988">
        <v>0.18</v>
      </c>
      <c r="AU640" s="988">
        <v>0.22</v>
      </c>
      <c r="AV640" s="988">
        <v>0.2</v>
      </c>
      <c r="AW640" s="989">
        <v>0.16</v>
      </c>
      <c r="AX640" s="1035">
        <v>0.18</v>
      </c>
      <c r="AY640" s="1035">
        <v>0.16</v>
      </c>
      <c r="AZ640" s="1035">
        <v>0.08</v>
      </c>
      <c r="BA640" s="1321">
        <v>0.1</v>
      </c>
      <c r="BB640" s="1035">
        <v>0.13</v>
      </c>
      <c r="BC640" s="1035">
        <v>0.15</v>
      </c>
      <c r="BD640" s="1035">
        <v>0.14000000000000001</v>
      </c>
      <c r="BE640" s="1321">
        <v>0.11</v>
      </c>
      <c r="BF640" s="1035">
        <v>0.12</v>
      </c>
      <c r="BG640" s="1035">
        <v>0.14000000000000001</v>
      </c>
      <c r="BH640" s="1035">
        <v>0.13</v>
      </c>
      <c r="BI640" s="1321">
        <v>0.12</v>
      </c>
      <c r="BJ640" s="1035">
        <v>0.13</v>
      </c>
      <c r="BK640" s="1035">
        <v>0.14000000000000001</v>
      </c>
      <c r="BL640" s="1035">
        <v>0.13</v>
      </c>
      <c r="BM640" s="1321">
        <v>0.12</v>
      </c>
      <c r="BN640" s="1035">
        <v>0.12</v>
      </c>
      <c r="BO640" s="1035">
        <v>0.14000000000000001</v>
      </c>
      <c r="BP640" s="1035">
        <v>0.12</v>
      </c>
      <c r="BQ640" s="1321">
        <v>0.18</v>
      </c>
      <c r="BR640" s="1035">
        <v>0.19</v>
      </c>
      <c r="BS640" s="1320">
        <f t="shared" si="1318"/>
        <v>0.28518821603927985</v>
      </c>
      <c r="BT640" s="1320">
        <f t="shared" si="1318"/>
        <v>0.28565282856528285</v>
      </c>
      <c r="BU640" s="1326">
        <f t="shared" si="1318"/>
        <v>0.29306071871127631</v>
      </c>
      <c r="BV640" s="1035"/>
      <c r="BW640" s="1035"/>
      <c r="BX640" s="1035"/>
      <c r="BY640" s="1321"/>
      <c r="BZ640" s="1035"/>
      <c r="CA640" s="1035"/>
      <c r="CB640" s="1035"/>
      <c r="CC640" s="1321"/>
      <c r="CD640" s="244"/>
      <c r="CE640" s="701"/>
      <c r="CF640" s="701"/>
      <c r="CG640" s="701"/>
      <c r="CH640" s="701"/>
      <c r="CI640" s="701"/>
      <c r="CJ640" s="350">
        <v>7.0000000000000007E-2</v>
      </c>
      <c r="CK640" s="350">
        <v>0.16</v>
      </c>
      <c r="CL640" s="350">
        <v>0.18</v>
      </c>
      <c r="CM640" s="350">
        <v>0.2</v>
      </c>
      <c r="CN640" s="350">
        <v>0.18</v>
      </c>
      <c r="CO640" s="350">
        <v>0.19</v>
      </c>
      <c r="CP640" s="350">
        <v>0.12</v>
      </c>
      <c r="CQ640" s="350">
        <v>0.13</v>
      </c>
      <c r="CR640" s="350">
        <v>0.13</v>
      </c>
      <c r="CS640" s="701"/>
      <c r="CT640" s="701"/>
      <c r="CU640" s="701"/>
      <c r="CV640" s="701"/>
      <c r="CW640" s="701"/>
      <c r="CX640" s="701"/>
      <c r="CY640" s="701"/>
      <c r="CZ640" s="701"/>
      <c r="DA640" s="701"/>
      <c r="DB640" s="701"/>
      <c r="DC640" s="701"/>
      <c r="DD640" s="1517"/>
      <c r="DE640" s="1483"/>
      <c r="DF640" s="24"/>
      <c r="DG640" s="24"/>
      <c r="DH640" s="24"/>
      <c r="DI640" s="24"/>
      <c r="DJ640" s="24"/>
      <c r="DK640" s="24"/>
      <c r="DL640" s="141"/>
      <c r="DM640" s="24"/>
      <c r="DN640" s="24"/>
      <c r="DO640" s="24"/>
      <c r="DP640" s="24"/>
      <c r="DQ640" s="24"/>
      <c r="DR640" s="24"/>
      <c r="DS640" s="24"/>
      <c r="DT640" s="24"/>
      <c r="DU640" s="24"/>
      <c r="DV640" s="24"/>
      <c r="DW640" s="24"/>
      <c r="DX640" s="24"/>
      <c r="DY640" s="24"/>
      <c r="DZ640" s="1561"/>
    </row>
    <row r="641" spans="1:130" outlineLevel="1">
      <c r="A641" s="3"/>
      <c r="B641" s="208"/>
      <c r="C641" s="196"/>
      <c r="D641" s="196"/>
      <c r="E641" s="24"/>
      <c r="F641" s="988"/>
      <c r="G641" s="988"/>
      <c r="H641" s="988"/>
      <c r="I641" s="989"/>
      <c r="J641" s="988"/>
      <c r="K641" s="988"/>
      <c r="L641" s="988"/>
      <c r="M641" s="989"/>
      <c r="N641" s="988"/>
      <c r="O641" s="988"/>
      <c r="P641" s="988"/>
      <c r="Q641" s="989"/>
      <c r="R641" s="988"/>
      <c r="S641" s="988"/>
      <c r="T641" s="988"/>
      <c r="U641" s="988"/>
      <c r="V641" s="990"/>
      <c r="W641" s="988"/>
      <c r="X641" s="988"/>
      <c r="Y641" s="989"/>
      <c r="Z641" s="990"/>
      <c r="AA641" s="988"/>
      <c r="AB641" s="988"/>
      <c r="AC641" s="989"/>
      <c r="AD641" s="990"/>
      <c r="AE641" s="988"/>
      <c r="AF641" s="988"/>
      <c r="AG641" s="988"/>
      <c r="AH641" s="990"/>
      <c r="AI641" s="988"/>
      <c r="AJ641" s="988"/>
      <c r="AK641" s="989"/>
      <c r="AL641" s="988"/>
      <c r="AM641" s="988"/>
      <c r="AN641" s="988"/>
      <c r="AO641" s="989"/>
      <c r="AP641" s="988"/>
      <c r="AQ641" s="988"/>
      <c r="AR641" s="988"/>
      <c r="AS641" s="989"/>
      <c r="AT641" s="988"/>
      <c r="AU641" s="988"/>
      <c r="AV641" s="988"/>
      <c r="AW641" s="989"/>
      <c r="AX641" s="1035"/>
      <c r="AY641" s="1035"/>
      <c r="AZ641" s="1035"/>
      <c r="BA641" s="1321"/>
      <c r="BB641" s="1035"/>
      <c r="BC641" s="1035"/>
      <c r="BD641" s="1035"/>
      <c r="BE641" s="1321"/>
      <c r="BF641" s="1035"/>
      <c r="BG641" s="1035"/>
      <c r="BH641" s="1035"/>
      <c r="BI641" s="1321"/>
      <c r="BJ641" s="1035"/>
      <c r="BK641" s="1035"/>
      <c r="BL641" s="1035"/>
      <c r="BM641" s="1321"/>
      <c r="BN641" s="1035"/>
      <c r="BO641" s="1035"/>
      <c r="BP641" s="1035"/>
      <c r="BQ641" s="1321"/>
      <c r="BR641" s="1035"/>
      <c r="BS641" s="1035"/>
      <c r="BT641" s="1035"/>
      <c r="BU641" s="1321"/>
      <c r="BV641" s="1035"/>
      <c r="BW641" s="1035"/>
      <c r="BX641" s="1035"/>
      <c r="BY641" s="1321"/>
      <c r="BZ641" s="1035"/>
      <c r="CA641" s="1035"/>
      <c r="CB641" s="1035"/>
      <c r="CC641" s="1321"/>
      <c r="CD641" s="244"/>
      <c r="CE641" s="701"/>
      <c r="CF641" s="701"/>
      <c r="CG641" s="701"/>
      <c r="CH641" s="701"/>
      <c r="CI641" s="701"/>
      <c r="CJ641" s="701"/>
      <c r="CK641" s="701"/>
      <c r="CL641" s="701"/>
      <c r="CM641" s="350"/>
      <c r="CN641" s="350"/>
      <c r="CO641" s="350"/>
      <c r="CP641" s="701"/>
      <c r="CQ641" s="701"/>
      <c r="CR641" s="701"/>
      <c r="CS641" s="701"/>
      <c r="CT641" s="701"/>
      <c r="CU641" s="701"/>
      <c r="CV641" s="701"/>
      <c r="CW641" s="701"/>
      <c r="CX641" s="701"/>
      <c r="CY641" s="701"/>
      <c r="CZ641" s="701"/>
      <c r="DA641" s="701"/>
      <c r="DB641" s="701"/>
      <c r="DC641" s="701"/>
      <c r="DD641" s="1517"/>
      <c r="DE641" s="1483"/>
      <c r="DF641" s="24"/>
      <c r="DG641" s="24"/>
      <c r="DH641" s="24"/>
      <c r="DI641" s="24"/>
      <c r="DJ641" s="24"/>
      <c r="DK641" s="24"/>
      <c r="DL641" s="141"/>
      <c r="DM641" s="24"/>
      <c r="DN641" s="24"/>
      <c r="DO641" s="24"/>
      <c r="DP641" s="24"/>
      <c r="DQ641" s="24"/>
      <c r="DR641" s="24"/>
      <c r="DS641" s="24"/>
      <c r="DT641" s="24"/>
      <c r="DU641" s="24"/>
      <c r="DV641" s="24"/>
      <c r="DW641" s="24"/>
      <c r="DX641" s="24"/>
      <c r="DY641" s="24"/>
      <c r="DZ641" s="1561"/>
    </row>
    <row r="642" spans="1:130" outlineLevel="1">
      <c r="A642" s="3"/>
      <c r="B642" s="208"/>
      <c r="C642" s="187" t="s">
        <v>642</v>
      </c>
      <c r="D642" s="196"/>
      <c r="E642" s="24"/>
      <c r="F642" s="988"/>
      <c r="G642" s="988"/>
      <c r="H642" s="988"/>
      <c r="I642" s="989"/>
      <c r="J642" s="988"/>
      <c r="K642" s="988"/>
      <c r="L642" s="988"/>
      <c r="M642" s="989"/>
      <c r="N642" s="988"/>
      <c r="O642" s="988"/>
      <c r="P642" s="988"/>
      <c r="Q642" s="989"/>
      <c r="R642" s="988"/>
      <c r="S642" s="988"/>
      <c r="T642" s="988"/>
      <c r="U642" s="988"/>
      <c r="V642" s="990"/>
      <c r="W642" s="988"/>
      <c r="X642" s="988"/>
      <c r="Y642" s="989"/>
      <c r="Z642" s="990"/>
      <c r="AA642" s="988"/>
      <c r="AB642" s="988"/>
      <c r="AC642" s="989"/>
      <c r="AD642" s="990"/>
      <c r="AE642" s="988"/>
      <c r="AF642" s="988"/>
      <c r="AG642" s="988"/>
      <c r="AH642" s="990"/>
      <c r="AI642" s="988"/>
      <c r="AJ642" s="988"/>
      <c r="AK642" s="989"/>
      <c r="AL642" s="988"/>
      <c r="AM642" s="988"/>
      <c r="AN642" s="988"/>
      <c r="AO642" s="989"/>
      <c r="AP642" s="988"/>
      <c r="AQ642" s="988"/>
      <c r="AR642" s="988"/>
      <c r="AS642" s="989"/>
      <c r="AT642" s="988"/>
      <c r="AU642" s="988"/>
      <c r="AV642" s="988"/>
      <c r="AW642" s="989"/>
      <c r="AX642" s="1035"/>
      <c r="AY642" s="1035"/>
      <c r="AZ642" s="1035"/>
      <c r="BA642" s="1321"/>
      <c r="BB642" s="1035"/>
      <c r="BC642" s="1035"/>
      <c r="BD642" s="1035"/>
      <c r="BE642" s="1321"/>
      <c r="BF642" s="1035"/>
      <c r="BG642" s="1035"/>
      <c r="BH642" s="1035"/>
      <c r="BI642" s="1321"/>
      <c r="BJ642" s="1035"/>
      <c r="BK642" s="1035"/>
      <c r="BL642" s="1035"/>
      <c r="BM642" s="1321"/>
      <c r="BN642" s="1035"/>
      <c r="BO642" s="1035"/>
      <c r="BP642" s="1035"/>
      <c r="BQ642" s="1321"/>
      <c r="BR642" s="1035"/>
      <c r="BS642" s="1035"/>
      <c r="BT642" s="1035"/>
      <c r="BU642" s="1321"/>
      <c r="BV642" s="1035"/>
      <c r="BW642" s="1035"/>
      <c r="BX642" s="1035"/>
      <c r="BY642" s="1321"/>
      <c r="BZ642" s="1035"/>
      <c r="CA642" s="1035"/>
      <c r="CB642" s="1035"/>
      <c r="CC642" s="1321"/>
      <c r="CD642" s="244"/>
      <c r="CE642" s="701"/>
      <c r="CF642" s="701"/>
      <c r="CG642" s="701"/>
      <c r="CH642" s="701"/>
      <c r="CI642" s="701"/>
      <c r="CJ642" s="701"/>
      <c r="CK642" s="701"/>
      <c r="CL642" s="701"/>
      <c r="CM642" s="350"/>
      <c r="CN642" s="350"/>
      <c r="CO642" s="350"/>
      <c r="CP642" s="701"/>
      <c r="CQ642" s="701"/>
      <c r="CR642" s="701"/>
      <c r="CS642" s="701"/>
      <c r="CT642" s="701"/>
      <c r="CU642" s="701"/>
      <c r="CV642" s="701"/>
      <c r="CW642" s="701"/>
      <c r="CX642" s="701"/>
      <c r="CY642" s="701"/>
      <c r="CZ642" s="701"/>
      <c r="DA642" s="701"/>
      <c r="DB642" s="701"/>
      <c r="DC642" s="701"/>
      <c r="DD642" s="1517"/>
      <c r="DE642" s="1483"/>
      <c r="DF642" s="24"/>
      <c r="DG642" s="24"/>
      <c r="DH642" s="24"/>
      <c r="DI642" s="24"/>
      <c r="DJ642" s="24"/>
      <c r="DK642" s="24"/>
      <c r="DL642" s="141"/>
      <c r="DM642" s="24"/>
      <c r="DN642" s="24"/>
      <c r="DO642" s="24"/>
      <c r="DP642" s="24"/>
      <c r="DQ642" s="24"/>
      <c r="DR642" s="24"/>
      <c r="DS642" s="24"/>
      <c r="DT642" s="24"/>
      <c r="DU642" s="24"/>
      <c r="DV642" s="24"/>
      <c r="DW642" s="24"/>
      <c r="DX642" s="24"/>
      <c r="DY642" s="24"/>
      <c r="DZ642" s="1561"/>
    </row>
    <row r="643" spans="1:130" outlineLevel="1">
      <c r="A643" s="3"/>
      <c r="B643" s="208"/>
      <c r="C643" s="196"/>
      <c r="D643" s="196" t="s">
        <v>643</v>
      </c>
      <c r="E643" s="24"/>
      <c r="F643" s="988"/>
      <c r="G643" s="988"/>
      <c r="H643" s="988"/>
      <c r="I643" s="989"/>
      <c r="J643" s="988"/>
      <c r="K643" s="988"/>
      <c r="L643" s="988"/>
      <c r="M643" s="989"/>
      <c r="N643" s="988"/>
      <c r="O643" s="988"/>
      <c r="P643" s="988"/>
      <c r="Q643" s="989"/>
      <c r="R643" s="988"/>
      <c r="S643" s="988"/>
      <c r="T643" s="988"/>
      <c r="U643" s="988"/>
      <c r="V643" s="990"/>
      <c r="W643" s="988"/>
      <c r="X643" s="988"/>
      <c r="Y643" s="989"/>
      <c r="Z643" s="990"/>
      <c r="AA643" s="988"/>
      <c r="AB643" s="988"/>
      <c r="AC643" s="989"/>
      <c r="AD643" s="990">
        <v>0.65</v>
      </c>
      <c r="AE643" s="988">
        <v>0.57999999999999996</v>
      </c>
      <c r="AF643" s="988">
        <v>0.53</v>
      </c>
      <c r="AG643" s="1036">
        <f>1-AG644</f>
        <v>0.45999999999999996</v>
      </c>
      <c r="AH643" s="990">
        <v>0.47</v>
      </c>
      <c r="AI643" s="988">
        <v>0.46</v>
      </c>
      <c r="AJ643" s="1036">
        <f>1-AJ644</f>
        <v>0.45999999999999996</v>
      </c>
      <c r="AK643" s="1036">
        <f>1-AK644</f>
        <v>0.37</v>
      </c>
      <c r="AL643" s="990">
        <v>0.39</v>
      </c>
      <c r="AM643" s="988">
        <v>0.35</v>
      </c>
      <c r="AN643" s="988">
        <v>0.42</v>
      </c>
      <c r="AO643" s="1158">
        <f>1-AO644</f>
        <v>0.37</v>
      </c>
      <c r="AP643" s="990">
        <v>0.36</v>
      </c>
      <c r="AQ643" s="988">
        <v>0.34</v>
      </c>
      <c r="AR643" s="988">
        <v>0.38</v>
      </c>
      <c r="AS643" s="989">
        <v>0.36</v>
      </c>
      <c r="AT643" s="990">
        <v>0.36</v>
      </c>
      <c r="AU643" s="988">
        <v>0.35</v>
      </c>
      <c r="AV643" s="1036">
        <v>0.36</v>
      </c>
      <c r="AW643" s="1158"/>
      <c r="AX643" s="1034"/>
      <c r="AY643" s="1035"/>
      <c r="AZ643" s="1035"/>
      <c r="BA643" s="1321"/>
      <c r="BB643" s="1034"/>
      <c r="BC643" s="1035"/>
      <c r="BD643" s="1035"/>
      <c r="BE643" s="1321"/>
      <c r="BF643" s="1034"/>
      <c r="BG643" s="1035"/>
      <c r="BH643" s="1035"/>
      <c r="BI643" s="1321"/>
      <c r="BJ643" s="1034"/>
      <c r="BK643" s="1035"/>
      <c r="BL643" s="1035"/>
      <c r="BM643" s="1321"/>
      <c r="BN643" s="1035"/>
      <c r="BO643" s="1035"/>
      <c r="BP643" s="1035"/>
      <c r="BQ643" s="1321"/>
      <c r="BR643" s="1035"/>
      <c r="BS643" s="1035"/>
      <c r="BT643" s="1035"/>
      <c r="BU643" s="1321"/>
      <c r="BV643" s="1035"/>
      <c r="BW643" s="1035"/>
      <c r="BX643" s="1035"/>
      <c r="BY643" s="1321"/>
      <c r="BZ643" s="1035"/>
      <c r="CA643" s="1035"/>
      <c r="CB643" s="1035"/>
      <c r="CC643" s="1321"/>
      <c r="CD643" s="244"/>
      <c r="CE643" s="701"/>
      <c r="CF643" s="701"/>
      <c r="CG643" s="701"/>
      <c r="CH643" s="701"/>
      <c r="CI643" s="701"/>
      <c r="CJ643" s="350">
        <f>1-CJ644</f>
        <v>0.71</v>
      </c>
      <c r="CK643" s="350">
        <f>1-CK644</f>
        <v>0.57000000000000006</v>
      </c>
      <c r="CL643" s="350">
        <f>1-CL644</f>
        <v>0.43999999999999995</v>
      </c>
      <c r="CM643" s="350">
        <v>0.38</v>
      </c>
      <c r="CN643" s="350">
        <v>0.36</v>
      </c>
      <c r="CO643" s="350"/>
      <c r="CP643" s="701"/>
      <c r="CQ643" s="701"/>
      <c r="CR643" s="701"/>
      <c r="CS643" s="701"/>
      <c r="CT643" s="701"/>
      <c r="CU643" s="701"/>
      <c r="CV643" s="701"/>
      <c r="CW643" s="701"/>
      <c r="CX643" s="701"/>
      <c r="CY643" s="701"/>
      <c r="CZ643" s="701"/>
      <c r="DA643" s="701"/>
      <c r="DB643" s="701"/>
      <c r="DC643" s="701"/>
      <c r="DD643" s="1517"/>
      <c r="DE643" s="1483"/>
      <c r="DF643" s="24"/>
      <c r="DG643" s="24"/>
      <c r="DH643" s="24"/>
      <c r="DI643" s="24"/>
      <c r="DJ643" s="24"/>
      <c r="DK643" s="24"/>
      <c r="DL643" s="141"/>
      <c r="DM643" s="24"/>
      <c r="DN643" s="24"/>
      <c r="DO643" s="24"/>
      <c r="DP643" s="24"/>
      <c r="DQ643" s="24"/>
      <c r="DR643" s="24"/>
      <c r="DS643" s="24"/>
      <c r="DT643" s="24"/>
      <c r="DU643" s="24"/>
      <c r="DV643" s="24"/>
      <c r="DW643" s="24"/>
      <c r="DX643" s="24"/>
      <c r="DY643" s="24"/>
      <c r="DZ643" s="1561"/>
    </row>
    <row r="644" spans="1:130" outlineLevel="1">
      <c r="A644" s="3"/>
      <c r="B644" s="208"/>
      <c r="C644" s="196"/>
      <c r="D644" s="196" t="s">
        <v>644</v>
      </c>
      <c r="E644" s="24"/>
      <c r="F644" s="988"/>
      <c r="G644" s="988"/>
      <c r="H644" s="988"/>
      <c r="I644" s="989"/>
      <c r="J644" s="988"/>
      <c r="K644" s="988"/>
      <c r="L644" s="988"/>
      <c r="M644" s="989"/>
      <c r="N644" s="988"/>
      <c r="O644" s="988"/>
      <c r="P644" s="988"/>
      <c r="Q644" s="989"/>
      <c r="R644" s="988"/>
      <c r="S644" s="988"/>
      <c r="T644" s="988"/>
      <c r="U644" s="988"/>
      <c r="V644" s="990"/>
      <c r="W644" s="988"/>
      <c r="X644" s="988"/>
      <c r="Y644" s="989"/>
      <c r="Z644" s="990"/>
      <c r="AA644" s="988"/>
      <c r="AB644" s="988"/>
      <c r="AC644" s="989"/>
      <c r="AD644" s="990">
        <v>0.35</v>
      </c>
      <c r="AE644" s="988">
        <v>0.42</v>
      </c>
      <c r="AF644" s="988">
        <v>0.47</v>
      </c>
      <c r="AG644" s="988">
        <v>0.54</v>
      </c>
      <c r="AH644" s="990">
        <v>0.53</v>
      </c>
      <c r="AI644" s="988">
        <v>0.54</v>
      </c>
      <c r="AJ644" s="988">
        <v>0.54</v>
      </c>
      <c r="AK644" s="989">
        <v>0.63</v>
      </c>
      <c r="AL644" s="988">
        <v>0.61</v>
      </c>
      <c r="AM644" s="988">
        <v>0.65</v>
      </c>
      <c r="AN644" s="988">
        <v>0.57999999999999996</v>
      </c>
      <c r="AO644" s="989">
        <v>0.63</v>
      </c>
      <c r="AP644" s="988">
        <v>0.64</v>
      </c>
      <c r="AQ644" s="988">
        <v>0.66</v>
      </c>
      <c r="AR644" s="988">
        <v>0.62</v>
      </c>
      <c r="AS644" s="989">
        <v>0.64</v>
      </c>
      <c r="AT644" s="988">
        <v>0.64</v>
      </c>
      <c r="AU644" s="988">
        <v>0.65</v>
      </c>
      <c r="AV644" s="988">
        <v>0.64</v>
      </c>
      <c r="AW644" s="989"/>
      <c r="AX644" s="1035"/>
      <c r="AY644" s="1035"/>
      <c r="AZ644" s="1035"/>
      <c r="BA644" s="1321"/>
      <c r="BB644" s="1035"/>
      <c r="BC644" s="1035"/>
      <c r="BD644" s="1035"/>
      <c r="BE644" s="1321"/>
      <c r="BF644" s="1035"/>
      <c r="BG644" s="1035"/>
      <c r="BH644" s="1035"/>
      <c r="BI644" s="1321"/>
      <c r="BJ644" s="1035"/>
      <c r="BK644" s="1035"/>
      <c r="BL644" s="1035"/>
      <c r="BM644" s="1321"/>
      <c r="BN644" s="1035"/>
      <c r="BO644" s="1035"/>
      <c r="BP644" s="1035"/>
      <c r="BQ644" s="1321"/>
      <c r="BR644" s="1035"/>
      <c r="BS644" s="1035"/>
      <c r="BT644" s="1035"/>
      <c r="BU644" s="1321"/>
      <c r="BV644" s="1035"/>
      <c r="BW644" s="1035"/>
      <c r="BX644" s="1035"/>
      <c r="BY644" s="1321"/>
      <c r="BZ644" s="1035"/>
      <c r="CA644" s="1035"/>
      <c r="CB644" s="1035"/>
      <c r="CC644" s="1321"/>
      <c r="CD644" s="244"/>
      <c r="CE644" s="701"/>
      <c r="CF644" s="701"/>
      <c r="CG644" s="701"/>
      <c r="CH644" s="701"/>
      <c r="CI644" s="701"/>
      <c r="CJ644" s="350">
        <v>0.28999999999999998</v>
      </c>
      <c r="CK644" s="350">
        <v>0.43</v>
      </c>
      <c r="CL644" s="350">
        <v>0.56000000000000005</v>
      </c>
      <c r="CM644" s="350">
        <v>0.62</v>
      </c>
      <c r="CN644" s="350">
        <v>0.64</v>
      </c>
      <c r="CO644" s="350"/>
      <c r="CP644" s="701"/>
      <c r="CQ644" s="701"/>
      <c r="CR644" s="701"/>
      <c r="CS644" s="701"/>
      <c r="CT644" s="701"/>
      <c r="CU644" s="701"/>
      <c r="CV644" s="701"/>
      <c r="CW644" s="701"/>
      <c r="CX644" s="701"/>
      <c r="CY644" s="701"/>
      <c r="CZ644" s="701"/>
      <c r="DA644" s="701"/>
      <c r="DB644" s="701"/>
      <c r="DC644" s="701"/>
      <c r="DD644" s="1517"/>
      <c r="DE644" s="1483"/>
      <c r="DF644" s="24"/>
      <c r="DG644" s="24"/>
      <c r="DH644" s="24"/>
      <c r="DI644" s="24"/>
      <c r="DJ644" s="24"/>
      <c r="DK644" s="24"/>
      <c r="DL644" s="141"/>
      <c r="DM644" s="24"/>
      <c r="DN644" s="24"/>
      <c r="DO644" s="24"/>
      <c r="DP644" s="24"/>
      <c r="DQ644" s="24"/>
      <c r="DR644" s="24"/>
      <c r="DS644" s="24"/>
      <c r="DT644" s="24"/>
      <c r="DU644" s="24"/>
      <c r="DV644" s="24"/>
      <c r="DW644" s="24"/>
      <c r="DX644" s="24"/>
      <c r="DY644" s="24"/>
      <c r="DZ644" s="1561"/>
    </row>
    <row r="645" spans="1:130" outlineLevel="1">
      <c r="A645" s="3"/>
      <c r="B645" s="208"/>
      <c r="C645" s="196"/>
      <c r="D645" s="196"/>
      <c r="E645" s="24"/>
      <c r="F645" s="988"/>
      <c r="G645" s="988"/>
      <c r="H645" s="988"/>
      <c r="I645" s="989"/>
      <c r="J645" s="988"/>
      <c r="K645" s="988"/>
      <c r="L645" s="988"/>
      <c r="M645" s="989"/>
      <c r="N645" s="988"/>
      <c r="O645" s="988"/>
      <c r="P645" s="988"/>
      <c r="Q645" s="989"/>
      <c r="R645" s="988"/>
      <c r="S645" s="988"/>
      <c r="T645" s="988"/>
      <c r="U645" s="988"/>
      <c r="V645" s="990"/>
      <c r="W645" s="988"/>
      <c r="X645" s="988"/>
      <c r="Y645" s="989"/>
      <c r="Z645" s="990"/>
      <c r="AA645" s="988"/>
      <c r="AB645" s="988"/>
      <c r="AC645" s="989"/>
      <c r="AD645" s="990"/>
      <c r="AE645" s="988"/>
      <c r="AF645" s="988"/>
      <c r="AG645" s="988"/>
      <c r="AH645" s="990"/>
      <c r="AI645" s="988"/>
      <c r="AJ645" s="988"/>
      <c r="AK645" s="989"/>
      <c r="AL645" s="988"/>
      <c r="AM645" s="988"/>
      <c r="AN645" s="988"/>
      <c r="AO645" s="989"/>
      <c r="AP645" s="988"/>
      <c r="AQ645" s="988"/>
      <c r="AR645" s="988"/>
      <c r="AS645" s="989"/>
      <c r="AT645" s="988"/>
      <c r="AU645" s="988"/>
      <c r="AV645" s="988"/>
      <c r="AW645" s="989"/>
      <c r="AX645" s="1035"/>
      <c r="AY645" s="1035"/>
      <c r="AZ645" s="1035"/>
      <c r="BA645" s="1321"/>
      <c r="BB645" s="1035"/>
      <c r="BC645" s="1035"/>
      <c r="BD645" s="1035"/>
      <c r="BE645" s="1321"/>
      <c r="BF645" s="1035"/>
      <c r="BG645" s="1035"/>
      <c r="BH645" s="1035"/>
      <c r="BI645" s="1321"/>
      <c r="BJ645" s="1035"/>
      <c r="BK645" s="1035"/>
      <c r="BL645" s="1035"/>
      <c r="BM645" s="1321"/>
      <c r="BN645" s="1035"/>
      <c r="BO645" s="1035"/>
      <c r="BP645" s="1035"/>
      <c r="BQ645" s="1321"/>
      <c r="BR645" s="1035"/>
      <c r="BS645" s="1035"/>
      <c r="BT645" s="1035"/>
      <c r="BU645" s="1321"/>
      <c r="BV645" s="1035"/>
      <c r="BW645" s="1035"/>
      <c r="BX645" s="1035"/>
      <c r="BY645" s="1321"/>
      <c r="BZ645" s="1035"/>
      <c r="CA645" s="1035"/>
      <c r="CB645" s="1035"/>
      <c r="CC645" s="1321"/>
      <c r="CD645" s="991"/>
      <c r="CE645" s="701"/>
      <c r="CF645" s="701"/>
      <c r="CG645" s="701"/>
      <c r="CH645" s="701"/>
      <c r="CI645" s="701"/>
      <c r="CJ645" s="701"/>
      <c r="CK645" s="701"/>
      <c r="CL645" s="701"/>
      <c r="CM645" s="350"/>
      <c r="CN645" s="701"/>
      <c r="CO645" s="350"/>
      <c r="CP645" s="701"/>
      <c r="CQ645" s="701"/>
      <c r="CR645" s="701"/>
      <c r="CS645" s="701"/>
      <c r="CT645" s="701"/>
      <c r="CU645" s="701"/>
      <c r="CV645" s="701"/>
      <c r="CW645" s="701"/>
      <c r="CX645" s="701"/>
      <c r="CY645" s="701"/>
      <c r="CZ645" s="701"/>
      <c r="DA645" s="701"/>
      <c r="DB645" s="701"/>
      <c r="DC645" s="701"/>
      <c r="DD645" s="1517"/>
      <c r="DE645" s="1483"/>
      <c r="DF645" s="24"/>
      <c r="DG645" s="24"/>
      <c r="DH645" s="24"/>
      <c r="DI645" s="24"/>
      <c r="DJ645" s="24"/>
      <c r="DK645" s="24"/>
      <c r="DL645" s="141"/>
      <c r="DM645" s="24"/>
      <c r="DN645" s="24"/>
      <c r="DO645" s="24"/>
      <c r="DP645" s="24"/>
      <c r="DQ645" s="24"/>
      <c r="DR645" s="24"/>
      <c r="DS645" s="24"/>
      <c r="DT645" s="24"/>
      <c r="DU645" s="24"/>
      <c r="DV645" s="24"/>
      <c r="DW645" s="24"/>
      <c r="DX645" s="24"/>
      <c r="DY645" s="24"/>
      <c r="DZ645" s="1561"/>
    </row>
    <row r="646" spans="1:130" outlineLevel="1">
      <c r="A646" s="3"/>
      <c r="B646" s="208"/>
      <c r="C646" s="187" t="s">
        <v>566</v>
      </c>
      <c r="D646" s="196"/>
      <c r="E646" s="24"/>
      <c r="F646" s="988"/>
      <c r="G646" s="988"/>
      <c r="H646" s="988"/>
      <c r="I646" s="989"/>
      <c r="J646" s="988"/>
      <c r="K646" s="988"/>
      <c r="L646" s="988"/>
      <c r="M646" s="989"/>
      <c r="N646" s="988"/>
      <c r="O646" s="988"/>
      <c r="P646" s="988"/>
      <c r="Q646" s="989">
        <v>0.56999999999999995</v>
      </c>
      <c r="R646" s="988">
        <v>0.53</v>
      </c>
      <c r="S646" s="988">
        <v>0.56000000000000005</v>
      </c>
      <c r="T646" s="988">
        <v>0.51</v>
      </c>
      <c r="U646" s="988">
        <v>0.54</v>
      </c>
      <c r="V646" s="990">
        <v>0.52</v>
      </c>
      <c r="W646" s="988">
        <v>0.49</v>
      </c>
      <c r="X646" s="988">
        <v>0.45</v>
      </c>
      <c r="Y646" s="989"/>
      <c r="Z646" s="990"/>
      <c r="AA646" s="988"/>
      <c r="AB646" s="988"/>
      <c r="AC646" s="989">
        <v>0.49</v>
      </c>
      <c r="AD646" s="990">
        <v>0.48</v>
      </c>
      <c r="AE646" s="988">
        <v>0.49</v>
      </c>
      <c r="AF646" s="988">
        <v>0.46</v>
      </c>
      <c r="AG646" s="988">
        <v>0.48</v>
      </c>
      <c r="AH646" s="990">
        <v>0.46</v>
      </c>
      <c r="AI646" s="988">
        <v>0.47</v>
      </c>
      <c r="AJ646" s="988">
        <v>0.48</v>
      </c>
      <c r="AK646" s="989">
        <v>0.53</v>
      </c>
      <c r="AL646" s="988">
        <v>0.51</v>
      </c>
      <c r="AM646" s="988">
        <v>0.49</v>
      </c>
      <c r="AN646" s="988">
        <v>0.47</v>
      </c>
      <c r="AO646" s="989">
        <v>0.52</v>
      </c>
      <c r="AP646" s="988">
        <v>0.56000000000000005</v>
      </c>
      <c r="AQ646" s="988">
        <v>0.55000000000000004</v>
      </c>
      <c r="AR646" s="988">
        <v>0.51</v>
      </c>
      <c r="AS646" s="989">
        <v>0.52</v>
      </c>
      <c r="AT646" s="988">
        <v>0.5</v>
      </c>
      <c r="AU646" s="988">
        <v>0.48</v>
      </c>
      <c r="AV646" s="988">
        <v>0.49</v>
      </c>
      <c r="AW646" s="989">
        <v>0.53</v>
      </c>
      <c r="AX646" s="1035">
        <v>0.49</v>
      </c>
      <c r="AY646" s="1035">
        <v>0.51</v>
      </c>
      <c r="AZ646" s="1035">
        <v>0.53</v>
      </c>
      <c r="BA646" s="1321">
        <v>0.53</v>
      </c>
      <c r="BB646" s="1035">
        <v>0.44</v>
      </c>
      <c r="BC646" s="1035">
        <v>0.45</v>
      </c>
      <c r="BD646" s="1035">
        <v>0.45</v>
      </c>
      <c r="BE646" s="1321">
        <v>0.48</v>
      </c>
      <c r="BF646" s="1035">
        <v>0.48</v>
      </c>
      <c r="BG646" s="1035">
        <v>0.42</v>
      </c>
      <c r="BH646" s="1035">
        <v>0.44</v>
      </c>
      <c r="BI646" s="1321">
        <v>0.45</v>
      </c>
      <c r="BJ646" s="1035">
        <v>0.45</v>
      </c>
      <c r="BK646" s="1035">
        <v>0.44</v>
      </c>
      <c r="BL646" s="1035">
        <v>0.43</v>
      </c>
      <c r="BM646" s="1321">
        <v>0.44</v>
      </c>
      <c r="BN646" s="1035">
        <v>0.48</v>
      </c>
      <c r="BO646" s="1035">
        <v>0.44</v>
      </c>
      <c r="BP646" s="1035">
        <v>0.45</v>
      </c>
      <c r="BQ646" s="1665"/>
      <c r="BR646" s="1035"/>
      <c r="BS646" s="1035"/>
      <c r="BT646" s="1035"/>
      <c r="BU646" s="1321"/>
      <c r="BV646" s="1035"/>
      <c r="BW646" s="1035"/>
      <c r="BX646" s="1035"/>
      <c r="BY646" s="1321"/>
      <c r="BZ646" s="1035"/>
      <c r="CA646" s="1035"/>
      <c r="CB646" s="1035"/>
      <c r="CC646" s="1321"/>
      <c r="CD646" s="991"/>
      <c r="CE646" s="701"/>
      <c r="CF646" s="701"/>
      <c r="CG646" s="701"/>
      <c r="CH646" s="701"/>
      <c r="CI646" s="350">
        <v>0.16</v>
      </c>
      <c r="CJ646" s="350">
        <v>0.12</v>
      </c>
      <c r="CK646" s="350">
        <v>0.1</v>
      </c>
      <c r="CL646" s="1066" t="s">
        <v>525</v>
      </c>
      <c r="CM646" s="350">
        <v>0.1</v>
      </c>
      <c r="CN646" s="1066"/>
      <c r="CO646" s="1066"/>
      <c r="CP646" s="701"/>
      <c r="CQ646" s="701"/>
      <c r="CR646" s="701"/>
      <c r="CS646" s="701"/>
      <c r="CT646" s="701"/>
      <c r="CU646" s="701"/>
      <c r="CV646" s="701"/>
      <c r="CW646" s="701"/>
      <c r="CX646" s="701"/>
      <c r="CY646" s="701"/>
      <c r="CZ646" s="701"/>
      <c r="DA646" s="701"/>
      <c r="DB646" s="701"/>
      <c r="DC646" s="701"/>
      <c r="DD646" s="1517"/>
      <c r="DE646" s="1483"/>
      <c r="DF646" s="24"/>
      <c r="DG646" s="24"/>
      <c r="DH646" s="24"/>
      <c r="DI646" s="24"/>
      <c r="DJ646" s="24"/>
      <c r="DK646" s="24"/>
      <c r="DL646" s="141"/>
      <c r="DM646" s="24"/>
      <c r="DN646" s="24"/>
      <c r="DO646" s="24"/>
      <c r="DP646" s="24"/>
      <c r="DQ646" s="24"/>
      <c r="DR646" s="24"/>
      <c r="DS646" s="24"/>
      <c r="DT646" s="24"/>
      <c r="DU646" s="24"/>
      <c r="DV646" s="24"/>
      <c r="DW646" s="24"/>
      <c r="DX646" s="24"/>
      <c r="DY646" s="24"/>
      <c r="DZ646" s="1561"/>
    </row>
    <row r="647" spans="1:130" outlineLevel="1">
      <c r="A647" s="3"/>
      <c r="B647" s="208"/>
      <c r="C647" s="187"/>
      <c r="D647" s="196"/>
      <c r="E647" s="24"/>
      <c r="F647" s="988"/>
      <c r="G647" s="988"/>
      <c r="H647" s="988"/>
      <c r="I647" s="989"/>
      <c r="J647" s="988"/>
      <c r="K647" s="988"/>
      <c r="L647" s="988"/>
      <c r="M647" s="989"/>
      <c r="N647" s="988"/>
      <c r="O647" s="988"/>
      <c r="P647" s="988"/>
      <c r="Q647" s="989"/>
      <c r="R647" s="988"/>
      <c r="S647" s="988"/>
      <c r="T647" s="988"/>
      <c r="U647" s="988"/>
      <c r="V647" s="990"/>
      <c r="W647" s="988"/>
      <c r="X647" s="988"/>
      <c r="Y647" s="989"/>
      <c r="Z647" s="990"/>
      <c r="AA647" s="988"/>
      <c r="AB647" s="988"/>
      <c r="AC647" s="989"/>
      <c r="AD647" s="990"/>
      <c r="AE647" s="988"/>
      <c r="AF647" s="988"/>
      <c r="AG647" s="988"/>
      <c r="AH647" s="990"/>
      <c r="AI647" s="988"/>
      <c r="AJ647" s="988"/>
      <c r="AK647" s="989"/>
      <c r="AL647" s="988"/>
      <c r="AM647" s="988"/>
      <c r="AN647" s="988"/>
      <c r="AO647" s="989"/>
      <c r="AP647" s="988"/>
      <c r="AQ647" s="988"/>
      <c r="AR647" s="988"/>
      <c r="AS647" s="989"/>
      <c r="AT647" s="988"/>
      <c r="AU647" s="988"/>
      <c r="AV647" s="988"/>
      <c r="AW647" s="989"/>
      <c r="AX647" s="988"/>
      <c r="AY647" s="988"/>
      <c r="AZ647" s="988"/>
      <c r="BA647" s="989"/>
      <c r="BB647" s="988"/>
      <c r="BC647" s="988"/>
      <c r="BD647" s="988"/>
      <c r="BE647" s="989"/>
      <c r="BF647" s="988"/>
      <c r="BG647" s="988"/>
      <c r="BH647" s="988"/>
      <c r="BI647" s="989"/>
      <c r="BJ647" s="988"/>
      <c r="BK647" s="988"/>
      <c r="BL647" s="988"/>
      <c r="BM647" s="989"/>
      <c r="BN647" s="988"/>
      <c r="BO647" s="988"/>
      <c r="BP647" s="988"/>
      <c r="BQ647" s="989"/>
      <c r="BR647" s="988"/>
      <c r="BS647" s="988"/>
      <c r="BT647" s="988"/>
      <c r="BU647" s="989"/>
      <c r="BV647" s="988"/>
      <c r="BW647" s="988"/>
      <c r="BX647" s="988"/>
      <c r="BY647" s="989"/>
      <c r="BZ647" s="988"/>
      <c r="CA647" s="988"/>
      <c r="CB647" s="988"/>
      <c r="CC647" s="989"/>
      <c r="CD647" s="991"/>
      <c r="CE647" s="701"/>
      <c r="CF647" s="701"/>
      <c r="CG647" s="701"/>
      <c r="CH647" s="701"/>
      <c r="CI647" s="701"/>
      <c r="CJ647" s="701"/>
      <c r="CK647" s="701"/>
      <c r="CL647" s="701"/>
      <c r="CM647" s="701"/>
      <c r="CN647" s="701"/>
      <c r="CO647" s="350"/>
      <c r="CP647" s="701"/>
      <c r="CQ647" s="701"/>
      <c r="CR647" s="701"/>
      <c r="CS647" s="701"/>
      <c r="CT647" s="701"/>
      <c r="CU647" s="701"/>
      <c r="CV647" s="701"/>
      <c r="CW647" s="701"/>
      <c r="CX647" s="701"/>
      <c r="CY647" s="701"/>
      <c r="CZ647" s="701"/>
      <c r="DA647" s="701"/>
      <c r="DB647" s="701"/>
      <c r="DC647" s="701"/>
      <c r="DD647" s="1517"/>
      <c r="DE647" s="1483"/>
      <c r="DF647" s="24"/>
      <c r="DG647" s="24"/>
      <c r="DH647" s="24"/>
      <c r="DI647" s="24"/>
      <c r="DJ647" s="24"/>
      <c r="DK647" s="24"/>
      <c r="DL647" s="141"/>
      <c r="DM647" s="24"/>
      <c r="DN647" s="24"/>
      <c r="DO647" s="24"/>
      <c r="DP647" s="24"/>
      <c r="DQ647" s="24"/>
      <c r="DR647" s="24"/>
      <c r="DS647" s="24"/>
      <c r="DT647" s="24"/>
      <c r="DU647" s="24"/>
      <c r="DV647" s="24"/>
      <c r="DW647" s="24"/>
      <c r="DX647" s="24"/>
      <c r="DY647" s="24"/>
      <c r="DZ647" s="1561"/>
    </row>
    <row r="648" spans="1:130" outlineLevel="1">
      <c r="A648" s="555"/>
      <c r="B648" s="491"/>
      <c r="C648" s="489" t="s">
        <v>282</v>
      </c>
      <c r="D648" s="487"/>
      <c r="E648" s="374"/>
      <c r="F648" s="865"/>
      <c r="G648" s="865"/>
      <c r="H648" s="865"/>
      <c r="I648" s="867"/>
      <c r="J648" s="865"/>
      <c r="K648" s="865"/>
      <c r="L648" s="865"/>
      <c r="M648" s="867"/>
      <c r="N648" s="865"/>
      <c r="O648" s="865"/>
      <c r="P648" s="865"/>
      <c r="Q648" s="867"/>
      <c r="R648" s="865"/>
      <c r="S648" s="865"/>
      <c r="T648" s="865"/>
      <c r="U648" s="865"/>
      <c r="V648" s="869"/>
      <c r="W648" s="865"/>
      <c r="X648" s="865">
        <v>22426</v>
      </c>
      <c r="Y648" s="867">
        <v>23161</v>
      </c>
      <c r="Z648" s="869">
        <v>24211</v>
      </c>
      <c r="AA648" s="865">
        <v>24591</v>
      </c>
      <c r="AB648" s="865">
        <v>24235</v>
      </c>
      <c r="AC648" s="867">
        <v>24750</v>
      </c>
      <c r="AD648" s="869">
        <v>25687</v>
      </c>
      <c r="AE648" s="865">
        <v>27055</v>
      </c>
      <c r="AF648" s="865">
        <v>27277</v>
      </c>
      <c r="AG648" s="865">
        <v>29572</v>
      </c>
      <c r="AH648" s="869">
        <v>41263</v>
      </c>
      <c r="AI648" s="865">
        <v>42534</v>
      </c>
      <c r="AJ648" s="865">
        <v>41876</v>
      </c>
      <c r="AK648" s="867">
        <v>50072</v>
      </c>
      <c r="AL648" s="865">
        <v>51409</v>
      </c>
      <c r="AM648" s="865">
        <v>50838</v>
      </c>
      <c r="AN648" s="865">
        <v>43898</v>
      </c>
      <c r="AO648" s="867">
        <v>45991</v>
      </c>
      <c r="AP648" s="865">
        <v>52208</v>
      </c>
      <c r="AQ648" s="865">
        <v>55128</v>
      </c>
      <c r="AR648" s="865">
        <v>61803</v>
      </c>
      <c r="AS648" s="867">
        <v>62500</v>
      </c>
      <c r="AT648" s="865">
        <v>62817</v>
      </c>
      <c r="AU648" s="865">
        <v>62991</v>
      </c>
      <c r="AV648" s="865">
        <v>61349</v>
      </c>
      <c r="AW648" s="867">
        <v>65431</v>
      </c>
      <c r="AX648" s="865">
        <v>67799</v>
      </c>
      <c r="AY648" s="865">
        <v>67121</v>
      </c>
      <c r="AZ648" s="865">
        <v>106604</v>
      </c>
      <c r="BA648" s="867">
        <v>103111</v>
      </c>
      <c r="BB648" s="865">
        <v>96002</v>
      </c>
      <c r="BC648" s="865">
        <v>93820</v>
      </c>
      <c r="BD648" s="865">
        <v>87565</v>
      </c>
      <c r="BE648" s="867">
        <v>85777</v>
      </c>
      <c r="BF648" s="865">
        <v>87586</v>
      </c>
      <c r="BG648" s="865">
        <v>87976</v>
      </c>
      <c r="BH648" s="865">
        <v>84556</v>
      </c>
      <c r="BI648" s="867">
        <v>84072</v>
      </c>
      <c r="BJ648" s="865">
        <v>83277</v>
      </c>
      <c r="BK648" s="865">
        <v>83993</v>
      </c>
      <c r="BL648" s="865">
        <v>80767</v>
      </c>
      <c r="BM648" s="867">
        <v>76449</v>
      </c>
      <c r="BN648" s="865">
        <v>76052</v>
      </c>
      <c r="BO648" s="865">
        <v>74891</v>
      </c>
      <c r="BP648" s="865">
        <v>67884</v>
      </c>
      <c r="BQ648" s="867">
        <v>72878</v>
      </c>
      <c r="BR648" s="865">
        <v>72273</v>
      </c>
      <c r="BS648" s="865">
        <v>70801</v>
      </c>
      <c r="BT648" s="865">
        <v>71245</v>
      </c>
      <c r="BU648" s="867">
        <v>67629</v>
      </c>
      <c r="BV648" s="865">
        <v>71600</v>
      </c>
      <c r="BW648" s="865"/>
      <c r="BX648" s="865"/>
      <c r="BY648" s="867"/>
      <c r="BZ648" s="865"/>
      <c r="CA648" s="865"/>
      <c r="CB648" s="865"/>
      <c r="CC648" s="867"/>
      <c r="CD648" s="523"/>
      <c r="CE648" s="610"/>
      <c r="CF648" s="610"/>
      <c r="CG648" s="610"/>
      <c r="CH648" s="610"/>
      <c r="CI648" s="610"/>
      <c r="CJ648" s="610"/>
      <c r="CK648" s="610"/>
      <c r="CL648" s="610"/>
      <c r="CM648" s="610"/>
      <c r="CN648" s="610"/>
      <c r="CO648" s="459"/>
      <c r="CP648" s="610"/>
      <c r="CQ648" s="610">
        <f>BE648</f>
        <v>85777</v>
      </c>
      <c r="CR648" s="610">
        <f>BI648</f>
        <v>84072</v>
      </c>
      <c r="CS648" s="610"/>
      <c r="CT648" s="610"/>
      <c r="CU648" s="610"/>
      <c r="CV648" s="610"/>
      <c r="CW648" s="610"/>
      <c r="CX648" s="610"/>
      <c r="CY648" s="610"/>
      <c r="CZ648" s="610"/>
      <c r="DA648" s="610"/>
      <c r="DB648" s="610"/>
      <c r="DC648" s="610"/>
      <c r="DD648" s="1534"/>
      <c r="DE648" s="1569"/>
      <c r="DF648" s="374"/>
      <c r="DG648" s="374"/>
      <c r="DH648" s="374"/>
      <c r="DI648" s="374"/>
      <c r="DJ648" s="374"/>
      <c r="DK648" s="374"/>
      <c r="DL648" s="487"/>
      <c r="DM648" s="374"/>
      <c r="DN648" s="374"/>
      <c r="DO648" s="374"/>
      <c r="DP648" s="374"/>
      <c r="DQ648" s="374"/>
      <c r="DR648" s="374"/>
      <c r="DS648" s="374"/>
      <c r="DT648" s="374"/>
      <c r="DU648" s="374"/>
      <c r="DV648" s="374"/>
      <c r="DW648" s="374"/>
      <c r="DX648" s="374"/>
      <c r="DY648" s="374"/>
      <c r="DZ648" s="1688"/>
    </row>
    <row r="649" spans="1:130" outlineLevel="1">
      <c r="A649" s="555"/>
      <c r="B649" s="491"/>
      <c r="C649" s="489"/>
      <c r="D649" s="487"/>
      <c r="E649" s="374"/>
      <c r="F649" s="865"/>
      <c r="G649" s="865"/>
      <c r="H649" s="865"/>
      <c r="I649" s="867"/>
      <c r="J649" s="865"/>
      <c r="K649" s="865"/>
      <c r="L649" s="865"/>
      <c r="M649" s="867"/>
      <c r="N649" s="865"/>
      <c r="O649" s="865"/>
      <c r="P649" s="865"/>
      <c r="Q649" s="867"/>
      <c r="R649" s="865"/>
      <c r="S649" s="865"/>
      <c r="T649" s="865"/>
      <c r="U649" s="865"/>
      <c r="V649" s="869"/>
      <c r="W649" s="865"/>
      <c r="X649" s="865"/>
      <c r="Y649" s="867"/>
      <c r="Z649" s="869"/>
      <c r="AA649" s="865"/>
      <c r="AB649" s="865"/>
      <c r="AC649" s="867"/>
      <c r="AD649" s="869"/>
      <c r="AE649" s="865"/>
      <c r="AF649" s="865"/>
      <c r="AG649" s="865"/>
      <c r="AH649" s="869"/>
      <c r="AI649" s="865"/>
      <c r="AJ649" s="865"/>
      <c r="AK649" s="867"/>
      <c r="AL649" s="865"/>
      <c r="AM649" s="865"/>
      <c r="AN649" s="865"/>
      <c r="AO649" s="867"/>
      <c r="AP649" s="865"/>
      <c r="AQ649" s="865"/>
      <c r="AR649" s="865"/>
      <c r="AS649" s="867"/>
      <c r="AT649" s="865"/>
      <c r="AU649" s="865"/>
      <c r="AV649" s="865"/>
      <c r="AW649" s="867"/>
      <c r="AX649" s="865"/>
      <c r="AY649" s="865"/>
      <c r="AZ649" s="865"/>
      <c r="BA649" s="867"/>
      <c r="BB649" s="865"/>
      <c r="BC649" s="865"/>
      <c r="BD649" s="865"/>
      <c r="BE649" s="867"/>
      <c r="BF649" s="865"/>
      <c r="BG649" s="865"/>
      <c r="BH649" s="865"/>
      <c r="BI649" s="867"/>
      <c r="BJ649" s="1603"/>
      <c r="BK649" s="1603"/>
      <c r="BL649" s="1603"/>
      <c r="BM649" s="1605"/>
      <c r="BN649" s="1603"/>
      <c r="BO649" s="1603"/>
      <c r="BP649" s="1604"/>
      <c r="BQ649" s="1665"/>
      <c r="BR649" s="865"/>
      <c r="BS649" s="865"/>
      <c r="BT649" s="865"/>
      <c r="BU649" s="867"/>
      <c r="BV649" s="865"/>
      <c r="BW649" s="865"/>
      <c r="BX649" s="865"/>
      <c r="BY649" s="867"/>
      <c r="BZ649" s="865"/>
      <c r="CA649" s="865"/>
      <c r="CB649" s="865"/>
      <c r="CC649" s="867"/>
      <c r="CD649" s="523"/>
      <c r="CE649" s="610"/>
      <c r="CF649" s="610"/>
      <c r="CG649" s="610"/>
      <c r="CH649" s="610"/>
      <c r="CI649" s="610"/>
      <c r="CJ649" s="610"/>
      <c r="CK649" s="610"/>
      <c r="CL649" s="610"/>
      <c r="CM649" s="610"/>
      <c r="CN649" s="610"/>
      <c r="CO649" s="459"/>
      <c r="CP649" s="610"/>
      <c r="CQ649" s="610"/>
      <c r="CR649" s="610"/>
      <c r="CS649" s="610"/>
      <c r="CT649" s="610"/>
      <c r="CU649" s="610"/>
      <c r="CV649" s="610"/>
      <c r="CW649" s="610"/>
      <c r="CX649" s="610"/>
      <c r="CY649" s="610"/>
      <c r="CZ649" s="610"/>
      <c r="DA649" s="610"/>
      <c r="DB649" s="610"/>
      <c r="DC649" s="610"/>
      <c r="DD649" s="1534"/>
      <c r="DE649" s="1569"/>
      <c r="DF649" s="374"/>
      <c r="DG649" s="374"/>
      <c r="DH649" s="374"/>
      <c r="DI649" s="374"/>
      <c r="DJ649" s="374"/>
      <c r="DK649" s="374"/>
      <c r="DL649" s="487"/>
      <c r="DM649" s="374"/>
      <c r="DN649" s="374"/>
      <c r="DO649" s="374"/>
      <c r="DP649" s="374"/>
      <c r="DQ649" s="374"/>
      <c r="DR649" s="374"/>
      <c r="DS649" s="374"/>
      <c r="DT649" s="374"/>
      <c r="DU649" s="374"/>
      <c r="DV649" s="374"/>
      <c r="DW649" s="374"/>
      <c r="DX649" s="374"/>
      <c r="DY649" s="374"/>
      <c r="DZ649" s="1688"/>
    </row>
    <row r="650" spans="1:130" outlineLevel="1">
      <c r="A650" s="555"/>
      <c r="B650" s="491"/>
      <c r="C650" s="489" t="s">
        <v>726</v>
      </c>
      <c r="D650" s="487"/>
      <c r="E650" s="374"/>
      <c r="F650" s="865"/>
      <c r="G650" s="865"/>
      <c r="H650" s="865"/>
      <c r="I650" s="867"/>
      <c r="J650" s="865"/>
      <c r="K650" s="865"/>
      <c r="L650" s="865"/>
      <c r="M650" s="867"/>
      <c r="N650" s="865"/>
      <c r="O650" s="865"/>
      <c r="P650" s="865"/>
      <c r="Q650" s="867"/>
      <c r="R650" s="865"/>
      <c r="S650" s="865"/>
      <c r="T650" s="865"/>
      <c r="U650" s="865"/>
      <c r="V650" s="869"/>
      <c r="W650" s="865"/>
      <c r="X650" s="865"/>
      <c r="Y650" s="867"/>
      <c r="Z650" s="869"/>
      <c r="AA650" s="865"/>
      <c r="AB650" s="865"/>
      <c r="AC650" s="867"/>
      <c r="AD650" s="869"/>
      <c r="AE650" s="865"/>
      <c r="AF650" s="865"/>
      <c r="AG650" s="865"/>
      <c r="AH650" s="869"/>
      <c r="AI650" s="865"/>
      <c r="AJ650" s="865"/>
      <c r="AK650" s="867"/>
      <c r="AL650" s="865"/>
      <c r="AM650" s="865"/>
      <c r="AN650" s="865"/>
      <c r="AO650" s="867"/>
      <c r="AP650" s="865"/>
      <c r="AQ650" s="865">
        <v>443</v>
      </c>
      <c r="AR650" s="865">
        <v>463</v>
      </c>
      <c r="AS650" s="867">
        <v>453</v>
      </c>
      <c r="AT650" s="865">
        <v>512</v>
      </c>
      <c r="AU650" s="865">
        <v>581</v>
      </c>
      <c r="AV650" s="865">
        <v>578</v>
      </c>
      <c r="AW650" s="867">
        <v>608</v>
      </c>
      <c r="AX650" s="865">
        <v>634</v>
      </c>
      <c r="AY650" s="865">
        <v>578</v>
      </c>
      <c r="AZ650" s="865">
        <v>581</v>
      </c>
      <c r="BA650" s="867">
        <v>668</v>
      </c>
      <c r="BB650" s="865">
        <v>708</v>
      </c>
      <c r="BC650" s="865">
        <v>804</v>
      </c>
      <c r="BD650" s="865">
        <v>805</v>
      </c>
      <c r="BE650" s="867">
        <v>797</v>
      </c>
      <c r="BF650" s="865">
        <v>811</v>
      </c>
      <c r="BG650" s="865">
        <v>874</v>
      </c>
      <c r="BH650" s="865">
        <v>888</v>
      </c>
      <c r="BI650" s="867">
        <v>875</v>
      </c>
      <c r="BJ650" s="865">
        <v>1002</v>
      </c>
      <c r="BK650" s="865">
        <v>1087</v>
      </c>
      <c r="BL650" s="865">
        <v>1123</v>
      </c>
      <c r="BM650" s="867">
        <v>1159</v>
      </c>
      <c r="BN650" s="865">
        <v>1228</v>
      </c>
      <c r="BO650" s="865">
        <v>1390</v>
      </c>
      <c r="BP650" s="865">
        <v>1443</v>
      </c>
      <c r="BQ650" s="1665"/>
      <c r="BR650" s="865"/>
      <c r="BS650" s="865"/>
      <c r="BT650" s="865"/>
      <c r="BU650" s="867"/>
      <c r="BV650" s="865"/>
      <c r="BW650" s="865"/>
      <c r="BX650" s="865"/>
      <c r="BY650" s="867"/>
      <c r="BZ650" s="865"/>
      <c r="CA650" s="865"/>
      <c r="CB650" s="865"/>
      <c r="CC650" s="867"/>
      <c r="CD650" s="523"/>
      <c r="CE650" s="610"/>
      <c r="CF650" s="610"/>
      <c r="CG650" s="610"/>
      <c r="CH650" s="610"/>
      <c r="CI650" s="610"/>
      <c r="CJ650" s="610"/>
      <c r="CK650" s="610"/>
      <c r="CL650" s="610"/>
      <c r="CM650" s="610"/>
      <c r="CN650" s="610"/>
      <c r="CO650" s="459"/>
      <c r="CP650" s="610"/>
      <c r="CQ650" s="610"/>
      <c r="CR650" s="610"/>
      <c r="CS650" s="610"/>
      <c r="CT650" s="610"/>
      <c r="CU650" s="610"/>
      <c r="CV650" s="610"/>
      <c r="CW650" s="610"/>
      <c r="CX650" s="610"/>
      <c r="CY650" s="610"/>
      <c r="CZ650" s="610"/>
      <c r="DA650" s="610"/>
      <c r="DB650" s="610"/>
      <c r="DC650" s="610"/>
      <c r="DD650" s="1534"/>
      <c r="DE650" s="1569"/>
      <c r="DF650" s="374"/>
      <c r="DG650" s="374"/>
      <c r="DH650" s="374"/>
      <c r="DI650" s="374"/>
      <c r="DJ650" s="374"/>
      <c r="DK650" s="374"/>
      <c r="DL650" s="487"/>
      <c r="DM650" s="374"/>
      <c r="DN650" s="374"/>
      <c r="DO650" s="374"/>
      <c r="DP650" s="374"/>
      <c r="DQ650" s="374"/>
      <c r="DR650" s="374"/>
      <c r="DS650" s="374"/>
      <c r="DT650" s="374"/>
      <c r="DU650" s="374"/>
      <c r="DV650" s="374"/>
      <c r="DW650" s="374"/>
      <c r="DX650" s="374"/>
      <c r="DY650" s="374"/>
      <c r="DZ650" s="1688"/>
    </row>
    <row r="651" spans="1:130" outlineLevel="1">
      <c r="A651" s="555"/>
      <c r="B651" s="491"/>
      <c r="C651" s="489"/>
      <c r="D651" s="487"/>
      <c r="E651" s="374" t="s">
        <v>626</v>
      </c>
      <c r="F651" s="865"/>
      <c r="G651" s="865"/>
      <c r="H651" s="865"/>
      <c r="I651" s="867"/>
      <c r="J651" s="865"/>
      <c r="K651" s="865"/>
      <c r="L651" s="865"/>
      <c r="M651" s="867"/>
      <c r="N651" s="865"/>
      <c r="O651" s="865"/>
      <c r="P651" s="865"/>
      <c r="Q651" s="867"/>
      <c r="R651" s="865"/>
      <c r="S651" s="865"/>
      <c r="T651" s="865"/>
      <c r="U651" s="865"/>
      <c r="V651" s="869"/>
      <c r="W651" s="865"/>
      <c r="X651" s="865"/>
      <c r="Y651" s="867"/>
      <c r="Z651" s="869"/>
      <c r="AA651" s="865"/>
      <c r="AB651" s="865"/>
      <c r="AC651" s="867"/>
      <c r="AD651" s="869"/>
      <c r="AE651" s="865"/>
      <c r="AF651" s="865"/>
      <c r="AG651" s="865"/>
      <c r="AH651" s="869"/>
      <c r="AI651" s="865"/>
      <c r="AJ651" s="865"/>
      <c r="AK651" s="867"/>
      <c r="AL651" s="865"/>
      <c r="AM651" s="865"/>
      <c r="AN651" s="865"/>
      <c r="AO651" s="867"/>
      <c r="AP651" s="865"/>
      <c r="AQ651" s="865"/>
      <c r="AR651" s="865"/>
      <c r="AS651" s="867"/>
      <c r="AT651" s="865"/>
      <c r="AU651" s="1021">
        <f t="shared" ref="AU651:BP651" si="1319">AU650/AQ650-1</f>
        <v>0.31151241534988716</v>
      </c>
      <c r="AV651" s="1021">
        <f t="shared" si="1319"/>
        <v>0.24838012958963285</v>
      </c>
      <c r="AW651" s="1022">
        <f t="shared" si="1319"/>
        <v>0.34216335540838849</v>
      </c>
      <c r="AX651" s="1021">
        <f t="shared" si="1319"/>
        <v>0.23828125</v>
      </c>
      <c r="AY651" s="1021">
        <f t="shared" si="1319"/>
        <v>-5.1635111876076056E-3</v>
      </c>
      <c r="AZ651" s="1021">
        <f t="shared" si="1319"/>
        <v>5.1903114186850896E-3</v>
      </c>
      <c r="BA651" s="1022">
        <f t="shared" si="1319"/>
        <v>9.8684210526315708E-2</v>
      </c>
      <c r="BB651" s="1021">
        <f t="shared" si="1319"/>
        <v>0.11671924290220814</v>
      </c>
      <c r="BC651" s="1021">
        <f t="shared" si="1319"/>
        <v>0.39100346020761245</v>
      </c>
      <c r="BD651" s="1021">
        <f t="shared" si="1319"/>
        <v>0.3855421686746987</v>
      </c>
      <c r="BE651" s="1022">
        <f t="shared" si="1319"/>
        <v>0.19311377245508976</v>
      </c>
      <c r="BF651" s="1320">
        <f t="shared" si="1319"/>
        <v>0.14548022598870047</v>
      </c>
      <c r="BG651" s="1320">
        <f t="shared" si="1319"/>
        <v>8.7064676616915415E-2</v>
      </c>
      <c r="BH651" s="1320">
        <f t="shared" si="1319"/>
        <v>0.10310559006211184</v>
      </c>
      <c r="BI651" s="1326">
        <f t="shared" si="1319"/>
        <v>9.7867001254705155E-2</v>
      </c>
      <c r="BJ651" s="1320">
        <f t="shared" si="1319"/>
        <v>0.23551171393341552</v>
      </c>
      <c r="BK651" s="1320">
        <f t="shared" si="1319"/>
        <v>0.24370709382151023</v>
      </c>
      <c r="BL651" s="1320">
        <f t="shared" si="1319"/>
        <v>0.26463963963963955</v>
      </c>
      <c r="BM651" s="1326">
        <f t="shared" si="1319"/>
        <v>0.32457142857142851</v>
      </c>
      <c r="BN651" s="1320">
        <f t="shared" si="1319"/>
        <v>0.22554890219560875</v>
      </c>
      <c r="BO651" s="1320">
        <f t="shared" si="1319"/>
        <v>0.27874885004599825</v>
      </c>
      <c r="BP651" s="1320">
        <f t="shared" si="1319"/>
        <v>0.28495102404274264</v>
      </c>
      <c r="BQ651" s="1326"/>
      <c r="BR651" s="865"/>
      <c r="BS651" s="865"/>
      <c r="BT651" s="865"/>
      <c r="BU651" s="867"/>
      <c r="BV651" s="865"/>
      <c r="BW651" s="865"/>
      <c r="BX651" s="865"/>
      <c r="BY651" s="867"/>
      <c r="BZ651" s="865"/>
      <c r="CA651" s="865"/>
      <c r="CB651" s="865"/>
      <c r="CC651" s="867"/>
      <c r="CD651" s="523"/>
      <c r="CE651" s="610"/>
      <c r="CF651" s="610"/>
      <c r="CG651" s="610"/>
      <c r="CH651" s="610"/>
      <c r="CI651" s="610"/>
      <c r="CJ651" s="610"/>
      <c r="CK651" s="610"/>
      <c r="CL651" s="610"/>
      <c r="CM651" s="610"/>
      <c r="CN651" s="610"/>
      <c r="CO651" s="459"/>
      <c r="CP651" s="610"/>
      <c r="CQ651" s="610"/>
      <c r="CR651" s="610"/>
      <c r="CS651" s="610"/>
      <c r="CT651" s="610"/>
      <c r="CU651" s="610"/>
      <c r="CV651" s="610"/>
      <c r="CW651" s="610"/>
      <c r="CX651" s="610"/>
      <c r="CY651" s="610"/>
      <c r="CZ651" s="610"/>
      <c r="DA651" s="610"/>
      <c r="DB651" s="610"/>
      <c r="DC651" s="610"/>
      <c r="DD651" s="1534"/>
      <c r="DE651" s="1569"/>
      <c r="DF651" s="374"/>
      <c r="DG651" s="374"/>
      <c r="DH651" s="374"/>
      <c r="DI651" s="374"/>
      <c r="DJ651" s="374"/>
      <c r="DK651" s="374"/>
      <c r="DL651" s="487"/>
      <c r="DM651" s="374"/>
      <c r="DN651" s="374"/>
      <c r="DO651" s="374"/>
      <c r="DP651" s="374"/>
      <c r="DQ651" s="374"/>
      <c r="DR651" s="374"/>
      <c r="DS651" s="374"/>
      <c r="DT651" s="374"/>
      <c r="DU651" s="374"/>
      <c r="DV651" s="374"/>
      <c r="DW651" s="374"/>
      <c r="DX651" s="374"/>
      <c r="DY651" s="374"/>
      <c r="DZ651" s="1688"/>
    </row>
    <row r="652" spans="1:130" outlineLevel="1">
      <c r="A652" s="555"/>
      <c r="B652" s="491"/>
      <c r="C652" s="489" t="s">
        <v>727</v>
      </c>
      <c r="D652" s="487"/>
      <c r="E652" s="374"/>
      <c r="F652" s="865"/>
      <c r="G652" s="865"/>
      <c r="H652" s="865"/>
      <c r="I652" s="867"/>
      <c r="J652" s="865"/>
      <c r="K652" s="865"/>
      <c r="L652" s="865"/>
      <c r="M652" s="867"/>
      <c r="N652" s="865"/>
      <c r="O652" s="865"/>
      <c r="P652" s="865"/>
      <c r="Q652" s="867"/>
      <c r="R652" s="865"/>
      <c r="S652" s="865"/>
      <c r="T652" s="865"/>
      <c r="U652" s="865"/>
      <c r="V652" s="869"/>
      <c r="W652" s="865"/>
      <c r="X652" s="865"/>
      <c r="Y652" s="867"/>
      <c r="Z652" s="869"/>
      <c r="AA652" s="865"/>
      <c r="AB652" s="865"/>
      <c r="AC652" s="867"/>
      <c r="AD652" s="869"/>
      <c r="AE652" s="865"/>
      <c r="AF652" s="865"/>
      <c r="AG652" s="865"/>
      <c r="AH652" s="869"/>
      <c r="AI652" s="865"/>
      <c r="AJ652" s="865"/>
      <c r="AK652" s="867"/>
      <c r="AL652" s="865"/>
      <c r="AM652" s="865"/>
      <c r="AN652" s="865"/>
      <c r="AO652" s="867"/>
      <c r="AP652" s="865"/>
      <c r="AQ652" s="865">
        <v>21.9</v>
      </c>
      <c r="AR652" s="865">
        <v>23.7</v>
      </c>
      <c r="AS652" s="867">
        <v>22.5</v>
      </c>
      <c r="AT652" s="865">
        <v>26</v>
      </c>
      <c r="AU652" s="865">
        <v>30.3</v>
      </c>
      <c r="AV652" s="865">
        <v>28.8</v>
      </c>
      <c r="AW652" s="867">
        <v>32.700000000000003</v>
      </c>
      <c r="AX652" s="865">
        <v>36.700000000000003</v>
      </c>
      <c r="AY652" s="865">
        <v>16.5</v>
      </c>
      <c r="AZ652" s="865">
        <v>25.7</v>
      </c>
      <c r="BA652" s="867">
        <v>47.4</v>
      </c>
      <c r="BB652" s="865">
        <v>44.3</v>
      </c>
      <c r="BC652" s="865">
        <v>47.6</v>
      </c>
      <c r="BD652" s="865">
        <v>48.4</v>
      </c>
      <c r="BE652" s="867">
        <v>47.7</v>
      </c>
      <c r="BF652" s="865">
        <v>50.8</v>
      </c>
      <c r="BG652" s="865">
        <v>55.1</v>
      </c>
      <c r="BH652" s="865">
        <v>53.6</v>
      </c>
      <c r="BI652" s="867">
        <v>55.2</v>
      </c>
      <c r="BJ652" s="865">
        <v>64.8</v>
      </c>
      <c r="BK652" s="865">
        <v>66.400000000000006</v>
      </c>
      <c r="BL652" s="865">
        <v>61.3</v>
      </c>
      <c r="BM652" s="867">
        <v>56.2</v>
      </c>
      <c r="BN652" s="865">
        <v>63.5</v>
      </c>
      <c r="BO652" s="865">
        <v>69.099999999999994</v>
      </c>
      <c r="BP652" s="865">
        <v>63</v>
      </c>
      <c r="BQ652" s="867">
        <v>66.099999999999994</v>
      </c>
      <c r="BR652" s="865">
        <v>80</v>
      </c>
      <c r="BS652" s="1020">
        <f>BS233</f>
        <v>77.8</v>
      </c>
      <c r="BT652" s="1020">
        <f>BT233</f>
        <v>74.2</v>
      </c>
      <c r="BU652" s="1024">
        <f>BU233</f>
        <v>81.2</v>
      </c>
      <c r="BV652" s="865"/>
      <c r="BW652" s="865"/>
      <c r="BX652" s="865"/>
      <c r="BY652" s="867"/>
      <c r="BZ652" s="865"/>
      <c r="CA652" s="865"/>
      <c r="CB652" s="865"/>
      <c r="CC652" s="867"/>
      <c r="CD652" s="523"/>
      <c r="CE652" s="610"/>
      <c r="CF652" s="610"/>
      <c r="CG652" s="610"/>
      <c r="CH652" s="610"/>
      <c r="CI652" s="610"/>
      <c r="CJ652" s="610"/>
      <c r="CK652" s="610"/>
      <c r="CL652" s="610"/>
      <c r="CM652" s="610"/>
      <c r="CN652" s="610"/>
      <c r="CO652" s="459"/>
      <c r="CP652" s="610"/>
      <c r="CQ652" s="610"/>
      <c r="CR652" s="610"/>
      <c r="CS652" s="610"/>
      <c r="CT652" s="610"/>
      <c r="CU652" s="610"/>
      <c r="CV652" s="610"/>
      <c r="CW652" s="610"/>
      <c r="CX652" s="610"/>
      <c r="CY652" s="610"/>
      <c r="CZ652" s="610"/>
      <c r="DA652" s="610"/>
      <c r="DB652" s="610"/>
      <c r="DC652" s="610"/>
      <c r="DD652" s="1534"/>
      <c r="DE652" s="1569"/>
      <c r="DF652" s="374"/>
      <c r="DG652" s="374"/>
      <c r="DH652" s="374"/>
      <c r="DI652" s="374"/>
      <c r="DJ652" s="374"/>
      <c r="DK652" s="374"/>
      <c r="DL652" s="487"/>
      <c r="DM652" s="374"/>
      <c r="DN652" s="374"/>
      <c r="DO652" s="374"/>
      <c r="DP652" s="374"/>
      <c r="DQ652" s="374"/>
      <c r="DR652" s="374"/>
      <c r="DS652" s="374"/>
      <c r="DT652" s="374"/>
      <c r="DU652" s="374"/>
      <c r="DV652" s="374"/>
      <c r="DW652" s="374"/>
      <c r="DX652" s="374"/>
      <c r="DY652" s="374"/>
      <c r="DZ652" s="1688"/>
    </row>
    <row r="653" spans="1:130" outlineLevel="1">
      <c r="A653" s="555"/>
      <c r="B653" s="491"/>
      <c r="C653" s="489"/>
      <c r="D653" s="487"/>
      <c r="E653" s="374" t="s">
        <v>626</v>
      </c>
      <c r="F653" s="865"/>
      <c r="G653" s="865"/>
      <c r="H653" s="865"/>
      <c r="I653" s="867"/>
      <c r="J653" s="865"/>
      <c r="K653" s="865"/>
      <c r="L653" s="865"/>
      <c r="M653" s="867"/>
      <c r="N653" s="865"/>
      <c r="O653" s="865"/>
      <c r="P653" s="865"/>
      <c r="Q653" s="867"/>
      <c r="R653" s="865"/>
      <c r="S653" s="865"/>
      <c r="T653" s="865"/>
      <c r="U653" s="865"/>
      <c r="V653" s="869"/>
      <c r="W653" s="865"/>
      <c r="X653" s="865"/>
      <c r="Y653" s="867"/>
      <c r="Z653" s="869"/>
      <c r="AA653" s="865"/>
      <c r="AB653" s="865"/>
      <c r="AC653" s="867"/>
      <c r="AD653" s="869"/>
      <c r="AE653" s="865"/>
      <c r="AF653" s="865"/>
      <c r="AG653" s="865"/>
      <c r="AH653" s="869"/>
      <c r="AI653" s="865"/>
      <c r="AJ653" s="865"/>
      <c r="AK653" s="867"/>
      <c r="AL653" s="865"/>
      <c r="AM653" s="865"/>
      <c r="AN653" s="865"/>
      <c r="AO653" s="867"/>
      <c r="AP653" s="865"/>
      <c r="AQ653" s="865"/>
      <c r="AR653" s="865"/>
      <c r="AS653" s="867"/>
      <c r="AT653" s="865"/>
      <c r="AU653" s="1021">
        <f t="shared" ref="AU653:BE653" si="1320">AU652/AQ652-1</f>
        <v>0.38356164383561664</v>
      </c>
      <c r="AV653" s="1021">
        <f t="shared" si="1320"/>
        <v>0.21518987341772156</v>
      </c>
      <c r="AW653" s="1022">
        <f t="shared" si="1320"/>
        <v>0.45333333333333337</v>
      </c>
      <c r="AX653" s="1021">
        <f t="shared" si="1320"/>
        <v>0.41153846153846163</v>
      </c>
      <c r="AY653" s="1021">
        <f t="shared" si="1320"/>
        <v>-0.45544554455445541</v>
      </c>
      <c r="AZ653" s="1021">
        <f t="shared" si="1320"/>
        <v>-0.10763888888888895</v>
      </c>
      <c r="BA653" s="1022">
        <f t="shared" si="1320"/>
        <v>0.44954128440366947</v>
      </c>
      <c r="BB653" s="1021">
        <f t="shared" si="1320"/>
        <v>0.20708446866484986</v>
      </c>
      <c r="BC653" s="1021">
        <f t="shared" si="1320"/>
        <v>1.8848484848484848</v>
      </c>
      <c r="BD653" s="1021">
        <f t="shared" si="1320"/>
        <v>0.88326848249027234</v>
      </c>
      <c r="BE653" s="1022">
        <f t="shared" si="1320"/>
        <v>6.3291139240506666E-3</v>
      </c>
      <c r="BF653" s="1320">
        <f t="shared" ref="BF653:BU653" si="1321">BF652/BB652-1</f>
        <v>0.14672686230248311</v>
      </c>
      <c r="BG653" s="1320">
        <f t="shared" si="1321"/>
        <v>0.15756302521008392</v>
      </c>
      <c r="BH653" s="1320">
        <f t="shared" si="1321"/>
        <v>0.10743801652892571</v>
      </c>
      <c r="BI653" s="1326">
        <f t="shared" si="1321"/>
        <v>0.15723270440251569</v>
      </c>
      <c r="BJ653" s="1320">
        <f t="shared" si="1321"/>
        <v>0.27559055118110232</v>
      </c>
      <c r="BK653" s="1320">
        <f t="shared" si="1321"/>
        <v>0.20508166969147013</v>
      </c>
      <c r="BL653" s="1320">
        <f t="shared" si="1321"/>
        <v>0.14365671641791034</v>
      </c>
      <c r="BM653" s="1326">
        <f>BM652/BI652-1</f>
        <v>1.8115942028985588E-2</v>
      </c>
      <c r="BN653" s="1320">
        <f t="shared" si="1321"/>
        <v>-2.0061728395061706E-2</v>
      </c>
      <c r="BO653" s="1320">
        <f t="shared" si="1321"/>
        <v>4.0662650602409478E-2</v>
      </c>
      <c r="BP653" s="1320">
        <f t="shared" si="1321"/>
        <v>2.7732463295269127E-2</v>
      </c>
      <c r="BQ653" s="1326">
        <f t="shared" si="1321"/>
        <v>0.17615658362989306</v>
      </c>
      <c r="BR653" s="1320">
        <f t="shared" si="1321"/>
        <v>0.25984251968503935</v>
      </c>
      <c r="BS653" s="1320">
        <f t="shared" si="1321"/>
        <v>0.12590448625180906</v>
      </c>
      <c r="BT653" s="1320">
        <f t="shared" si="1321"/>
        <v>0.17777777777777781</v>
      </c>
      <c r="BU653" s="1326">
        <f t="shared" si="1321"/>
        <v>0.22844175491679297</v>
      </c>
      <c r="BV653" s="865"/>
      <c r="BW653" s="865"/>
      <c r="BX653" s="865"/>
      <c r="BY653" s="867"/>
      <c r="BZ653" s="865"/>
      <c r="CA653" s="865"/>
      <c r="CB653" s="865"/>
      <c r="CC653" s="867"/>
      <c r="CD653" s="523"/>
      <c r="CE653" s="610"/>
      <c r="CF653" s="610"/>
      <c r="CG653" s="610"/>
      <c r="CH653" s="610"/>
      <c r="CI653" s="610"/>
      <c r="CJ653" s="610"/>
      <c r="CK653" s="610"/>
      <c r="CL653" s="610"/>
      <c r="CM653" s="610"/>
      <c r="CN653" s="610"/>
      <c r="CO653" s="459"/>
      <c r="CP653" s="610"/>
      <c r="CQ653" s="610"/>
      <c r="CR653" s="610"/>
      <c r="CS653" s="610"/>
      <c r="CT653" s="610"/>
      <c r="CU653" s="610"/>
      <c r="CV653" s="610"/>
      <c r="CW653" s="610"/>
      <c r="CX653" s="610"/>
      <c r="CY653" s="610"/>
      <c r="CZ653" s="610"/>
      <c r="DA653" s="610"/>
      <c r="DB653" s="610"/>
      <c r="DC653" s="610"/>
      <c r="DD653" s="1534"/>
      <c r="DE653" s="1569"/>
      <c r="DF653" s="374"/>
      <c r="DG653" s="374"/>
      <c r="DH653" s="374"/>
      <c r="DI653" s="374"/>
      <c r="DJ653" s="374"/>
      <c r="DK653" s="374"/>
      <c r="DL653" s="487"/>
      <c r="DM653" s="374"/>
      <c r="DN653" s="374"/>
      <c r="DO653" s="374"/>
      <c r="DP653" s="374"/>
      <c r="DQ653" s="374"/>
      <c r="DR653" s="374"/>
      <c r="DS653" s="374"/>
      <c r="DT653" s="374"/>
      <c r="DU653" s="374"/>
      <c r="DV653" s="374"/>
      <c r="DW653" s="374"/>
      <c r="DX653" s="374"/>
      <c r="DY653" s="374"/>
      <c r="DZ653" s="1688"/>
    </row>
    <row r="654" spans="1:130" outlineLevel="1">
      <c r="A654" s="555"/>
      <c r="B654" s="491"/>
      <c r="C654" s="489" t="s">
        <v>728</v>
      </c>
      <c r="D654" s="487"/>
      <c r="E654" s="374"/>
      <c r="F654" s="865"/>
      <c r="G654" s="865"/>
      <c r="H654" s="865"/>
      <c r="I654" s="867"/>
      <c r="J654" s="865"/>
      <c r="K654" s="865"/>
      <c r="L654" s="865"/>
      <c r="M654" s="867"/>
      <c r="N654" s="865"/>
      <c r="O654" s="865"/>
      <c r="P654" s="865"/>
      <c r="Q654" s="867"/>
      <c r="R654" s="865"/>
      <c r="S654" s="865"/>
      <c r="T654" s="865"/>
      <c r="U654" s="865"/>
      <c r="V654" s="869"/>
      <c r="W654" s="865"/>
      <c r="X654" s="865"/>
      <c r="Y654" s="867"/>
      <c r="Z654" s="869"/>
      <c r="AA654" s="865"/>
      <c r="AB654" s="865"/>
      <c r="AC654" s="867"/>
      <c r="AD654" s="869"/>
      <c r="AE654" s="865"/>
      <c r="AF654" s="865"/>
      <c r="AG654" s="865"/>
      <c r="AH654" s="869"/>
      <c r="AI654" s="865"/>
      <c r="AJ654" s="865"/>
      <c r="AK654" s="867"/>
      <c r="AL654" s="865"/>
      <c r="AM654" s="865"/>
      <c r="AN654" s="865"/>
      <c r="AO654" s="867"/>
      <c r="AP654" s="865"/>
      <c r="AQ654" s="865"/>
      <c r="AR654" s="865">
        <v>76.5</v>
      </c>
      <c r="AS654" s="867">
        <v>85.1</v>
      </c>
      <c r="AT654" s="865">
        <v>94.1</v>
      </c>
      <c r="AU654" s="865">
        <v>102.5</v>
      </c>
      <c r="AV654" s="865">
        <v>107.7</v>
      </c>
      <c r="AW654" s="867">
        <v>117.8</v>
      </c>
      <c r="AX654" s="865">
        <v>128.5</v>
      </c>
      <c r="AY654" s="865">
        <v>114.6</v>
      </c>
      <c r="AZ654" s="865">
        <v>111.5</v>
      </c>
      <c r="BA654" s="867">
        <v>126.3</v>
      </c>
      <c r="BB654" s="865">
        <v>45.9</v>
      </c>
      <c r="BC654" s="865">
        <v>93</v>
      </c>
      <c r="BD654" s="865">
        <v>140.80000000000001</v>
      </c>
      <c r="BE654" s="867">
        <v>188</v>
      </c>
      <c r="BF654" s="865">
        <v>194.5</v>
      </c>
      <c r="BG654" s="865">
        <v>202</v>
      </c>
      <c r="BH654" s="865">
        <v>207.2</v>
      </c>
      <c r="BI654" s="867">
        <v>214.7</v>
      </c>
      <c r="BJ654" s="865">
        <v>228.7</v>
      </c>
      <c r="BK654" s="865">
        <v>240</v>
      </c>
      <c r="BL654" s="865">
        <v>247.7</v>
      </c>
      <c r="BM654" s="867">
        <v>248.7</v>
      </c>
      <c r="BN654" s="865">
        <v>247.4</v>
      </c>
      <c r="BO654" s="865">
        <v>250.1</v>
      </c>
      <c r="BP654" s="865">
        <v>251.8</v>
      </c>
      <c r="BQ654" s="867">
        <v>261.7</v>
      </c>
      <c r="BR654" s="865">
        <v>278.2</v>
      </c>
      <c r="BS654" s="1020">
        <f>SUM(BP652:BS652)</f>
        <v>286.89999999999998</v>
      </c>
      <c r="BT654" s="1020">
        <f>SUM(BQ652:BT652)</f>
        <v>298.09999999999997</v>
      </c>
      <c r="BU654" s="1024">
        <f>SUM(BR652:BU652)</f>
        <v>313.2</v>
      </c>
      <c r="BV654" s="865"/>
      <c r="BW654" s="865"/>
      <c r="BX654" s="865"/>
      <c r="BY654" s="867"/>
      <c r="BZ654" s="865"/>
      <c r="CA654" s="865"/>
      <c r="CB654" s="865"/>
      <c r="CC654" s="867"/>
      <c r="CD654" s="523"/>
      <c r="CE654" s="610"/>
      <c r="CF654" s="610"/>
      <c r="CG654" s="610"/>
      <c r="CH654" s="610"/>
      <c r="CI654" s="610"/>
      <c r="CJ654" s="610"/>
      <c r="CK654" s="610"/>
      <c r="CL654" s="610"/>
      <c r="CM654" s="610"/>
      <c r="CN654" s="610"/>
      <c r="CO654" s="459"/>
      <c r="CP654" s="610"/>
      <c r="CQ654" s="610"/>
      <c r="CR654" s="610"/>
      <c r="CS654" s="610"/>
      <c r="CT654" s="610"/>
      <c r="CU654" s="610"/>
      <c r="CV654" s="610"/>
      <c r="CW654" s="610"/>
      <c r="CX654" s="610"/>
      <c r="CY654" s="610"/>
      <c r="CZ654" s="610"/>
      <c r="DA654" s="610"/>
      <c r="DB654" s="610"/>
      <c r="DC654" s="610"/>
      <c r="DD654" s="1534"/>
      <c r="DE654" s="1569"/>
      <c r="DF654" s="374"/>
      <c r="DG654" s="374"/>
      <c r="DH654" s="374"/>
      <c r="DI654" s="374"/>
      <c r="DJ654" s="374"/>
      <c r="DK654" s="374"/>
      <c r="DL654" s="487"/>
      <c r="DM654" s="374"/>
      <c r="DN654" s="374"/>
      <c r="DO654" s="374"/>
      <c r="DP654" s="374"/>
      <c r="DQ654" s="374"/>
      <c r="DR654" s="374"/>
      <c r="DS654" s="374"/>
      <c r="DT654" s="374"/>
      <c r="DU654" s="374"/>
      <c r="DV654" s="374"/>
      <c r="DW654" s="374"/>
      <c r="DX654" s="374"/>
      <c r="DY654" s="374"/>
      <c r="DZ654" s="1688"/>
    </row>
    <row r="655" spans="1:130" outlineLevel="1">
      <c r="A655" s="555"/>
      <c r="B655" s="491"/>
      <c r="C655" s="489"/>
      <c r="D655" s="487"/>
      <c r="E655" s="374"/>
      <c r="F655" s="865"/>
      <c r="G655" s="865"/>
      <c r="H655" s="865"/>
      <c r="I655" s="867"/>
      <c r="J655" s="865"/>
      <c r="K655" s="865"/>
      <c r="L655" s="865"/>
      <c r="M655" s="867"/>
      <c r="N655" s="865"/>
      <c r="O655" s="865"/>
      <c r="P655" s="865"/>
      <c r="Q655" s="867"/>
      <c r="R655" s="865"/>
      <c r="S655" s="865"/>
      <c r="T655" s="865"/>
      <c r="U655" s="865"/>
      <c r="V655" s="869"/>
      <c r="W655" s="865"/>
      <c r="X655" s="865"/>
      <c r="Y655" s="867"/>
      <c r="Z655" s="869"/>
      <c r="AA655" s="865"/>
      <c r="AB655" s="865"/>
      <c r="AC655" s="867"/>
      <c r="AD655" s="869"/>
      <c r="AE655" s="865"/>
      <c r="AF655" s="865"/>
      <c r="AG655" s="865"/>
      <c r="AH655" s="869"/>
      <c r="AI655" s="865"/>
      <c r="AJ655" s="865"/>
      <c r="AK655" s="867"/>
      <c r="AL655" s="865"/>
      <c r="AM655" s="865"/>
      <c r="AN655" s="865"/>
      <c r="AO655" s="867"/>
      <c r="AP655" s="865"/>
      <c r="AQ655" s="865"/>
      <c r="AR655" s="865"/>
      <c r="AS655" s="867"/>
      <c r="AT655" s="865"/>
      <c r="AU655" s="865"/>
      <c r="AV655" s="865"/>
      <c r="AW655" s="867"/>
      <c r="AX655" s="865"/>
      <c r="AY655" s="865"/>
      <c r="AZ655" s="865"/>
      <c r="BA655" s="867"/>
      <c r="BB655" s="865"/>
      <c r="BC655" s="865"/>
      <c r="BD655" s="865"/>
      <c r="BE655" s="867"/>
      <c r="BF655" s="865"/>
      <c r="BG655" s="865"/>
      <c r="BH655" s="865"/>
      <c r="BI655" s="867"/>
      <c r="BJ655" s="865"/>
      <c r="BK655" s="865"/>
      <c r="BL655" s="865"/>
      <c r="BM655" s="867"/>
      <c r="BN655" s="865"/>
      <c r="BO655" s="865"/>
      <c r="BP655" s="865"/>
      <c r="BQ655" s="867"/>
      <c r="BR655" s="865"/>
      <c r="BS655" s="865"/>
      <c r="BT655" s="865"/>
      <c r="BU655" s="867"/>
      <c r="BV655" s="865"/>
      <c r="BW655" s="865"/>
      <c r="BX655" s="865"/>
      <c r="BY655" s="867"/>
      <c r="BZ655" s="865"/>
      <c r="CA655" s="865"/>
      <c r="CB655" s="865"/>
      <c r="CC655" s="867"/>
      <c r="CD655" s="523"/>
      <c r="CE655" s="610"/>
      <c r="CF655" s="610"/>
      <c r="CG655" s="610"/>
      <c r="CH655" s="610"/>
      <c r="CI655" s="610"/>
      <c r="CJ655" s="610"/>
      <c r="CK655" s="610"/>
      <c r="CL655" s="610"/>
      <c r="CM655" s="610"/>
      <c r="CN655" s="610"/>
      <c r="CO655" s="459"/>
      <c r="CP655" s="610"/>
      <c r="CQ655" s="610"/>
      <c r="CR655" s="610"/>
      <c r="CS655" s="610"/>
      <c r="CT655" s="610"/>
      <c r="CU655" s="610"/>
      <c r="CV655" s="610"/>
      <c r="CW655" s="610"/>
      <c r="CX655" s="610"/>
      <c r="CY655" s="610"/>
      <c r="CZ655" s="610"/>
      <c r="DA655" s="610"/>
      <c r="DB655" s="610"/>
      <c r="DC655" s="610"/>
      <c r="DD655" s="1534"/>
      <c r="DE655" s="1569"/>
      <c r="DF655" s="374"/>
      <c r="DG655" s="374"/>
      <c r="DH655" s="374"/>
      <c r="DI655" s="374"/>
      <c r="DJ655" s="374"/>
      <c r="DK655" s="374"/>
      <c r="DL655" s="487"/>
      <c r="DM655" s="374"/>
      <c r="DN655" s="374"/>
      <c r="DO655" s="374"/>
      <c r="DP655" s="374"/>
      <c r="DQ655" s="374"/>
      <c r="DR655" s="374"/>
      <c r="DS655" s="374"/>
      <c r="DT655" s="374"/>
      <c r="DU655" s="374"/>
      <c r="DV655" s="374"/>
      <c r="DW655" s="374"/>
      <c r="DX655" s="374"/>
      <c r="DY655" s="374"/>
      <c r="DZ655" s="1688"/>
    </row>
    <row r="656" spans="1:130" outlineLevel="1">
      <c r="A656" s="555"/>
      <c r="B656" s="1251"/>
      <c r="C656" s="1252" t="s">
        <v>180</v>
      </c>
      <c r="D656" s="1253"/>
      <c r="E656" s="1191"/>
      <c r="F656" s="1254"/>
      <c r="G656" s="1254"/>
      <c r="H656" s="1254"/>
      <c r="I656" s="1255"/>
      <c r="J656" s="1254"/>
      <c r="K656" s="1254"/>
      <c r="L656" s="1254"/>
      <c r="M656" s="1255"/>
      <c r="N656" s="1254"/>
      <c r="O656" s="1254"/>
      <c r="P656" s="1254"/>
      <c r="Q656" s="1255"/>
      <c r="R656" s="1254"/>
      <c r="S656" s="1254"/>
      <c r="T656" s="1254"/>
      <c r="U656" s="1254"/>
      <c r="V656" s="1256"/>
      <c r="W656" s="1254"/>
      <c r="X656" s="1254"/>
      <c r="Y656" s="1255"/>
      <c r="Z656" s="1256"/>
      <c r="AA656" s="1257"/>
      <c r="AB656" s="1257"/>
      <c r="AC656" s="1258"/>
      <c r="AD656" s="1259"/>
      <c r="AE656" s="1257"/>
      <c r="AF656" s="1257"/>
      <c r="AG656" s="1257"/>
      <c r="AH656" s="1259"/>
      <c r="AI656" s="1257">
        <v>0.09</v>
      </c>
      <c r="AJ656" s="1257">
        <v>0.11</v>
      </c>
      <c r="AK656" s="1258"/>
      <c r="AL656" s="1257">
        <v>0.12</v>
      </c>
      <c r="AM656" s="1257">
        <v>0.12</v>
      </c>
      <c r="AN656" s="1257">
        <v>0.1</v>
      </c>
      <c r="AO656" s="1258"/>
      <c r="AP656" s="1257">
        <v>7.0000000000000007E-2</v>
      </c>
      <c r="AQ656" s="1257">
        <v>7.0000000000000007E-2</v>
      </c>
      <c r="AR656" s="1257">
        <v>7.0000000000000007E-2</v>
      </c>
      <c r="AS656" s="1258">
        <v>0.111</v>
      </c>
      <c r="AT656" s="1257">
        <v>0.11</v>
      </c>
      <c r="AU656" s="1257">
        <v>0.1</v>
      </c>
      <c r="AV656" s="1257">
        <v>0.12</v>
      </c>
      <c r="AW656" s="1258"/>
      <c r="AX656" s="1257"/>
      <c r="AY656" s="1257"/>
      <c r="AZ656" s="1257"/>
      <c r="BA656" s="1258"/>
      <c r="BB656" s="1257"/>
      <c r="BC656" s="1257"/>
      <c r="BD656" s="1257"/>
      <c r="BE656" s="1258"/>
      <c r="BF656" s="1259"/>
      <c r="BG656" s="1257"/>
      <c r="BH656" s="1257"/>
      <c r="BI656" s="1258"/>
      <c r="BJ656" s="1259"/>
      <c r="BK656" s="1257"/>
      <c r="BL656" s="1257"/>
      <c r="BM656" s="1258"/>
      <c r="BN656" s="1257"/>
      <c r="BO656" s="1257"/>
      <c r="BP656" s="1257"/>
      <c r="BQ656" s="1258"/>
      <c r="BR656" s="1257"/>
      <c r="BS656" s="1257"/>
      <c r="BT656" s="1257"/>
      <c r="BU656" s="1258"/>
      <c r="BV656" s="1257"/>
      <c r="BW656" s="1257"/>
      <c r="BX656" s="1257"/>
      <c r="BY656" s="1258"/>
      <c r="BZ656" s="1257"/>
      <c r="CA656" s="1257"/>
      <c r="CB656" s="1257"/>
      <c r="CC656" s="1258"/>
      <c r="CD656" s="991"/>
      <c r="CE656" s="1291"/>
      <c r="CF656" s="1184"/>
      <c r="CG656" s="1184"/>
      <c r="CH656" s="1184"/>
      <c r="CI656" s="1184"/>
      <c r="CJ656" s="1184"/>
      <c r="CK656" s="1184"/>
      <c r="CL656" s="1250">
        <v>0.1</v>
      </c>
      <c r="CM656" s="1250">
        <v>0.11</v>
      </c>
      <c r="CN656" s="1250">
        <v>0.08</v>
      </c>
      <c r="CO656" s="1250"/>
      <c r="CP656" s="1184"/>
      <c r="CQ656" s="1189"/>
      <c r="CR656" s="1189"/>
      <c r="CS656" s="1189"/>
      <c r="CT656" s="1189"/>
      <c r="CU656" s="1189"/>
      <c r="CV656" s="1189"/>
      <c r="CW656" s="1189"/>
      <c r="CX656" s="1189"/>
      <c r="CY656" s="1189"/>
      <c r="CZ656" s="1189"/>
      <c r="DA656" s="1189"/>
      <c r="DB656" s="1189"/>
      <c r="DC656" s="1189"/>
      <c r="DD656" s="1535"/>
      <c r="DE656" s="1569"/>
      <c r="DF656" s="374"/>
      <c r="DG656" s="374"/>
      <c r="DH656" s="374"/>
      <c r="DI656" s="374"/>
      <c r="DJ656" s="374"/>
      <c r="DK656" s="374"/>
      <c r="DL656" s="487"/>
      <c r="DM656" s="374"/>
      <c r="DN656" s="374"/>
      <c r="DO656" s="374"/>
      <c r="DP656" s="374"/>
      <c r="DQ656" s="374"/>
      <c r="DR656" s="374"/>
      <c r="DS656" s="374"/>
      <c r="DT656" s="374"/>
      <c r="DU656" s="374"/>
      <c r="DV656" s="374"/>
      <c r="DW656" s="374"/>
      <c r="DX656" s="374"/>
      <c r="DY656" s="374"/>
      <c r="DZ656" s="1688"/>
    </row>
    <row r="657" spans="1:136" outlineLevel="1">
      <c r="A657" s="555"/>
      <c r="B657" s="487"/>
      <c r="C657" s="489"/>
      <c r="D657" s="487"/>
      <c r="E657" s="374"/>
      <c r="F657" s="865"/>
      <c r="G657" s="865"/>
      <c r="H657" s="865"/>
      <c r="I657" s="865"/>
      <c r="J657" s="865"/>
      <c r="K657" s="865"/>
      <c r="L657" s="865"/>
      <c r="M657" s="865"/>
      <c r="N657" s="865"/>
      <c r="O657" s="865"/>
      <c r="P657" s="865"/>
      <c r="Q657" s="865"/>
      <c r="R657" s="865"/>
      <c r="S657" s="865"/>
      <c r="T657" s="865"/>
      <c r="U657" s="865"/>
      <c r="V657" s="865"/>
      <c r="W657" s="865"/>
      <c r="X657" s="865"/>
      <c r="Y657" s="865"/>
      <c r="Z657" s="865"/>
      <c r="AA657" s="988"/>
      <c r="AB657" s="988"/>
      <c r="AC657" s="988"/>
      <c r="AD657" s="988"/>
      <c r="AE657" s="988"/>
      <c r="AF657" s="988"/>
      <c r="AG657" s="988"/>
      <c r="AH657" s="988"/>
      <c r="AI657" s="988"/>
      <c r="AJ657" s="988"/>
      <c r="AK657" s="988"/>
      <c r="AL657" s="988"/>
      <c r="AM657" s="988"/>
      <c r="AN657" s="988"/>
      <c r="AO657" s="988"/>
      <c r="AP657" s="988"/>
      <c r="AQ657" s="988"/>
      <c r="AR657" s="988"/>
      <c r="AS657" s="988"/>
      <c r="AT657" s="988"/>
      <c r="AU657" s="988"/>
      <c r="AV657" s="988"/>
      <c r="AW657" s="988"/>
      <c r="AX657" s="988"/>
      <c r="AY657" s="988"/>
      <c r="AZ657" s="988"/>
      <c r="BA657" s="988"/>
      <c r="BB657" s="988"/>
      <c r="BC657" s="988"/>
      <c r="BD657" s="988"/>
      <c r="BE657" s="988"/>
      <c r="BF657" s="988"/>
      <c r="BG657" s="988"/>
      <c r="BH657" s="988"/>
      <c r="BI657" s="988"/>
      <c r="BJ657" s="988"/>
      <c r="BK657" s="988"/>
      <c r="BL657" s="988"/>
      <c r="BM657" s="988"/>
      <c r="BN657" s="988"/>
      <c r="BO657" s="988"/>
      <c r="BP657" s="988"/>
      <c r="BQ657" s="988"/>
      <c r="BR657" s="988"/>
      <c r="BS657" s="988"/>
      <c r="BT657" s="988"/>
      <c r="BU657" s="988"/>
      <c r="BV657" s="988"/>
      <c r="BW657" s="988"/>
      <c r="BX657" s="988"/>
      <c r="BY657" s="988"/>
      <c r="BZ657" s="988"/>
      <c r="CA657" s="988"/>
      <c r="CB657" s="988"/>
      <c r="CC657" s="988"/>
      <c r="CD657" s="775"/>
      <c r="CE657" s="701"/>
      <c r="CF657" s="701"/>
      <c r="CG657" s="701"/>
      <c r="CH657" s="701"/>
      <c r="CI657" s="701"/>
      <c r="CJ657" s="701"/>
      <c r="CK657" s="701"/>
      <c r="CL657" s="350"/>
      <c r="CM657" s="350"/>
      <c r="CN657" s="350"/>
      <c r="CO657" s="350"/>
      <c r="CP657" s="701"/>
      <c r="CQ657" s="610"/>
      <c r="CR657" s="610"/>
      <c r="CS657" s="610"/>
      <c r="CT657" s="610"/>
      <c r="CU657" s="610"/>
      <c r="CV657" s="610"/>
      <c r="CW657" s="610"/>
      <c r="CX657" s="610"/>
      <c r="CY657" s="610"/>
      <c r="CZ657" s="610"/>
      <c r="DA657" s="610"/>
      <c r="DB657" s="610"/>
      <c r="DC657" s="610"/>
      <c r="DD657" s="1569"/>
      <c r="DE657" s="1569"/>
      <c r="DF657" s="374"/>
      <c r="DG657" s="374"/>
      <c r="DH657" s="374"/>
      <c r="DI657" s="374"/>
      <c r="DJ657" s="374"/>
      <c r="DK657" s="374"/>
      <c r="DL657" s="487"/>
      <c r="DM657" s="374"/>
      <c r="DN657" s="374"/>
      <c r="DO657" s="374"/>
      <c r="DP657" s="374"/>
      <c r="DQ657" s="374"/>
      <c r="DR657" s="374"/>
      <c r="DS657" s="374"/>
      <c r="DT657" s="374"/>
      <c r="DU657" s="374"/>
      <c r="DV657" s="374"/>
      <c r="DW657" s="374"/>
      <c r="DX657" s="374"/>
      <c r="DY657" s="374"/>
      <c r="DZ657" s="1688"/>
    </row>
    <row r="658" spans="1:136" outlineLevel="1">
      <c r="CL658" s="63"/>
    </row>
    <row r="659" spans="1:136" s="1274" customFormat="1">
      <c r="A659" s="144" t="s">
        <v>25</v>
      </c>
      <c r="C659" s="51" t="s">
        <v>917</v>
      </c>
      <c r="BO659" s="77"/>
      <c r="BS659" s="77"/>
      <c r="BW659" s="77"/>
      <c r="CA659" s="77"/>
      <c r="CL659" s="77"/>
      <c r="CN659" s="77"/>
      <c r="CR659" s="77"/>
      <c r="CS659" s="77"/>
      <c r="CT659" s="77"/>
      <c r="DD659" s="1561"/>
      <c r="DE659" s="1561"/>
      <c r="DF659" s="51"/>
      <c r="DR659" s="77"/>
      <c r="DT659" s="77"/>
      <c r="DU659" s="24" t="s">
        <v>918</v>
      </c>
      <c r="DV659" s="24" t="s">
        <v>919</v>
      </c>
      <c r="DW659" s="24" t="s">
        <v>919</v>
      </c>
      <c r="DX659" s="24"/>
      <c r="DY659" s="24"/>
      <c r="DZ659" s="2231"/>
      <c r="EA659"/>
      <c r="EB659"/>
      <c r="EC659"/>
      <c r="ED659"/>
      <c r="EE659"/>
      <c r="EF659"/>
    </row>
    <row r="660" spans="1:136" s="1274" customFormat="1">
      <c r="BO660" s="77"/>
      <c r="BS660" s="77"/>
      <c r="BW660" s="77"/>
      <c r="CA660" s="77"/>
      <c r="CN660" s="77"/>
      <c r="CR660" s="77"/>
      <c r="CS660" s="77"/>
      <c r="CT660" s="77"/>
      <c r="DD660" s="1561"/>
      <c r="DE660" s="1561"/>
      <c r="DF660" s="51"/>
      <c r="DR660" s="77"/>
      <c r="DT660" s="77"/>
      <c r="DU660" s="77"/>
      <c r="DV660" s="77"/>
      <c r="DW660" s="77"/>
      <c r="DX660" s="77"/>
      <c r="DY660" s="77"/>
      <c r="DZ660" s="2231"/>
      <c r="EA660"/>
      <c r="EB660"/>
      <c r="EC660"/>
      <c r="ED660"/>
      <c r="EE660"/>
      <c r="EF660"/>
    </row>
  </sheetData>
  <mergeCells count="18">
    <mergeCell ref="F8:I8"/>
    <mergeCell ref="J8:M8"/>
    <mergeCell ref="N8:Q8"/>
    <mergeCell ref="R8:U8"/>
    <mergeCell ref="BJ8:BM8"/>
    <mergeCell ref="V8:Y8"/>
    <mergeCell ref="Z8:AC8"/>
    <mergeCell ref="AL8:AO8"/>
    <mergeCell ref="AD8:AG8"/>
    <mergeCell ref="BZ8:CC8"/>
    <mergeCell ref="BV8:BY8"/>
    <mergeCell ref="AH8:AK8"/>
    <mergeCell ref="BF8:BI8"/>
    <mergeCell ref="BB8:BE8"/>
    <mergeCell ref="AT8:AW8"/>
    <mergeCell ref="AX8:BA8"/>
    <mergeCell ref="BN8:BQ8"/>
    <mergeCell ref="BR8:BU8"/>
  </mergeCells>
  <phoneticPr fontId="0" type="noConversion"/>
  <pageMargins left="0" right="0" top="0" bottom="0" header="0" footer="0"/>
  <pageSetup paperSize="5" pageOrder="overThenDown" orientation="landscape" r:id="rId1"/>
  <headerFooter alignWithMargins="0"/>
  <rowBreaks count="4" manualBreakCount="4">
    <brk id="126" min="1" max="75" man="1"/>
    <brk id="226" min="1" max="75" man="1"/>
    <brk id="466" min="1" max="75" man="1"/>
    <brk id="616" min="1" max="75" man="1"/>
  </rowBreaks>
  <cellWatches>
    <cellWatch r="AJ11"/>
    <cellWatch r="AJ40"/>
    <cellWatch r="AJ53"/>
    <cellWatch r="AJ66"/>
    <cellWatch r="AJ67"/>
    <cellWatch r="AJ68"/>
    <cellWatch r="AJ69"/>
    <cellWatch r="AJ71"/>
    <cellWatch r="AJ72"/>
    <cellWatch r="AJ73"/>
    <cellWatch r="AJ74"/>
    <cellWatch r="AJ75"/>
    <cellWatch r="AJ76"/>
    <cellWatch r="AJ77"/>
    <cellWatch r="AJ78"/>
    <cellWatch r="AJ79"/>
    <cellWatch r="AJ80"/>
    <cellWatch r="AJ81"/>
    <cellWatch r="AJ82"/>
    <cellWatch r="AJ83"/>
    <cellWatch r="AJ85"/>
  </cellWatches>
  <ignoredErrors>
    <ignoredError sqref="CF86:CJ87 CE85:CE87 V543:X543 Z543:AF543 I89:P89 CN66 CE68:CI69 Y89 CL86:CM87 CE582:CM583 CK86 CE75:CM76 F89:G89 CN76:CN77 CN79 CE96:CN96 CG102:CK103 CM102:CM103 CL103 CN91:CN95 CE90:CM95 CL569 CE80:CK80 CH572:CJ572 CH568:CM568 CE586:CF586 CN103 CL571 CH569:CK571 CI514:CL514 CM569:CN571 CP89 S89 AG89:AS89 BD89:BI89 BB89 CP55:CT64 DO55:DS64 DR72:DS72 CQ121:CS121 CP72:CT72 CP73:CR73 CP78:CT79 CP77:CR77 CP80:CS80 CQ119:CT119 DF124:DS124 CU121 CQ120:CU120 CP66:CS66 DO71:DS71 DO66:DS67 DO68:DS69 CP68:CT69 CP75:CT76 DO73:DS80 CQ124 CQ122 DF119:DS122 CP71" formulaRange="1"/>
    <ignoredError sqref="CJ108:CN108 CN104 CE66:CI66 CF73:CM73 U88 CE39:CM39 CE71:CE73 AT587 CU54 DT54:DU54 DF54:DN54" formula="1"/>
    <ignoredError sqref="U89 CF77:CH77 CK77 CJ107:CN107 CK87 CL77:CM77 CJ79 CL79:CM79 CJ66 CF79:CH79 CI77 CJ77 CK66 CK79 CE77:CE79 CL66:CM66 CK104:CL104 DO54:DS54 CP54:CT54 DO72:DQ72" formula="1" formulaRange="1"/>
    <ignoredError sqref="BN77:BN79" unlocked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DS472"/>
  <sheetViews>
    <sheetView showGridLines="0" zoomScale="115" zoomScaleNormal="115" workbookViewId="0"/>
  </sheetViews>
  <sheetFormatPr defaultRowHeight="11.25" outlineLevelRow="2" outlineLevelCol="1"/>
  <cols>
    <col min="1" max="4" width="1.83203125" customWidth="1"/>
    <col min="5" max="5" width="36.1640625" customWidth="1"/>
    <col min="6" max="17" width="9.33203125" hidden="1" customWidth="1" outlineLevel="1"/>
    <col min="18" max="18" width="9.5" hidden="1" customWidth="1" outlineLevel="1"/>
    <col min="19" max="21" width="9.33203125" hidden="1" customWidth="1" outlineLevel="1"/>
    <col min="22" max="22" width="9.6640625" hidden="1" customWidth="1" outlineLevel="1"/>
    <col min="23" max="25" width="9.33203125" hidden="1" customWidth="1" outlineLevel="1"/>
    <col min="26" max="26" width="9.83203125" hidden="1" customWidth="1" outlineLevel="1"/>
    <col min="27" max="28" width="9.33203125" hidden="1" customWidth="1" outlineLevel="1"/>
    <col min="29" max="34" width="9.5" hidden="1" customWidth="1" outlineLevel="1"/>
    <col min="35" max="41" width="9.33203125" hidden="1" customWidth="1" outlineLevel="1"/>
    <col min="42" max="42" width="9.33203125" hidden="1" customWidth="1" outlineLevel="1" collapsed="1"/>
    <col min="43" max="44" width="9.33203125" hidden="1" customWidth="1" outlineLevel="1"/>
    <col min="45" max="45" width="9.5" hidden="1" customWidth="1" outlineLevel="1"/>
    <col min="46" max="46" width="9.33203125" hidden="1" customWidth="1" outlineLevel="1" collapsed="1"/>
    <col min="47" max="49" width="9.33203125" hidden="1" customWidth="1" outlineLevel="1"/>
    <col min="50" max="50" width="10.5" hidden="1" customWidth="1" outlineLevel="1" collapsed="1"/>
    <col min="51" max="53" width="9.33203125" hidden="1" customWidth="1" outlineLevel="1"/>
    <col min="54" max="54" width="9.5" hidden="1" customWidth="1" outlineLevel="1"/>
    <col min="55" max="55" width="10.5" hidden="1" customWidth="1" outlineLevel="1"/>
    <col min="56" max="57" width="9.33203125" hidden="1" customWidth="1" outlineLevel="1"/>
    <col min="58" max="58" width="9.33203125" hidden="1" customWidth="1" outlineLevel="1" collapsed="1"/>
    <col min="59" max="59" width="10.5" hidden="1" customWidth="1" outlineLevel="1"/>
    <col min="60" max="61" width="9.33203125" hidden="1" customWidth="1" outlineLevel="1"/>
    <col min="62" max="62" width="9.33203125" hidden="1" customWidth="1" outlineLevel="1" collapsed="1"/>
    <col min="63" max="65" width="9.33203125" hidden="1" customWidth="1" outlineLevel="1"/>
    <col min="66" max="66" width="9.33203125" style="63" customWidth="1" collapsed="1"/>
    <col min="67" max="68" width="9.33203125" style="63" customWidth="1"/>
    <col min="69" max="69" width="8.33203125" style="63" customWidth="1"/>
    <col min="70" max="72" width="9.33203125" style="63" customWidth="1"/>
    <col min="73" max="73" width="8.33203125" style="63" customWidth="1"/>
    <col min="74" max="76" width="9.33203125" style="63" customWidth="1"/>
    <col min="77" max="77" width="8.33203125" style="63" customWidth="1"/>
    <col min="78" max="80" width="9.33203125" style="63" customWidth="1"/>
    <col min="81" max="81" width="8.33203125" style="63" customWidth="1"/>
    <col min="82" max="82" width="4.83203125" customWidth="1"/>
    <col min="83" max="86" width="9.83203125" hidden="1" customWidth="1" outlineLevel="1"/>
    <col min="87" max="87" width="9.83203125" hidden="1" customWidth="1" outlineLevel="1" collapsed="1"/>
    <col min="88" max="91" width="9.83203125" hidden="1" customWidth="1" outlineLevel="1"/>
    <col min="92" max="92" width="10.1640625" style="63" hidden="1" customWidth="1" outlineLevel="1"/>
    <col min="93" max="95" width="10.1640625" hidden="1" customWidth="1" outlineLevel="1"/>
    <col min="96" max="96" width="10.1640625" customWidth="1" collapsed="1"/>
    <col min="97" max="102" width="10.1640625" style="63" customWidth="1"/>
    <col min="103" max="107" width="10.1640625" style="63" hidden="1" customWidth="1" outlineLevel="1"/>
    <col min="108" max="108" width="2.6640625" style="63" customWidth="1" collapsed="1"/>
    <col min="109" max="109" width="10.1640625" style="63" customWidth="1"/>
    <col min="110" max="110" width="9.33203125" customWidth="1"/>
    <col min="111" max="114" width="8.83203125" hidden="1" customWidth="1" outlineLevel="1"/>
    <col min="115" max="122" width="9.33203125" hidden="1" customWidth="1" outlineLevel="1"/>
    <col min="123" max="123" width="46.6640625" customWidth="1" collapsed="1"/>
    <col min="124" max="124" width="8.33203125" customWidth="1"/>
    <col min="125" max="125" width="13.1640625" customWidth="1"/>
    <col min="126" max="126" width="10.33203125" customWidth="1"/>
    <col min="127" max="127" width="7.83203125" customWidth="1"/>
    <col min="128" max="128" width="9.83203125" customWidth="1"/>
  </cols>
  <sheetData>
    <row r="1" spans="1:122">
      <c r="A1" s="3"/>
      <c r="B1" s="3"/>
      <c r="C1" s="3"/>
      <c r="D1" s="3"/>
      <c r="E1" s="43"/>
      <c r="F1" s="43"/>
      <c r="G1" s="43"/>
      <c r="H1" s="43"/>
      <c r="I1" s="43"/>
      <c r="J1" s="43"/>
      <c r="K1" s="43"/>
      <c r="L1" s="43"/>
      <c r="M1" s="43"/>
      <c r="N1" s="43"/>
      <c r="O1" s="43"/>
      <c r="P1" s="43"/>
      <c r="Q1" s="43"/>
      <c r="R1" s="43"/>
      <c r="S1" s="43"/>
      <c r="T1" s="43"/>
      <c r="U1" s="4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11"/>
      <c r="BD1" s="11"/>
      <c r="BE1" s="11"/>
      <c r="BF1" s="3"/>
      <c r="BG1" s="3"/>
      <c r="BH1" s="3"/>
      <c r="BI1" s="3"/>
      <c r="BJ1" s="3"/>
      <c r="BK1" s="3"/>
      <c r="BL1" s="3"/>
      <c r="BM1" s="3"/>
      <c r="BN1" s="3"/>
      <c r="BO1" s="3"/>
      <c r="BP1" s="3"/>
      <c r="BQ1" s="3"/>
      <c r="BR1" s="3"/>
      <c r="BS1" s="2131"/>
      <c r="BT1" s="2131"/>
      <c r="BU1" s="2131"/>
      <c r="BV1" s="2131"/>
      <c r="BW1" s="2131"/>
      <c r="BX1" s="2131"/>
      <c r="BY1" s="2131"/>
      <c r="BZ1" s="2131"/>
      <c r="CA1" s="2131"/>
      <c r="CB1" s="2131"/>
      <c r="CC1" s="2131"/>
      <c r="CD1" s="3"/>
      <c r="CE1" s="3"/>
      <c r="CF1" s="3"/>
      <c r="CG1" s="3"/>
      <c r="CH1" s="3"/>
      <c r="CI1" s="3"/>
      <c r="CJ1" s="3"/>
      <c r="CK1" s="3"/>
      <c r="CL1" s="3"/>
      <c r="CM1" s="3"/>
      <c r="CN1" s="3"/>
      <c r="CO1" s="3"/>
      <c r="CP1" s="3"/>
      <c r="CQ1" s="3"/>
      <c r="CR1" s="3"/>
      <c r="CS1" s="3"/>
      <c r="CT1" s="3"/>
      <c r="CU1" s="3"/>
      <c r="CV1" s="3"/>
      <c r="CW1" s="3"/>
      <c r="CX1" s="3"/>
      <c r="CY1" s="3"/>
      <c r="CZ1" s="3"/>
      <c r="DA1" s="3"/>
      <c r="DB1" s="3"/>
      <c r="DC1" s="3"/>
      <c r="DD1" s="3"/>
      <c r="DE1" s="24"/>
      <c r="DF1" s="24"/>
      <c r="DG1" s="24"/>
      <c r="DH1" s="24"/>
      <c r="DI1" s="24"/>
      <c r="DJ1" s="24"/>
      <c r="DK1" s="24"/>
      <c r="DL1" s="24"/>
      <c r="DM1" s="24"/>
      <c r="DN1" s="24"/>
      <c r="DO1" s="24"/>
      <c r="DP1" s="24"/>
      <c r="DQ1" s="24"/>
      <c r="DR1" s="24"/>
    </row>
    <row r="2" spans="1:122" hidden="1" outlineLevel="1">
      <c r="BN2"/>
      <c r="BO2"/>
      <c r="BP2"/>
      <c r="BQ2"/>
      <c r="BR2"/>
      <c r="BS2"/>
      <c r="BT2"/>
      <c r="BU2"/>
      <c r="BV2"/>
      <c r="BW2"/>
      <c r="BX2"/>
      <c r="BY2"/>
      <c r="BZ2"/>
      <c r="CA2"/>
      <c r="CB2"/>
      <c r="CC2"/>
      <c r="CN2"/>
      <c r="CS2"/>
      <c r="CT2"/>
      <c r="CU2"/>
      <c r="CV2"/>
      <c r="CW2"/>
      <c r="CX2"/>
      <c r="CY2"/>
      <c r="CZ2"/>
      <c r="DA2"/>
      <c r="DB2"/>
      <c r="DC2"/>
      <c r="DD2"/>
      <c r="DE2"/>
    </row>
    <row r="3" spans="1:122" collapsed="1">
      <c r="A3" s="105"/>
      <c r="B3" s="105"/>
      <c r="C3" s="105"/>
      <c r="D3" s="105"/>
      <c r="E3" s="427"/>
      <c r="F3" s="427"/>
      <c r="G3" s="427"/>
      <c r="H3" s="427"/>
      <c r="I3" s="427"/>
      <c r="J3" s="427"/>
      <c r="K3" s="427"/>
      <c r="L3" s="427"/>
      <c r="M3" s="427"/>
      <c r="N3" s="427"/>
      <c r="O3" s="427"/>
      <c r="P3" s="427"/>
      <c r="Q3" s="427"/>
      <c r="R3" s="427"/>
      <c r="S3" s="427"/>
      <c r="T3" s="427"/>
      <c r="U3" s="427"/>
      <c r="V3" s="105"/>
      <c r="W3" s="105"/>
      <c r="X3" s="105"/>
      <c r="Y3" s="105"/>
      <c r="Z3" s="105"/>
      <c r="AA3" s="105"/>
      <c r="AB3" s="105"/>
      <c r="AC3" s="105"/>
      <c r="AD3" s="105"/>
      <c r="AE3" s="105"/>
      <c r="AF3" s="105"/>
      <c r="AG3" s="373"/>
      <c r="AH3" s="105"/>
      <c r="AI3" s="105"/>
      <c r="AJ3" s="444"/>
      <c r="AK3" s="11"/>
      <c r="AL3" s="11"/>
      <c r="AM3" s="11"/>
      <c r="AN3" s="11"/>
      <c r="AO3" s="11"/>
      <c r="AP3" s="11"/>
      <c r="AQ3" s="11"/>
      <c r="AR3" s="11"/>
      <c r="AS3" s="11"/>
      <c r="AT3" s="11"/>
      <c r="AU3" s="331"/>
      <c r="AV3" s="11"/>
      <c r="AW3" s="11"/>
      <c r="AX3" s="11"/>
      <c r="AY3" s="11"/>
      <c r="AZ3" s="11"/>
      <c r="BA3" s="11"/>
      <c r="BB3" s="11"/>
      <c r="BC3" s="1010"/>
      <c r="BD3" s="1010"/>
      <c r="BE3" s="1010"/>
      <c r="BF3" s="11"/>
      <c r="BG3" s="11"/>
      <c r="BH3" s="11"/>
      <c r="BI3" s="11"/>
      <c r="BJ3" s="11"/>
      <c r="BK3" s="11"/>
      <c r="BL3" s="11"/>
      <c r="BM3" s="11"/>
      <c r="BN3" s="11"/>
      <c r="BO3" s="11"/>
      <c r="BP3" s="11"/>
      <c r="BQ3" s="11"/>
      <c r="BR3" s="11"/>
      <c r="BS3" s="11"/>
      <c r="BT3" s="11"/>
      <c r="BU3" s="11"/>
      <c r="BV3" s="11"/>
      <c r="BW3" s="11"/>
      <c r="BX3" s="11"/>
      <c r="BY3" s="11"/>
      <c r="BZ3" s="11"/>
      <c r="CA3" s="11"/>
      <c r="CB3" s="11"/>
      <c r="CC3" s="11"/>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28"/>
      <c r="DF3" s="28"/>
      <c r="DG3" s="28"/>
      <c r="DH3" s="28"/>
      <c r="DI3" s="28"/>
      <c r="DJ3" s="28"/>
      <c r="DK3" s="28"/>
      <c r="DL3" s="28"/>
      <c r="DM3" s="28"/>
      <c r="DN3" s="28"/>
      <c r="DO3" s="28"/>
      <c r="DP3" s="28"/>
      <c r="DQ3" s="28"/>
      <c r="DR3" s="28"/>
    </row>
    <row r="4" spans="1:122" ht="12" customHeight="1">
      <c r="A4" s="105"/>
      <c r="B4" s="811" t="str">
        <f>IS!$B$5</f>
        <v>Western Digital</v>
      </c>
      <c r="C4" s="105"/>
      <c r="D4" s="105"/>
      <c r="E4" s="276"/>
      <c r="F4" s="276"/>
      <c r="G4" s="276"/>
      <c r="H4" s="276"/>
      <c r="I4" s="276"/>
      <c r="J4" s="276"/>
      <c r="K4" s="276"/>
      <c r="L4" s="276"/>
      <c r="M4" s="276"/>
      <c r="N4" s="276"/>
      <c r="O4" s="276"/>
      <c r="P4" s="276"/>
      <c r="Q4" s="276"/>
      <c r="R4" s="276"/>
      <c r="S4" s="276"/>
      <c r="T4" s="276"/>
      <c r="U4" s="276"/>
      <c r="V4" s="105"/>
      <c r="W4" s="105"/>
      <c r="X4" s="105"/>
      <c r="Y4" s="105"/>
      <c r="Z4" s="105"/>
      <c r="AA4" s="105"/>
      <c r="AB4" s="105"/>
      <c r="AC4" s="105"/>
      <c r="AD4" s="105"/>
      <c r="AE4" s="105"/>
      <c r="AF4" s="105"/>
      <c r="AG4" s="105"/>
      <c r="AH4" s="105"/>
      <c r="AI4" s="105"/>
      <c r="AJ4" s="11"/>
      <c r="AK4" s="11"/>
      <c r="AL4" s="1010"/>
      <c r="AM4" s="11"/>
      <c r="AN4" s="11"/>
      <c r="AO4" s="11"/>
      <c r="AP4" s="11"/>
      <c r="AQ4" s="331"/>
      <c r="AR4" s="11"/>
      <c r="AS4" s="11"/>
      <c r="AT4" s="1010"/>
      <c r="AU4" s="11"/>
      <c r="AV4" s="11"/>
      <c r="AW4" s="11"/>
      <c r="AX4" s="11"/>
      <c r="AY4" s="11"/>
      <c r="AZ4" s="11"/>
      <c r="BA4" s="11"/>
      <c r="BB4" s="331"/>
      <c r="BC4" s="11"/>
      <c r="BD4" s="11"/>
      <c r="BE4" s="11"/>
      <c r="BF4" s="11"/>
      <c r="BG4" s="11"/>
      <c r="BH4" s="11"/>
      <c r="BI4" s="11"/>
      <c r="BJ4" s="11"/>
      <c r="BK4" s="11"/>
      <c r="BL4" s="11"/>
      <c r="BM4" s="11"/>
      <c r="BN4" s="11"/>
      <c r="BO4" s="11"/>
      <c r="BP4" s="11"/>
      <c r="BQ4" s="11"/>
      <c r="BR4" s="11"/>
      <c r="BS4" s="11"/>
      <c r="BT4" s="11"/>
      <c r="BU4" s="11"/>
      <c r="BV4" s="2190"/>
      <c r="BW4" s="1378"/>
      <c r="BX4" s="11"/>
      <c r="BY4" s="11"/>
      <c r="BZ4" s="2190"/>
      <c r="CA4" s="11"/>
      <c r="CB4" s="11"/>
      <c r="CC4" s="11"/>
      <c r="CD4" s="427"/>
      <c r="CE4" s="105"/>
      <c r="CF4" s="105"/>
      <c r="CG4" s="105"/>
      <c r="CH4" s="105"/>
      <c r="CI4" s="105"/>
      <c r="CJ4" s="105"/>
      <c r="CK4" s="105"/>
      <c r="CL4" s="105"/>
      <c r="CM4" s="105"/>
      <c r="CN4" s="105"/>
      <c r="CO4" s="11"/>
      <c r="CP4" s="105"/>
      <c r="CQ4" s="105"/>
      <c r="CR4" s="105"/>
      <c r="CS4" s="105"/>
      <c r="CT4" s="105"/>
      <c r="CU4" s="105"/>
      <c r="CV4" s="105"/>
      <c r="CW4" s="105"/>
      <c r="CX4" s="105"/>
      <c r="CY4" s="105"/>
      <c r="CZ4" s="105"/>
      <c r="DA4" s="105"/>
      <c r="DB4" s="105"/>
      <c r="DC4" s="105"/>
      <c r="DD4" s="105"/>
      <c r="DE4" s="28"/>
      <c r="DF4" s="28"/>
      <c r="DG4" s="28"/>
      <c r="DH4" s="28"/>
      <c r="DI4" s="28"/>
      <c r="DJ4" s="28"/>
      <c r="DK4" s="28"/>
      <c r="DL4" s="28"/>
      <c r="DM4" s="28"/>
      <c r="DN4" s="28"/>
      <c r="DO4" s="28"/>
      <c r="DP4" s="28"/>
      <c r="DQ4" s="28"/>
      <c r="DR4" s="28"/>
    </row>
    <row r="5" spans="1:122" ht="12">
      <c r="A5" s="105"/>
      <c r="B5" s="315" t="s">
        <v>888</v>
      </c>
      <c r="C5" s="105"/>
      <c r="D5" s="105"/>
      <c r="E5" s="276"/>
      <c r="F5" s="276"/>
      <c r="G5" s="276"/>
      <c r="H5" s="276"/>
      <c r="I5" s="276"/>
      <c r="J5" s="276"/>
      <c r="K5" s="276"/>
      <c r="L5" s="276"/>
      <c r="M5" s="276"/>
      <c r="N5" s="276"/>
      <c r="O5" s="276"/>
      <c r="P5" s="276"/>
      <c r="Q5" s="276"/>
      <c r="R5" s="276"/>
      <c r="S5" s="276"/>
      <c r="T5" s="276"/>
      <c r="U5" s="276"/>
      <c r="V5" s="105"/>
      <c r="W5" s="105"/>
      <c r="X5" s="105"/>
      <c r="Y5" s="105"/>
      <c r="Z5" s="105"/>
      <c r="AA5" s="105"/>
      <c r="AB5" s="105"/>
      <c r="AC5" s="105"/>
      <c r="AD5" s="105"/>
      <c r="AE5" s="105"/>
      <c r="AF5" s="105"/>
      <c r="AG5" s="105"/>
      <c r="AH5" s="11"/>
      <c r="AI5" s="11"/>
      <c r="AJ5" s="372"/>
      <c r="AK5" s="372"/>
      <c r="AL5" s="372"/>
      <c r="AM5" s="372"/>
      <c r="AN5" s="372"/>
      <c r="AO5" s="372"/>
      <c r="AP5" s="372"/>
      <c r="AQ5" s="372"/>
      <c r="AR5" s="372"/>
      <c r="AS5" s="372"/>
      <c r="AT5" s="372"/>
      <c r="AU5" s="372"/>
      <c r="AV5" s="372"/>
      <c r="AW5" s="372"/>
      <c r="AX5" s="372"/>
      <c r="AY5" s="372"/>
      <c r="AZ5" s="555"/>
      <c r="BA5" s="372"/>
      <c r="BB5" s="372"/>
      <c r="BC5" s="372"/>
      <c r="BD5" s="372"/>
      <c r="BE5" s="372"/>
      <c r="BF5" s="372"/>
      <c r="BG5" s="372"/>
      <c r="BH5" s="555"/>
      <c r="BI5" s="372"/>
      <c r="BJ5" s="372"/>
      <c r="BK5" s="372"/>
      <c r="BL5" s="372"/>
      <c r="BM5" s="372"/>
      <c r="BN5" s="372"/>
      <c r="BO5" s="372"/>
      <c r="BP5" s="372"/>
      <c r="BQ5" s="372"/>
      <c r="BR5" s="372"/>
      <c r="BS5" s="372"/>
      <c r="BT5" s="1378"/>
      <c r="BU5" s="372"/>
      <c r="BV5" s="372"/>
      <c r="BW5" s="372"/>
      <c r="BX5" s="372"/>
      <c r="BY5" s="372"/>
      <c r="BZ5" s="372"/>
      <c r="CA5" s="372"/>
      <c r="CB5" s="372"/>
      <c r="CC5" s="372"/>
      <c r="CD5" s="427"/>
      <c r="CE5" s="105"/>
      <c r="CF5" s="105"/>
      <c r="CG5" s="105"/>
      <c r="CH5" s="105"/>
      <c r="CI5" s="105"/>
      <c r="CJ5" s="105"/>
      <c r="CK5" s="105"/>
      <c r="CL5" s="105"/>
      <c r="CM5" s="105"/>
      <c r="CN5" s="105"/>
      <c r="CO5" s="105"/>
      <c r="CP5" s="105"/>
      <c r="CQ5" s="105"/>
      <c r="CR5" s="1010"/>
      <c r="CS5" s="1010"/>
      <c r="CT5" s="105"/>
      <c r="CU5" s="105"/>
      <c r="CV5" s="105"/>
      <c r="CW5" s="18"/>
      <c r="CX5" s="11"/>
      <c r="CY5" s="105"/>
      <c r="CZ5" s="105"/>
      <c r="DA5" s="105"/>
      <c r="DB5" s="105"/>
      <c r="DC5" s="105"/>
      <c r="DD5" s="105"/>
      <c r="DE5" s="28"/>
      <c r="DF5" s="28"/>
      <c r="DG5" s="28"/>
      <c r="DH5" s="28"/>
      <c r="DI5" s="28"/>
      <c r="DJ5" s="28"/>
      <c r="DK5" s="28"/>
      <c r="DL5" s="28"/>
      <c r="DM5" s="28"/>
      <c r="DN5" s="28"/>
      <c r="DO5" s="28"/>
      <c r="DP5" s="28"/>
      <c r="DQ5" s="28"/>
      <c r="DR5" s="28"/>
    </row>
    <row r="6" spans="1:122" ht="4.5" customHeight="1">
      <c r="A6" s="105"/>
      <c r="B6" s="145"/>
      <c r="C6" s="145"/>
      <c r="D6" s="145"/>
      <c r="E6" s="145"/>
      <c r="F6" s="145"/>
      <c r="G6" s="145"/>
      <c r="H6" s="145"/>
      <c r="I6" s="145"/>
      <c r="J6" s="145"/>
      <c r="K6" s="145"/>
      <c r="L6" s="145"/>
      <c r="M6" s="145"/>
      <c r="N6" s="145"/>
      <c r="O6" s="145"/>
      <c r="P6" s="145"/>
      <c r="Q6" s="145"/>
      <c r="R6" s="145"/>
      <c r="S6" s="145"/>
      <c r="T6" s="145"/>
      <c r="U6" s="145"/>
      <c r="V6" s="105"/>
      <c r="W6" s="105"/>
      <c r="X6" s="105"/>
      <c r="Y6" s="105"/>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105"/>
      <c r="CE6" s="28"/>
      <c r="CF6" s="28"/>
      <c r="CG6" s="28"/>
      <c r="CH6" s="105"/>
      <c r="CI6" s="105"/>
      <c r="CJ6" s="105"/>
      <c r="CK6" s="105"/>
      <c r="CL6" s="105"/>
      <c r="CM6" s="105"/>
      <c r="CN6" s="105"/>
      <c r="CO6" s="105"/>
      <c r="CP6" s="105"/>
      <c r="CQ6" s="105"/>
      <c r="CR6" s="105"/>
      <c r="CS6" s="105"/>
      <c r="CT6" s="105"/>
      <c r="CU6" s="1544"/>
      <c r="CV6" s="105"/>
      <c r="CW6" s="105"/>
      <c r="CX6" s="105"/>
      <c r="CY6" s="105"/>
      <c r="CZ6" s="105"/>
      <c r="DA6" s="105"/>
      <c r="DB6" s="105"/>
      <c r="DC6" s="105"/>
      <c r="DD6" s="105"/>
      <c r="DE6" s="28"/>
      <c r="DF6" s="28"/>
      <c r="DG6" s="28"/>
      <c r="DH6" s="141"/>
      <c r="DI6" s="28"/>
      <c r="DJ6" s="28"/>
      <c r="DK6" s="28"/>
      <c r="DL6" s="28"/>
      <c r="DM6" s="28"/>
      <c r="DN6" s="28"/>
      <c r="DO6" s="28"/>
      <c r="DP6" s="28"/>
      <c r="DQ6" s="28"/>
      <c r="DR6" s="28"/>
    </row>
    <row r="7" spans="1:122">
      <c r="A7" s="3"/>
      <c r="B7" s="385" t="s">
        <v>1</v>
      </c>
      <c r="C7" s="386"/>
      <c r="D7" s="387"/>
      <c r="E7" s="706"/>
      <c r="F7" s="2284" t="s">
        <v>2</v>
      </c>
      <c r="G7" s="2284"/>
      <c r="H7" s="2284"/>
      <c r="I7" s="2285"/>
      <c r="J7" s="2283" t="s">
        <v>3</v>
      </c>
      <c r="K7" s="2284"/>
      <c r="L7" s="2284"/>
      <c r="M7" s="2285"/>
      <c r="N7" s="2283" t="s">
        <v>78</v>
      </c>
      <c r="O7" s="2284"/>
      <c r="P7" s="2284"/>
      <c r="Q7" s="2285"/>
      <c r="R7" s="2283" t="s">
        <v>287</v>
      </c>
      <c r="S7" s="2284"/>
      <c r="T7" s="2284"/>
      <c r="U7" s="2285"/>
      <c r="V7" s="2283" t="s">
        <v>288</v>
      </c>
      <c r="W7" s="2284"/>
      <c r="X7" s="2284"/>
      <c r="Y7" s="2285"/>
      <c r="Z7" s="2283" t="s">
        <v>285</v>
      </c>
      <c r="AA7" s="2284"/>
      <c r="AB7" s="2284"/>
      <c r="AC7" s="2285"/>
      <c r="AD7" s="2283" t="s">
        <v>674</v>
      </c>
      <c r="AE7" s="2284"/>
      <c r="AF7" s="2284"/>
      <c r="AG7" s="2285"/>
      <c r="AH7" s="1061" t="s">
        <v>529</v>
      </c>
      <c r="AI7" s="1059"/>
      <c r="AJ7" s="1059"/>
      <c r="AK7" s="1060"/>
      <c r="AL7" s="2283" t="s">
        <v>234</v>
      </c>
      <c r="AM7" s="2284"/>
      <c r="AN7" s="2284"/>
      <c r="AO7" s="2285"/>
      <c r="AP7" s="1059" t="s">
        <v>423</v>
      </c>
      <c r="AQ7" s="1165"/>
      <c r="AR7" s="1165"/>
      <c r="AS7" s="1166"/>
      <c r="AT7" s="2292" t="s">
        <v>43</v>
      </c>
      <c r="AU7" s="2293"/>
      <c r="AV7" s="2293"/>
      <c r="AW7" s="2293"/>
      <c r="AX7" s="2292" t="s">
        <v>250</v>
      </c>
      <c r="AY7" s="2293"/>
      <c r="AZ7" s="2293"/>
      <c r="BA7" s="2293"/>
      <c r="BB7" s="2289" t="s">
        <v>324</v>
      </c>
      <c r="BC7" s="2290"/>
      <c r="BD7" s="2290"/>
      <c r="BE7" s="2291"/>
      <c r="BF7" s="2286" t="s">
        <v>908</v>
      </c>
      <c r="BG7" s="2287"/>
      <c r="BH7" s="2287"/>
      <c r="BI7" s="2288"/>
      <c r="BJ7" s="2289" t="s">
        <v>941</v>
      </c>
      <c r="BK7" s="2287"/>
      <c r="BL7" s="2287"/>
      <c r="BM7" s="2288"/>
      <c r="BN7" s="2289" t="s">
        <v>940</v>
      </c>
      <c r="BO7" s="2287"/>
      <c r="BP7" s="2287"/>
      <c r="BQ7" s="2288"/>
      <c r="BR7" s="2289" t="s">
        <v>983</v>
      </c>
      <c r="BS7" s="2287"/>
      <c r="BT7" s="2287"/>
      <c r="BU7" s="2288"/>
      <c r="BV7" s="2280" t="s">
        <v>928</v>
      </c>
      <c r="BW7" s="2281"/>
      <c r="BX7" s="2281"/>
      <c r="BY7" s="2282"/>
      <c r="BZ7" s="2280" t="s">
        <v>985</v>
      </c>
      <c r="CA7" s="2281"/>
      <c r="CB7" s="2281"/>
      <c r="CC7" s="2282"/>
      <c r="CD7" s="1406"/>
      <c r="CE7" s="1232"/>
      <c r="CF7" s="1233"/>
      <c r="CG7" s="1233"/>
      <c r="CH7" s="1233"/>
      <c r="CI7" s="1233"/>
      <c r="CJ7" s="1233"/>
      <c r="CK7" s="1233"/>
      <c r="CL7" s="1233"/>
      <c r="CM7" s="1233"/>
      <c r="CN7" s="20"/>
      <c r="CO7" s="1233"/>
      <c r="CP7" s="20"/>
      <c r="CQ7" s="20"/>
      <c r="CR7" s="20" t="s">
        <v>270</v>
      </c>
      <c r="CS7" s="20"/>
      <c r="CT7" s="20"/>
      <c r="CU7" s="20"/>
      <c r="CV7" s="20"/>
      <c r="CW7" s="20"/>
      <c r="CX7" s="20"/>
      <c r="CY7" s="20"/>
      <c r="CZ7" s="20"/>
      <c r="DA7" s="20"/>
      <c r="DB7" s="20"/>
      <c r="DC7" s="20"/>
      <c r="DD7" s="21"/>
      <c r="DE7" s="24"/>
      <c r="DF7" s="24"/>
      <c r="DG7" s="167"/>
      <c r="DH7" s="167"/>
      <c r="DI7" s="167"/>
      <c r="DJ7" s="167"/>
      <c r="DK7" s="24"/>
      <c r="DL7" s="24"/>
      <c r="DM7" s="24"/>
      <c r="DN7" s="24"/>
      <c r="DO7" s="24"/>
      <c r="DP7" s="24"/>
      <c r="DQ7" s="24"/>
      <c r="DR7" s="24"/>
    </row>
    <row r="8" spans="1:122">
      <c r="A8" s="3"/>
      <c r="B8" s="388"/>
      <c r="C8" s="292"/>
      <c r="D8" s="292"/>
      <c r="E8" s="707"/>
      <c r="F8" s="476">
        <v>36776</v>
      </c>
      <c r="G8" s="452">
        <v>36867</v>
      </c>
      <c r="H8" s="452">
        <v>36956</v>
      </c>
      <c r="I8" s="453">
        <v>37048</v>
      </c>
      <c r="J8" s="454">
        <v>37141</v>
      </c>
      <c r="K8" s="452">
        <v>37232</v>
      </c>
      <c r="L8" s="452">
        <v>37321</v>
      </c>
      <c r="M8" s="453">
        <v>37413</v>
      </c>
      <c r="N8" s="454">
        <v>37506</v>
      </c>
      <c r="O8" s="452">
        <v>37597</v>
      </c>
      <c r="P8" s="452">
        <v>37686</v>
      </c>
      <c r="Q8" s="453">
        <v>37778</v>
      </c>
      <c r="R8" s="454">
        <v>37871</v>
      </c>
      <c r="S8" s="452">
        <v>37962</v>
      </c>
      <c r="T8" s="452">
        <v>38052</v>
      </c>
      <c r="U8" s="453">
        <v>38144</v>
      </c>
      <c r="V8" s="454">
        <v>38237</v>
      </c>
      <c r="W8" s="452">
        <v>38328</v>
      </c>
      <c r="X8" s="452">
        <v>38417</v>
      </c>
      <c r="Y8" s="453">
        <v>38509</v>
      </c>
      <c r="Z8" s="454">
        <v>38602</v>
      </c>
      <c r="AA8" s="452">
        <v>38693</v>
      </c>
      <c r="AB8" s="452">
        <v>38782</v>
      </c>
      <c r="AC8" s="453">
        <v>38874</v>
      </c>
      <c r="AD8" s="454">
        <v>38967</v>
      </c>
      <c r="AE8" s="452">
        <v>39058</v>
      </c>
      <c r="AF8" s="452">
        <v>39147</v>
      </c>
      <c r="AG8" s="453">
        <v>39239</v>
      </c>
      <c r="AH8" s="454">
        <v>39331</v>
      </c>
      <c r="AI8" s="986">
        <v>39422</v>
      </c>
      <c r="AJ8" s="986">
        <v>39513</v>
      </c>
      <c r="AK8" s="1048">
        <v>39605</v>
      </c>
      <c r="AL8" s="986">
        <v>39697</v>
      </c>
      <c r="AM8" s="986">
        <v>39788</v>
      </c>
      <c r="AN8" s="986">
        <v>39878</v>
      </c>
      <c r="AO8" s="1048">
        <v>39970</v>
      </c>
      <c r="AP8" s="986">
        <v>40062</v>
      </c>
      <c r="AQ8" s="986">
        <v>40153</v>
      </c>
      <c r="AR8" s="986">
        <v>40243</v>
      </c>
      <c r="AS8" s="1048">
        <v>40335</v>
      </c>
      <c r="AT8" s="151">
        <v>40451</v>
      </c>
      <c r="AU8" s="151">
        <v>40542</v>
      </c>
      <c r="AV8" s="151">
        <v>40632</v>
      </c>
      <c r="AW8" s="151">
        <v>40724</v>
      </c>
      <c r="AX8" s="151">
        <v>40816</v>
      </c>
      <c r="AY8" s="151">
        <v>40907</v>
      </c>
      <c r="AZ8" s="151">
        <v>40998</v>
      </c>
      <c r="BA8" s="151">
        <v>41090</v>
      </c>
      <c r="BB8" s="1220">
        <v>41182</v>
      </c>
      <c r="BC8" s="151">
        <v>41273</v>
      </c>
      <c r="BD8" s="151">
        <v>41363</v>
      </c>
      <c r="BE8" s="1342">
        <v>41455</v>
      </c>
      <c r="BF8" s="1443">
        <v>41547</v>
      </c>
      <c r="BG8" s="1394">
        <v>41638</v>
      </c>
      <c r="BH8" s="1394">
        <v>41728</v>
      </c>
      <c r="BI8" s="1444">
        <v>41820</v>
      </c>
      <c r="BJ8" s="1443">
        <v>41912</v>
      </c>
      <c r="BK8" s="1394">
        <v>42003</v>
      </c>
      <c r="BL8" s="1394">
        <v>42093</v>
      </c>
      <c r="BM8" s="1444">
        <v>42185</v>
      </c>
      <c r="BN8" s="1443">
        <v>42277</v>
      </c>
      <c r="BO8" s="1394">
        <v>42368</v>
      </c>
      <c r="BP8" s="1394">
        <v>42459</v>
      </c>
      <c r="BQ8" s="1444">
        <v>42551</v>
      </c>
      <c r="BR8" s="1443">
        <v>42643</v>
      </c>
      <c r="BS8" s="1394">
        <v>42734</v>
      </c>
      <c r="BT8" s="1394">
        <v>42824</v>
      </c>
      <c r="BU8" s="1444">
        <v>42916</v>
      </c>
      <c r="BV8" s="1443">
        <v>43008</v>
      </c>
      <c r="BW8" s="2269">
        <v>43100</v>
      </c>
      <c r="BX8" s="940">
        <v>43190</v>
      </c>
      <c r="BY8" s="1402">
        <v>43281</v>
      </c>
      <c r="BZ8" s="940">
        <v>43373</v>
      </c>
      <c r="CA8" s="940">
        <v>43465</v>
      </c>
      <c r="CB8" s="940">
        <v>43555</v>
      </c>
      <c r="CC8" s="1402">
        <v>43646</v>
      </c>
      <c r="CD8" s="1406"/>
      <c r="CE8" s="1143" t="s">
        <v>2</v>
      </c>
      <c r="CF8" s="783" t="s">
        <v>3</v>
      </c>
      <c r="CG8" s="783" t="s">
        <v>78</v>
      </c>
      <c r="CH8" s="784" t="s">
        <v>287</v>
      </c>
      <c r="CI8" s="784" t="s">
        <v>288</v>
      </c>
      <c r="CJ8" s="1" t="s">
        <v>285</v>
      </c>
      <c r="CK8" s="1" t="s">
        <v>674</v>
      </c>
      <c r="CL8" s="1" t="s">
        <v>529</v>
      </c>
      <c r="CM8" s="1" t="s">
        <v>234</v>
      </c>
      <c r="CN8" s="1" t="s">
        <v>423</v>
      </c>
      <c r="CO8" s="1433" t="s">
        <v>44</v>
      </c>
      <c r="CP8" s="1" t="s">
        <v>251</v>
      </c>
      <c r="CQ8" s="1" t="s">
        <v>325</v>
      </c>
      <c r="CR8" s="1234" t="s">
        <v>909</v>
      </c>
      <c r="CS8" s="1" t="s">
        <v>910</v>
      </c>
      <c r="CT8" s="1" t="s">
        <v>937</v>
      </c>
      <c r="CU8" s="1" t="s">
        <v>984</v>
      </c>
      <c r="CV8" s="6" t="s">
        <v>911</v>
      </c>
      <c r="CW8" s="6" t="s">
        <v>912</v>
      </c>
      <c r="CX8" s="6" t="s">
        <v>913</v>
      </c>
      <c r="CY8" s="6" t="s">
        <v>914</v>
      </c>
      <c r="CZ8" s="6" t="s">
        <v>915</v>
      </c>
      <c r="DA8" s="6" t="s">
        <v>916</v>
      </c>
      <c r="DB8" s="6" t="s">
        <v>986</v>
      </c>
      <c r="DC8" s="6" t="s">
        <v>987</v>
      </c>
      <c r="DD8" s="7"/>
      <c r="DE8" s="29"/>
      <c r="DF8" s="24"/>
      <c r="DG8" s="168"/>
      <c r="DH8" s="168"/>
      <c r="DI8" s="168"/>
      <c r="DJ8" s="168"/>
      <c r="DK8" s="24"/>
      <c r="DL8" s="24"/>
      <c r="DM8" s="24"/>
      <c r="DN8" s="24"/>
      <c r="DO8" s="24"/>
      <c r="DP8" s="24"/>
      <c r="DQ8" s="24"/>
      <c r="DR8" s="24"/>
    </row>
    <row r="9" spans="1:122" ht="11.25" hidden="1" customHeight="1" outlineLevel="1">
      <c r="A9" s="3"/>
      <c r="B9" s="329" t="s">
        <v>595</v>
      </c>
      <c r="C9" s="3"/>
      <c r="D9" s="3"/>
      <c r="E9" s="64"/>
      <c r="F9" s="61">
        <v>90</v>
      </c>
      <c r="G9" s="61">
        <v>91</v>
      </c>
      <c r="H9" s="61">
        <v>92</v>
      </c>
      <c r="I9" s="520">
        <v>92</v>
      </c>
      <c r="J9" s="61">
        <v>90</v>
      </c>
      <c r="K9" s="61">
        <v>91</v>
      </c>
      <c r="L9" s="61">
        <v>92</v>
      </c>
      <c r="M9" s="520">
        <v>92</v>
      </c>
      <c r="N9" s="61">
        <v>90</v>
      </c>
      <c r="O9" s="61">
        <v>91</v>
      </c>
      <c r="P9" s="61">
        <v>92</v>
      </c>
      <c r="Q9" s="62">
        <v>92</v>
      </c>
      <c r="R9" s="60">
        <v>90</v>
      </c>
      <c r="S9" s="61">
        <v>91</v>
      </c>
      <c r="T9" s="61">
        <v>93</v>
      </c>
      <c r="U9" s="62">
        <v>92</v>
      </c>
      <c r="V9" s="61">
        <v>91</v>
      </c>
      <c r="W9" s="61">
        <v>91</v>
      </c>
      <c r="X9" s="61">
        <v>92</v>
      </c>
      <c r="Y9" s="62">
        <v>92</v>
      </c>
      <c r="Z9" s="60">
        <v>90</v>
      </c>
      <c r="AA9" s="61">
        <v>91</v>
      </c>
      <c r="AB9" s="61">
        <v>92</v>
      </c>
      <c r="AC9" s="62">
        <v>92</v>
      </c>
      <c r="AD9" s="60">
        <v>90</v>
      </c>
      <c r="AE9" s="61">
        <v>91</v>
      </c>
      <c r="AF9" s="61">
        <v>92</v>
      </c>
      <c r="AG9" s="62">
        <v>92</v>
      </c>
      <c r="AH9" s="60">
        <v>90</v>
      </c>
      <c r="AI9" s="61">
        <v>91</v>
      </c>
      <c r="AJ9" s="61">
        <v>93</v>
      </c>
      <c r="AK9" s="62">
        <v>92</v>
      </c>
      <c r="AL9" s="60">
        <v>90</v>
      </c>
      <c r="AM9" s="61">
        <v>91</v>
      </c>
      <c r="AN9" s="61">
        <v>92</v>
      </c>
      <c r="AO9" s="62">
        <v>92</v>
      </c>
      <c r="AP9" s="60">
        <v>90</v>
      </c>
      <c r="AQ9" s="61">
        <v>91</v>
      </c>
      <c r="AR9" s="61">
        <v>92</v>
      </c>
      <c r="AS9" s="62">
        <v>92</v>
      </c>
      <c r="AT9" s="60">
        <v>90</v>
      </c>
      <c r="AU9" s="61">
        <v>91</v>
      </c>
      <c r="AV9" s="61">
        <v>92</v>
      </c>
      <c r="AW9" s="62">
        <v>92</v>
      </c>
      <c r="AX9" s="60">
        <v>90</v>
      </c>
      <c r="AY9" s="61">
        <v>91</v>
      </c>
      <c r="AZ9" s="61">
        <v>92</v>
      </c>
      <c r="BA9" s="62">
        <v>92</v>
      </c>
      <c r="BB9" s="60">
        <v>90</v>
      </c>
      <c r="BC9" s="61">
        <v>91</v>
      </c>
      <c r="BD9" s="61">
        <v>92</v>
      </c>
      <c r="BE9" s="62">
        <v>92</v>
      </c>
      <c r="BF9" s="60">
        <v>90</v>
      </c>
      <c r="BG9" s="61">
        <v>91</v>
      </c>
      <c r="BH9" s="61">
        <v>92</v>
      </c>
      <c r="BI9" s="62">
        <v>92</v>
      </c>
      <c r="BJ9" s="60">
        <v>90</v>
      </c>
      <c r="BK9" s="61">
        <v>91</v>
      </c>
      <c r="BL9" s="61">
        <v>92</v>
      </c>
      <c r="BM9" s="62">
        <v>92</v>
      </c>
      <c r="BN9" s="60">
        <v>92</v>
      </c>
      <c r="BO9" s="61">
        <v>92</v>
      </c>
      <c r="BP9" s="61">
        <v>92</v>
      </c>
      <c r="BQ9" s="62">
        <v>92</v>
      </c>
      <c r="BR9" s="60">
        <v>92</v>
      </c>
      <c r="BS9" s="61">
        <v>92</v>
      </c>
      <c r="BT9" s="61">
        <v>92</v>
      </c>
      <c r="BU9" s="62">
        <v>92</v>
      </c>
      <c r="BV9" s="60">
        <v>92</v>
      </c>
      <c r="BW9" s="2271">
        <v>92</v>
      </c>
      <c r="BX9" s="61">
        <v>92</v>
      </c>
      <c r="BY9" s="62">
        <v>92</v>
      </c>
      <c r="BZ9" s="60">
        <v>92</v>
      </c>
      <c r="CA9" s="61">
        <v>92</v>
      </c>
      <c r="CB9" s="61">
        <v>92</v>
      </c>
      <c r="CC9" s="62">
        <v>92</v>
      </c>
      <c r="CD9" s="434"/>
      <c r="CE9" s="57">
        <f>SUM(F9:I9)</f>
        <v>365</v>
      </c>
      <c r="CF9" s="29">
        <f>SUM(J9:M9)</f>
        <v>365</v>
      </c>
      <c r="CG9" s="29">
        <f>SUM(N9:Q9)</f>
        <v>365</v>
      </c>
      <c r="CH9" s="29">
        <f>SUM(R9:U9)</f>
        <v>366</v>
      </c>
      <c r="CI9" s="29">
        <f>SUM(V9:Y9)</f>
        <v>366</v>
      </c>
      <c r="CJ9" s="29">
        <f>SUM(Z9:AC9)</f>
        <v>365</v>
      </c>
      <c r="CK9" s="29">
        <f>SUM(AD9:AG9)</f>
        <v>365</v>
      </c>
      <c r="CL9" s="29">
        <f>SUM(AH9:AK9)</f>
        <v>366</v>
      </c>
      <c r="CM9" s="29">
        <f>SUM(AL9:AO9)</f>
        <v>365</v>
      </c>
      <c r="CN9" s="29">
        <f>SUM(AP9:AS9)</f>
        <v>365</v>
      </c>
      <c r="CO9" s="39">
        <v>365</v>
      </c>
      <c r="CP9" s="39">
        <v>366</v>
      </c>
      <c r="CQ9" s="39">
        <v>365</v>
      </c>
      <c r="CR9" s="38">
        <v>365</v>
      </c>
      <c r="CS9" s="39">
        <v>365</v>
      </c>
      <c r="CT9" s="39">
        <v>366</v>
      </c>
      <c r="CU9" s="39">
        <v>366</v>
      </c>
      <c r="CV9" s="39">
        <v>366</v>
      </c>
      <c r="CW9" s="39">
        <v>366</v>
      </c>
      <c r="CX9" s="39">
        <v>366</v>
      </c>
      <c r="CY9" s="39">
        <v>366</v>
      </c>
      <c r="CZ9" s="39">
        <v>366</v>
      </c>
      <c r="DA9" s="39">
        <v>366</v>
      </c>
      <c r="DB9" s="39">
        <v>366</v>
      </c>
      <c r="DC9" s="39">
        <v>366</v>
      </c>
      <c r="DD9" s="59"/>
      <c r="DE9" s="24"/>
      <c r="DF9" s="24"/>
      <c r="DG9" s="29"/>
      <c r="DH9" s="29"/>
      <c r="DI9" s="29"/>
      <c r="DJ9" s="29"/>
      <c r="DK9" s="24"/>
      <c r="DL9" s="24"/>
      <c r="DM9" s="24"/>
      <c r="DN9" s="77"/>
      <c r="DO9" s="77"/>
      <c r="DP9" s="77"/>
      <c r="DQ9" s="77"/>
      <c r="DR9" s="77"/>
    </row>
    <row r="10" spans="1:122" collapsed="1">
      <c r="A10" s="3"/>
      <c r="B10" s="76"/>
      <c r="C10" s="96"/>
      <c r="D10" s="96"/>
      <c r="E10" s="97"/>
      <c r="F10" s="96"/>
      <c r="G10" s="96"/>
      <c r="H10" s="96"/>
      <c r="I10" s="97"/>
      <c r="J10" s="96"/>
      <c r="K10" s="96"/>
      <c r="L10" s="96"/>
      <c r="M10" s="97"/>
      <c r="N10" s="96"/>
      <c r="O10" s="96"/>
      <c r="P10" s="96"/>
      <c r="Q10" s="97"/>
      <c r="R10" s="76"/>
      <c r="S10" s="96"/>
      <c r="T10" s="96"/>
      <c r="U10" s="97"/>
      <c r="V10" s="44"/>
      <c r="W10" s="44"/>
      <c r="X10" s="44"/>
      <c r="Y10" s="65"/>
      <c r="Z10" s="60"/>
      <c r="AA10" s="61"/>
      <c r="AB10" s="61"/>
      <c r="AC10" s="62"/>
      <c r="AD10" s="60"/>
      <c r="AE10" s="61"/>
      <c r="AF10" s="61"/>
      <c r="AG10" s="62"/>
      <c r="AH10" s="60"/>
      <c r="AI10" s="61"/>
      <c r="AJ10" s="61"/>
      <c r="AK10" s="62"/>
      <c r="AL10" s="60"/>
      <c r="AM10" s="61"/>
      <c r="AN10" s="61"/>
      <c r="AO10" s="62"/>
      <c r="AP10" s="60"/>
      <c r="AQ10" s="61"/>
      <c r="AR10" s="61"/>
      <c r="AS10" s="62"/>
      <c r="AT10" s="60"/>
      <c r="AU10" s="61"/>
      <c r="AV10" s="61"/>
      <c r="AW10" s="62"/>
      <c r="AX10" s="60"/>
      <c r="AY10" s="61"/>
      <c r="AZ10" s="61"/>
      <c r="BA10" s="62"/>
      <c r="BB10" s="60"/>
      <c r="BC10" s="61"/>
      <c r="BD10" s="61"/>
      <c r="BE10" s="62"/>
      <c r="BF10" s="60"/>
      <c r="BG10" s="61"/>
      <c r="BH10" s="61"/>
      <c r="BI10" s="62"/>
      <c r="BJ10" s="60"/>
      <c r="BK10" s="61"/>
      <c r="BL10" s="61"/>
      <c r="BM10" s="62"/>
      <c r="BN10" s="60"/>
      <c r="BO10" s="61"/>
      <c r="BP10" s="61"/>
      <c r="BQ10" s="62"/>
      <c r="BR10" s="60"/>
      <c r="BS10" s="61"/>
      <c r="BT10" s="61"/>
      <c r="BU10" s="62"/>
      <c r="BV10" s="60"/>
      <c r="BW10" s="61"/>
      <c r="BX10" s="61"/>
      <c r="BY10" s="62"/>
      <c r="BZ10" s="60"/>
      <c r="CA10" s="61"/>
      <c r="CB10" s="61"/>
      <c r="CC10" s="62"/>
      <c r="CD10" s="434"/>
      <c r="CE10" s="34"/>
      <c r="CF10" s="35"/>
      <c r="CG10" s="35"/>
      <c r="CH10" s="35"/>
      <c r="CI10" s="35"/>
      <c r="CJ10" s="35"/>
      <c r="CK10" s="35"/>
      <c r="CL10" s="35"/>
      <c r="CM10" s="35"/>
      <c r="CN10" s="35"/>
      <c r="CO10" s="35"/>
      <c r="CP10" s="35"/>
      <c r="CQ10" s="35"/>
      <c r="CR10" s="34"/>
      <c r="CS10" s="35"/>
      <c r="CT10" s="35"/>
      <c r="CU10" s="35"/>
      <c r="CV10" s="35"/>
      <c r="CW10" s="35"/>
      <c r="CX10" s="35"/>
      <c r="CY10" s="35"/>
      <c r="CZ10" s="35"/>
      <c r="DA10" s="35"/>
      <c r="DB10" s="35"/>
      <c r="DC10" s="35"/>
      <c r="DD10" s="66"/>
      <c r="DE10" s="24"/>
      <c r="DF10" s="24"/>
      <c r="DG10" s="30"/>
      <c r="DH10" s="30"/>
      <c r="DI10" s="29"/>
      <c r="DJ10" s="29"/>
      <c r="DK10" s="24"/>
      <c r="DL10" s="24"/>
      <c r="DM10" s="24"/>
      <c r="DN10" s="24"/>
      <c r="DO10" s="24"/>
      <c r="DP10" s="24"/>
      <c r="DQ10" s="24"/>
      <c r="DR10" s="24"/>
    </row>
    <row r="11" spans="1:122">
      <c r="A11" s="3" t="s">
        <v>25</v>
      </c>
      <c r="B11" s="256" t="s">
        <v>886</v>
      </c>
      <c r="C11" s="3"/>
      <c r="D11" s="3"/>
      <c r="E11" s="139"/>
      <c r="F11" s="147"/>
      <c r="G11" s="147"/>
      <c r="H11" s="147"/>
      <c r="I11" s="139"/>
      <c r="J11" s="147"/>
      <c r="K11" s="147"/>
      <c r="L11" s="147"/>
      <c r="M11" s="139"/>
      <c r="N11" s="147"/>
      <c r="O11" s="147"/>
      <c r="P11" s="147"/>
      <c r="Q11" s="139"/>
      <c r="R11" s="256"/>
      <c r="S11" s="147"/>
      <c r="T11" s="147"/>
      <c r="U11" s="139"/>
      <c r="V11" s="61"/>
      <c r="W11" s="61"/>
      <c r="X11" s="61"/>
      <c r="Y11" s="62"/>
      <c r="Z11" s="1062"/>
      <c r="AA11" s="61"/>
      <c r="AB11" s="61"/>
      <c r="AC11" s="62"/>
      <c r="AD11" s="61"/>
      <c r="AE11" s="61"/>
      <c r="AF11" s="61"/>
      <c r="AG11" s="62"/>
      <c r="AH11" s="61"/>
      <c r="AI11" s="61"/>
      <c r="AJ11" s="61"/>
      <c r="AK11" s="62"/>
      <c r="AL11" s="60"/>
      <c r="AM11" s="61"/>
      <c r="AN11" s="61"/>
      <c r="AO11" s="62"/>
      <c r="AP11" s="61"/>
      <c r="AQ11" s="61"/>
      <c r="AR11" s="61"/>
      <c r="AS11" s="62"/>
      <c r="AT11" s="61"/>
      <c r="AU11" s="61"/>
      <c r="AV11" s="61"/>
      <c r="AW11" s="62"/>
      <c r="AX11" s="61"/>
      <c r="AY11" s="61"/>
      <c r="AZ11" s="61"/>
      <c r="BA11" s="62"/>
      <c r="BB11" s="61"/>
      <c r="BC11" s="61"/>
      <c r="BD11" s="61"/>
      <c r="BE11" s="62"/>
      <c r="BF11" s="61"/>
      <c r="BG11" s="61"/>
      <c r="BH11" s="61"/>
      <c r="BI11" s="62"/>
      <c r="BJ11" s="61"/>
      <c r="BK11" s="61"/>
      <c r="BL11" s="61"/>
      <c r="BM11" s="62"/>
      <c r="BN11" s="60"/>
      <c r="BO11" s="61"/>
      <c r="BP11" s="61"/>
      <c r="BQ11" s="62"/>
      <c r="BR11" s="60"/>
      <c r="BS11" s="61"/>
      <c r="BT11" s="61"/>
      <c r="BU11" s="62"/>
      <c r="BV11" s="60"/>
      <c r="BW11" s="61"/>
      <c r="BX11" s="61"/>
      <c r="BY11" s="62"/>
      <c r="BZ11" s="60"/>
      <c r="CA11" s="61"/>
      <c r="CB11" s="61"/>
      <c r="CC11" s="62"/>
      <c r="CD11" s="434"/>
      <c r="CE11" s="60"/>
      <c r="CF11" s="61"/>
      <c r="CG11" s="61"/>
      <c r="CH11" s="61"/>
      <c r="CI11" s="61"/>
      <c r="CJ11" s="61"/>
      <c r="CK11" s="61"/>
      <c r="CL11" s="61"/>
      <c r="CM11" s="61"/>
      <c r="CN11" s="61"/>
      <c r="CO11" s="61"/>
      <c r="CP11" s="61"/>
      <c r="CQ11" s="61"/>
      <c r="CR11" s="60"/>
      <c r="CS11" s="61"/>
      <c r="CT11" s="61"/>
      <c r="CU11" s="61"/>
      <c r="CV11" s="61"/>
      <c r="CW11" s="61"/>
      <c r="CX11" s="61"/>
      <c r="CY11" s="61"/>
      <c r="CZ11" s="61"/>
      <c r="DA11" s="61"/>
      <c r="DB11" s="61"/>
      <c r="DC11" s="61"/>
      <c r="DD11" s="62"/>
      <c r="DE11" s="24"/>
      <c r="DF11" s="24"/>
      <c r="DG11" s="29"/>
      <c r="DH11" s="29"/>
      <c r="DI11" s="29"/>
      <c r="DJ11" s="29"/>
      <c r="DK11" s="24"/>
      <c r="DL11" s="24"/>
      <c r="DM11" s="24"/>
      <c r="DN11" s="77"/>
      <c r="DO11" s="77"/>
      <c r="DP11" s="77"/>
      <c r="DQ11" s="77"/>
      <c r="DR11" s="77"/>
    </row>
    <row r="12" spans="1:122">
      <c r="A12" s="3"/>
      <c r="B12" s="256"/>
      <c r="C12" s="4" t="s">
        <v>619</v>
      </c>
      <c r="D12" s="3"/>
      <c r="E12" s="139"/>
      <c r="F12" s="147"/>
      <c r="G12" s="147"/>
      <c r="H12" s="147"/>
      <c r="I12" s="139"/>
      <c r="J12" s="147"/>
      <c r="K12" s="147"/>
      <c r="L12" s="147"/>
      <c r="M12" s="139"/>
      <c r="N12" s="147"/>
      <c r="O12" s="147"/>
      <c r="P12" s="147"/>
      <c r="Q12" s="139"/>
      <c r="R12" s="147"/>
      <c r="S12" s="147"/>
      <c r="T12" s="147"/>
      <c r="U12" s="139"/>
      <c r="V12" s="71"/>
      <c r="W12" s="71"/>
      <c r="X12" s="71"/>
      <c r="Y12" s="72"/>
      <c r="Z12" s="723"/>
      <c r="AA12" s="723"/>
      <c r="AB12" s="723"/>
      <c r="AC12" s="72"/>
      <c r="AD12" s="71"/>
      <c r="AE12" s="35"/>
      <c r="AF12" s="71"/>
      <c r="AG12" s="72"/>
      <c r="AH12" s="71"/>
      <c r="AI12" s="71"/>
      <c r="AJ12" s="71"/>
      <c r="AK12" s="72"/>
      <c r="AL12" s="71"/>
      <c r="AM12" s="71"/>
      <c r="AN12" s="1157"/>
      <c r="AO12" s="72"/>
      <c r="AP12" s="71"/>
      <c r="AQ12" s="71"/>
      <c r="AR12" s="71"/>
      <c r="AS12" s="72"/>
      <c r="AT12" s="71"/>
      <c r="AU12" s="71"/>
      <c r="AV12" s="71"/>
      <c r="AW12" s="72"/>
      <c r="AX12" s="71"/>
      <c r="AY12" s="71"/>
      <c r="AZ12" s="71"/>
      <c r="BA12" s="72"/>
      <c r="BB12" s="71"/>
      <c r="BC12" s="71"/>
      <c r="BD12" s="71"/>
      <c r="BE12" s="72"/>
      <c r="BF12" s="71"/>
      <c r="BG12" s="71"/>
      <c r="BH12" s="71"/>
      <c r="BI12" s="72"/>
      <c r="BJ12" s="71"/>
      <c r="BK12" s="71"/>
      <c r="BL12" s="71"/>
      <c r="BM12" s="72"/>
      <c r="BN12" s="1144"/>
      <c r="BO12" s="71"/>
      <c r="BP12" s="71"/>
      <c r="BQ12" s="72"/>
      <c r="BR12" s="1144"/>
      <c r="BS12" s="71"/>
      <c r="BT12" s="71"/>
      <c r="BU12" s="72"/>
      <c r="BV12" s="1144"/>
      <c r="BW12" s="71"/>
      <c r="BX12" s="71"/>
      <c r="BY12" s="72"/>
      <c r="BZ12" s="1144"/>
      <c r="CA12" s="71"/>
      <c r="CB12" s="71"/>
      <c r="CC12" s="72"/>
      <c r="CD12" s="434"/>
      <c r="CE12" s="1144"/>
      <c r="CF12" s="71"/>
      <c r="CG12" s="71"/>
      <c r="CH12" s="71"/>
      <c r="CI12" s="71"/>
      <c r="CJ12" s="71"/>
      <c r="CK12" s="71"/>
      <c r="CL12" s="71"/>
      <c r="CM12" s="71"/>
      <c r="CN12" s="71"/>
      <c r="CO12" s="71"/>
      <c r="CP12" s="71"/>
      <c r="CQ12" s="71"/>
      <c r="CR12" s="1144"/>
      <c r="CS12" s="71"/>
      <c r="CT12" s="71"/>
      <c r="CU12" s="71"/>
      <c r="CV12" s="71"/>
      <c r="CW12" s="71"/>
      <c r="CX12" s="71"/>
      <c r="CY12" s="71"/>
      <c r="CZ12" s="71"/>
      <c r="DA12" s="71"/>
      <c r="DB12" s="71"/>
      <c r="DC12" s="71"/>
      <c r="DD12" s="72"/>
      <c r="DE12" s="24"/>
      <c r="DF12" s="31"/>
      <c r="DG12" s="30"/>
      <c r="DH12" s="30"/>
      <c r="DI12" s="30"/>
      <c r="DJ12" s="30"/>
      <c r="DK12" s="31"/>
      <c r="DL12" s="31"/>
      <c r="DM12" s="31"/>
      <c r="DN12" s="73"/>
      <c r="DO12" s="73"/>
      <c r="DP12" s="73"/>
      <c r="DQ12" s="73"/>
      <c r="DR12" s="73"/>
    </row>
    <row r="13" spans="1:122">
      <c r="A13" s="3"/>
      <c r="B13" s="76"/>
      <c r="C13" s="4"/>
      <c r="D13" s="52" t="s">
        <v>96</v>
      </c>
      <c r="E13" s="97"/>
      <c r="F13" s="780">
        <v>166.94900000000001</v>
      </c>
      <c r="G13" s="780">
        <v>179.38300000000001</v>
      </c>
      <c r="H13" s="780">
        <v>160.869</v>
      </c>
      <c r="I13" s="846">
        <v>167.58199999999999</v>
      </c>
      <c r="J13" s="845">
        <v>200.58199999999999</v>
      </c>
      <c r="K13" s="780">
        <v>193.31700000000001</v>
      </c>
      <c r="L13" s="780">
        <v>226.48699999999999</v>
      </c>
      <c r="M13" s="521">
        <v>223.72800000000001</v>
      </c>
      <c r="N13" s="457">
        <v>244.44800000000001</v>
      </c>
      <c r="O13" s="457">
        <v>326.94400000000002</v>
      </c>
      <c r="P13" s="457">
        <v>347.06</v>
      </c>
      <c r="Q13" s="521">
        <v>393.2</v>
      </c>
      <c r="R13" s="457">
        <v>285.8</v>
      </c>
      <c r="S13" s="457">
        <v>318.39999999999998</v>
      </c>
      <c r="T13" s="459">
        <v>359.9</v>
      </c>
      <c r="U13" s="522">
        <f>377.8-U14</f>
        <v>345.5</v>
      </c>
      <c r="V13" s="459">
        <f>405.2-V14</f>
        <v>372.9</v>
      </c>
      <c r="W13" s="459">
        <f>492.5-W14</f>
        <v>460.2</v>
      </c>
      <c r="X13" s="459">
        <v>461.1</v>
      </c>
      <c r="Y13" s="522">
        <v>485.2</v>
      </c>
      <c r="Z13" s="459">
        <v>506</v>
      </c>
      <c r="AA13" s="459">
        <v>550.20000000000005</v>
      </c>
      <c r="AB13" s="459">
        <v>543.4</v>
      </c>
      <c r="AC13" s="522">
        <v>550.70000000000005</v>
      </c>
      <c r="AD13" s="459">
        <v>603</v>
      </c>
      <c r="AE13" s="459">
        <v>676</v>
      </c>
      <c r="AF13" s="459">
        <v>704</v>
      </c>
      <c r="AG13" s="522">
        <v>700</v>
      </c>
      <c r="AH13" s="459">
        <v>651</v>
      </c>
      <c r="AI13" s="39">
        <v>917</v>
      </c>
      <c r="AJ13" s="39">
        <v>917</v>
      </c>
      <c r="AK13" s="59">
        <v>1104</v>
      </c>
      <c r="AL13" s="39">
        <v>1213</v>
      </c>
      <c r="AM13" s="39">
        <v>1376</v>
      </c>
      <c r="AN13" s="39">
        <v>1579</v>
      </c>
      <c r="AO13" s="59">
        <v>1794</v>
      </c>
      <c r="AP13" s="39">
        <v>2056</v>
      </c>
      <c r="AQ13" s="39">
        <v>2435</v>
      </c>
      <c r="AR13" s="39">
        <v>2826</v>
      </c>
      <c r="AS13" s="59">
        <v>2734</v>
      </c>
      <c r="AT13" s="39">
        <v>2858</v>
      </c>
      <c r="AU13" s="39">
        <v>3110</v>
      </c>
      <c r="AV13" s="39">
        <v>3230</v>
      </c>
      <c r="AW13" s="59">
        <v>3490</v>
      </c>
      <c r="AX13" s="39">
        <v>3675</v>
      </c>
      <c r="AY13" s="39">
        <v>3924</v>
      </c>
      <c r="AZ13" s="39">
        <v>3377</v>
      </c>
      <c r="BA13" s="59">
        <v>3208</v>
      </c>
      <c r="BB13" s="39">
        <v>3537</v>
      </c>
      <c r="BC13" s="39">
        <v>3816</v>
      </c>
      <c r="BD13" s="39">
        <v>4060</v>
      </c>
      <c r="BE13" s="59">
        <v>4309</v>
      </c>
      <c r="BF13" s="39">
        <v>4869</v>
      </c>
      <c r="BG13" s="39">
        <v>4655</v>
      </c>
      <c r="BH13" s="1380">
        <v>4569</v>
      </c>
      <c r="BI13" s="1446">
        <v>4804</v>
      </c>
      <c r="BJ13" s="1380">
        <v>5159</v>
      </c>
      <c r="BK13" s="39">
        <v>4902</v>
      </c>
      <c r="BL13" s="1380">
        <v>4812</v>
      </c>
      <c r="BM13" s="1446">
        <v>5024</v>
      </c>
      <c r="BN13" s="1380">
        <v>5081</v>
      </c>
      <c r="BO13" s="39">
        <v>5363</v>
      </c>
      <c r="BP13" s="1380">
        <v>5887</v>
      </c>
      <c r="BQ13" s="1446">
        <v>8151</v>
      </c>
      <c r="BR13" s="1380">
        <v>4077</v>
      </c>
      <c r="BS13" s="39">
        <v>4940</v>
      </c>
      <c r="BT13" s="39">
        <v>5652</v>
      </c>
      <c r="BU13" s="1446">
        <v>6354</v>
      </c>
      <c r="BV13" s="1380">
        <v>6886</v>
      </c>
      <c r="BW13" s="1380">
        <v>6272</v>
      </c>
      <c r="BX13" s="53">
        <f>CF!BX102</f>
        <v>5612.4284407821306</v>
      </c>
      <c r="BY13" s="645">
        <f>CF!BY102</f>
        <v>5968.8381680790353</v>
      </c>
      <c r="BZ13" s="644">
        <f>CF!BZ102</f>
        <v>6405.8154558403903</v>
      </c>
      <c r="CA13" s="53">
        <f>CF!CA102</f>
        <v>6996.7837248374235</v>
      </c>
      <c r="CB13" s="53">
        <f>CF!CB102</f>
        <v>6991.3983666476806</v>
      </c>
      <c r="CC13" s="645">
        <f>CF!CC102</f>
        <v>6908.5314074635244</v>
      </c>
      <c r="CD13" s="47"/>
      <c r="CE13" s="1145">
        <f t="shared" ref="CE13:CE21" si="0">I13</f>
        <v>167.58199999999999</v>
      </c>
      <c r="CF13" s="53">
        <f t="shared" ref="CF13:CF21" si="1">M13</f>
        <v>223.72800000000001</v>
      </c>
      <c r="CG13" s="53">
        <f t="shared" ref="CG13:CG21" si="2">Q13</f>
        <v>393.2</v>
      </c>
      <c r="CH13" s="53">
        <f t="shared" ref="CH13:CH21" si="3">U13</f>
        <v>345.5</v>
      </c>
      <c r="CI13" s="138">
        <f t="shared" ref="CI13:CI21" si="4">Y13</f>
        <v>485.2</v>
      </c>
      <c r="CJ13" s="138">
        <f t="shared" ref="CJ13:CJ21" si="5">AC13</f>
        <v>550.70000000000005</v>
      </c>
      <c r="CK13" s="138">
        <f t="shared" ref="CK13:CK21" si="6">AG13</f>
        <v>700</v>
      </c>
      <c r="CL13" s="138">
        <f t="shared" ref="CL13:CL21" si="7">AK13</f>
        <v>1104</v>
      </c>
      <c r="CM13" s="138">
        <f t="shared" ref="CM13:CM21" si="8">AO13</f>
        <v>1794</v>
      </c>
      <c r="CN13" s="138">
        <f t="shared" ref="CN13:CN21" si="9">AS13</f>
        <v>2734</v>
      </c>
      <c r="CO13" s="53">
        <f t="shared" ref="CO13:CO21" si="10">AW13</f>
        <v>3490</v>
      </c>
      <c r="CP13" s="53">
        <f t="shared" ref="CP13:CP21" si="11">BA13</f>
        <v>3208</v>
      </c>
      <c r="CQ13" s="53">
        <f t="shared" ref="CQ13:CQ21" si="12">BE13</f>
        <v>4309</v>
      </c>
      <c r="CR13" s="644">
        <f t="shared" ref="CR13:CR21" si="13">BI13</f>
        <v>4804</v>
      </c>
      <c r="CS13" s="53">
        <f t="shared" ref="CS13:CS21" si="14">BM13</f>
        <v>5024</v>
      </c>
      <c r="CT13" s="53">
        <f t="shared" ref="CT13:CT21" si="15">BQ13</f>
        <v>8151</v>
      </c>
      <c r="CU13" s="53">
        <f t="shared" ref="CU13:CU21" si="16">BU13</f>
        <v>6354</v>
      </c>
      <c r="CV13" s="53">
        <f>BY13</f>
        <v>5968.8381680790353</v>
      </c>
      <c r="CW13" s="53">
        <f t="shared" ref="CW13:CW21" si="17">CC13</f>
        <v>6908.5314074635244</v>
      </c>
      <c r="CX13" s="53">
        <f>CF!CX102</f>
        <v>8272.9552541164139</v>
      </c>
      <c r="CY13" s="53">
        <f>CF!CY102</f>
        <v>9518.4736014413647</v>
      </c>
      <c r="CZ13" s="53">
        <f>CF!CZ102</f>
        <v>10957.791768683577</v>
      </c>
      <c r="DA13" s="53">
        <f>CF!DA102</f>
        <v>12237.690390510912</v>
      </c>
      <c r="DB13" s="53">
        <f>CF!DB102</f>
        <v>13799.458666521006</v>
      </c>
      <c r="DC13" s="53">
        <f>CF!DC102</f>
        <v>15664.035805884811</v>
      </c>
      <c r="DD13" s="645"/>
      <c r="DE13" s="29"/>
      <c r="DF13" s="24"/>
      <c r="DG13" s="30"/>
      <c r="DH13" s="30"/>
      <c r="DI13" s="29"/>
      <c r="DJ13" s="29"/>
      <c r="DK13" s="24"/>
      <c r="DL13" s="24"/>
      <c r="DM13" s="24"/>
      <c r="DN13" s="77"/>
      <c r="DO13" s="77"/>
      <c r="DP13" s="77"/>
      <c r="DQ13" s="77"/>
      <c r="DR13" s="77"/>
    </row>
    <row r="14" spans="1:122">
      <c r="A14" s="3"/>
      <c r="B14" s="76"/>
      <c r="C14" s="4"/>
      <c r="D14" s="52" t="s">
        <v>97</v>
      </c>
      <c r="E14" s="97"/>
      <c r="F14" s="780"/>
      <c r="G14" s="780"/>
      <c r="H14" s="780"/>
      <c r="I14" s="846"/>
      <c r="J14" s="845"/>
      <c r="K14" s="780"/>
      <c r="L14" s="780"/>
      <c r="M14" s="521"/>
      <c r="N14" s="457"/>
      <c r="O14" s="457"/>
      <c r="P14" s="457"/>
      <c r="Q14" s="521"/>
      <c r="R14" s="457"/>
      <c r="S14" s="457"/>
      <c r="T14" s="459"/>
      <c r="U14" s="522">
        <v>32.299999999999997</v>
      </c>
      <c r="V14" s="459">
        <f>U14</f>
        <v>32.299999999999997</v>
      </c>
      <c r="W14" s="459">
        <f>V14</f>
        <v>32.299999999999997</v>
      </c>
      <c r="X14" s="459">
        <v>113.2</v>
      </c>
      <c r="Y14" s="522">
        <v>113.2</v>
      </c>
      <c r="Z14" s="459">
        <v>75.3</v>
      </c>
      <c r="AA14" s="459">
        <v>94.5</v>
      </c>
      <c r="AB14" s="459">
        <v>130.69999999999999</v>
      </c>
      <c r="AC14" s="522">
        <v>148.1</v>
      </c>
      <c r="AD14" s="459">
        <v>148</v>
      </c>
      <c r="AE14" s="459">
        <v>154</v>
      </c>
      <c r="AF14" s="459">
        <v>171</v>
      </c>
      <c r="AG14" s="522">
        <v>207</v>
      </c>
      <c r="AH14" s="459">
        <v>200</v>
      </c>
      <c r="AI14" s="39">
        <v>50</v>
      </c>
      <c r="AJ14" s="39">
        <v>32</v>
      </c>
      <c r="AK14" s="59">
        <v>3</v>
      </c>
      <c r="AL14" s="39">
        <v>2</v>
      </c>
      <c r="AM14" s="39">
        <v>0</v>
      </c>
      <c r="AN14" s="39">
        <v>0</v>
      </c>
      <c r="AO14" s="59">
        <v>0</v>
      </c>
      <c r="AP14" s="39">
        <v>0</v>
      </c>
      <c r="AQ14" s="39">
        <v>0</v>
      </c>
      <c r="AR14" s="39">
        <v>0</v>
      </c>
      <c r="AS14" s="59">
        <v>0</v>
      </c>
      <c r="AT14" s="39">
        <v>0</v>
      </c>
      <c r="AU14" s="39">
        <v>0</v>
      </c>
      <c r="AV14" s="39">
        <v>0</v>
      </c>
      <c r="AW14" s="59">
        <v>0</v>
      </c>
      <c r="AX14" s="39">
        <v>0</v>
      </c>
      <c r="AY14" s="39">
        <v>0</v>
      </c>
      <c r="AZ14" s="39">
        <v>0</v>
      </c>
      <c r="BA14" s="59">
        <v>0</v>
      </c>
      <c r="BB14" s="39">
        <v>0</v>
      </c>
      <c r="BC14" s="39">
        <v>0</v>
      </c>
      <c r="BD14" s="39">
        <v>0</v>
      </c>
      <c r="BE14" s="59">
        <v>0</v>
      </c>
      <c r="BF14" s="39">
        <v>0</v>
      </c>
      <c r="BG14" s="39">
        <v>0</v>
      </c>
      <c r="BH14" s="1380">
        <v>296</v>
      </c>
      <c r="BI14" s="1446">
        <v>284</v>
      </c>
      <c r="BJ14" s="1380">
        <v>222</v>
      </c>
      <c r="BK14" s="39">
        <v>241</v>
      </c>
      <c r="BL14" s="1380">
        <v>228</v>
      </c>
      <c r="BM14" s="1446">
        <v>262</v>
      </c>
      <c r="BN14" s="1380">
        <v>347</v>
      </c>
      <c r="BO14" s="39">
        <v>497</v>
      </c>
      <c r="BP14" s="1380">
        <v>146</v>
      </c>
      <c r="BQ14" s="1446">
        <v>227</v>
      </c>
      <c r="BR14" s="1380">
        <v>248</v>
      </c>
      <c r="BS14" s="39">
        <v>161</v>
      </c>
      <c r="BT14" s="39">
        <v>25</v>
      </c>
      <c r="BU14" s="1446">
        <v>24</v>
      </c>
      <c r="BV14" s="1380">
        <v>35</v>
      </c>
      <c r="BW14" s="1380">
        <v>23</v>
      </c>
      <c r="BX14" s="53">
        <f>BW14+CF!BX35-CF!BX36</f>
        <v>23</v>
      </c>
      <c r="BY14" s="645">
        <f>BX14+CF!BY35-CF!BY36</f>
        <v>23</v>
      </c>
      <c r="BZ14" s="644">
        <f>BY14+CF!BZ35-CF!BZ36</f>
        <v>23</v>
      </c>
      <c r="CA14" s="53">
        <f>BZ14+CF!CA35-CF!CA36</f>
        <v>23</v>
      </c>
      <c r="CB14" s="53">
        <f>CA14+CF!CB35-CF!CB36</f>
        <v>23</v>
      </c>
      <c r="CC14" s="645">
        <f>CB14+CF!CC35-CF!CC36</f>
        <v>23</v>
      </c>
      <c r="CD14" s="47"/>
      <c r="CE14" s="1145">
        <f t="shared" si="0"/>
        <v>0</v>
      </c>
      <c r="CF14" s="53">
        <f t="shared" si="1"/>
        <v>0</v>
      </c>
      <c r="CG14" s="53">
        <f t="shared" si="2"/>
        <v>0</v>
      </c>
      <c r="CH14" s="53">
        <f t="shared" si="3"/>
        <v>32.299999999999997</v>
      </c>
      <c r="CI14" s="138">
        <f t="shared" si="4"/>
        <v>113.2</v>
      </c>
      <c r="CJ14" s="138">
        <f t="shared" si="5"/>
        <v>148.1</v>
      </c>
      <c r="CK14" s="138">
        <f t="shared" si="6"/>
        <v>207</v>
      </c>
      <c r="CL14" s="138">
        <f t="shared" si="7"/>
        <v>3</v>
      </c>
      <c r="CM14" s="138">
        <f t="shared" si="8"/>
        <v>0</v>
      </c>
      <c r="CN14" s="138">
        <f t="shared" si="9"/>
        <v>0</v>
      </c>
      <c r="CO14" s="53">
        <f t="shared" si="10"/>
        <v>0</v>
      </c>
      <c r="CP14" s="53">
        <f t="shared" si="11"/>
        <v>0</v>
      </c>
      <c r="CQ14" s="53">
        <f t="shared" si="12"/>
        <v>0</v>
      </c>
      <c r="CR14" s="644">
        <f t="shared" si="13"/>
        <v>284</v>
      </c>
      <c r="CS14" s="53">
        <f t="shared" si="14"/>
        <v>262</v>
      </c>
      <c r="CT14" s="53">
        <f t="shared" si="15"/>
        <v>227</v>
      </c>
      <c r="CU14" s="53">
        <f t="shared" si="16"/>
        <v>24</v>
      </c>
      <c r="CV14" s="53">
        <f t="shared" ref="CV14:CV21" si="18">BY14</f>
        <v>23</v>
      </c>
      <c r="CW14" s="53">
        <f t="shared" si="17"/>
        <v>23</v>
      </c>
      <c r="CX14" s="53">
        <f>CW14+CF!CX35-CF!CX36</f>
        <v>23</v>
      </c>
      <c r="CY14" s="53">
        <f>CX14+CF!CY35-CF!CY36</f>
        <v>23</v>
      </c>
      <c r="CZ14" s="53">
        <f>CY14+CF!CZ35-CF!CZ36</f>
        <v>23</v>
      </c>
      <c r="DA14" s="53">
        <f>CZ14+CF!DA35-CF!DA36</f>
        <v>23</v>
      </c>
      <c r="DB14" s="53">
        <f>DA14+CF!DB35-CF!DB36</f>
        <v>23</v>
      </c>
      <c r="DC14" s="53">
        <f>DB14+CF!DC35-CF!DC36</f>
        <v>23</v>
      </c>
      <c r="DD14" s="645"/>
      <c r="DE14" s="29"/>
      <c r="DF14" s="24"/>
      <c r="DG14" s="30"/>
      <c r="DH14" s="30"/>
      <c r="DI14" s="29"/>
      <c r="DJ14" s="29"/>
      <c r="DK14" s="24"/>
      <c r="DL14" s="24"/>
      <c r="DM14" s="24"/>
      <c r="DN14" s="77"/>
      <c r="DO14" s="77"/>
      <c r="DP14" s="77"/>
      <c r="DQ14" s="77"/>
      <c r="DR14" s="77"/>
    </row>
    <row r="15" spans="1:122">
      <c r="A15" s="3"/>
      <c r="B15" s="76"/>
      <c r="C15" s="4"/>
      <c r="D15" s="52" t="s">
        <v>98</v>
      </c>
      <c r="E15" s="97"/>
      <c r="F15" s="780">
        <v>146.31800000000001</v>
      </c>
      <c r="G15" s="780">
        <v>173.96600000000001</v>
      </c>
      <c r="H15" s="780">
        <v>153.095</v>
      </c>
      <c r="I15" s="846">
        <v>127.767</v>
      </c>
      <c r="J15" s="845">
        <v>212.08500000000001</v>
      </c>
      <c r="K15" s="780">
        <v>222.822</v>
      </c>
      <c r="L15" s="780">
        <v>186.173</v>
      </c>
      <c r="M15" s="521">
        <v>218.83199999999999</v>
      </c>
      <c r="N15" s="457">
        <v>233.03700000000001</v>
      </c>
      <c r="O15" s="457">
        <v>246.304</v>
      </c>
      <c r="P15" s="457">
        <v>195.738</v>
      </c>
      <c r="Q15" s="521">
        <v>243.9</v>
      </c>
      <c r="R15" s="457">
        <v>328.7</v>
      </c>
      <c r="S15" s="457">
        <v>361.3</v>
      </c>
      <c r="T15" s="459">
        <v>308.3</v>
      </c>
      <c r="U15" s="522">
        <v>313.10000000000002</v>
      </c>
      <c r="V15" s="459">
        <v>400.7</v>
      </c>
      <c r="W15" s="459">
        <v>390.4</v>
      </c>
      <c r="X15" s="459">
        <v>398.6</v>
      </c>
      <c r="Y15" s="522">
        <v>402.9</v>
      </c>
      <c r="Z15" s="459">
        <v>470.4</v>
      </c>
      <c r="AA15" s="459">
        <v>428.3</v>
      </c>
      <c r="AB15" s="459">
        <v>483.2</v>
      </c>
      <c r="AC15" s="522">
        <v>481.5</v>
      </c>
      <c r="AD15" s="459">
        <v>614</v>
      </c>
      <c r="AE15" s="459">
        <v>668</v>
      </c>
      <c r="AF15" s="459">
        <v>715</v>
      </c>
      <c r="AG15" s="522">
        <v>697</v>
      </c>
      <c r="AH15" s="459">
        <v>985</v>
      </c>
      <c r="AI15" s="39">
        <v>1086</v>
      </c>
      <c r="AJ15" s="39">
        <v>1014</v>
      </c>
      <c r="AK15" s="59">
        <v>1010</v>
      </c>
      <c r="AL15" s="39">
        <v>1082</v>
      </c>
      <c r="AM15" s="39">
        <v>926</v>
      </c>
      <c r="AN15" s="39">
        <v>824</v>
      </c>
      <c r="AO15" s="59">
        <v>926</v>
      </c>
      <c r="AP15" s="39">
        <v>1131</v>
      </c>
      <c r="AQ15" s="39">
        <v>1365</v>
      </c>
      <c r="AR15" s="39">
        <v>1257</v>
      </c>
      <c r="AS15" s="59">
        <v>1256</v>
      </c>
      <c r="AT15" s="39">
        <v>1325</v>
      </c>
      <c r="AU15" s="39">
        <v>1250</v>
      </c>
      <c r="AV15" s="39">
        <v>1171</v>
      </c>
      <c r="AW15" s="59">
        <v>1206</v>
      </c>
      <c r="AX15" s="39">
        <v>1356</v>
      </c>
      <c r="AY15" s="39">
        <v>747</v>
      </c>
      <c r="AZ15" s="39">
        <v>2377</v>
      </c>
      <c r="BA15" s="59">
        <v>2364</v>
      </c>
      <c r="BB15" s="39">
        <v>1951</v>
      </c>
      <c r="BC15" s="39">
        <v>1732</v>
      </c>
      <c r="BD15" s="39">
        <v>1700</v>
      </c>
      <c r="BE15" s="59">
        <v>1793</v>
      </c>
      <c r="BF15" s="39">
        <v>1791</v>
      </c>
      <c r="BG15" s="39">
        <v>1959</v>
      </c>
      <c r="BH15" s="1380">
        <v>1802</v>
      </c>
      <c r="BI15" s="1446">
        <v>1989</v>
      </c>
      <c r="BJ15" s="1380">
        <v>1915</v>
      </c>
      <c r="BK15" s="39">
        <v>1880</v>
      </c>
      <c r="BL15" s="1380">
        <v>1696</v>
      </c>
      <c r="BM15" s="1446">
        <v>1532</v>
      </c>
      <c r="BN15" s="1380">
        <v>1616</v>
      </c>
      <c r="BO15" s="39">
        <v>1650</v>
      </c>
      <c r="BP15" s="1380">
        <v>1254</v>
      </c>
      <c r="BQ15" s="1446">
        <v>1461</v>
      </c>
      <c r="BR15" s="1380">
        <v>2023</v>
      </c>
      <c r="BS15" s="39">
        <v>2004</v>
      </c>
      <c r="BT15" s="39">
        <v>1948</v>
      </c>
      <c r="BU15" s="1446">
        <v>1948</v>
      </c>
      <c r="BV15" s="1380">
        <v>2101</v>
      </c>
      <c r="BW15" s="1380">
        <v>2052</v>
      </c>
      <c r="BX15" s="53">
        <f>IS!BX11*BS!BX118/BS!BX$9</f>
        <v>2027.6711815217388</v>
      </c>
      <c r="BY15" s="645">
        <f>IS!BY11*BS!BY118/BS!BY$9</f>
        <v>1922.8778918843477</v>
      </c>
      <c r="BZ15" s="644">
        <f>IS!BZ11*BS!BZ118/BS!BZ$9</f>
        <v>2094.3416407894979</v>
      </c>
      <c r="CA15" s="53">
        <f>IS!CA11*BS!CA118/BS!CA$9</f>
        <v>2006.8910552582572</v>
      </c>
      <c r="CB15" s="53">
        <f>IS!CB11*BS!CB118/BS!CB$9</f>
        <v>1913.9999180670663</v>
      </c>
      <c r="CC15" s="645">
        <f>IS!CC11*BS!CC118/BS!CC$9</f>
        <v>1971.8537577987606</v>
      </c>
      <c r="CD15" s="47"/>
      <c r="CE15" s="1145">
        <f t="shared" si="0"/>
        <v>127.767</v>
      </c>
      <c r="CF15" s="53">
        <f t="shared" si="1"/>
        <v>218.83199999999999</v>
      </c>
      <c r="CG15" s="53">
        <f t="shared" si="2"/>
        <v>243.9</v>
      </c>
      <c r="CH15" s="53">
        <f t="shared" si="3"/>
        <v>313.10000000000002</v>
      </c>
      <c r="CI15" s="138">
        <f t="shared" si="4"/>
        <v>402.9</v>
      </c>
      <c r="CJ15" s="138">
        <f t="shared" si="5"/>
        <v>481.5</v>
      </c>
      <c r="CK15" s="138">
        <f t="shared" si="6"/>
        <v>697</v>
      </c>
      <c r="CL15" s="138">
        <f t="shared" si="7"/>
        <v>1010</v>
      </c>
      <c r="CM15" s="138">
        <f t="shared" si="8"/>
        <v>926</v>
      </c>
      <c r="CN15" s="138">
        <f t="shared" si="9"/>
        <v>1256</v>
      </c>
      <c r="CO15" s="136">
        <f t="shared" si="10"/>
        <v>1206</v>
      </c>
      <c r="CP15" s="136">
        <f t="shared" si="11"/>
        <v>2364</v>
      </c>
      <c r="CQ15" s="136">
        <f t="shared" si="12"/>
        <v>1793</v>
      </c>
      <c r="CR15" s="655">
        <f t="shared" si="13"/>
        <v>1989</v>
      </c>
      <c r="CS15" s="136">
        <f t="shared" si="14"/>
        <v>1532</v>
      </c>
      <c r="CT15" s="53">
        <f t="shared" si="15"/>
        <v>1461</v>
      </c>
      <c r="CU15" s="53">
        <f t="shared" si="16"/>
        <v>1948</v>
      </c>
      <c r="CV15" s="53">
        <f t="shared" si="18"/>
        <v>1922.8778918843477</v>
      </c>
      <c r="CW15" s="53">
        <f t="shared" si="17"/>
        <v>1971.8537577987606</v>
      </c>
      <c r="CX15" s="53">
        <f>IS!CX11*BS!CX118/BS!CX$9</f>
        <v>2293.3211486090222</v>
      </c>
      <c r="CY15" s="53">
        <f>IS!CY11*BS!CY118/BS!CY$9</f>
        <v>2376.4592368289823</v>
      </c>
      <c r="CZ15" s="53">
        <f>IS!CZ11*BS!CZ118/BS!CZ$9</f>
        <v>2466.9159770386109</v>
      </c>
      <c r="DA15" s="53">
        <f>IS!DA11*BS!DA118/BS!DA$9</f>
        <v>2581.251310829653</v>
      </c>
      <c r="DB15" s="53">
        <f>IS!DB11*BS!DB118/BS!DB$9</f>
        <v>2710.8327434609805</v>
      </c>
      <c r="DC15" s="53">
        <f>IS!DC11*BS!DC118/BS!DC$9</f>
        <v>2857.5896508329743</v>
      </c>
      <c r="DD15" s="645"/>
      <c r="DE15" s="29"/>
      <c r="DF15" s="24"/>
      <c r="DG15" s="30"/>
      <c r="DH15" s="30"/>
      <c r="DI15" s="29"/>
      <c r="DJ15" s="29"/>
      <c r="DK15" s="24"/>
      <c r="DL15" s="24"/>
      <c r="DM15" s="24"/>
      <c r="DN15" s="77"/>
      <c r="DO15" s="77"/>
      <c r="DP15" s="77"/>
      <c r="DQ15" s="77"/>
      <c r="DR15" s="77"/>
    </row>
    <row r="16" spans="1:122">
      <c r="A16" s="4"/>
      <c r="B16" s="256"/>
      <c r="C16" s="4"/>
      <c r="D16" s="52" t="s">
        <v>45</v>
      </c>
      <c r="E16" s="139"/>
      <c r="F16" s="780">
        <v>60.027000000000001</v>
      </c>
      <c r="G16" s="780">
        <v>78.177000000000007</v>
      </c>
      <c r="H16" s="780">
        <v>65.257999999999996</v>
      </c>
      <c r="I16" s="846">
        <v>78.905000000000001</v>
      </c>
      <c r="J16" s="845">
        <v>76.343000000000004</v>
      </c>
      <c r="K16" s="780">
        <v>96.441000000000003</v>
      </c>
      <c r="L16" s="780">
        <v>94.513000000000005</v>
      </c>
      <c r="M16" s="522">
        <v>73.394999999999996</v>
      </c>
      <c r="N16" s="457">
        <v>91.503</v>
      </c>
      <c r="O16" s="459">
        <v>105.792</v>
      </c>
      <c r="P16" s="459">
        <v>110.663</v>
      </c>
      <c r="Q16" s="522">
        <v>97.8</v>
      </c>
      <c r="R16" s="619">
        <v>122.9</v>
      </c>
      <c r="S16" s="459">
        <v>155.80000000000001</v>
      </c>
      <c r="T16" s="459">
        <v>149.1</v>
      </c>
      <c r="U16" s="522">
        <v>148.6</v>
      </c>
      <c r="V16" s="619">
        <v>144.30000000000001</v>
      </c>
      <c r="W16" s="459">
        <v>118.3</v>
      </c>
      <c r="X16" s="459">
        <v>135.5</v>
      </c>
      <c r="Y16" s="610">
        <f>SUM(Y17:Y19)</f>
        <v>152.9</v>
      </c>
      <c r="Z16" s="656">
        <f>SUM(Z17:Z19)</f>
        <v>172.8</v>
      </c>
      <c r="AA16" s="610">
        <f>SUM(AA17:AA19)</f>
        <v>168.3</v>
      </c>
      <c r="AB16" s="610">
        <f>SUM(AB17:AB19)</f>
        <v>177.6</v>
      </c>
      <c r="AC16" s="610">
        <f>SUM(AC17:AC19)</f>
        <v>205.1</v>
      </c>
      <c r="AD16" s="656">
        <f t="shared" ref="AD16:AI16" si="19">SUM(AD17:AD19)</f>
        <v>216</v>
      </c>
      <c r="AE16" s="610">
        <f t="shared" si="19"/>
        <v>265</v>
      </c>
      <c r="AF16" s="610">
        <f t="shared" si="19"/>
        <v>243</v>
      </c>
      <c r="AG16" s="610">
        <f>SUM(AG17:AG19)</f>
        <v>259</v>
      </c>
      <c r="AH16" s="656">
        <f t="shared" si="19"/>
        <v>461</v>
      </c>
      <c r="AI16" s="610">
        <f t="shared" si="19"/>
        <v>459</v>
      </c>
      <c r="AJ16" s="610">
        <f t="shared" ref="AJ16:BE16" si="20">SUM(AJ17:AJ19)</f>
        <v>455</v>
      </c>
      <c r="AK16" s="610">
        <f t="shared" si="20"/>
        <v>456</v>
      </c>
      <c r="AL16" s="656">
        <f t="shared" si="20"/>
        <v>477</v>
      </c>
      <c r="AM16" s="610">
        <f t="shared" si="20"/>
        <v>446</v>
      </c>
      <c r="AN16" s="610">
        <f t="shared" si="20"/>
        <v>385</v>
      </c>
      <c r="AO16" s="611">
        <f t="shared" si="20"/>
        <v>376</v>
      </c>
      <c r="AP16" s="656">
        <f t="shared" si="20"/>
        <v>395</v>
      </c>
      <c r="AQ16" s="610">
        <f t="shared" si="20"/>
        <v>453</v>
      </c>
      <c r="AR16" s="610">
        <f t="shared" si="20"/>
        <v>507</v>
      </c>
      <c r="AS16" s="611">
        <f t="shared" si="20"/>
        <v>560</v>
      </c>
      <c r="AT16" s="656">
        <f t="shared" si="20"/>
        <v>561</v>
      </c>
      <c r="AU16" s="610">
        <f t="shared" si="20"/>
        <v>568</v>
      </c>
      <c r="AV16" s="610">
        <f t="shared" si="20"/>
        <v>574</v>
      </c>
      <c r="AW16" s="645">
        <v>577</v>
      </c>
      <c r="AX16" s="656">
        <f t="shared" si="20"/>
        <v>645</v>
      </c>
      <c r="AY16" s="610">
        <f t="shared" si="20"/>
        <v>466</v>
      </c>
      <c r="AZ16" s="610">
        <f t="shared" si="20"/>
        <v>1282</v>
      </c>
      <c r="BA16" s="611">
        <f t="shared" si="20"/>
        <v>1210</v>
      </c>
      <c r="BB16" s="53">
        <v>1304</v>
      </c>
      <c r="BC16" s="610">
        <f t="shared" si="20"/>
        <v>1204</v>
      </c>
      <c r="BD16" s="610">
        <f t="shared" si="20"/>
        <v>1197</v>
      </c>
      <c r="BE16" s="611">
        <f t="shared" si="20"/>
        <v>1188</v>
      </c>
      <c r="BF16" s="39">
        <v>1244</v>
      </c>
      <c r="BG16" s="53">
        <v>1293</v>
      </c>
      <c r="BH16" s="29">
        <v>1277</v>
      </c>
      <c r="BI16" s="611">
        <f t="shared" ref="BI16:BU16" si="21">SUM(BI17:BI19)</f>
        <v>1226</v>
      </c>
      <c r="BJ16" s="29">
        <f t="shared" si="21"/>
        <v>1272</v>
      </c>
      <c r="BK16" s="53">
        <f t="shared" si="21"/>
        <v>1282</v>
      </c>
      <c r="BL16" s="29">
        <f t="shared" si="21"/>
        <v>1322</v>
      </c>
      <c r="BM16" s="611">
        <f t="shared" si="21"/>
        <v>1368</v>
      </c>
      <c r="BN16" s="29">
        <f t="shared" si="21"/>
        <v>1260</v>
      </c>
      <c r="BO16" s="29">
        <f t="shared" si="21"/>
        <v>1238</v>
      </c>
      <c r="BP16" s="29">
        <f t="shared" si="21"/>
        <v>1227</v>
      </c>
      <c r="BQ16" s="29">
        <f t="shared" si="21"/>
        <v>2129</v>
      </c>
      <c r="BR16" s="57">
        <f t="shared" si="21"/>
        <v>2109</v>
      </c>
      <c r="BS16" s="29">
        <f t="shared" si="21"/>
        <v>2085</v>
      </c>
      <c r="BT16" s="29">
        <f t="shared" si="21"/>
        <v>2254</v>
      </c>
      <c r="BU16" s="29">
        <f t="shared" si="21"/>
        <v>2341</v>
      </c>
      <c r="BV16" s="1457">
        <v>2302</v>
      </c>
      <c r="BW16" s="1380">
        <v>2281</v>
      </c>
      <c r="BX16" s="53">
        <f>IS!BX16*BS!BX119/BX$9</f>
        <v>2239.9059009130433</v>
      </c>
      <c r="BY16" s="645">
        <f>IS!BY16*BS!BY119/BY$9</f>
        <v>2320.9888157173559</v>
      </c>
      <c r="BZ16" s="644">
        <f>IS!BZ16*BS!BZ119/BZ$9</f>
        <v>2497.449232241378</v>
      </c>
      <c r="CA16" s="53">
        <f>IS!CA16*BS!CA119/CA$9</f>
        <v>2518.2342848763792</v>
      </c>
      <c r="CB16" s="53">
        <f>IS!CB16*BS!CB119/CB$9</f>
        <v>2343.3210079759015</v>
      </c>
      <c r="CC16" s="645">
        <f>IS!CC16*BS!CC119/CC$9</f>
        <v>2098.4099687300527</v>
      </c>
      <c r="CD16" s="47"/>
      <c r="CE16" s="1145">
        <f t="shared" si="0"/>
        <v>78.905000000000001</v>
      </c>
      <c r="CF16" s="53">
        <f t="shared" si="1"/>
        <v>73.394999999999996</v>
      </c>
      <c r="CG16" s="53">
        <f t="shared" si="2"/>
        <v>97.8</v>
      </c>
      <c r="CH16" s="53">
        <f t="shared" si="3"/>
        <v>148.6</v>
      </c>
      <c r="CI16" s="138">
        <f t="shared" si="4"/>
        <v>152.9</v>
      </c>
      <c r="CJ16" s="138">
        <f t="shared" si="5"/>
        <v>205.1</v>
      </c>
      <c r="CK16" s="138">
        <f t="shared" si="6"/>
        <v>259</v>
      </c>
      <c r="CL16" s="138">
        <f t="shared" si="7"/>
        <v>456</v>
      </c>
      <c r="CM16" s="138">
        <f t="shared" si="8"/>
        <v>376</v>
      </c>
      <c r="CN16" s="138">
        <f t="shared" si="9"/>
        <v>560</v>
      </c>
      <c r="CO16" s="136">
        <f t="shared" si="10"/>
        <v>577</v>
      </c>
      <c r="CP16" s="136">
        <f t="shared" si="11"/>
        <v>1210</v>
      </c>
      <c r="CQ16" s="136">
        <f t="shared" si="12"/>
        <v>1188</v>
      </c>
      <c r="CR16" s="655">
        <f t="shared" si="13"/>
        <v>1226</v>
      </c>
      <c r="CS16" s="136">
        <f t="shared" si="14"/>
        <v>1368</v>
      </c>
      <c r="CT16" s="53">
        <f t="shared" si="15"/>
        <v>2129</v>
      </c>
      <c r="CU16" s="53">
        <f t="shared" si="16"/>
        <v>2341</v>
      </c>
      <c r="CV16" s="53">
        <f t="shared" si="18"/>
        <v>2320.9888157173559</v>
      </c>
      <c r="CW16" s="53">
        <f t="shared" si="17"/>
        <v>2098.4099687300527</v>
      </c>
      <c r="CX16" s="53">
        <f>IS!CX16*BS!CX119/CX$9</f>
        <v>2339.0775643573825</v>
      </c>
      <c r="CY16" s="53">
        <f>IS!CY16*BS!CY119/CY$9</f>
        <v>2477.4975346542856</v>
      </c>
      <c r="CZ16" s="53">
        <f>IS!CZ16*BS!CZ119/CZ$9</f>
        <v>2579.596692690649</v>
      </c>
      <c r="DA16" s="53">
        <f>IS!DA16*BS!DA119/DA$9</f>
        <v>2717.4340533009304</v>
      </c>
      <c r="DB16" s="53">
        <f>IS!DB16*BS!DB119/DB$9</f>
        <v>2872.4759207303391</v>
      </c>
      <c r="DC16" s="53">
        <f>IS!DC16*BS!DC119/DC$9</f>
        <v>3047.2036694425829</v>
      </c>
      <c r="DD16" s="645"/>
      <c r="DE16" s="29"/>
      <c r="DF16" s="31"/>
      <c r="DG16" s="30"/>
      <c r="DH16" s="30"/>
      <c r="DI16" s="30"/>
      <c r="DJ16" s="30"/>
      <c r="DK16" s="31"/>
      <c r="DL16" s="31"/>
      <c r="DM16" s="31"/>
      <c r="DN16" s="31"/>
      <c r="DO16" s="31"/>
      <c r="DP16" s="31"/>
      <c r="DQ16" s="31"/>
      <c r="DR16" s="31"/>
    </row>
    <row r="17" spans="1:122" hidden="1" outlineLevel="1">
      <c r="A17" s="906"/>
      <c r="B17" s="907"/>
      <c r="C17" s="906"/>
      <c r="D17" s="908"/>
      <c r="E17" s="926" t="s">
        <v>568</v>
      </c>
      <c r="F17" s="780" t="s">
        <v>687</v>
      </c>
      <c r="G17" s="780" t="s">
        <v>687</v>
      </c>
      <c r="H17" s="780" t="s">
        <v>687</v>
      </c>
      <c r="I17" s="1080">
        <v>21.893999999999998</v>
      </c>
      <c r="J17" s="1079">
        <v>9.75</v>
      </c>
      <c r="K17" s="1081">
        <v>4.1479999999999997</v>
      </c>
      <c r="L17" s="1081">
        <v>12.923999999999999</v>
      </c>
      <c r="M17" s="1082">
        <v>9.3889999999999993</v>
      </c>
      <c r="N17" s="1086">
        <v>7.2590000000000003</v>
      </c>
      <c r="O17" s="1086">
        <v>13.834</v>
      </c>
      <c r="P17" s="1086">
        <v>12.917</v>
      </c>
      <c r="Q17" s="1087">
        <v>11.8</v>
      </c>
      <c r="R17" s="1086">
        <v>10.5</v>
      </c>
      <c r="S17" s="1086">
        <v>18.600000000000001</v>
      </c>
      <c r="T17" s="1086">
        <v>9</v>
      </c>
      <c r="U17" s="1087">
        <v>26.4</v>
      </c>
      <c r="V17" s="842">
        <v>11</v>
      </c>
      <c r="W17" s="842">
        <v>12</v>
      </c>
      <c r="X17" s="842">
        <v>15</v>
      </c>
      <c r="Y17" s="841">
        <v>14.5</v>
      </c>
      <c r="Z17" s="842">
        <v>14</v>
      </c>
      <c r="AA17" s="842">
        <v>17.600000000000001</v>
      </c>
      <c r="AB17" s="842">
        <v>15.6</v>
      </c>
      <c r="AC17" s="841">
        <v>23.3</v>
      </c>
      <c r="AD17" s="842">
        <v>33</v>
      </c>
      <c r="AE17" s="842">
        <v>17</v>
      </c>
      <c r="AF17" s="842">
        <v>12</v>
      </c>
      <c r="AG17" s="841">
        <v>12</v>
      </c>
      <c r="AH17" s="842">
        <v>165</v>
      </c>
      <c r="AI17" s="462">
        <v>171</v>
      </c>
      <c r="AJ17" s="462">
        <v>153</v>
      </c>
      <c r="AK17" s="880">
        <v>144</v>
      </c>
      <c r="AL17" s="879">
        <v>129</v>
      </c>
      <c r="AM17" s="879">
        <v>124</v>
      </c>
      <c r="AN17" s="879">
        <v>104</v>
      </c>
      <c r="AO17" s="880">
        <v>97</v>
      </c>
      <c r="AP17" s="879">
        <v>96</v>
      </c>
      <c r="AQ17" s="879">
        <v>102</v>
      </c>
      <c r="AR17" s="879">
        <v>115</v>
      </c>
      <c r="AS17" s="880">
        <v>159</v>
      </c>
      <c r="AT17" s="879">
        <v>155</v>
      </c>
      <c r="AU17" s="879">
        <v>141</v>
      </c>
      <c r="AV17" s="879">
        <v>151</v>
      </c>
      <c r="AW17" s="880">
        <v>172</v>
      </c>
      <c r="AX17" s="879">
        <v>170</v>
      </c>
      <c r="AY17" s="879">
        <v>191</v>
      </c>
      <c r="AZ17" s="879">
        <v>329</v>
      </c>
      <c r="BA17" s="1058">
        <v>245</v>
      </c>
      <c r="BB17" s="879">
        <v>237</v>
      </c>
      <c r="BC17" s="879">
        <v>193</v>
      </c>
      <c r="BD17" s="879">
        <v>191</v>
      </c>
      <c r="BE17" s="880">
        <v>167</v>
      </c>
      <c r="BF17" s="879">
        <v>208</v>
      </c>
      <c r="BG17" s="879">
        <v>201</v>
      </c>
      <c r="BH17" s="879">
        <v>204</v>
      </c>
      <c r="BI17" s="880">
        <v>168</v>
      </c>
      <c r="BJ17" s="879">
        <v>178</v>
      </c>
      <c r="BK17" s="879">
        <v>154</v>
      </c>
      <c r="BL17" s="879">
        <v>173</v>
      </c>
      <c r="BM17" s="880">
        <v>168</v>
      </c>
      <c r="BN17" s="879">
        <v>135</v>
      </c>
      <c r="BO17" s="879">
        <v>130</v>
      </c>
      <c r="BP17" s="879">
        <v>133</v>
      </c>
      <c r="BQ17" s="1058">
        <v>569</v>
      </c>
      <c r="BR17" s="1345">
        <v>610</v>
      </c>
      <c r="BS17" s="879">
        <v>586</v>
      </c>
      <c r="BT17" s="879">
        <v>581</v>
      </c>
      <c r="BU17" s="1058">
        <v>646</v>
      </c>
      <c r="BV17" s="1345">
        <f t="shared" ref="BV17:BY19" si="22">BV$16*BV123</f>
        <v>635.23793250747542</v>
      </c>
      <c r="BW17" s="879">
        <f t="shared" ref="BW17" si="23">BW$16*BW123</f>
        <v>629.44297308842374</v>
      </c>
      <c r="BX17" s="879">
        <f t="shared" si="22"/>
        <v>618.10303801359498</v>
      </c>
      <c r="BY17" s="880">
        <f t="shared" si="22"/>
        <v>640.47790472166253</v>
      </c>
      <c r="BZ17" s="1345">
        <f t="shared" ref="BZ17:CC19" si="24">BZ$16*BZ123</f>
        <v>689.172235808599</v>
      </c>
      <c r="CA17" s="879">
        <f t="shared" si="24"/>
        <v>694.90788040586972</v>
      </c>
      <c r="CB17" s="879">
        <f t="shared" si="24"/>
        <v>646.64048319198309</v>
      </c>
      <c r="CC17" s="880">
        <f t="shared" si="24"/>
        <v>579.05717206305599</v>
      </c>
      <c r="CD17" s="47"/>
      <c r="CE17" s="1146">
        <f t="shared" si="0"/>
        <v>21.893999999999998</v>
      </c>
      <c r="CF17" s="462">
        <f t="shared" si="1"/>
        <v>9.3889999999999993</v>
      </c>
      <c r="CG17" s="462">
        <f t="shared" si="2"/>
        <v>11.8</v>
      </c>
      <c r="CH17" s="462">
        <f t="shared" si="3"/>
        <v>26.4</v>
      </c>
      <c r="CI17" s="464">
        <f t="shared" si="4"/>
        <v>14.5</v>
      </c>
      <c r="CJ17" s="464">
        <f t="shared" si="5"/>
        <v>23.3</v>
      </c>
      <c r="CK17" s="464">
        <f t="shared" si="6"/>
        <v>12</v>
      </c>
      <c r="CL17" s="464">
        <f t="shared" si="7"/>
        <v>144</v>
      </c>
      <c r="CM17" s="464">
        <f t="shared" si="8"/>
        <v>97</v>
      </c>
      <c r="CN17" s="464">
        <f t="shared" si="9"/>
        <v>159</v>
      </c>
      <c r="CO17" s="879">
        <f t="shared" si="10"/>
        <v>172</v>
      </c>
      <c r="CP17" s="879">
        <f t="shared" si="11"/>
        <v>245</v>
      </c>
      <c r="CQ17" s="879">
        <f t="shared" si="12"/>
        <v>167</v>
      </c>
      <c r="CR17" s="1345">
        <f t="shared" si="13"/>
        <v>168</v>
      </c>
      <c r="CS17" s="879">
        <f t="shared" si="14"/>
        <v>168</v>
      </c>
      <c r="CT17" s="53">
        <f t="shared" si="15"/>
        <v>569</v>
      </c>
      <c r="CU17" s="53">
        <f t="shared" si="16"/>
        <v>646</v>
      </c>
      <c r="CV17" s="53">
        <f t="shared" si="18"/>
        <v>640.47790472166253</v>
      </c>
      <c r="CW17" s="53">
        <f t="shared" si="17"/>
        <v>579.05717206305599</v>
      </c>
      <c r="CX17" s="53">
        <f t="shared" ref="CX17:DA19" si="25">CX$16*CX123</f>
        <v>645.4695030221568</v>
      </c>
      <c r="CY17" s="53">
        <f t="shared" si="25"/>
        <v>683.66655591058031</v>
      </c>
      <c r="CZ17" s="53">
        <f t="shared" si="25"/>
        <v>711.84086436486939</v>
      </c>
      <c r="DA17" s="53">
        <f t="shared" si="25"/>
        <v>749.87714584895389</v>
      </c>
      <c r="DB17" s="53">
        <f t="shared" ref="DB17:DC19" si="26">DB$16*DB123</f>
        <v>792.66101870644979</v>
      </c>
      <c r="DC17" s="53">
        <f t="shared" si="26"/>
        <v>840.87721933357898</v>
      </c>
      <c r="DD17" s="645"/>
      <c r="DE17" s="29"/>
      <c r="DF17" s="714"/>
      <c r="DG17" s="465"/>
      <c r="DH17" s="465"/>
      <c r="DI17" s="465"/>
      <c r="DJ17" s="465"/>
      <c r="DK17" s="714"/>
      <c r="DL17" s="714"/>
      <c r="DM17" s="714"/>
      <c r="DN17" s="714"/>
      <c r="DO17" s="714"/>
      <c r="DP17" s="714"/>
      <c r="DQ17" s="714"/>
      <c r="DR17" s="714"/>
    </row>
    <row r="18" spans="1:122" hidden="1" outlineLevel="1">
      <c r="A18" s="906"/>
      <c r="B18" s="907"/>
      <c r="C18" s="906"/>
      <c r="D18" s="908"/>
      <c r="E18" s="926" t="s">
        <v>569</v>
      </c>
      <c r="F18" s="780" t="s">
        <v>687</v>
      </c>
      <c r="G18" s="780" t="s">
        <v>687</v>
      </c>
      <c r="H18" s="780" t="s">
        <v>687</v>
      </c>
      <c r="I18" s="1080">
        <v>8.8879999999999999</v>
      </c>
      <c r="J18" s="1079">
        <v>27.140999999999998</v>
      </c>
      <c r="K18" s="1081">
        <v>12.929</v>
      </c>
      <c r="L18" s="1081">
        <v>14.090999999999999</v>
      </c>
      <c r="M18" s="1082">
        <v>9.5229999999999997</v>
      </c>
      <c r="N18" s="1086">
        <v>16.707999999999998</v>
      </c>
      <c r="O18" s="1086">
        <v>18.516999999999999</v>
      </c>
      <c r="P18" s="1086">
        <v>17.088000000000001</v>
      </c>
      <c r="Q18" s="1087">
        <v>19.600000000000001</v>
      </c>
      <c r="R18" s="1086">
        <v>50.7</v>
      </c>
      <c r="S18" s="1086">
        <v>58.6</v>
      </c>
      <c r="T18" s="1086">
        <v>67</v>
      </c>
      <c r="U18" s="1087">
        <v>51.6</v>
      </c>
      <c r="V18" s="842">
        <v>45</v>
      </c>
      <c r="W18" s="842">
        <v>50</v>
      </c>
      <c r="X18" s="842">
        <v>53</v>
      </c>
      <c r="Y18" s="841">
        <v>59.7</v>
      </c>
      <c r="Z18" s="842">
        <v>54</v>
      </c>
      <c r="AA18" s="842">
        <v>58.4</v>
      </c>
      <c r="AB18" s="842">
        <v>62.8</v>
      </c>
      <c r="AC18" s="841">
        <v>62.3</v>
      </c>
      <c r="AD18" s="842">
        <v>81</v>
      </c>
      <c r="AE18" s="842">
        <v>90</v>
      </c>
      <c r="AF18" s="842">
        <v>86</v>
      </c>
      <c r="AG18" s="841">
        <v>94</v>
      </c>
      <c r="AH18" s="842">
        <v>145</v>
      </c>
      <c r="AI18" s="462">
        <v>131</v>
      </c>
      <c r="AJ18" s="462">
        <v>131</v>
      </c>
      <c r="AK18" s="880">
        <v>145</v>
      </c>
      <c r="AL18" s="879">
        <v>168</v>
      </c>
      <c r="AM18" s="879">
        <v>159</v>
      </c>
      <c r="AN18" s="879">
        <v>152</v>
      </c>
      <c r="AO18" s="880">
        <v>154</v>
      </c>
      <c r="AP18" s="879">
        <v>173</v>
      </c>
      <c r="AQ18" s="879">
        <v>212</v>
      </c>
      <c r="AR18" s="879">
        <v>254</v>
      </c>
      <c r="AS18" s="880">
        <v>255</v>
      </c>
      <c r="AT18" s="879">
        <v>266</v>
      </c>
      <c r="AU18" s="879">
        <v>274</v>
      </c>
      <c r="AV18" s="879">
        <v>260</v>
      </c>
      <c r="AW18" s="880">
        <v>263</v>
      </c>
      <c r="AX18" s="879">
        <v>275</v>
      </c>
      <c r="AY18" s="879">
        <v>185</v>
      </c>
      <c r="AZ18" s="879">
        <v>667</v>
      </c>
      <c r="BA18" s="1058">
        <v>552</v>
      </c>
      <c r="BB18" s="879">
        <v>559</v>
      </c>
      <c r="BC18" s="879">
        <v>581</v>
      </c>
      <c r="BD18" s="879">
        <v>583</v>
      </c>
      <c r="BE18" s="880">
        <v>575</v>
      </c>
      <c r="BF18" s="879">
        <v>579</v>
      </c>
      <c r="BG18" s="879">
        <v>581</v>
      </c>
      <c r="BH18" s="879">
        <v>519</v>
      </c>
      <c r="BI18" s="880">
        <v>493</v>
      </c>
      <c r="BJ18" s="879">
        <v>509</v>
      </c>
      <c r="BK18" s="879">
        <v>510</v>
      </c>
      <c r="BL18" s="879">
        <v>498</v>
      </c>
      <c r="BM18" s="880">
        <v>500</v>
      </c>
      <c r="BN18" s="879">
        <v>507</v>
      </c>
      <c r="BO18" s="879">
        <v>474</v>
      </c>
      <c r="BP18" s="879">
        <v>440</v>
      </c>
      <c r="BQ18" s="1058">
        <v>589</v>
      </c>
      <c r="BR18" s="1345">
        <v>680</v>
      </c>
      <c r="BS18" s="879">
        <v>617</v>
      </c>
      <c r="BT18" s="879">
        <v>627</v>
      </c>
      <c r="BU18" s="1058">
        <v>632</v>
      </c>
      <c r="BV18" s="1345">
        <f t="shared" si="22"/>
        <v>621.47116616830408</v>
      </c>
      <c r="BW18" s="879">
        <f t="shared" ref="BW18" si="27">BW$16*BW124</f>
        <v>615.80179410508322</v>
      </c>
      <c r="BX18" s="879">
        <f t="shared" si="22"/>
        <v>604.70761613713933</v>
      </c>
      <c r="BY18" s="880">
        <f t="shared" si="22"/>
        <v>626.59757861314347</v>
      </c>
      <c r="BZ18" s="1345">
        <f t="shared" si="24"/>
        <v>674.23661459912466</v>
      </c>
      <c r="CA18" s="879">
        <f t="shared" si="24"/>
        <v>679.84795730109852</v>
      </c>
      <c r="CB18" s="879">
        <f t="shared" si="24"/>
        <v>632.62660275128985</v>
      </c>
      <c r="CC18" s="880">
        <f t="shared" si="24"/>
        <v>566.5079454239185</v>
      </c>
      <c r="CD18" s="47"/>
      <c r="CE18" s="1146">
        <f t="shared" si="0"/>
        <v>8.8879999999999999</v>
      </c>
      <c r="CF18" s="462">
        <f t="shared" si="1"/>
        <v>9.5229999999999997</v>
      </c>
      <c r="CG18" s="462">
        <f t="shared" si="2"/>
        <v>19.600000000000001</v>
      </c>
      <c r="CH18" s="462">
        <f t="shared" si="3"/>
        <v>51.6</v>
      </c>
      <c r="CI18" s="464">
        <f t="shared" si="4"/>
        <v>59.7</v>
      </c>
      <c r="CJ18" s="464">
        <f t="shared" si="5"/>
        <v>62.3</v>
      </c>
      <c r="CK18" s="464">
        <f t="shared" si="6"/>
        <v>94</v>
      </c>
      <c r="CL18" s="464">
        <f t="shared" si="7"/>
        <v>145</v>
      </c>
      <c r="CM18" s="464">
        <f t="shared" si="8"/>
        <v>154</v>
      </c>
      <c r="CN18" s="464">
        <f t="shared" si="9"/>
        <v>255</v>
      </c>
      <c r="CO18" s="879">
        <f t="shared" si="10"/>
        <v>263</v>
      </c>
      <c r="CP18" s="879">
        <f t="shared" si="11"/>
        <v>552</v>
      </c>
      <c r="CQ18" s="879">
        <f t="shared" si="12"/>
        <v>575</v>
      </c>
      <c r="CR18" s="1345">
        <f t="shared" si="13"/>
        <v>493</v>
      </c>
      <c r="CS18" s="879">
        <f t="shared" si="14"/>
        <v>500</v>
      </c>
      <c r="CT18" s="53">
        <f t="shared" si="15"/>
        <v>589</v>
      </c>
      <c r="CU18" s="53">
        <f t="shared" si="16"/>
        <v>632</v>
      </c>
      <c r="CV18" s="53">
        <f t="shared" si="18"/>
        <v>626.59757861314347</v>
      </c>
      <c r="CW18" s="53">
        <f t="shared" si="17"/>
        <v>566.5079454239185</v>
      </c>
      <c r="CX18" s="53">
        <f t="shared" si="25"/>
        <v>631.48099986068587</v>
      </c>
      <c r="CY18" s="53">
        <f t="shared" si="25"/>
        <v>668.85025284131075</v>
      </c>
      <c r="CZ18" s="53">
        <f t="shared" si="25"/>
        <v>696.41397256748826</v>
      </c>
      <c r="DA18" s="53">
        <f t="shared" si="25"/>
        <v>733.62593835377527</v>
      </c>
      <c r="DB18" s="53">
        <f t="shared" si="26"/>
        <v>775.482606536341</v>
      </c>
      <c r="DC18" s="53">
        <f t="shared" si="26"/>
        <v>822.65387402294414</v>
      </c>
      <c r="DD18" s="645"/>
      <c r="DE18" s="29"/>
      <c r="DF18" s="714"/>
      <c r="DG18" s="465"/>
      <c r="DH18" s="465"/>
      <c r="DI18" s="465"/>
      <c r="DJ18" s="465"/>
      <c r="DK18" s="714"/>
      <c r="DL18" s="714"/>
      <c r="DM18" s="714"/>
      <c r="DN18" s="714"/>
      <c r="DO18" s="714"/>
      <c r="DP18" s="714"/>
      <c r="DQ18" s="714"/>
      <c r="DR18" s="714"/>
    </row>
    <row r="19" spans="1:122" hidden="1" outlineLevel="1">
      <c r="A19" s="906"/>
      <c r="B19" s="907"/>
      <c r="C19" s="906"/>
      <c r="D19" s="908"/>
      <c r="E19" s="926" t="s">
        <v>677</v>
      </c>
      <c r="F19" s="780" t="s">
        <v>687</v>
      </c>
      <c r="G19" s="780" t="s">
        <v>687</v>
      </c>
      <c r="H19" s="780" t="s">
        <v>687</v>
      </c>
      <c r="I19" s="1080">
        <v>48.122999999999998</v>
      </c>
      <c r="J19" s="1079">
        <v>39.451999999999998</v>
      </c>
      <c r="K19" s="1081">
        <v>79.364000000000004</v>
      </c>
      <c r="L19" s="1081">
        <v>67.498000000000005</v>
      </c>
      <c r="M19" s="1082">
        <v>54.482999999999997</v>
      </c>
      <c r="N19" s="1086">
        <v>67.536000000000001</v>
      </c>
      <c r="O19" s="1086">
        <v>73.441000000000003</v>
      </c>
      <c r="P19" s="1086">
        <v>80.658000000000001</v>
      </c>
      <c r="Q19" s="1087">
        <v>66.400000000000006</v>
      </c>
      <c r="R19" s="1086">
        <v>61.7</v>
      </c>
      <c r="S19" s="1086">
        <v>78.599999999999994</v>
      </c>
      <c r="T19" s="1086">
        <v>73</v>
      </c>
      <c r="U19" s="1087">
        <v>70.599999999999994</v>
      </c>
      <c r="V19" s="842">
        <v>88</v>
      </c>
      <c r="W19" s="842">
        <v>56</v>
      </c>
      <c r="X19" s="842">
        <v>68</v>
      </c>
      <c r="Y19" s="841">
        <v>78.7</v>
      </c>
      <c r="Z19" s="842">
        <v>104.8</v>
      </c>
      <c r="AA19" s="842">
        <v>92.3</v>
      </c>
      <c r="AB19" s="842">
        <v>99.2</v>
      </c>
      <c r="AC19" s="841">
        <v>119.5</v>
      </c>
      <c r="AD19" s="842">
        <v>102</v>
      </c>
      <c r="AE19" s="842">
        <v>158</v>
      </c>
      <c r="AF19" s="842">
        <v>145</v>
      </c>
      <c r="AG19" s="841">
        <v>153</v>
      </c>
      <c r="AH19" s="842">
        <v>151</v>
      </c>
      <c r="AI19" s="462">
        <v>157</v>
      </c>
      <c r="AJ19" s="462">
        <v>171</v>
      </c>
      <c r="AK19" s="880">
        <v>167</v>
      </c>
      <c r="AL19" s="879">
        <v>180</v>
      </c>
      <c r="AM19" s="879">
        <v>163</v>
      </c>
      <c r="AN19" s="879">
        <v>129</v>
      </c>
      <c r="AO19" s="880">
        <v>125</v>
      </c>
      <c r="AP19" s="879">
        <v>126</v>
      </c>
      <c r="AQ19" s="879">
        <v>139</v>
      </c>
      <c r="AR19" s="879">
        <v>138</v>
      </c>
      <c r="AS19" s="880">
        <v>146</v>
      </c>
      <c r="AT19" s="879">
        <v>140</v>
      </c>
      <c r="AU19" s="879">
        <v>153</v>
      </c>
      <c r="AV19" s="879">
        <v>163</v>
      </c>
      <c r="AW19" s="880">
        <v>142</v>
      </c>
      <c r="AX19" s="879">
        <v>200</v>
      </c>
      <c r="AY19" s="879">
        <v>90</v>
      </c>
      <c r="AZ19" s="879">
        <v>286</v>
      </c>
      <c r="BA19" s="1058">
        <v>413</v>
      </c>
      <c r="BB19" s="879">
        <v>508</v>
      </c>
      <c r="BC19" s="879">
        <v>430</v>
      </c>
      <c r="BD19" s="879">
        <v>423</v>
      </c>
      <c r="BE19" s="880">
        <v>446</v>
      </c>
      <c r="BF19" s="879">
        <v>457</v>
      </c>
      <c r="BG19" s="879">
        <v>511</v>
      </c>
      <c r="BH19" s="879">
        <v>554</v>
      </c>
      <c r="BI19" s="880">
        <v>565</v>
      </c>
      <c r="BJ19" s="879">
        <v>585</v>
      </c>
      <c r="BK19" s="879">
        <v>618</v>
      </c>
      <c r="BL19" s="879">
        <v>651</v>
      </c>
      <c r="BM19" s="880">
        <v>700</v>
      </c>
      <c r="BN19" s="879">
        <v>618</v>
      </c>
      <c r="BO19" s="879">
        <v>634</v>
      </c>
      <c r="BP19" s="879">
        <v>654</v>
      </c>
      <c r="BQ19" s="1058">
        <v>971</v>
      </c>
      <c r="BR19" s="1345">
        <v>819</v>
      </c>
      <c r="BS19" s="879">
        <v>882</v>
      </c>
      <c r="BT19" s="879">
        <v>1046</v>
      </c>
      <c r="BU19" s="1058">
        <v>1063</v>
      </c>
      <c r="BV19" s="1345">
        <f t="shared" si="22"/>
        <v>1045.2909013242204</v>
      </c>
      <c r="BW19" s="879">
        <f t="shared" ref="BW19" si="28">BW$16*BW125</f>
        <v>1035.7552328064928</v>
      </c>
      <c r="BX19" s="879">
        <f t="shared" si="22"/>
        <v>1017.0952467623088</v>
      </c>
      <c r="BY19" s="880">
        <f t="shared" si="22"/>
        <v>1053.9133323825499</v>
      </c>
      <c r="BZ19" s="1489">
        <f t="shared" si="24"/>
        <v>1134.0403818336542</v>
      </c>
      <c r="CA19" s="879">
        <f t="shared" si="24"/>
        <v>1143.4784471694109</v>
      </c>
      <c r="CB19" s="879">
        <f t="shared" si="24"/>
        <v>1064.0539220326284</v>
      </c>
      <c r="CC19" s="880">
        <f t="shared" si="24"/>
        <v>952.8448512430781</v>
      </c>
      <c r="CD19" s="47"/>
      <c r="CE19" s="1146">
        <f t="shared" si="0"/>
        <v>48.122999999999998</v>
      </c>
      <c r="CF19" s="462">
        <f t="shared" si="1"/>
        <v>54.482999999999997</v>
      </c>
      <c r="CG19" s="462">
        <f t="shared" si="2"/>
        <v>66.400000000000006</v>
      </c>
      <c r="CH19" s="462">
        <f t="shared" si="3"/>
        <v>70.599999999999994</v>
      </c>
      <c r="CI19" s="464">
        <f t="shared" si="4"/>
        <v>78.7</v>
      </c>
      <c r="CJ19" s="464">
        <f t="shared" si="5"/>
        <v>119.5</v>
      </c>
      <c r="CK19" s="464">
        <f t="shared" si="6"/>
        <v>153</v>
      </c>
      <c r="CL19" s="464">
        <f t="shared" si="7"/>
        <v>167</v>
      </c>
      <c r="CM19" s="464">
        <f t="shared" si="8"/>
        <v>125</v>
      </c>
      <c r="CN19" s="464">
        <f t="shared" si="9"/>
        <v>146</v>
      </c>
      <c r="CO19" s="879">
        <f t="shared" si="10"/>
        <v>142</v>
      </c>
      <c r="CP19" s="879">
        <f t="shared" si="11"/>
        <v>413</v>
      </c>
      <c r="CQ19" s="879">
        <f t="shared" si="12"/>
        <v>446</v>
      </c>
      <c r="CR19" s="1345">
        <f t="shared" si="13"/>
        <v>565</v>
      </c>
      <c r="CS19" s="879">
        <f t="shared" si="14"/>
        <v>700</v>
      </c>
      <c r="CT19" s="53">
        <f t="shared" si="15"/>
        <v>971</v>
      </c>
      <c r="CU19" s="53">
        <f t="shared" si="16"/>
        <v>1063</v>
      </c>
      <c r="CV19" s="53">
        <f t="shared" si="18"/>
        <v>1053.9133323825499</v>
      </c>
      <c r="CW19" s="53">
        <f t="shared" si="17"/>
        <v>952.8448512430781</v>
      </c>
      <c r="CX19" s="53">
        <f t="shared" si="25"/>
        <v>1062.1270614745397</v>
      </c>
      <c r="CY19" s="53">
        <f t="shared" si="25"/>
        <v>1124.9807259023944</v>
      </c>
      <c r="CZ19" s="53">
        <f t="shared" si="25"/>
        <v>1171.3418557582911</v>
      </c>
      <c r="DA19" s="53">
        <f t="shared" si="25"/>
        <v>1233.9309690982011</v>
      </c>
      <c r="DB19" s="53">
        <f t="shared" si="26"/>
        <v>1304.3322954875482</v>
      </c>
      <c r="DC19" s="53">
        <f t="shared" si="26"/>
        <v>1383.6725760860595</v>
      </c>
      <c r="DD19" s="645"/>
      <c r="DE19" s="29"/>
      <c r="DF19" s="714"/>
      <c r="DG19" s="465"/>
      <c r="DH19" s="465"/>
      <c r="DI19" s="465"/>
      <c r="DJ19" s="465"/>
      <c r="DK19" s="714"/>
      <c r="DL19" s="714"/>
      <c r="DM19" s="714"/>
      <c r="DN19" s="714"/>
      <c r="DO19" s="714"/>
      <c r="DP19" s="714"/>
      <c r="DQ19" s="714"/>
      <c r="DR19" s="714"/>
    </row>
    <row r="20" spans="1:122" collapsed="1">
      <c r="A20" s="3"/>
      <c r="B20" s="389"/>
      <c r="C20" s="4"/>
      <c r="D20" s="96" t="s">
        <v>363</v>
      </c>
      <c r="E20" s="927"/>
      <c r="F20" s="780"/>
      <c r="G20" s="780"/>
      <c r="H20" s="780"/>
      <c r="I20" s="846"/>
      <c r="J20" s="845"/>
      <c r="K20" s="780"/>
      <c r="L20" s="780"/>
      <c r="M20" s="521"/>
      <c r="N20" s="457"/>
      <c r="O20" s="457"/>
      <c r="P20" s="457"/>
      <c r="Q20" s="521"/>
      <c r="R20" s="457"/>
      <c r="S20" s="457"/>
      <c r="T20" s="459"/>
      <c r="U20" s="522"/>
      <c r="V20" s="459"/>
      <c r="W20" s="459"/>
      <c r="X20" s="459"/>
      <c r="Y20" s="522"/>
      <c r="Z20" s="459"/>
      <c r="AA20" s="459"/>
      <c r="AB20" s="459"/>
      <c r="AC20" s="522"/>
      <c r="AD20" s="459">
        <v>86</v>
      </c>
      <c r="AE20" s="459">
        <v>76</v>
      </c>
      <c r="AF20" s="459">
        <v>77</v>
      </c>
      <c r="AG20" s="522">
        <v>63</v>
      </c>
      <c r="AH20" s="459">
        <v>42</v>
      </c>
      <c r="AI20" s="39">
        <v>27</v>
      </c>
      <c r="AJ20" s="39">
        <v>36</v>
      </c>
      <c r="AK20" s="59">
        <v>36</v>
      </c>
      <c r="AL20" s="39">
        <v>0</v>
      </c>
      <c r="AM20" s="39">
        <v>0</v>
      </c>
      <c r="AN20" s="39">
        <v>0</v>
      </c>
      <c r="AO20" s="59">
        <v>0</v>
      </c>
      <c r="AP20" s="53">
        <v>0</v>
      </c>
      <c r="AQ20" s="39">
        <v>0</v>
      </c>
      <c r="AR20" s="53">
        <v>0</v>
      </c>
      <c r="AS20" s="645">
        <v>0</v>
      </c>
      <c r="AT20" s="39">
        <v>0</v>
      </c>
      <c r="AU20" s="53">
        <v>0</v>
      </c>
      <c r="AV20" s="39">
        <v>0</v>
      </c>
      <c r="AW20" s="645">
        <v>0</v>
      </c>
      <c r="AX20" s="53">
        <v>0</v>
      </c>
      <c r="AY20" s="39">
        <v>0</v>
      </c>
      <c r="AZ20" s="53">
        <v>0</v>
      </c>
      <c r="BA20" s="59">
        <v>0</v>
      </c>
      <c r="BB20" s="53">
        <v>0</v>
      </c>
      <c r="BC20" s="39">
        <v>0</v>
      </c>
      <c r="BD20" s="39">
        <v>0</v>
      </c>
      <c r="BE20" s="59">
        <v>0</v>
      </c>
      <c r="BF20" s="53">
        <v>0</v>
      </c>
      <c r="BG20" s="53">
        <v>0</v>
      </c>
      <c r="BH20" s="1380">
        <v>0</v>
      </c>
      <c r="BI20" s="645">
        <v>0</v>
      </c>
      <c r="BJ20" s="53">
        <v>0</v>
      </c>
      <c r="BK20" s="53">
        <v>0</v>
      </c>
      <c r="BL20" s="1380">
        <v>0</v>
      </c>
      <c r="BM20" s="645">
        <v>0</v>
      </c>
      <c r="BN20" s="53">
        <v>0</v>
      </c>
      <c r="BO20" s="53">
        <v>0</v>
      </c>
      <c r="BP20" s="1380">
        <v>0</v>
      </c>
      <c r="BQ20" s="645">
        <v>0</v>
      </c>
      <c r="BR20" s="644">
        <v>0</v>
      </c>
      <c r="BS20" s="53">
        <v>0</v>
      </c>
      <c r="BT20" s="53">
        <v>0</v>
      </c>
      <c r="BU20" s="1446">
        <v>0</v>
      </c>
      <c r="BV20" s="644">
        <v>0</v>
      </c>
      <c r="BW20" s="53">
        <v>0</v>
      </c>
      <c r="BX20" s="53">
        <f t="shared" ref="BX20:CC20" si="29">BX15*BX128</f>
        <v>0</v>
      </c>
      <c r="BY20" s="645">
        <f t="shared" si="29"/>
        <v>0</v>
      </c>
      <c r="BZ20" s="644">
        <f t="shared" si="29"/>
        <v>0</v>
      </c>
      <c r="CA20" s="53">
        <f t="shared" si="29"/>
        <v>0</v>
      </c>
      <c r="CB20" s="53">
        <f t="shared" si="29"/>
        <v>0</v>
      </c>
      <c r="CC20" s="645">
        <f t="shared" si="29"/>
        <v>0</v>
      </c>
      <c r="CD20" s="47"/>
      <c r="CE20" s="1145">
        <f t="shared" si="0"/>
        <v>0</v>
      </c>
      <c r="CF20" s="53">
        <f t="shared" si="1"/>
        <v>0</v>
      </c>
      <c r="CG20" s="53">
        <f t="shared" si="2"/>
        <v>0</v>
      </c>
      <c r="CH20" s="53">
        <f t="shared" si="3"/>
        <v>0</v>
      </c>
      <c r="CI20" s="138">
        <f t="shared" si="4"/>
        <v>0</v>
      </c>
      <c r="CJ20" s="138">
        <f t="shared" si="5"/>
        <v>0</v>
      </c>
      <c r="CK20" s="138">
        <f t="shared" si="6"/>
        <v>63</v>
      </c>
      <c r="CL20" s="138">
        <f t="shared" si="7"/>
        <v>36</v>
      </c>
      <c r="CM20" s="138">
        <f t="shared" si="8"/>
        <v>0</v>
      </c>
      <c r="CN20" s="138">
        <f t="shared" si="9"/>
        <v>0</v>
      </c>
      <c r="CO20" s="136">
        <f t="shared" si="10"/>
        <v>0</v>
      </c>
      <c r="CP20" s="136">
        <f t="shared" si="11"/>
        <v>0</v>
      </c>
      <c r="CQ20" s="136">
        <f t="shared" si="12"/>
        <v>0</v>
      </c>
      <c r="CR20" s="644">
        <f t="shared" si="13"/>
        <v>0</v>
      </c>
      <c r="CS20" s="136">
        <f t="shared" si="14"/>
        <v>0</v>
      </c>
      <c r="CT20" s="53">
        <f t="shared" si="15"/>
        <v>0</v>
      </c>
      <c r="CU20" s="53">
        <f t="shared" si="16"/>
        <v>0</v>
      </c>
      <c r="CV20" s="53">
        <f t="shared" si="18"/>
        <v>0</v>
      </c>
      <c r="CW20" s="53">
        <f t="shared" si="17"/>
        <v>0</v>
      </c>
      <c r="CX20" s="53">
        <f t="shared" ref="CX20:DC20" si="30">CX15*CX128</f>
        <v>0</v>
      </c>
      <c r="CY20" s="53">
        <f t="shared" si="30"/>
        <v>0</v>
      </c>
      <c r="CZ20" s="53">
        <f t="shared" si="30"/>
        <v>0</v>
      </c>
      <c r="DA20" s="53">
        <f t="shared" si="30"/>
        <v>0</v>
      </c>
      <c r="DB20" s="53">
        <f t="shared" si="30"/>
        <v>0</v>
      </c>
      <c r="DC20" s="53">
        <f t="shared" si="30"/>
        <v>0</v>
      </c>
      <c r="DD20" s="645"/>
      <c r="DE20" s="29"/>
      <c r="DF20" s="24"/>
      <c r="DG20" s="30"/>
      <c r="DH20" s="30"/>
      <c r="DI20" s="29"/>
      <c r="DJ20" s="29"/>
      <c r="DK20" s="24"/>
      <c r="DL20" s="24"/>
      <c r="DM20" s="24"/>
      <c r="DN20" s="77"/>
      <c r="DO20" s="77"/>
      <c r="DP20" s="77"/>
      <c r="DQ20" s="77"/>
      <c r="DR20" s="77"/>
    </row>
    <row r="21" spans="1:122">
      <c r="A21" s="3"/>
      <c r="B21" s="389"/>
      <c r="C21" s="4"/>
      <c r="D21" s="96" t="s">
        <v>99</v>
      </c>
      <c r="E21" s="927"/>
      <c r="F21" s="780">
        <v>25.567</v>
      </c>
      <c r="G21" s="780">
        <v>10.340999999999999</v>
      </c>
      <c r="H21" s="780">
        <v>18.053999999999998</v>
      </c>
      <c r="I21" s="846">
        <v>11.455</v>
      </c>
      <c r="J21" s="845">
        <v>11.106999999999999</v>
      </c>
      <c r="K21" s="780">
        <v>6.165</v>
      </c>
      <c r="L21" s="780">
        <v>17.388000000000002</v>
      </c>
      <c r="M21" s="521">
        <v>13.205</v>
      </c>
      <c r="N21" s="457">
        <v>8.9809999999999999</v>
      </c>
      <c r="O21" s="457">
        <v>14.138999999999999</v>
      </c>
      <c r="P21" s="457">
        <v>13.374000000000001</v>
      </c>
      <c r="Q21" s="521">
        <v>9.1999999999999993</v>
      </c>
      <c r="R21" s="457">
        <v>12.6</v>
      </c>
      <c r="S21" s="457">
        <v>9.9</v>
      </c>
      <c r="T21" s="459">
        <v>19</v>
      </c>
      <c r="U21" s="522">
        <v>17.8</v>
      </c>
      <c r="V21" s="459">
        <v>17.399999999999999</v>
      </c>
      <c r="W21" s="459">
        <v>17.600000000000001</v>
      </c>
      <c r="X21" s="459">
        <v>18.3</v>
      </c>
      <c r="Y21" s="522">
        <v>27</v>
      </c>
      <c r="Z21" s="459">
        <v>47.6</v>
      </c>
      <c r="AA21" s="459">
        <v>83.3</v>
      </c>
      <c r="AB21" s="459">
        <v>82.8</v>
      </c>
      <c r="AC21" s="522">
        <v>106.8</v>
      </c>
      <c r="AD21" s="459">
        <v>30</v>
      </c>
      <c r="AE21" s="459">
        <v>27</v>
      </c>
      <c r="AF21" s="459">
        <v>23</v>
      </c>
      <c r="AG21" s="522">
        <v>103</v>
      </c>
      <c r="AH21" s="459">
        <v>108</v>
      </c>
      <c r="AI21" s="39">
        <v>114</v>
      </c>
      <c r="AJ21" s="39">
        <v>175</v>
      </c>
      <c r="AK21" s="59">
        <v>122</v>
      </c>
      <c r="AL21" s="39">
        <v>174</v>
      </c>
      <c r="AM21" s="39">
        <v>147</v>
      </c>
      <c r="AN21" s="39">
        <v>134</v>
      </c>
      <c r="AO21" s="59">
        <v>134</v>
      </c>
      <c r="AP21" s="39">
        <v>168</v>
      </c>
      <c r="AQ21" s="39">
        <v>163</v>
      </c>
      <c r="AR21" s="39">
        <v>188</v>
      </c>
      <c r="AS21" s="59">
        <v>170</v>
      </c>
      <c r="AT21" s="39">
        <v>217</v>
      </c>
      <c r="AU21" s="39">
        <v>192</v>
      </c>
      <c r="AV21" s="39">
        <v>178</v>
      </c>
      <c r="AW21" s="59">
        <v>214</v>
      </c>
      <c r="AX21" s="39">
        <v>250</v>
      </c>
      <c r="AY21" s="39">
        <v>261</v>
      </c>
      <c r="AZ21" s="39">
        <v>409</v>
      </c>
      <c r="BA21" s="59">
        <v>359</v>
      </c>
      <c r="BB21" s="39">
        <v>394</v>
      </c>
      <c r="BC21" s="39">
        <v>423</v>
      </c>
      <c r="BD21" s="39">
        <v>383</v>
      </c>
      <c r="BE21" s="59">
        <v>308</v>
      </c>
      <c r="BF21" s="39">
        <v>357</v>
      </c>
      <c r="BG21" s="39">
        <v>381</v>
      </c>
      <c r="BH21" s="1380">
        <v>362</v>
      </c>
      <c r="BI21" s="1446">
        <v>417</v>
      </c>
      <c r="BJ21" s="39">
        <v>422</v>
      </c>
      <c r="BK21" s="39">
        <v>355</v>
      </c>
      <c r="BL21" s="1380">
        <v>371</v>
      </c>
      <c r="BM21" s="1446">
        <v>331</v>
      </c>
      <c r="BN21" s="39">
        <v>351</v>
      </c>
      <c r="BO21" s="39">
        <v>200</v>
      </c>
      <c r="BP21" s="1380">
        <v>226</v>
      </c>
      <c r="BQ21" s="1446">
        <v>616</v>
      </c>
      <c r="BR21" s="1380">
        <v>666</v>
      </c>
      <c r="BS21" s="39">
        <v>416</v>
      </c>
      <c r="BT21" s="39">
        <v>434</v>
      </c>
      <c r="BU21" s="1446">
        <v>389</v>
      </c>
      <c r="BV21" s="1380">
        <v>496</v>
      </c>
      <c r="BW21" s="1380">
        <v>485</v>
      </c>
      <c r="BX21" s="53">
        <f>IS!BX11*BX129</f>
        <v>392.72789199999994</v>
      </c>
      <c r="BY21" s="645">
        <f>IS!BY11*BY129</f>
        <v>491.40212792599999</v>
      </c>
      <c r="BZ21" s="644">
        <f>IS!BZ11*BZ129</f>
        <v>557.75624749446627</v>
      </c>
      <c r="CA21" s="53">
        <f>IS!CA11*CA129</f>
        <v>399.20859910002093</v>
      </c>
      <c r="CB21" s="53">
        <f>IS!CB11*CB129</f>
        <v>370.71156307825288</v>
      </c>
      <c r="CC21" s="645">
        <f>IS!CC11*CC129</f>
        <v>442.99964017084341</v>
      </c>
      <c r="CD21" s="47"/>
      <c r="CE21" s="1145">
        <f t="shared" si="0"/>
        <v>11.455</v>
      </c>
      <c r="CF21" s="53">
        <f t="shared" si="1"/>
        <v>13.205</v>
      </c>
      <c r="CG21" s="53">
        <f t="shared" si="2"/>
        <v>9.1999999999999993</v>
      </c>
      <c r="CH21" s="53">
        <f t="shared" si="3"/>
        <v>17.8</v>
      </c>
      <c r="CI21" s="138">
        <f t="shared" si="4"/>
        <v>27</v>
      </c>
      <c r="CJ21" s="138">
        <f t="shared" si="5"/>
        <v>106.8</v>
      </c>
      <c r="CK21" s="138">
        <f t="shared" si="6"/>
        <v>103</v>
      </c>
      <c r="CL21" s="138">
        <f t="shared" si="7"/>
        <v>122</v>
      </c>
      <c r="CM21" s="138">
        <f t="shared" si="8"/>
        <v>134</v>
      </c>
      <c r="CN21" s="138">
        <f t="shared" si="9"/>
        <v>170</v>
      </c>
      <c r="CO21" s="136">
        <f t="shared" si="10"/>
        <v>214</v>
      </c>
      <c r="CP21" s="136">
        <f t="shared" si="11"/>
        <v>359</v>
      </c>
      <c r="CQ21" s="136">
        <f t="shared" si="12"/>
        <v>308</v>
      </c>
      <c r="CR21" s="655">
        <f t="shared" si="13"/>
        <v>417</v>
      </c>
      <c r="CS21" s="136">
        <f t="shared" si="14"/>
        <v>331</v>
      </c>
      <c r="CT21" s="53">
        <f t="shared" si="15"/>
        <v>616</v>
      </c>
      <c r="CU21" s="53">
        <f t="shared" si="16"/>
        <v>389</v>
      </c>
      <c r="CV21" s="53">
        <f t="shared" si="18"/>
        <v>491.40212792599999</v>
      </c>
      <c r="CW21" s="53">
        <f t="shared" si="17"/>
        <v>442.99964017084341</v>
      </c>
      <c r="CX21" s="53">
        <f>IS!CX11*CX129</f>
        <v>475.30496279532889</v>
      </c>
      <c r="CY21" s="53">
        <f>IS!CY11*CY129</f>
        <v>492.5358447205362</v>
      </c>
      <c r="CZ21" s="53">
        <f>IS!CZ11*CZ129</f>
        <v>511.2835624424967</v>
      </c>
      <c r="DA21" s="53">
        <f>IS!DA11*DA129</f>
        <v>534.98026606671624</v>
      </c>
      <c r="DB21" s="53">
        <f>IS!DB11*DB129</f>
        <v>561.83681777695335</v>
      </c>
      <c r="DC21" s="53">
        <f>IS!DC11*DC129</f>
        <v>592.25309263697955</v>
      </c>
      <c r="DD21" s="645"/>
      <c r="DE21" s="29"/>
      <c r="DF21" s="24"/>
      <c r="DG21" s="30"/>
      <c r="DH21" s="30"/>
      <c r="DI21" s="29"/>
      <c r="DJ21" s="29"/>
      <c r="DK21" s="24"/>
      <c r="DL21" s="24"/>
      <c r="DM21" s="24"/>
      <c r="DN21" s="77"/>
      <c r="DO21" s="77"/>
      <c r="DP21" s="77"/>
      <c r="DQ21" s="77"/>
      <c r="DR21" s="77"/>
    </row>
    <row r="22" spans="1:122">
      <c r="A22" s="3"/>
      <c r="B22" s="70"/>
      <c r="C22" s="4" t="s">
        <v>38</v>
      </c>
      <c r="D22" s="49"/>
      <c r="E22" s="109"/>
      <c r="F22" s="507">
        <f t="shared" ref="F22:AH22" si="31">SUM(F13:F16,F20:F21)</f>
        <v>398.86100000000005</v>
      </c>
      <c r="G22" s="505">
        <f t="shared" si="31"/>
        <v>441.86700000000008</v>
      </c>
      <c r="H22" s="505">
        <f t="shared" si="31"/>
        <v>397.27599999999995</v>
      </c>
      <c r="I22" s="506">
        <f t="shared" si="31"/>
        <v>385.709</v>
      </c>
      <c r="J22" s="507">
        <f t="shared" si="31"/>
        <v>500.11700000000008</v>
      </c>
      <c r="K22" s="505">
        <f t="shared" si="31"/>
        <v>518.745</v>
      </c>
      <c r="L22" s="505">
        <f t="shared" si="31"/>
        <v>524.56100000000004</v>
      </c>
      <c r="M22" s="506">
        <f t="shared" si="31"/>
        <v>529.16000000000008</v>
      </c>
      <c r="N22" s="507">
        <f t="shared" si="31"/>
        <v>577.96900000000005</v>
      </c>
      <c r="O22" s="505">
        <f t="shared" si="31"/>
        <v>693.17900000000009</v>
      </c>
      <c r="P22" s="505">
        <f t="shared" si="31"/>
        <v>666.83500000000004</v>
      </c>
      <c r="Q22" s="506">
        <f t="shared" si="31"/>
        <v>744.1</v>
      </c>
      <c r="R22" s="507">
        <f t="shared" si="31"/>
        <v>750</v>
      </c>
      <c r="S22" s="505">
        <f t="shared" si="31"/>
        <v>845.4</v>
      </c>
      <c r="T22" s="505">
        <f t="shared" si="31"/>
        <v>836.30000000000007</v>
      </c>
      <c r="U22" s="506">
        <f t="shared" si="31"/>
        <v>857.30000000000007</v>
      </c>
      <c r="V22" s="507">
        <f t="shared" si="31"/>
        <v>967.6</v>
      </c>
      <c r="W22" s="505">
        <f t="shared" si="31"/>
        <v>1018.8</v>
      </c>
      <c r="X22" s="505">
        <f t="shared" si="31"/>
        <v>1126.7</v>
      </c>
      <c r="Y22" s="506">
        <f t="shared" si="31"/>
        <v>1181.2</v>
      </c>
      <c r="Z22" s="788">
        <f t="shared" si="31"/>
        <v>1272.0999999999997</v>
      </c>
      <c r="AA22" s="602">
        <f t="shared" si="31"/>
        <v>1324.6</v>
      </c>
      <c r="AB22" s="602">
        <f t="shared" si="31"/>
        <v>1417.6999999999998</v>
      </c>
      <c r="AC22" s="506">
        <f t="shared" si="31"/>
        <v>1492.2</v>
      </c>
      <c r="AD22" s="507">
        <f t="shared" si="31"/>
        <v>1697</v>
      </c>
      <c r="AE22" s="505">
        <f t="shared" si="31"/>
        <v>1866</v>
      </c>
      <c r="AF22" s="505">
        <f>SUM(AF13:AF16,AF20:AF21)</f>
        <v>1933</v>
      </c>
      <c r="AG22" s="506">
        <f>SUM(AG13:AG16,AG20:AG21)</f>
        <v>2029</v>
      </c>
      <c r="AH22" s="507">
        <f t="shared" si="31"/>
        <v>2447</v>
      </c>
      <c r="AI22" s="602">
        <f t="shared" ref="AI22:AZ22" si="32">SUM(AI13:AI16,AI20:AI21)</f>
        <v>2653</v>
      </c>
      <c r="AJ22" s="505">
        <f t="shared" si="32"/>
        <v>2629</v>
      </c>
      <c r="AK22" s="506">
        <f t="shared" si="32"/>
        <v>2731</v>
      </c>
      <c r="AL22" s="505">
        <f t="shared" si="32"/>
        <v>2948</v>
      </c>
      <c r="AM22" s="505">
        <f t="shared" si="32"/>
        <v>2895</v>
      </c>
      <c r="AN22" s="505">
        <f t="shared" si="32"/>
        <v>2922</v>
      </c>
      <c r="AO22" s="506">
        <f t="shared" si="32"/>
        <v>3230</v>
      </c>
      <c r="AP22" s="505">
        <f t="shared" si="32"/>
        <v>3750</v>
      </c>
      <c r="AQ22" s="505">
        <f t="shared" si="32"/>
        <v>4416</v>
      </c>
      <c r="AR22" s="505">
        <f t="shared" si="32"/>
        <v>4778</v>
      </c>
      <c r="AS22" s="506">
        <f t="shared" si="32"/>
        <v>4720</v>
      </c>
      <c r="AT22" s="505">
        <f t="shared" si="32"/>
        <v>4961</v>
      </c>
      <c r="AU22" s="505">
        <f t="shared" si="32"/>
        <v>5120</v>
      </c>
      <c r="AV22" s="505">
        <f t="shared" si="32"/>
        <v>5153</v>
      </c>
      <c r="AW22" s="506">
        <f t="shared" si="32"/>
        <v>5487</v>
      </c>
      <c r="AX22" s="505">
        <f t="shared" si="32"/>
        <v>5926</v>
      </c>
      <c r="AY22" s="505">
        <f t="shared" si="32"/>
        <v>5398</v>
      </c>
      <c r="AZ22" s="505">
        <f t="shared" si="32"/>
        <v>7445</v>
      </c>
      <c r="BA22" s="506">
        <f t="shared" ref="BA22:BL22" si="33">SUM(BA13:BA16,BA20:BA21)</f>
        <v>7141</v>
      </c>
      <c r="BB22" s="505">
        <f t="shared" si="33"/>
        <v>7186</v>
      </c>
      <c r="BC22" s="505">
        <f t="shared" si="33"/>
        <v>7175</v>
      </c>
      <c r="BD22" s="505">
        <f t="shared" si="33"/>
        <v>7340</v>
      </c>
      <c r="BE22" s="506">
        <f>SUM(BE13:BE16,BE20:BE21)</f>
        <v>7598</v>
      </c>
      <c r="BF22" s="505">
        <f>SUM(BF13:BF16,BF20:BF21)</f>
        <v>8261</v>
      </c>
      <c r="BG22" s="505">
        <f t="shared" si="33"/>
        <v>8288</v>
      </c>
      <c r="BH22" s="505">
        <f t="shared" si="33"/>
        <v>8306</v>
      </c>
      <c r="BI22" s="506">
        <f t="shared" si="33"/>
        <v>8720</v>
      </c>
      <c r="BJ22" s="505">
        <f t="shared" ref="BJ22:BQ22" si="34">SUM(BJ13:BJ16,BJ20:BJ21)</f>
        <v>8990</v>
      </c>
      <c r="BK22" s="505">
        <f t="shared" si="33"/>
        <v>8660</v>
      </c>
      <c r="BL22" s="505">
        <f t="shared" si="33"/>
        <v>8429</v>
      </c>
      <c r="BM22" s="506">
        <f t="shared" si="34"/>
        <v>8517</v>
      </c>
      <c r="BN22" s="505">
        <f>SUM(BN13:BN16,BN20:BN21)</f>
        <v>8655</v>
      </c>
      <c r="BO22" s="505">
        <f t="shared" si="34"/>
        <v>8948</v>
      </c>
      <c r="BP22" s="505">
        <f t="shared" si="34"/>
        <v>8740</v>
      </c>
      <c r="BQ22" s="506">
        <f t="shared" si="34"/>
        <v>12584</v>
      </c>
      <c r="BR22" s="507">
        <f t="shared" ref="BR22:BY22" si="35">SUM(BR13:BR16,BR20:BR21)</f>
        <v>9123</v>
      </c>
      <c r="BS22" s="505">
        <f t="shared" si="35"/>
        <v>9606</v>
      </c>
      <c r="BT22" s="505">
        <f t="shared" si="35"/>
        <v>10313</v>
      </c>
      <c r="BU22" s="506">
        <f t="shared" si="35"/>
        <v>11056</v>
      </c>
      <c r="BV22" s="507">
        <f t="shared" si="35"/>
        <v>11820</v>
      </c>
      <c r="BW22" s="505">
        <f t="shared" ref="BW22" si="36">SUM(BW13:BW16,BW20:BW21)</f>
        <v>11113</v>
      </c>
      <c r="BX22" s="505">
        <f t="shared" si="35"/>
        <v>10295.733415216913</v>
      </c>
      <c r="BY22" s="506">
        <f t="shared" si="35"/>
        <v>10727.107003606738</v>
      </c>
      <c r="BZ22" s="507">
        <f>SUM(BZ13:BZ16,BZ20:BZ21)</f>
        <v>11578.362576365731</v>
      </c>
      <c r="CA22" s="505">
        <f>SUM(CA13:CA16,CA20:CA21)</f>
        <v>11944.117664072081</v>
      </c>
      <c r="CB22" s="505">
        <f>SUM(CB13:CB16,CB20:CB21)</f>
        <v>11642.430855768902</v>
      </c>
      <c r="CC22" s="506">
        <f>SUM(CC13:CC16,CC20:CC21)</f>
        <v>11444.794774163182</v>
      </c>
      <c r="CD22" s="47"/>
      <c r="CE22" s="918">
        <f t="shared" ref="CE22:CP22" si="37">SUM(CE13:CE16,CE20:CE21)</f>
        <v>385.709</v>
      </c>
      <c r="CF22" s="505">
        <f t="shared" si="37"/>
        <v>529.16000000000008</v>
      </c>
      <c r="CG22" s="505">
        <f t="shared" si="37"/>
        <v>744.1</v>
      </c>
      <c r="CH22" s="505">
        <f t="shared" si="37"/>
        <v>857.30000000000007</v>
      </c>
      <c r="CI22" s="505">
        <f t="shared" si="37"/>
        <v>1181.2</v>
      </c>
      <c r="CJ22" s="505">
        <f t="shared" si="37"/>
        <v>1492.2</v>
      </c>
      <c r="CK22" s="505">
        <f t="shared" si="37"/>
        <v>2029</v>
      </c>
      <c r="CL22" s="505">
        <f t="shared" si="37"/>
        <v>2731</v>
      </c>
      <c r="CM22" s="505">
        <f t="shared" si="37"/>
        <v>3230</v>
      </c>
      <c r="CN22" s="505">
        <f t="shared" si="37"/>
        <v>4720</v>
      </c>
      <c r="CO22" s="505">
        <f t="shared" si="37"/>
        <v>5487</v>
      </c>
      <c r="CP22" s="505">
        <f t="shared" si="37"/>
        <v>7141</v>
      </c>
      <c r="CQ22" s="505">
        <f t="shared" ref="CQ22:CV22" si="38">SUM(CQ13:CQ16,CQ20:CQ21)</f>
        <v>7598</v>
      </c>
      <c r="CR22" s="507">
        <f t="shared" si="38"/>
        <v>8720</v>
      </c>
      <c r="CS22" s="505">
        <f t="shared" si="38"/>
        <v>8517</v>
      </c>
      <c r="CT22" s="505">
        <f t="shared" si="38"/>
        <v>12584</v>
      </c>
      <c r="CU22" s="505">
        <f t="shared" si="38"/>
        <v>11056</v>
      </c>
      <c r="CV22" s="505">
        <f t="shared" si="38"/>
        <v>10727.107003606738</v>
      </c>
      <c r="CW22" s="505">
        <f t="shared" ref="CW22:DC22" si="39">SUM(CW13:CW16,CW20:CW21)</f>
        <v>11444.794774163182</v>
      </c>
      <c r="CX22" s="505">
        <f t="shared" si="39"/>
        <v>13403.658929878147</v>
      </c>
      <c r="CY22" s="505">
        <f t="shared" si="39"/>
        <v>14887.966217645167</v>
      </c>
      <c r="CZ22" s="505">
        <f t="shared" si="39"/>
        <v>16538.588000855332</v>
      </c>
      <c r="DA22" s="505">
        <f t="shared" si="39"/>
        <v>18094.356020708212</v>
      </c>
      <c r="DB22" s="505">
        <f t="shared" si="39"/>
        <v>19967.604148489278</v>
      </c>
      <c r="DC22" s="505">
        <f t="shared" si="39"/>
        <v>22184.08221879735</v>
      </c>
      <c r="DD22" s="506"/>
      <c r="DE22" s="29"/>
      <c r="DF22" s="31"/>
      <c r="DG22" s="30"/>
      <c r="DH22" s="30"/>
      <c r="DI22" s="30"/>
      <c r="DJ22" s="30"/>
      <c r="DK22" s="31"/>
      <c r="DL22" s="31"/>
      <c r="DM22" s="31"/>
      <c r="DN22" s="31"/>
      <c r="DO22" s="31"/>
      <c r="DP22" s="31"/>
      <c r="DQ22" s="31"/>
      <c r="DR22" s="31"/>
    </row>
    <row r="23" spans="1:122" ht="4.5" customHeight="1">
      <c r="A23" s="3"/>
      <c r="B23" s="329"/>
      <c r="C23" s="61"/>
      <c r="D23" s="61"/>
      <c r="E23" s="64"/>
      <c r="F23" s="44"/>
      <c r="G23" s="44"/>
      <c r="H23" s="44"/>
      <c r="I23" s="47"/>
      <c r="J23" s="40"/>
      <c r="K23" s="44"/>
      <c r="L23" s="44"/>
      <c r="M23" s="47"/>
      <c r="N23" s="44"/>
      <c r="O23" s="44"/>
      <c r="P23" s="44"/>
      <c r="Q23" s="47"/>
      <c r="R23" s="44"/>
      <c r="S23" s="44"/>
      <c r="T23" s="44"/>
      <c r="U23" s="47"/>
      <c r="V23" s="44"/>
      <c r="W23" s="44"/>
      <c r="X23" s="44"/>
      <c r="Y23" s="47"/>
      <c r="Z23" s="39"/>
      <c r="AA23" s="39"/>
      <c r="AB23" s="39"/>
      <c r="AC23" s="47"/>
      <c r="AD23" s="46"/>
      <c r="AE23" s="46"/>
      <c r="AF23" s="44"/>
      <c r="AG23" s="47"/>
      <c r="AH23" s="46"/>
      <c r="AI23" s="39"/>
      <c r="AJ23" s="44"/>
      <c r="AK23" s="65"/>
      <c r="AL23" s="44"/>
      <c r="AM23" s="44"/>
      <c r="AN23" s="44"/>
      <c r="AO23" s="65"/>
      <c r="AP23" s="44"/>
      <c r="AQ23" s="44"/>
      <c r="AR23" s="44"/>
      <c r="AS23" s="65"/>
      <c r="AT23" s="44"/>
      <c r="AU23" s="44"/>
      <c r="AV23" s="44"/>
      <c r="AW23" s="65"/>
      <c r="AX23" s="44"/>
      <c r="AY23" s="44"/>
      <c r="AZ23" s="44"/>
      <c r="BA23" s="65"/>
      <c r="BB23" s="44"/>
      <c r="BC23" s="44"/>
      <c r="BD23" s="44"/>
      <c r="BE23" s="65"/>
      <c r="BF23" s="44"/>
      <c r="BG23" s="44"/>
      <c r="BH23" s="44"/>
      <c r="BI23" s="65"/>
      <c r="BJ23" s="44"/>
      <c r="BK23" s="44"/>
      <c r="BL23" s="44"/>
      <c r="BM23" s="65"/>
      <c r="BN23" s="44"/>
      <c r="BO23" s="44"/>
      <c r="BP23" s="44"/>
      <c r="BQ23" s="65"/>
      <c r="BR23" s="40"/>
      <c r="BS23" s="44"/>
      <c r="BT23" s="44"/>
      <c r="BU23" s="65"/>
      <c r="BV23" s="40"/>
      <c r="BW23" s="44"/>
      <c r="BX23" s="44"/>
      <c r="BY23" s="65"/>
      <c r="BZ23" s="40"/>
      <c r="CA23" s="44"/>
      <c r="CB23" s="44"/>
      <c r="CC23" s="65"/>
      <c r="CD23" s="47"/>
      <c r="CE23" s="1145">
        <f t="shared" ref="CE23:CE32" si="40">I23</f>
        <v>0</v>
      </c>
      <c r="CF23" s="53">
        <f t="shared" ref="CF23:CF29" si="41">M23</f>
        <v>0</v>
      </c>
      <c r="CG23" s="53">
        <f t="shared" ref="CG23:CG29" si="42">Q23</f>
        <v>0</v>
      </c>
      <c r="CH23" s="53">
        <f t="shared" ref="CH23:CH29" si="43">U23</f>
        <v>0</v>
      </c>
      <c r="CI23" s="138">
        <f t="shared" ref="CI23:CI29" si="44">Y23</f>
        <v>0</v>
      </c>
      <c r="CJ23" s="138">
        <f t="shared" ref="CJ23:CJ32" si="45">AC23</f>
        <v>0</v>
      </c>
      <c r="CK23" s="138">
        <f t="shared" ref="CK23:CK29" si="46">AG23</f>
        <v>0</v>
      </c>
      <c r="CL23" s="138">
        <f t="shared" ref="CL23:CL29" si="47">AK23</f>
        <v>0</v>
      </c>
      <c r="CM23" s="138">
        <f t="shared" ref="CM23:CM29" si="48">AO23</f>
        <v>0</v>
      </c>
      <c r="CN23" s="138">
        <f t="shared" ref="CN23:CN29" si="49">AS23</f>
        <v>0</v>
      </c>
      <c r="CO23" s="44"/>
      <c r="CP23" s="44"/>
      <c r="CQ23" s="44"/>
      <c r="CR23" s="40"/>
      <c r="CS23" s="44">
        <f t="shared" ref="CS23:CS32" si="50">BM23</f>
        <v>0</v>
      </c>
      <c r="CT23" s="53">
        <f t="shared" ref="CT23:CT32" si="51">BQ23</f>
        <v>0</v>
      </c>
      <c r="CU23" s="53">
        <f t="shared" ref="CU23:CU32" si="52">BU23</f>
        <v>0</v>
      </c>
      <c r="CV23" s="53"/>
      <c r="CW23" s="53"/>
      <c r="CX23" s="53"/>
      <c r="CY23" s="53"/>
      <c r="CZ23" s="53"/>
      <c r="DA23" s="53"/>
      <c r="DB23" s="53"/>
      <c r="DC23" s="53"/>
      <c r="DD23" s="645"/>
      <c r="DE23" s="29"/>
      <c r="DF23" s="24"/>
      <c r="DG23" s="29"/>
      <c r="DH23" s="29"/>
      <c r="DI23" s="29"/>
      <c r="DJ23" s="29"/>
      <c r="DK23" s="24"/>
      <c r="DL23" s="24"/>
      <c r="DM23" s="24"/>
      <c r="DN23" s="77"/>
      <c r="DO23" s="77"/>
      <c r="DP23" s="77"/>
      <c r="DQ23" s="77"/>
      <c r="DR23" s="77"/>
    </row>
    <row r="24" spans="1:122" ht="11.25" hidden="1" customHeight="1" outlineLevel="1">
      <c r="A24" s="3"/>
      <c r="B24" s="8"/>
      <c r="C24" s="96" t="s">
        <v>100</v>
      </c>
      <c r="D24" s="3"/>
      <c r="E24" s="9"/>
      <c r="F24" s="1001">
        <f t="shared" ref="F24:AB24" si="53">SUM(F25:F28)</f>
        <v>393.61192477160648</v>
      </c>
      <c r="G24" s="1001">
        <f t="shared" si="53"/>
        <v>411.82545132993772</v>
      </c>
      <c r="H24" s="1001">
        <f t="shared" si="53"/>
        <v>419.92952694235589</v>
      </c>
      <c r="I24" s="1002">
        <f t="shared" si="53"/>
        <v>378.06299999999999</v>
      </c>
      <c r="J24" s="1001">
        <f t="shared" si="53"/>
        <v>383.73576113821753</v>
      </c>
      <c r="K24" s="1001">
        <f t="shared" si="53"/>
        <v>396.94015429610232</v>
      </c>
      <c r="L24" s="1001">
        <f t="shared" si="53"/>
        <v>394.35838918297765</v>
      </c>
      <c r="M24" s="1002">
        <f t="shared" si="53"/>
        <v>367.44299999999993</v>
      </c>
      <c r="N24" s="1001">
        <f t="shared" si="53"/>
        <v>373.10911322544638</v>
      </c>
      <c r="O24" s="1001">
        <f t="shared" si="53"/>
        <v>387.43159846540181</v>
      </c>
      <c r="P24" s="1001">
        <f t="shared" si="53"/>
        <v>400.39394313616077</v>
      </c>
      <c r="Q24" s="1002">
        <f t="shared" si="53"/>
        <v>420.2</v>
      </c>
      <c r="R24" s="1001">
        <f t="shared" si="53"/>
        <v>735.43603603603606</v>
      </c>
      <c r="S24" s="1001">
        <f t="shared" si="53"/>
        <v>812.52432432432443</v>
      </c>
      <c r="T24" s="1001">
        <f t="shared" si="53"/>
        <v>823.88108108108111</v>
      </c>
      <c r="U24" s="1002">
        <f t="shared" si="53"/>
        <v>648.5</v>
      </c>
      <c r="V24" s="1001">
        <f t="shared" si="53"/>
        <v>717.67018565708054</v>
      </c>
      <c r="W24" s="1001">
        <f t="shared" si="53"/>
        <v>779.28594830724444</v>
      </c>
      <c r="X24" s="1001">
        <f t="shared" si="53"/>
        <v>819.65489625045495</v>
      </c>
      <c r="Y24" s="1002">
        <f t="shared" si="53"/>
        <v>845.1</v>
      </c>
      <c r="Z24" s="1020">
        <f t="shared" si="53"/>
        <v>899.60261224489773</v>
      </c>
      <c r="AA24" s="1020">
        <f t="shared" si="53"/>
        <v>942.16686224489797</v>
      </c>
      <c r="AB24" s="1020">
        <f t="shared" si="53"/>
        <v>1034.8311122448979</v>
      </c>
      <c r="AC24" s="1024">
        <f>SUM(AC25:AC28)</f>
        <v>1143</v>
      </c>
      <c r="AD24" s="53">
        <f>-AD29+AD30</f>
        <v>1237</v>
      </c>
      <c r="AE24" s="53">
        <f>-AE29+AE30</f>
        <v>1325</v>
      </c>
      <c r="AF24" s="53">
        <f>-AF29+AF30</f>
        <v>1415</v>
      </c>
      <c r="AG24" s="611">
        <f>SUM(AG25:AG28)</f>
        <v>1517</v>
      </c>
      <c r="AH24" s="53">
        <f>-AH29+AH30</f>
        <v>2370</v>
      </c>
      <c r="AI24" s="53">
        <f>-AI29+AI30</f>
        <v>2525</v>
      </c>
      <c r="AJ24" s="53">
        <f>-AJ29+AJ30</f>
        <v>2605</v>
      </c>
      <c r="AK24" s="611">
        <f>SUM(AK25:AK28)</f>
        <v>2814</v>
      </c>
      <c r="AL24" s="53">
        <f>-AL29+AL30</f>
        <v>2937</v>
      </c>
      <c r="AM24" s="53">
        <f>-AM29+AM30</f>
        <v>3005</v>
      </c>
      <c r="AN24" s="53">
        <f>-AN29+AN30</f>
        <v>3074</v>
      </c>
      <c r="AO24" s="611">
        <f>SUM(AO25:AO28)</f>
        <v>3175</v>
      </c>
      <c r="AP24" s="53">
        <f>-AP29+AP30</f>
        <v>3337</v>
      </c>
      <c r="AQ24" s="53">
        <f>-AQ29+AQ30</f>
        <v>3534</v>
      </c>
      <c r="AR24" s="53">
        <f>-AR29+AR30</f>
        <v>3723</v>
      </c>
      <c r="AS24" s="611">
        <f>SUM(AS25:AS28)</f>
        <v>4223</v>
      </c>
      <c r="AT24" s="53">
        <f>-AT29+AT30</f>
        <v>4459</v>
      </c>
      <c r="AU24" s="53">
        <f>-AU29+AU30</f>
        <v>4642</v>
      </c>
      <c r="AV24" s="53">
        <f>-AV29+AV30</f>
        <v>4765</v>
      </c>
      <c r="AW24" s="611">
        <f>SUM(AW25:AW28)</f>
        <v>4837</v>
      </c>
      <c r="AX24" s="53">
        <f>-AX29+AX30</f>
        <v>4980</v>
      </c>
      <c r="AY24" s="53">
        <f>-AY29+AY30</f>
        <v>5002</v>
      </c>
      <c r="AZ24" s="53">
        <f>-AZ29+AZ30</f>
        <v>7270</v>
      </c>
      <c r="BA24" s="611">
        <f>SUM(BA25:BA28)</f>
        <v>7173</v>
      </c>
      <c r="BB24" s="53">
        <f>-BB29+BB30</f>
        <v>7446</v>
      </c>
      <c r="BC24" s="53">
        <v>7490</v>
      </c>
      <c r="BD24" s="1332">
        <v>7561</v>
      </c>
      <c r="BE24" s="611">
        <f>SUM(BE25:BE28)</f>
        <v>7616</v>
      </c>
      <c r="BF24" s="39">
        <v>7764</v>
      </c>
      <c r="BG24" s="39">
        <v>7879</v>
      </c>
      <c r="BH24" s="39">
        <v>7991</v>
      </c>
      <c r="BI24" s="611">
        <f>SUM(BI25:BI28)</f>
        <v>8123</v>
      </c>
      <c r="BJ24" s="39">
        <v>8244</v>
      </c>
      <c r="BK24" s="39">
        <v>8353</v>
      </c>
      <c r="BL24" s="39">
        <v>8520</v>
      </c>
      <c r="BM24" s="611">
        <f>SUM(BM25:BM28)</f>
        <v>8604</v>
      </c>
      <c r="BN24" s="39">
        <v>8635</v>
      </c>
      <c r="BO24" s="39">
        <v>8716</v>
      </c>
      <c r="BP24" s="39">
        <v>8778</v>
      </c>
      <c r="BQ24" s="611">
        <f>SUM(BQ25:BQ28)</f>
        <v>9632</v>
      </c>
      <c r="BR24" s="169">
        <f>SUM(BR25:BR28)</f>
        <v>9587</v>
      </c>
      <c r="BS24" s="138">
        <f>SUM(BS25:BS28)</f>
        <v>9594</v>
      </c>
      <c r="BT24" s="138">
        <f>SUM(BT25:BT28)</f>
        <v>9544</v>
      </c>
      <c r="BU24" s="611">
        <f>SUM(BU25:BU28)</f>
        <v>9526</v>
      </c>
      <c r="BV24" s="2212">
        <v>10255.424137</v>
      </c>
      <c r="BW24" s="2270">
        <v>10255.424137</v>
      </c>
      <c r="BX24" s="138">
        <f t="shared" ref="BX24:CC24" si="54">BX83</f>
        <v>10599.061042500001</v>
      </c>
      <c r="BY24" s="164">
        <f t="shared" si="54"/>
        <v>10943.042532048201</v>
      </c>
      <c r="BZ24" s="169">
        <f t="shared" si="54"/>
        <v>11272.625769204022</v>
      </c>
      <c r="CA24" s="138">
        <f t="shared" si="54"/>
        <v>11596.982755972789</v>
      </c>
      <c r="CB24" s="138">
        <f t="shared" si="54"/>
        <v>11875.016428281479</v>
      </c>
      <c r="CC24" s="164">
        <f t="shared" si="54"/>
        <v>12138.184531353267</v>
      </c>
      <c r="CD24" s="47"/>
      <c r="CE24" s="1145">
        <f t="shared" si="40"/>
        <v>378.06299999999999</v>
      </c>
      <c r="CF24" s="53">
        <f t="shared" si="41"/>
        <v>367.44299999999993</v>
      </c>
      <c r="CG24" s="53">
        <f t="shared" si="42"/>
        <v>420.2</v>
      </c>
      <c r="CH24" s="53">
        <f t="shared" si="43"/>
        <v>648.5</v>
      </c>
      <c r="CI24" s="138">
        <f t="shared" si="44"/>
        <v>845.1</v>
      </c>
      <c r="CJ24" s="138">
        <f t="shared" si="45"/>
        <v>1143</v>
      </c>
      <c r="CK24" s="138">
        <f t="shared" si="46"/>
        <v>1517</v>
      </c>
      <c r="CL24" s="138">
        <f t="shared" si="47"/>
        <v>2814</v>
      </c>
      <c r="CM24" s="138">
        <f t="shared" si="48"/>
        <v>3175</v>
      </c>
      <c r="CN24" s="138">
        <f t="shared" si="49"/>
        <v>4223</v>
      </c>
      <c r="CO24" s="138">
        <f t="shared" ref="CO24:CO32" si="55">AW24</f>
        <v>4837</v>
      </c>
      <c r="CP24" s="138">
        <f t="shared" ref="CP24:CP32" si="56">BA24</f>
        <v>7173</v>
      </c>
      <c r="CQ24" s="138">
        <f t="shared" ref="CQ24:CQ32" si="57">BE24</f>
        <v>7616</v>
      </c>
      <c r="CR24" s="169">
        <f t="shared" ref="CR24:CR32" si="58">BI24</f>
        <v>8123</v>
      </c>
      <c r="CS24" s="138">
        <f t="shared" si="50"/>
        <v>8604</v>
      </c>
      <c r="CT24" s="53">
        <f t="shared" si="51"/>
        <v>9632</v>
      </c>
      <c r="CU24" s="53">
        <f t="shared" si="52"/>
        <v>9526</v>
      </c>
      <c r="CV24" s="53">
        <f>BY24</f>
        <v>10943.042532048201</v>
      </c>
      <c r="CW24" s="53">
        <f t="shared" ref="CW24:CW32" si="59">CC24</f>
        <v>12138.184531353267</v>
      </c>
      <c r="CX24" s="53">
        <f t="shared" ref="CX24:DC24" si="60">CX83</f>
        <v>13468.870144168113</v>
      </c>
      <c r="CY24" s="53">
        <f t="shared" si="60"/>
        <v>14847.796125733028</v>
      </c>
      <c r="CZ24" s="53">
        <f t="shared" si="60"/>
        <v>16389.317767970326</v>
      </c>
      <c r="DA24" s="53">
        <f t="shared" si="60"/>
        <v>18002.285050493636</v>
      </c>
      <c r="DB24" s="53">
        <f t="shared" si="60"/>
        <v>19696.224925797789</v>
      </c>
      <c r="DC24" s="53">
        <f t="shared" si="60"/>
        <v>21481.869971025615</v>
      </c>
      <c r="DD24" s="645"/>
      <c r="DE24" s="29"/>
      <c r="DF24" s="31"/>
      <c r="DG24" s="30"/>
      <c r="DH24" s="30"/>
      <c r="DI24" s="29"/>
      <c r="DJ24" s="29"/>
      <c r="DK24" s="31"/>
      <c r="DL24" s="31"/>
      <c r="DM24" s="31"/>
      <c r="DN24" s="31"/>
      <c r="DO24" s="31"/>
      <c r="DP24" s="31"/>
      <c r="DQ24" s="31"/>
      <c r="DR24" s="31"/>
    </row>
    <row r="25" spans="1:122" ht="11.25" hidden="1" customHeight="1" outlineLevel="2">
      <c r="A25" s="461"/>
      <c r="B25" s="469"/>
      <c r="C25" s="461"/>
      <c r="D25" s="470" t="s">
        <v>670</v>
      </c>
      <c r="E25" s="837" t="s">
        <v>353</v>
      </c>
      <c r="F25" s="904">
        <v>53.993290140674262</v>
      </c>
      <c r="G25" s="904">
        <v>56.491710950764002</v>
      </c>
      <c r="H25" s="904">
        <v>57.603378759398495</v>
      </c>
      <c r="I25" s="905">
        <v>54.06</v>
      </c>
      <c r="J25" s="903">
        <v>54.871159693310481</v>
      </c>
      <c r="K25" s="904">
        <v>56.759282821242216</v>
      </c>
      <c r="L25" s="904">
        <v>56.390110958310579</v>
      </c>
      <c r="M25" s="841">
        <v>59.097000000000001</v>
      </c>
      <c r="N25" s="842">
        <v>60.008298604910713</v>
      </c>
      <c r="O25" s="842">
        <v>62.31182843191965</v>
      </c>
      <c r="P25" s="842">
        <v>64.396602622767858</v>
      </c>
      <c r="Q25" s="841">
        <v>59.4</v>
      </c>
      <c r="R25" s="842">
        <v>103.96216216216217</v>
      </c>
      <c r="S25" s="842">
        <v>114.85945945945947</v>
      </c>
      <c r="T25" s="842">
        <v>116.46486486486488</v>
      </c>
      <c r="U25" s="841">
        <v>73</v>
      </c>
      <c r="V25" s="842">
        <v>80.786312340735364</v>
      </c>
      <c r="W25" s="842">
        <v>87.722242446305074</v>
      </c>
      <c r="X25" s="842">
        <v>92.266472515471435</v>
      </c>
      <c r="Y25" s="841">
        <v>77.5</v>
      </c>
      <c r="Z25" s="842">
        <v>82.498168795384686</v>
      </c>
      <c r="AA25" s="842">
        <v>86.401528604874699</v>
      </c>
      <c r="AB25" s="842">
        <v>94.899315109430376</v>
      </c>
      <c r="AC25" s="841">
        <v>163</v>
      </c>
      <c r="AD25" s="842">
        <f t="shared" ref="AD25:AF28" si="61">AD107*AD$24</f>
        <v>176.40507436570428</v>
      </c>
      <c r="AE25" s="842">
        <f t="shared" si="61"/>
        <v>188.95450568678913</v>
      </c>
      <c r="AF25" s="842">
        <f t="shared" si="61"/>
        <v>201.78915135608048</v>
      </c>
      <c r="AG25" s="841">
        <v>189</v>
      </c>
      <c r="AH25" s="842">
        <f>AH107*AH$24</f>
        <v>295.27356624917604</v>
      </c>
      <c r="AI25" s="462">
        <f t="shared" ref="AI25:AJ28" si="62">AI$24*AI107</f>
        <v>314.5847066578774</v>
      </c>
      <c r="AJ25" s="462">
        <f t="shared" si="62"/>
        <v>324.55174686882003</v>
      </c>
      <c r="AK25" s="1058">
        <v>478</v>
      </c>
      <c r="AL25" s="464">
        <f t="shared" ref="AL25:AN28" si="63">AL$24*AL107</f>
        <v>498.89339019189759</v>
      </c>
      <c r="AM25" s="464">
        <f t="shared" si="63"/>
        <v>510.44420753375971</v>
      </c>
      <c r="AN25" s="464">
        <f t="shared" si="63"/>
        <v>522.16488983653164</v>
      </c>
      <c r="AO25" s="463">
        <v>522</v>
      </c>
      <c r="AP25" s="464">
        <f t="shared" ref="AP25:AR28" si="64">AP$24*AP107</f>
        <v>548.63433070866142</v>
      </c>
      <c r="AQ25" s="464">
        <f t="shared" si="64"/>
        <v>581.02299212598427</v>
      </c>
      <c r="AR25" s="464">
        <f t="shared" si="64"/>
        <v>612.09637795275592</v>
      </c>
      <c r="AS25" s="463">
        <v>675</v>
      </c>
      <c r="AT25" s="464">
        <f t="shared" ref="AT25:AV28" si="65">AT$24*AT107</f>
        <v>712.72199857920907</v>
      </c>
      <c r="AU25" s="464">
        <f t="shared" si="65"/>
        <v>741.97253137579924</v>
      </c>
      <c r="AV25" s="464">
        <f t="shared" si="65"/>
        <v>761.63272555055642</v>
      </c>
      <c r="AW25" s="463">
        <v>750</v>
      </c>
      <c r="AX25" s="464">
        <f t="shared" ref="AX25:AZ28" si="66">AX$24*AX107</f>
        <v>772.17283440148856</v>
      </c>
      <c r="AY25" s="464">
        <f t="shared" si="66"/>
        <v>775.58403969402525</v>
      </c>
      <c r="AZ25" s="464">
        <f t="shared" si="66"/>
        <v>1127.2482943973537</v>
      </c>
      <c r="BA25" s="463">
        <v>1222</v>
      </c>
      <c r="BB25" s="464">
        <f t="shared" ref="BB25:BD28" si="67">BB$24*BB107</f>
        <v>1268.508573818486</v>
      </c>
      <c r="BC25" s="464">
        <f t="shared" si="67"/>
        <v>1276.0044611738465</v>
      </c>
      <c r="BD25" s="464">
        <f t="shared" si="67"/>
        <v>1288.100097588178</v>
      </c>
      <c r="BE25" s="463">
        <v>1231</v>
      </c>
      <c r="BF25" s="464">
        <f t="shared" ref="BF25:BH28" si="68">BF$24*BF107</f>
        <v>1254.9217436974791</v>
      </c>
      <c r="BG25" s="464">
        <f t="shared" si="68"/>
        <v>1273.5095850840337</v>
      </c>
      <c r="BH25" s="464">
        <f t="shared" si="68"/>
        <v>1291.6125262605042</v>
      </c>
      <c r="BI25" s="463">
        <v>1364</v>
      </c>
      <c r="BJ25" s="464">
        <f t="shared" ref="BJ25:BL28" si="69">BJ$24*BJ107</f>
        <v>1384.3181090730027</v>
      </c>
      <c r="BK25" s="464">
        <f t="shared" si="69"/>
        <v>1402.6211990643851</v>
      </c>
      <c r="BL25" s="464">
        <f t="shared" si="69"/>
        <v>1430.6635479502647</v>
      </c>
      <c r="BM25" s="463">
        <v>1441</v>
      </c>
      <c r="BN25" s="464">
        <f t="shared" ref="BN25:BP28" si="70">BN$24*BN107</f>
        <v>1446.1918874941887</v>
      </c>
      <c r="BO25" s="464">
        <f t="shared" si="70"/>
        <v>1459.7577870757787</v>
      </c>
      <c r="BP25" s="464">
        <f t="shared" si="70"/>
        <v>1470.1415620641562</v>
      </c>
      <c r="BQ25" s="463">
        <v>1900</v>
      </c>
      <c r="BR25" s="1292">
        <v>1920</v>
      </c>
      <c r="BS25" s="464">
        <v>1871</v>
      </c>
      <c r="BT25" s="464">
        <v>1883</v>
      </c>
      <c r="BU25" s="463">
        <v>1855</v>
      </c>
      <c r="BV25" s="1292">
        <f t="shared" ref="BV25:BY28" si="71">BV$24*BV107</f>
        <v>1997.0409168732942</v>
      </c>
      <c r="BW25" s="464">
        <f t="shared" ref="BW25" si="72">BW$24*BW107</f>
        <v>1997.0409168732942</v>
      </c>
      <c r="BX25" s="464">
        <f t="shared" si="71"/>
        <v>2063.9574043499374</v>
      </c>
      <c r="BY25" s="463">
        <f t="shared" si="71"/>
        <v>2130.9409927513557</v>
      </c>
      <c r="BZ25" s="1292">
        <f t="shared" ref="BZ25:CC28" si="73">BZ$24*BZ107</f>
        <v>2195.1208064112388</v>
      </c>
      <c r="CA25" s="464">
        <f t="shared" si="73"/>
        <v>2258.2829112250183</v>
      </c>
      <c r="CB25" s="464">
        <f t="shared" si="73"/>
        <v>2312.424467191071</v>
      </c>
      <c r="CC25" s="463">
        <f t="shared" si="73"/>
        <v>2363.6712477073602</v>
      </c>
      <c r="CD25" s="47"/>
      <c r="CE25" s="1146">
        <f t="shared" si="40"/>
        <v>54.06</v>
      </c>
      <c r="CF25" s="462">
        <f t="shared" si="41"/>
        <v>59.097000000000001</v>
      </c>
      <c r="CG25" s="462">
        <f t="shared" si="42"/>
        <v>59.4</v>
      </c>
      <c r="CH25" s="462">
        <f t="shared" si="43"/>
        <v>73</v>
      </c>
      <c r="CI25" s="464">
        <f t="shared" si="44"/>
        <v>77.5</v>
      </c>
      <c r="CJ25" s="464">
        <f t="shared" si="45"/>
        <v>163</v>
      </c>
      <c r="CK25" s="464">
        <f t="shared" si="46"/>
        <v>189</v>
      </c>
      <c r="CL25" s="464">
        <f t="shared" si="47"/>
        <v>478</v>
      </c>
      <c r="CM25" s="464">
        <f t="shared" si="48"/>
        <v>522</v>
      </c>
      <c r="CN25" s="464">
        <f t="shared" si="49"/>
        <v>675</v>
      </c>
      <c r="CO25" s="464">
        <f t="shared" si="55"/>
        <v>750</v>
      </c>
      <c r="CP25" s="464">
        <f t="shared" si="56"/>
        <v>1222</v>
      </c>
      <c r="CQ25" s="464">
        <f t="shared" si="57"/>
        <v>1231</v>
      </c>
      <c r="CR25" s="1292">
        <f t="shared" si="58"/>
        <v>1364</v>
      </c>
      <c r="CS25" s="464">
        <f t="shared" si="50"/>
        <v>1441</v>
      </c>
      <c r="CT25" s="464">
        <f t="shared" si="51"/>
        <v>1900</v>
      </c>
      <c r="CU25" s="464">
        <f t="shared" si="52"/>
        <v>1855</v>
      </c>
      <c r="CV25" s="464">
        <f t="shared" ref="CV25:CV32" si="74">BY25</f>
        <v>2130.9409927513557</v>
      </c>
      <c r="CW25" s="464">
        <f t="shared" si="59"/>
        <v>2363.6712477073602</v>
      </c>
      <c r="CX25" s="464">
        <f t="shared" ref="CX25:DA28" si="75">CX$24*CX107</f>
        <v>2622.7959392643138</v>
      </c>
      <c r="CY25" s="464">
        <f t="shared" si="75"/>
        <v>2891.3144880573977</v>
      </c>
      <c r="CZ25" s="464">
        <f t="shared" si="75"/>
        <v>3191.4953243318246</v>
      </c>
      <c r="DA25" s="464">
        <f t="shared" si="75"/>
        <v>3505.588785289282</v>
      </c>
      <c r="DB25" s="464">
        <f t="shared" ref="DB25:DC28" si="76">DB$24*DB107</f>
        <v>3835.4500564092909</v>
      </c>
      <c r="DC25" s="464">
        <f t="shared" si="76"/>
        <v>4183.1690947147308</v>
      </c>
      <c r="DD25" s="645"/>
      <c r="DE25" s="29"/>
      <c r="DF25" s="714"/>
      <c r="DG25" s="465"/>
      <c r="DH25" s="465"/>
      <c r="DI25" s="462"/>
      <c r="DJ25" s="462"/>
      <c r="DK25" s="714"/>
      <c r="DL25" s="714"/>
      <c r="DM25" s="714"/>
      <c r="DN25" s="714"/>
      <c r="DO25" s="714"/>
      <c r="DP25" s="714"/>
      <c r="DQ25" s="714"/>
      <c r="DR25" s="714"/>
    </row>
    <row r="26" spans="1:122" ht="11.25" hidden="1" customHeight="1" outlineLevel="2">
      <c r="A26" s="461"/>
      <c r="B26" s="469"/>
      <c r="C26" s="461"/>
      <c r="D26" s="470" t="s">
        <v>671</v>
      </c>
      <c r="E26" s="837" t="s">
        <v>976</v>
      </c>
      <c r="F26" s="904">
        <v>313.28814251354191</v>
      </c>
      <c r="G26" s="904">
        <v>327.7848626202603</v>
      </c>
      <c r="H26" s="904">
        <v>334.23515194235586</v>
      </c>
      <c r="I26" s="905">
        <v>305.96600000000001</v>
      </c>
      <c r="J26" s="903">
        <v>310.55695979880568</v>
      </c>
      <c r="K26" s="904">
        <v>321.24326170337019</v>
      </c>
      <c r="L26" s="904">
        <v>319.15384183260181</v>
      </c>
      <c r="M26" s="841">
        <v>290.47699999999998</v>
      </c>
      <c r="N26" s="842">
        <v>294.95626772693447</v>
      </c>
      <c r="O26" s="842">
        <v>306.27871105840774</v>
      </c>
      <c r="P26" s="842">
        <v>316.52591400669644</v>
      </c>
      <c r="Q26" s="841">
        <v>342.4</v>
      </c>
      <c r="R26" s="842">
        <v>599.2701064701065</v>
      </c>
      <c r="S26" s="842">
        <v>662.0855036855038</v>
      </c>
      <c r="T26" s="842">
        <v>671.33955773955779</v>
      </c>
      <c r="U26" s="841">
        <v>539.70000000000005</v>
      </c>
      <c r="V26" s="842">
        <v>597.26538041499828</v>
      </c>
      <c r="W26" s="842">
        <v>648.54375682562818</v>
      </c>
      <c r="X26" s="842">
        <v>682.13993447397161</v>
      </c>
      <c r="Y26" s="841">
        <v>730.8</v>
      </c>
      <c r="Z26" s="842">
        <v>777.9311194279627</v>
      </c>
      <c r="AA26" s="842">
        <v>814.73854328312791</v>
      </c>
      <c r="AB26" s="842">
        <v>894.86992879963475</v>
      </c>
      <c r="AC26" s="841">
        <f>906+38</f>
        <v>944</v>
      </c>
      <c r="AD26" s="842">
        <f t="shared" si="61"/>
        <v>1021.6342957130358</v>
      </c>
      <c r="AE26" s="842">
        <f t="shared" si="61"/>
        <v>1094.3132108486438</v>
      </c>
      <c r="AF26" s="842">
        <f t="shared" si="61"/>
        <v>1168.6439195100611</v>
      </c>
      <c r="AG26" s="841">
        <f>1203+60</f>
        <v>1263</v>
      </c>
      <c r="AH26" s="842">
        <f>AH108*AH$24</f>
        <v>1973.1773236651286</v>
      </c>
      <c r="AI26" s="462">
        <f t="shared" si="62"/>
        <v>2102.2247857613711</v>
      </c>
      <c r="AJ26" s="462">
        <f t="shared" si="62"/>
        <v>2168.8299274884644</v>
      </c>
      <c r="AK26" s="1058">
        <f>2166+58</f>
        <v>2224</v>
      </c>
      <c r="AL26" s="464">
        <f t="shared" si="63"/>
        <v>2276.1750000000002</v>
      </c>
      <c r="AM26" s="464">
        <f t="shared" si="63"/>
        <v>2328.875</v>
      </c>
      <c r="AN26" s="464">
        <f t="shared" si="63"/>
        <v>2382.35</v>
      </c>
      <c r="AO26" s="463">
        <f>2533+58</f>
        <v>2591</v>
      </c>
      <c r="AP26" s="464">
        <f t="shared" si="64"/>
        <v>2723.2022047244095</v>
      </c>
      <c r="AQ26" s="464">
        <f t="shared" si="64"/>
        <v>2883.9666141732282</v>
      </c>
      <c r="AR26" s="464">
        <f t="shared" si="64"/>
        <v>3038.2025196850391</v>
      </c>
      <c r="AS26" s="463">
        <v>3470</v>
      </c>
      <c r="AT26" s="464">
        <f t="shared" si="65"/>
        <v>3663.9190149183046</v>
      </c>
      <c r="AU26" s="464">
        <f t="shared" si="65"/>
        <v>3814.2884205541086</v>
      </c>
      <c r="AV26" s="464">
        <f t="shared" si="65"/>
        <v>3915.3563817191571</v>
      </c>
      <c r="AW26" s="463">
        <v>3963</v>
      </c>
      <c r="AX26" s="464">
        <f t="shared" si="66"/>
        <v>4080.1612569774657</v>
      </c>
      <c r="AY26" s="464">
        <f t="shared" si="66"/>
        <v>4098.1860657432289</v>
      </c>
      <c r="AZ26" s="464">
        <f t="shared" si="66"/>
        <v>5956.3799875956174</v>
      </c>
      <c r="BA26" s="463">
        <v>5211</v>
      </c>
      <c r="BB26" s="464">
        <f t="shared" si="67"/>
        <v>5409.32747804266</v>
      </c>
      <c r="BC26" s="464">
        <f t="shared" si="67"/>
        <v>5441.29234629862</v>
      </c>
      <c r="BD26" s="464">
        <f t="shared" si="67"/>
        <v>5492.8720200752823</v>
      </c>
      <c r="BE26" s="463">
        <v>5738</v>
      </c>
      <c r="BF26" s="464">
        <f t="shared" si="68"/>
        <v>5849.5052521008402</v>
      </c>
      <c r="BG26" s="464">
        <f t="shared" si="68"/>
        <v>5936.1478466386552</v>
      </c>
      <c r="BH26" s="464">
        <f t="shared" si="68"/>
        <v>6020.5301995798318</v>
      </c>
      <c r="BI26" s="463">
        <v>6109</v>
      </c>
      <c r="BJ26" s="464">
        <f t="shared" si="69"/>
        <v>6199.9995075710949</v>
      </c>
      <c r="BK26" s="464">
        <f t="shared" si="69"/>
        <v>6281.9742705896842</v>
      </c>
      <c r="BL26" s="464">
        <f t="shared" si="69"/>
        <v>6407.5686322787151</v>
      </c>
      <c r="BM26" s="463">
        <v>6520</v>
      </c>
      <c r="BN26" s="464">
        <f t="shared" si="70"/>
        <v>6543.49139934914</v>
      </c>
      <c r="BO26" s="464">
        <f t="shared" si="70"/>
        <v>6604.8721524872153</v>
      </c>
      <c r="BP26" s="464">
        <f t="shared" si="70"/>
        <v>6651.8549511854953</v>
      </c>
      <c r="BQ26" s="463">
        <v>7070</v>
      </c>
      <c r="BR26" s="1292">
        <v>7155</v>
      </c>
      <c r="BS26" s="464">
        <f>7064+174</f>
        <v>7238</v>
      </c>
      <c r="BT26" s="464">
        <f>7008+181</f>
        <v>7189</v>
      </c>
      <c r="BU26" s="463">
        <f>6868+284</f>
        <v>7152</v>
      </c>
      <c r="BV26" s="1292">
        <f t="shared" si="71"/>
        <v>7699.6423921713204</v>
      </c>
      <c r="BW26" s="464">
        <f t="shared" ref="BW26" si="77">BW$24*BW108</f>
        <v>7699.6423921713204</v>
      </c>
      <c r="BX26" s="464">
        <f t="shared" si="71"/>
        <v>7957.6406231324809</v>
      </c>
      <c r="BY26" s="463">
        <f t="shared" si="71"/>
        <v>8215.8975634273284</v>
      </c>
      <c r="BZ26" s="1292">
        <f t="shared" si="73"/>
        <v>8463.3444784114181</v>
      </c>
      <c r="CA26" s="464">
        <f t="shared" si="73"/>
        <v>8706.867590879423</v>
      </c>
      <c r="CB26" s="464">
        <f t="shared" si="73"/>
        <v>8915.6117462806142</v>
      </c>
      <c r="CC26" s="463">
        <f t="shared" si="73"/>
        <v>9113.1950208102626</v>
      </c>
      <c r="CD26" s="47"/>
      <c r="CE26" s="1146">
        <f t="shared" si="40"/>
        <v>305.96600000000001</v>
      </c>
      <c r="CF26" s="462">
        <f t="shared" si="41"/>
        <v>290.47699999999998</v>
      </c>
      <c r="CG26" s="462">
        <f t="shared" si="42"/>
        <v>342.4</v>
      </c>
      <c r="CH26" s="462">
        <f t="shared" si="43"/>
        <v>539.70000000000005</v>
      </c>
      <c r="CI26" s="464">
        <f t="shared" si="44"/>
        <v>730.8</v>
      </c>
      <c r="CJ26" s="464">
        <f t="shared" si="45"/>
        <v>944</v>
      </c>
      <c r="CK26" s="464">
        <f t="shared" si="46"/>
        <v>1263</v>
      </c>
      <c r="CL26" s="464">
        <f t="shared" si="47"/>
        <v>2224</v>
      </c>
      <c r="CM26" s="464">
        <f t="shared" si="48"/>
        <v>2591</v>
      </c>
      <c r="CN26" s="464">
        <f t="shared" si="49"/>
        <v>3470</v>
      </c>
      <c r="CO26" s="464">
        <f t="shared" si="55"/>
        <v>3963</v>
      </c>
      <c r="CP26" s="464">
        <f t="shared" si="56"/>
        <v>5211</v>
      </c>
      <c r="CQ26" s="464">
        <f t="shared" si="57"/>
        <v>5738</v>
      </c>
      <c r="CR26" s="1292">
        <f t="shared" si="58"/>
        <v>6109</v>
      </c>
      <c r="CS26" s="464">
        <f t="shared" si="50"/>
        <v>6520</v>
      </c>
      <c r="CT26" s="464">
        <f t="shared" si="51"/>
        <v>7070</v>
      </c>
      <c r="CU26" s="464">
        <f t="shared" si="52"/>
        <v>7152</v>
      </c>
      <c r="CV26" s="464">
        <f t="shared" si="74"/>
        <v>8215.8975634273284</v>
      </c>
      <c r="CW26" s="464">
        <f t="shared" si="59"/>
        <v>9113.1950208102626</v>
      </c>
      <c r="CX26" s="464">
        <f t="shared" si="75"/>
        <v>10112.25690437648</v>
      </c>
      <c r="CY26" s="464">
        <f t="shared" si="75"/>
        <v>11147.537045060111</v>
      </c>
      <c r="CZ26" s="464">
        <f t="shared" si="75"/>
        <v>12304.891945887442</v>
      </c>
      <c r="DA26" s="464">
        <f t="shared" si="75"/>
        <v>13515.887327433391</v>
      </c>
      <c r="DB26" s="464">
        <f t="shared" si="76"/>
        <v>14787.675904819</v>
      </c>
      <c r="DC26" s="464">
        <f t="shared" si="76"/>
        <v>16128.315560862398</v>
      </c>
      <c r="DD26" s="645"/>
      <c r="DE26" s="29"/>
      <c r="DF26" s="714"/>
      <c r="DG26" s="465"/>
      <c r="DH26" s="465"/>
      <c r="DI26" s="462"/>
      <c r="DJ26" s="462"/>
      <c r="DK26" s="714"/>
      <c r="DL26" s="714"/>
      <c r="DM26" s="714"/>
      <c r="DN26" s="714"/>
      <c r="DO26" s="714"/>
      <c r="DP26" s="714"/>
      <c r="DQ26" s="714"/>
      <c r="DR26" s="714"/>
    </row>
    <row r="27" spans="1:122" ht="11.25" hidden="1" customHeight="1" outlineLevel="2">
      <c r="A27" s="461"/>
      <c r="B27" s="469"/>
      <c r="C27" s="461"/>
      <c r="D27" s="470" t="s">
        <v>672</v>
      </c>
      <c r="E27" s="837" t="s">
        <v>354</v>
      </c>
      <c r="F27" s="904">
        <v>9.2765718732314664</v>
      </c>
      <c r="G27" s="904">
        <v>9.705824844368987</v>
      </c>
      <c r="H27" s="904">
        <v>9.8968201754385969</v>
      </c>
      <c r="I27" s="905">
        <v>7.2190000000000003</v>
      </c>
      <c r="J27" s="903">
        <v>7.3273196786165071</v>
      </c>
      <c r="K27" s="904">
        <v>7.5794536198029512</v>
      </c>
      <c r="L27" s="904">
        <v>7.5301555865342973</v>
      </c>
      <c r="M27" s="841">
        <v>6.6740000000000004</v>
      </c>
      <c r="N27" s="842">
        <v>6.7769156622023816</v>
      </c>
      <c r="O27" s="842">
        <v>7.0370601376488109</v>
      </c>
      <c r="P27" s="842">
        <v>7.2724998883928587</v>
      </c>
      <c r="Q27" s="841">
        <v>6.8</v>
      </c>
      <c r="R27" s="842">
        <v>11.901392301392299</v>
      </c>
      <c r="S27" s="842">
        <v>13.148894348894348</v>
      </c>
      <c r="T27" s="842">
        <v>13.332678132678133</v>
      </c>
      <c r="U27" s="841">
        <v>7</v>
      </c>
      <c r="V27" s="842">
        <v>7.7466326902075</v>
      </c>
      <c r="W27" s="842">
        <v>8.4117218784128163</v>
      </c>
      <c r="X27" s="842">
        <v>8.8474699672369859</v>
      </c>
      <c r="Y27" s="841">
        <v>7.6</v>
      </c>
      <c r="Z27" s="842">
        <v>8.090143004450626</v>
      </c>
      <c r="AA27" s="842">
        <v>8.4729240954457747</v>
      </c>
      <c r="AB27" s="842">
        <v>9.3062554171828467</v>
      </c>
      <c r="AC27" s="841">
        <v>8</v>
      </c>
      <c r="AD27" s="842">
        <f t="shared" si="61"/>
        <v>8.6579177602799646</v>
      </c>
      <c r="AE27" s="842">
        <f t="shared" si="61"/>
        <v>9.2738407699037619</v>
      </c>
      <c r="AF27" s="842">
        <f t="shared" si="61"/>
        <v>9.9037620297462823</v>
      </c>
      <c r="AG27" s="841">
        <v>12</v>
      </c>
      <c r="AH27" s="842">
        <f>AH109*AH$24</f>
        <v>18.747528015820698</v>
      </c>
      <c r="AI27" s="462">
        <f t="shared" si="62"/>
        <v>19.973632168754122</v>
      </c>
      <c r="AJ27" s="462">
        <f t="shared" si="62"/>
        <v>20.606460118655242</v>
      </c>
      <c r="AK27" s="1058">
        <v>10</v>
      </c>
      <c r="AL27" s="464">
        <f t="shared" si="63"/>
        <v>10.437100213219615</v>
      </c>
      <c r="AM27" s="464">
        <f t="shared" si="63"/>
        <v>10.678749111584933</v>
      </c>
      <c r="AN27" s="464">
        <f t="shared" si="63"/>
        <v>10.923951670220326</v>
      </c>
      <c r="AO27" s="463">
        <v>9</v>
      </c>
      <c r="AP27" s="464">
        <f t="shared" si="64"/>
        <v>9.4592125984251965</v>
      </c>
      <c r="AQ27" s="464">
        <f t="shared" si="64"/>
        <v>10.017637795275592</v>
      </c>
      <c r="AR27" s="464">
        <f t="shared" si="64"/>
        <v>10.553385826771654</v>
      </c>
      <c r="AS27" s="463">
        <v>9</v>
      </c>
      <c r="AT27" s="464">
        <f t="shared" si="65"/>
        <v>9.5029599810561205</v>
      </c>
      <c r="AU27" s="464">
        <f t="shared" si="65"/>
        <v>9.892967085010655</v>
      </c>
      <c r="AV27" s="464">
        <f t="shared" si="65"/>
        <v>10.155103007340752</v>
      </c>
      <c r="AW27" s="463">
        <v>9</v>
      </c>
      <c r="AX27" s="464">
        <f t="shared" si="66"/>
        <v>9.266074012817862</v>
      </c>
      <c r="AY27" s="464">
        <f t="shared" si="66"/>
        <v>9.3070084763283027</v>
      </c>
      <c r="AZ27" s="464">
        <f t="shared" si="66"/>
        <v>13.526979532768244</v>
      </c>
      <c r="BA27" s="463">
        <v>15</v>
      </c>
      <c r="BB27" s="464">
        <f t="shared" si="67"/>
        <v>15.570890840652448</v>
      </c>
      <c r="BC27" s="464">
        <f t="shared" si="67"/>
        <v>15.662902551233795</v>
      </c>
      <c r="BD27" s="464">
        <f t="shared" si="67"/>
        <v>15.811375993308241</v>
      </c>
      <c r="BE27" s="463">
        <f>39</f>
        <v>39</v>
      </c>
      <c r="BF27" s="464">
        <f t="shared" si="68"/>
        <v>39.757878151260506</v>
      </c>
      <c r="BG27" s="464">
        <f t="shared" si="68"/>
        <v>40.346769957983192</v>
      </c>
      <c r="BH27" s="464">
        <f t="shared" si="68"/>
        <v>40.920299369747902</v>
      </c>
      <c r="BI27" s="463">
        <v>54</v>
      </c>
      <c r="BJ27" s="464">
        <f t="shared" si="69"/>
        <v>54.804382617259634</v>
      </c>
      <c r="BK27" s="464">
        <f t="shared" si="69"/>
        <v>55.52899175181583</v>
      </c>
      <c r="BL27" s="464">
        <f t="shared" si="69"/>
        <v>56.639172719438633</v>
      </c>
      <c r="BM27" s="463">
        <v>71</v>
      </c>
      <c r="BN27" s="464">
        <f t="shared" si="70"/>
        <v>71.255811250581118</v>
      </c>
      <c r="BO27" s="464">
        <f t="shared" si="70"/>
        <v>71.924221292422132</v>
      </c>
      <c r="BP27" s="464">
        <f t="shared" si="70"/>
        <v>72.435843793584382</v>
      </c>
      <c r="BQ27" s="463">
        <v>110</v>
      </c>
      <c r="BR27" s="1292">
        <v>50</v>
      </c>
      <c r="BS27" s="464">
        <v>52</v>
      </c>
      <c r="BT27" s="464">
        <v>52</v>
      </c>
      <c r="BU27" s="463">
        <v>116</v>
      </c>
      <c r="BV27" s="1292">
        <f t="shared" si="71"/>
        <v>124.88234304975856</v>
      </c>
      <c r="BW27" s="464">
        <f t="shared" ref="BW27" si="78">BW$24*BW109</f>
        <v>124.88234304975856</v>
      </c>
      <c r="BX27" s="464">
        <f t="shared" si="71"/>
        <v>129.06687811568341</v>
      </c>
      <c r="BY27" s="463">
        <f t="shared" si="71"/>
        <v>133.25560925021955</v>
      </c>
      <c r="BZ27" s="1292">
        <f t="shared" si="73"/>
        <v>137.26900999660577</v>
      </c>
      <c r="CA27" s="464">
        <f t="shared" si="73"/>
        <v>141.21876965072892</v>
      </c>
      <c r="CB27" s="464">
        <f t="shared" si="73"/>
        <v>144.60444107502116</v>
      </c>
      <c r="CC27" s="463">
        <f t="shared" si="73"/>
        <v>147.80909150083761</v>
      </c>
      <c r="CD27" s="47"/>
      <c r="CE27" s="1146">
        <f t="shared" si="40"/>
        <v>7.2190000000000003</v>
      </c>
      <c r="CF27" s="462">
        <f t="shared" si="41"/>
        <v>6.6740000000000004</v>
      </c>
      <c r="CG27" s="462">
        <f t="shared" si="42"/>
        <v>6.8</v>
      </c>
      <c r="CH27" s="462">
        <f t="shared" si="43"/>
        <v>7</v>
      </c>
      <c r="CI27" s="464">
        <f t="shared" si="44"/>
        <v>7.6</v>
      </c>
      <c r="CJ27" s="464">
        <f t="shared" si="45"/>
        <v>8</v>
      </c>
      <c r="CK27" s="464">
        <f t="shared" si="46"/>
        <v>12</v>
      </c>
      <c r="CL27" s="464">
        <f t="shared" si="47"/>
        <v>10</v>
      </c>
      <c r="CM27" s="464">
        <f t="shared" si="48"/>
        <v>9</v>
      </c>
      <c r="CN27" s="464">
        <f t="shared" si="49"/>
        <v>9</v>
      </c>
      <c r="CO27" s="464">
        <f t="shared" si="55"/>
        <v>9</v>
      </c>
      <c r="CP27" s="464">
        <f t="shared" si="56"/>
        <v>15</v>
      </c>
      <c r="CQ27" s="464">
        <f t="shared" si="57"/>
        <v>39</v>
      </c>
      <c r="CR27" s="1292">
        <f t="shared" si="58"/>
        <v>54</v>
      </c>
      <c r="CS27" s="464">
        <f t="shared" si="50"/>
        <v>71</v>
      </c>
      <c r="CT27" s="464">
        <f t="shared" si="51"/>
        <v>110</v>
      </c>
      <c r="CU27" s="464">
        <f t="shared" si="52"/>
        <v>116</v>
      </c>
      <c r="CV27" s="464">
        <f t="shared" si="74"/>
        <v>133.25560925021955</v>
      </c>
      <c r="CW27" s="464">
        <f t="shared" si="59"/>
        <v>147.80909150083761</v>
      </c>
      <c r="CX27" s="464">
        <f t="shared" si="75"/>
        <v>164.01311533943957</v>
      </c>
      <c r="CY27" s="464">
        <f t="shared" si="75"/>
        <v>180.8045717599235</v>
      </c>
      <c r="CZ27" s="464">
        <f t="shared" si="75"/>
        <v>199.57598793665315</v>
      </c>
      <c r="DA27" s="464">
        <f t="shared" si="75"/>
        <v>219.21741191027314</v>
      </c>
      <c r="DB27" s="464">
        <f t="shared" si="76"/>
        <v>239.84485527950281</v>
      </c>
      <c r="DC27" s="464">
        <f t="shared" si="76"/>
        <v>261.58901077461383</v>
      </c>
      <c r="DD27" s="645"/>
      <c r="DE27" s="29"/>
      <c r="DF27" s="714"/>
      <c r="DG27" s="465"/>
      <c r="DH27" s="465"/>
      <c r="DI27" s="462"/>
      <c r="DJ27" s="462"/>
      <c r="DK27" s="714"/>
      <c r="DL27" s="714"/>
      <c r="DM27" s="714"/>
      <c r="DN27" s="714"/>
      <c r="DO27" s="714"/>
      <c r="DP27" s="714"/>
      <c r="DQ27" s="714"/>
      <c r="DR27" s="714"/>
    </row>
    <row r="28" spans="1:122" ht="11.25" hidden="1" customHeight="1" outlineLevel="2">
      <c r="A28" s="461"/>
      <c r="B28" s="469"/>
      <c r="C28" s="461"/>
      <c r="D28" s="471" t="s">
        <v>673</v>
      </c>
      <c r="E28" s="837" t="s">
        <v>355</v>
      </c>
      <c r="F28" s="904">
        <v>17.053920244158785</v>
      </c>
      <c r="G28" s="904">
        <v>17.843052914544423</v>
      </c>
      <c r="H28" s="904">
        <v>18.194176065162907</v>
      </c>
      <c r="I28" s="905">
        <v>10.818</v>
      </c>
      <c r="J28" s="903">
        <v>10.980321967484883</v>
      </c>
      <c r="K28" s="904">
        <v>11.35815615168698</v>
      </c>
      <c r="L28" s="904">
        <v>11.284280805530962</v>
      </c>
      <c r="M28" s="841">
        <v>11.195</v>
      </c>
      <c r="N28" s="842">
        <v>11.367631231398809</v>
      </c>
      <c r="O28" s="842">
        <v>11.803998837425596</v>
      </c>
      <c r="P28" s="842">
        <v>12.198926618303572</v>
      </c>
      <c r="Q28" s="841">
        <v>11.6</v>
      </c>
      <c r="R28" s="842">
        <v>20.302375102375098</v>
      </c>
      <c r="S28" s="842">
        <v>22.43046683046683</v>
      </c>
      <c r="T28" s="842">
        <v>22.743980343980343</v>
      </c>
      <c r="U28" s="841">
        <v>28.8</v>
      </c>
      <c r="V28" s="842">
        <v>31.871860211139428</v>
      </c>
      <c r="W28" s="842">
        <v>34.608227156898444</v>
      </c>
      <c r="X28" s="842">
        <v>36.401019293775029</v>
      </c>
      <c r="Y28" s="841">
        <v>29.2</v>
      </c>
      <c r="Z28" s="842">
        <v>31.083181017099772</v>
      </c>
      <c r="AA28" s="842">
        <v>32.553866261449564</v>
      </c>
      <c r="AB28" s="842">
        <v>35.755612918649888</v>
      </c>
      <c r="AC28" s="841">
        <v>28</v>
      </c>
      <c r="AD28" s="842">
        <f t="shared" si="61"/>
        <v>30.302712160979876</v>
      </c>
      <c r="AE28" s="842">
        <f t="shared" si="61"/>
        <v>32.458442694663162</v>
      </c>
      <c r="AF28" s="842">
        <f t="shared" si="61"/>
        <v>34.663167104111984</v>
      </c>
      <c r="AG28" s="841">
        <v>53</v>
      </c>
      <c r="AH28" s="842">
        <f>AH110*AH$24</f>
        <v>82.801582069874755</v>
      </c>
      <c r="AI28" s="462">
        <f t="shared" si="62"/>
        <v>88.216875411997378</v>
      </c>
      <c r="AJ28" s="462">
        <f t="shared" si="62"/>
        <v>91.011865524060653</v>
      </c>
      <c r="AK28" s="1058">
        <v>102</v>
      </c>
      <c r="AL28" s="464">
        <f t="shared" si="63"/>
        <v>106.45842217484008</v>
      </c>
      <c r="AM28" s="464">
        <f t="shared" si="63"/>
        <v>108.9232409381663</v>
      </c>
      <c r="AN28" s="464">
        <f t="shared" si="63"/>
        <v>111.42430703624733</v>
      </c>
      <c r="AO28" s="463">
        <v>53</v>
      </c>
      <c r="AP28" s="464">
        <f t="shared" si="64"/>
        <v>55.704251968503932</v>
      </c>
      <c r="AQ28" s="464">
        <f t="shared" si="64"/>
        <v>58.992755905511807</v>
      </c>
      <c r="AR28" s="464">
        <f t="shared" si="64"/>
        <v>62.147716535433062</v>
      </c>
      <c r="AS28" s="463">
        <v>69</v>
      </c>
      <c r="AT28" s="464">
        <f t="shared" si="65"/>
        <v>72.856026521430266</v>
      </c>
      <c r="AU28" s="464">
        <f t="shared" si="65"/>
        <v>75.846080985081699</v>
      </c>
      <c r="AV28" s="464">
        <f t="shared" si="65"/>
        <v>77.855789722945786</v>
      </c>
      <c r="AW28" s="463">
        <v>115</v>
      </c>
      <c r="AX28" s="464">
        <f t="shared" si="66"/>
        <v>118.39983460822825</v>
      </c>
      <c r="AY28" s="464">
        <f t="shared" si="66"/>
        <v>118.92288608641719</v>
      </c>
      <c r="AZ28" s="464">
        <f t="shared" si="66"/>
        <v>172.84473847426091</v>
      </c>
      <c r="BA28" s="463">
        <f>128+597</f>
        <v>725</v>
      </c>
      <c r="BB28" s="464">
        <f t="shared" si="67"/>
        <v>752.59305729820153</v>
      </c>
      <c r="BC28" s="464">
        <f t="shared" si="67"/>
        <v>757.04028997629996</v>
      </c>
      <c r="BD28" s="464">
        <f t="shared" si="67"/>
        <v>764.21650634323157</v>
      </c>
      <c r="BE28" s="463">
        <f>233+375</f>
        <v>608</v>
      </c>
      <c r="BF28" s="464">
        <f t="shared" si="68"/>
        <v>619.81512605042008</v>
      </c>
      <c r="BG28" s="464">
        <f t="shared" si="68"/>
        <v>628.99579831932772</v>
      </c>
      <c r="BH28" s="464">
        <f t="shared" si="68"/>
        <v>637.93697478991589</v>
      </c>
      <c r="BI28" s="463">
        <f>254+342</f>
        <v>596</v>
      </c>
      <c r="BJ28" s="464">
        <f t="shared" si="69"/>
        <v>604.87800073864332</v>
      </c>
      <c r="BK28" s="464">
        <f t="shared" si="69"/>
        <v>612.87553859411548</v>
      </c>
      <c r="BL28" s="464">
        <f t="shared" si="69"/>
        <v>625.12864705158188</v>
      </c>
      <c r="BM28" s="463">
        <f>296+276</f>
        <v>572</v>
      </c>
      <c r="BN28" s="464">
        <f t="shared" si="70"/>
        <v>574.06090190609018</v>
      </c>
      <c r="BO28" s="464">
        <f t="shared" si="70"/>
        <v>579.44583914458394</v>
      </c>
      <c r="BP28" s="464">
        <f t="shared" si="70"/>
        <v>583.5676429567643</v>
      </c>
      <c r="BQ28" s="463">
        <f>307+245</f>
        <v>552</v>
      </c>
      <c r="BR28" s="1292">
        <f>313+149</f>
        <v>462</v>
      </c>
      <c r="BS28" s="464">
        <f>314+119</f>
        <v>433</v>
      </c>
      <c r="BT28" s="464">
        <f>305+115</f>
        <v>420</v>
      </c>
      <c r="BU28" s="463">
        <f>259+144</f>
        <v>403</v>
      </c>
      <c r="BV28" s="1292">
        <f t="shared" si="71"/>
        <v>433.85848490562677</v>
      </c>
      <c r="BW28" s="464">
        <f t="shared" ref="BW28" si="79">BW$24*BW110</f>
        <v>433.85848490562677</v>
      </c>
      <c r="BX28" s="464">
        <f t="shared" si="71"/>
        <v>448.39613690190015</v>
      </c>
      <c r="BY28" s="463">
        <f t="shared" si="71"/>
        <v>462.94836661929725</v>
      </c>
      <c r="BZ28" s="1292">
        <f t="shared" si="73"/>
        <v>476.8914743847597</v>
      </c>
      <c r="CA28" s="464">
        <f t="shared" si="73"/>
        <v>490.61348421761858</v>
      </c>
      <c r="CB28" s="464">
        <f t="shared" si="73"/>
        <v>502.37577373477183</v>
      </c>
      <c r="CC28" s="463">
        <f t="shared" si="73"/>
        <v>513.50917133480652</v>
      </c>
      <c r="CD28" s="47"/>
      <c r="CE28" s="1146">
        <f t="shared" si="40"/>
        <v>10.818</v>
      </c>
      <c r="CF28" s="462">
        <f t="shared" si="41"/>
        <v>11.195</v>
      </c>
      <c r="CG28" s="462">
        <f t="shared" si="42"/>
        <v>11.6</v>
      </c>
      <c r="CH28" s="462">
        <f t="shared" si="43"/>
        <v>28.8</v>
      </c>
      <c r="CI28" s="464">
        <f t="shared" si="44"/>
        <v>29.2</v>
      </c>
      <c r="CJ28" s="464">
        <f t="shared" si="45"/>
        <v>28</v>
      </c>
      <c r="CK28" s="464">
        <f t="shared" si="46"/>
        <v>53</v>
      </c>
      <c r="CL28" s="464">
        <f t="shared" si="47"/>
        <v>102</v>
      </c>
      <c r="CM28" s="464">
        <f t="shared" si="48"/>
        <v>53</v>
      </c>
      <c r="CN28" s="464">
        <f t="shared" si="49"/>
        <v>69</v>
      </c>
      <c r="CO28" s="464">
        <f t="shared" si="55"/>
        <v>115</v>
      </c>
      <c r="CP28" s="464">
        <f t="shared" si="56"/>
        <v>725</v>
      </c>
      <c r="CQ28" s="464">
        <f t="shared" si="57"/>
        <v>608</v>
      </c>
      <c r="CR28" s="1292">
        <f t="shared" si="58"/>
        <v>596</v>
      </c>
      <c r="CS28" s="464">
        <f t="shared" si="50"/>
        <v>572</v>
      </c>
      <c r="CT28" s="464">
        <f t="shared" si="51"/>
        <v>552</v>
      </c>
      <c r="CU28" s="464">
        <f t="shared" si="52"/>
        <v>403</v>
      </c>
      <c r="CV28" s="464">
        <f t="shared" si="74"/>
        <v>462.94836661929725</v>
      </c>
      <c r="CW28" s="464">
        <f t="shared" si="59"/>
        <v>513.50917133480652</v>
      </c>
      <c r="CX28" s="464">
        <f t="shared" si="75"/>
        <v>569.80418518788053</v>
      </c>
      <c r="CY28" s="464">
        <f t="shared" si="75"/>
        <v>628.14002085559639</v>
      </c>
      <c r="CZ28" s="464">
        <f t="shared" si="75"/>
        <v>693.35450981440704</v>
      </c>
      <c r="DA28" s="464">
        <f t="shared" si="75"/>
        <v>761.59152586069035</v>
      </c>
      <c r="DB28" s="464">
        <f t="shared" si="76"/>
        <v>833.25410928999679</v>
      </c>
      <c r="DC28" s="464">
        <f t="shared" si="76"/>
        <v>908.79630467387403</v>
      </c>
      <c r="DD28" s="645"/>
      <c r="DE28" s="29"/>
      <c r="DF28" s="714"/>
      <c r="DG28" s="465"/>
      <c r="DH28" s="465"/>
      <c r="DI28" s="462"/>
      <c r="DJ28" s="462"/>
      <c r="DK28" s="714"/>
      <c r="DL28" s="714"/>
      <c r="DM28" s="714"/>
      <c r="DN28" s="714"/>
      <c r="DO28" s="714"/>
      <c r="DP28" s="714"/>
      <c r="DQ28" s="714"/>
      <c r="DR28" s="714"/>
    </row>
    <row r="29" spans="1:122" ht="11.25" hidden="1" customHeight="1" outlineLevel="1">
      <c r="A29" s="3"/>
      <c r="B29" s="8"/>
      <c r="C29" s="3" t="s">
        <v>606</v>
      </c>
      <c r="D29" s="3"/>
      <c r="E29" s="9"/>
      <c r="F29" s="780">
        <v>-293.50992477160651</v>
      </c>
      <c r="G29" s="780">
        <v>-307.09145132993774</v>
      </c>
      <c r="H29" s="780">
        <v>-313.13452694235588</v>
      </c>
      <c r="I29" s="846">
        <v>-271.89699999999999</v>
      </c>
      <c r="J29" s="845">
        <v>-275.97676113821751</v>
      </c>
      <c r="K29" s="780">
        <v>-285.47315429610234</v>
      </c>
      <c r="L29" s="780">
        <v>-283.61638918297763</v>
      </c>
      <c r="M29" s="522">
        <v>-259.92299999999994</v>
      </c>
      <c r="N29" s="459">
        <v>-263.93111322544638</v>
      </c>
      <c r="O29" s="459">
        <v>-274.06259846540183</v>
      </c>
      <c r="P29" s="459">
        <v>-283.23194313616079</v>
      </c>
      <c r="Q29" s="522">
        <v>-298.10000000000002</v>
      </c>
      <c r="R29" s="459">
        <v>-521.73603603603601</v>
      </c>
      <c r="S29" s="459">
        <v>-576.4243243243244</v>
      </c>
      <c r="T29" s="459">
        <v>-584.48108108108113</v>
      </c>
      <c r="U29" s="522">
        <v>-373.8</v>
      </c>
      <c r="V29" s="459">
        <v>-413.67018565708054</v>
      </c>
      <c r="W29" s="459">
        <v>-449.18594830724442</v>
      </c>
      <c r="X29" s="459">
        <v>-472.45489625045496</v>
      </c>
      <c r="Y29" s="522">
        <v>-450.1</v>
      </c>
      <c r="Z29" s="459">
        <v>-481.802612244898</v>
      </c>
      <c r="AA29" s="459">
        <v>-508.46686224489804</v>
      </c>
      <c r="AB29" s="459">
        <v>-538.43111224489803</v>
      </c>
      <c r="AC29" s="522">
        <v>-594</v>
      </c>
      <c r="AD29" s="53">
        <f>AD91</f>
        <v>-639</v>
      </c>
      <c r="AE29" s="53">
        <f>AE91</f>
        <v>-688</v>
      </c>
      <c r="AF29" s="53">
        <f>AF91</f>
        <v>-743</v>
      </c>
      <c r="AG29" s="522">
        <v>-776</v>
      </c>
      <c r="AH29" s="53">
        <f>AH91</f>
        <v>-854</v>
      </c>
      <c r="AI29" s="53">
        <f>AI91</f>
        <v>-965</v>
      </c>
      <c r="AJ29" s="53">
        <f>AJ91</f>
        <v>-1076</v>
      </c>
      <c r="AK29" s="59">
        <v>-1146</v>
      </c>
      <c r="AL29" s="138">
        <f>AL91</f>
        <v>-1263</v>
      </c>
      <c r="AM29" s="138">
        <f>AM91</f>
        <v>-1385</v>
      </c>
      <c r="AN29" s="138">
        <f>AN91</f>
        <v>-1504</v>
      </c>
      <c r="AO29" s="47">
        <v>-1591</v>
      </c>
      <c r="AP29" s="138">
        <f>AP91</f>
        <v>-1712</v>
      </c>
      <c r="AQ29" s="138">
        <f>AQ91</f>
        <v>-1838</v>
      </c>
      <c r="AR29" s="138">
        <f>AR91</f>
        <v>-1967</v>
      </c>
      <c r="AS29" s="47">
        <v>-2064</v>
      </c>
      <c r="AT29" s="138">
        <f>AT91</f>
        <v>-2214</v>
      </c>
      <c r="AU29" s="138">
        <f>AU91</f>
        <v>-2365</v>
      </c>
      <c r="AV29" s="138">
        <f>AV91</f>
        <v>-2516</v>
      </c>
      <c r="AW29" s="47">
        <v>-2613</v>
      </c>
      <c r="AX29" s="138">
        <f>AX91</f>
        <v>-2771</v>
      </c>
      <c r="AY29" s="138">
        <f>AY91</f>
        <v>-2911</v>
      </c>
      <c r="AZ29" s="138">
        <f>AZ91</f>
        <v>-3099</v>
      </c>
      <c r="BA29" s="47">
        <v>-3106</v>
      </c>
      <c r="BB29" s="138">
        <f>BB91</f>
        <v>-3419</v>
      </c>
      <c r="BC29" s="46">
        <v>-3552</v>
      </c>
      <c r="BD29" s="1075">
        <v>-3758</v>
      </c>
      <c r="BE29" s="47">
        <v>-3916</v>
      </c>
      <c r="BF29" s="46">
        <v>-4126</v>
      </c>
      <c r="BG29" s="1382">
        <v>-4370</v>
      </c>
      <c r="BH29" s="1382">
        <v>-4585</v>
      </c>
      <c r="BI29" s="47">
        <v>-4830</v>
      </c>
      <c r="BJ29" s="46">
        <v>-5042</v>
      </c>
      <c r="BK29" s="39">
        <v>-5254</v>
      </c>
      <c r="BL29" s="39">
        <v>-5469</v>
      </c>
      <c r="BM29" s="47">
        <v>-5639</v>
      </c>
      <c r="BN29" s="46">
        <v>-5745</v>
      </c>
      <c r="BO29" s="39">
        <v>-5915</v>
      </c>
      <c r="BP29" s="39">
        <v>-6091</v>
      </c>
      <c r="BQ29" s="1446">
        <v>-6129</v>
      </c>
      <c r="BR29" s="1380">
        <v>-6228</v>
      </c>
      <c r="BS29" s="39">
        <v>-6356</v>
      </c>
      <c r="BT29" s="39">
        <v>-6445</v>
      </c>
      <c r="BU29" s="1446">
        <v>-6493</v>
      </c>
      <c r="BV29" s="2212">
        <f>BV30-BV24</f>
        <v>-7207.424137</v>
      </c>
      <c r="BW29" s="2270">
        <f>BW30-BW24</f>
        <v>-7201.424137</v>
      </c>
      <c r="BX29" s="138">
        <f t="shared" ref="BX29:CC29" si="80">BX91</f>
        <v>-7577.1395127589285</v>
      </c>
      <c r="BY29" s="164">
        <f t="shared" si="80"/>
        <v>-7961.8199337330034</v>
      </c>
      <c r="BZ29" s="169">
        <f t="shared" si="80"/>
        <v>-8358.5282962553647</v>
      </c>
      <c r="CA29" s="138">
        <f t="shared" si="80"/>
        <v>-8766.9141627763784</v>
      </c>
      <c r="CB29" s="138">
        <f t="shared" si="80"/>
        <v>-9186.0570053523479</v>
      </c>
      <c r="CC29" s="164">
        <f t="shared" si="80"/>
        <v>-9619.8214735538422</v>
      </c>
      <c r="CD29" s="47"/>
      <c r="CE29" s="1145">
        <f t="shared" si="40"/>
        <v>-271.89699999999999</v>
      </c>
      <c r="CF29" s="53">
        <f t="shared" si="41"/>
        <v>-259.92299999999994</v>
      </c>
      <c r="CG29" s="53">
        <f t="shared" si="42"/>
        <v>-298.10000000000002</v>
      </c>
      <c r="CH29" s="53">
        <f t="shared" si="43"/>
        <v>-373.8</v>
      </c>
      <c r="CI29" s="138">
        <f t="shared" si="44"/>
        <v>-450.1</v>
      </c>
      <c r="CJ29" s="138">
        <f t="shared" si="45"/>
        <v>-594</v>
      </c>
      <c r="CK29" s="138">
        <f t="shared" si="46"/>
        <v>-776</v>
      </c>
      <c r="CL29" s="138">
        <f t="shared" si="47"/>
        <v>-1146</v>
      </c>
      <c r="CM29" s="138">
        <f t="shared" si="48"/>
        <v>-1591</v>
      </c>
      <c r="CN29" s="138">
        <f t="shared" si="49"/>
        <v>-2064</v>
      </c>
      <c r="CO29" s="138">
        <f t="shared" si="55"/>
        <v>-2613</v>
      </c>
      <c r="CP29" s="138">
        <f t="shared" si="56"/>
        <v>-3106</v>
      </c>
      <c r="CQ29" s="138">
        <f t="shared" si="57"/>
        <v>-3916</v>
      </c>
      <c r="CR29" s="169">
        <f t="shared" si="58"/>
        <v>-4830</v>
      </c>
      <c r="CS29" s="138">
        <f t="shared" si="50"/>
        <v>-5639</v>
      </c>
      <c r="CT29" s="53">
        <f t="shared" si="51"/>
        <v>-6129</v>
      </c>
      <c r="CU29" s="53">
        <f t="shared" si="52"/>
        <v>-6493</v>
      </c>
      <c r="CV29" s="53">
        <f t="shared" si="74"/>
        <v>-7961.8199337330034</v>
      </c>
      <c r="CW29" s="53">
        <f t="shared" si="59"/>
        <v>-9619.8214735538422</v>
      </c>
      <c r="CX29" s="53">
        <f t="shared" ref="CX29:DC29" si="81">CX91</f>
        <v>-11448.896807519655</v>
      </c>
      <c r="CY29" s="53">
        <f t="shared" si="81"/>
        <v>-12864.730121014712</v>
      </c>
      <c r="CZ29" s="53">
        <f t="shared" si="81"/>
        <v>-14426.58581569988</v>
      </c>
      <c r="DA29" s="53">
        <f t="shared" si="81"/>
        <v>-15859.569266469212</v>
      </c>
      <c r="DB29" s="53">
        <f t="shared" si="81"/>
        <v>-17430.340515481355</v>
      </c>
      <c r="DC29" s="53">
        <f t="shared" si="81"/>
        <v>-19146.094469515665</v>
      </c>
      <c r="DD29" s="645"/>
      <c r="DE29" s="29"/>
      <c r="DF29" s="31"/>
      <c r="DG29" s="30"/>
      <c r="DH29" s="30"/>
      <c r="DI29" s="29"/>
      <c r="DJ29" s="29"/>
      <c r="DK29" s="31"/>
      <c r="DL29" s="31"/>
      <c r="DM29" s="31"/>
      <c r="DN29" s="31"/>
      <c r="DO29" s="31"/>
      <c r="DP29" s="31"/>
      <c r="DQ29" s="31"/>
      <c r="DR29" s="31"/>
    </row>
    <row r="30" spans="1:122" collapsed="1">
      <c r="A30" s="3"/>
      <c r="B30" s="76"/>
      <c r="C30" s="96" t="s">
        <v>105</v>
      </c>
      <c r="D30" s="3"/>
      <c r="E30" s="97"/>
      <c r="F30" s="780">
        <v>100.102</v>
      </c>
      <c r="G30" s="780">
        <v>104.73399999999999</v>
      </c>
      <c r="H30" s="780">
        <v>106.795</v>
      </c>
      <c r="I30" s="846">
        <v>106.166</v>
      </c>
      <c r="J30" s="845">
        <v>107.759</v>
      </c>
      <c r="K30" s="780">
        <v>111.467</v>
      </c>
      <c r="L30" s="780">
        <v>110.742</v>
      </c>
      <c r="M30" s="521">
        <v>107.52</v>
      </c>
      <c r="N30" s="457">
        <v>109.178</v>
      </c>
      <c r="O30" s="457">
        <v>113.369</v>
      </c>
      <c r="P30" s="457">
        <v>117.16200000000001</v>
      </c>
      <c r="Q30" s="521">
        <v>122.1</v>
      </c>
      <c r="R30" s="457">
        <v>213.7</v>
      </c>
      <c r="S30" s="459">
        <v>236.1</v>
      </c>
      <c r="T30" s="457">
        <v>239.4</v>
      </c>
      <c r="U30" s="521">
        <v>274.7</v>
      </c>
      <c r="V30" s="457">
        <v>304</v>
      </c>
      <c r="W30" s="457">
        <v>330.1</v>
      </c>
      <c r="X30" s="457">
        <v>347.2</v>
      </c>
      <c r="Y30" s="521">
        <v>395</v>
      </c>
      <c r="Z30" s="459">
        <v>417.8</v>
      </c>
      <c r="AA30" s="459">
        <v>433.7</v>
      </c>
      <c r="AB30" s="459">
        <v>496.4</v>
      </c>
      <c r="AC30" s="521">
        <v>548.6</v>
      </c>
      <c r="AD30" s="457">
        <v>598</v>
      </c>
      <c r="AE30" s="457">
        <v>637</v>
      </c>
      <c r="AF30" s="457">
        <v>672</v>
      </c>
      <c r="AG30" s="522">
        <v>741</v>
      </c>
      <c r="AH30" s="457">
        <v>1516</v>
      </c>
      <c r="AI30" s="457">
        <v>1560</v>
      </c>
      <c r="AJ30" s="39">
        <v>1529</v>
      </c>
      <c r="AK30" s="59">
        <v>1668</v>
      </c>
      <c r="AL30" s="39">
        <v>1674</v>
      </c>
      <c r="AM30" s="39">
        <v>1620</v>
      </c>
      <c r="AN30" s="39">
        <v>1570</v>
      </c>
      <c r="AO30" s="59">
        <v>1584</v>
      </c>
      <c r="AP30" s="39">
        <v>1625</v>
      </c>
      <c r="AQ30" s="39">
        <v>1696</v>
      </c>
      <c r="AR30" s="39">
        <v>1756</v>
      </c>
      <c r="AS30" s="59">
        <v>2159</v>
      </c>
      <c r="AT30" s="39">
        <v>2245</v>
      </c>
      <c r="AU30" s="39">
        <v>2277</v>
      </c>
      <c r="AV30" s="39">
        <v>2249</v>
      </c>
      <c r="AW30" s="59">
        <v>2224</v>
      </c>
      <c r="AX30" s="39">
        <v>2209</v>
      </c>
      <c r="AY30" s="39">
        <v>2091</v>
      </c>
      <c r="AZ30" s="39">
        <v>4171</v>
      </c>
      <c r="BA30" s="59">
        <v>4067</v>
      </c>
      <c r="BB30" s="39">
        <v>4027</v>
      </c>
      <c r="BC30" s="39">
        <v>3938</v>
      </c>
      <c r="BD30" s="39">
        <v>3803</v>
      </c>
      <c r="BE30" s="59">
        <v>3700</v>
      </c>
      <c r="BF30" s="39">
        <v>3638</v>
      </c>
      <c r="BG30" s="39">
        <v>3509</v>
      </c>
      <c r="BH30" s="1380">
        <v>3406</v>
      </c>
      <c r="BI30" s="1446">
        <v>3293</v>
      </c>
      <c r="BJ30" s="1380">
        <v>3202</v>
      </c>
      <c r="BK30" s="39">
        <v>3099</v>
      </c>
      <c r="BL30" s="39">
        <v>3051</v>
      </c>
      <c r="BM30" s="1446">
        <v>2965</v>
      </c>
      <c r="BN30" s="1380">
        <v>2890</v>
      </c>
      <c r="BO30" s="39">
        <v>2801</v>
      </c>
      <c r="BP30" s="39">
        <v>2687</v>
      </c>
      <c r="BQ30" s="1446">
        <v>3503</v>
      </c>
      <c r="BR30" s="1380">
        <v>3359</v>
      </c>
      <c r="BS30" s="39">
        <v>3238</v>
      </c>
      <c r="BT30" s="39">
        <v>3099</v>
      </c>
      <c r="BU30" s="1446">
        <v>3033</v>
      </c>
      <c r="BV30" s="1380">
        <v>3048</v>
      </c>
      <c r="BW30" s="1380">
        <v>3054</v>
      </c>
      <c r="BX30" s="53">
        <f t="shared" ref="BX30:CC30" si="82">BX24+BX29</f>
        <v>3021.9215297410728</v>
      </c>
      <c r="BY30" s="645">
        <f t="shared" si="82"/>
        <v>2981.2225983151975</v>
      </c>
      <c r="BZ30" s="644">
        <f t="shared" si="82"/>
        <v>2914.097472948657</v>
      </c>
      <c r="CA30" s="53">
        <f t="shared" si="82"/>
        <v>2830.0685931964108</v>
      </c>
      <c r="CB30" s="53">
        <f t="shared" si="82"/>
        <v>2688.9594229291306</v>
      </c>
      <c r="CC30" s="645">
        <f t="shared" si="82"/>
        <v>2518.3630577994245</v>
      </c>
      <c r="CD30" s="47"/>
      <c r="CE30" s="1145">
        <f t="shared" si="40"/>
        <v>106.166</v>
      </c>
      <c r="CF30" s="138">
        <f>CF24+CF29</f>
        <v>107.51999999999998</v>
      </c>
      <c r="CG30" s="138">
        <f>CG24+CG29</f>
        <v>122.09999999999997</v>
      </c>
      <c r="CH30" s="138">
        <f>CH24+CH29</f>
        <v>274.7</v>
      </c>
      <c r="CI30" s="138">
        <f>CI24+CI29</f>
        <v>395</v>
      </c>
      <c r="CJ30" s="138">
        <f t="shared" si="45"/>
        <v>548.6</v>
      </c>
      <c r="CK30" s="138">
        <f>CK24+CK29</f>
        <v>741</v>
      </c>
      <c r="CL30" s="138">
        <f>CL24+CL29</f>
        <v>1668</v>
      </c>
      <c r="CM30" s="138">
        <f>CM24+CM29</f>
        <v>1584</v>
      </c>
      <c r="CN30" s="138">
        <f>CN24+CN29</f>
        <v>2159</v>
      </c>
      <c r="CO30" s="53">
        <f t="shared" si="55"/>
        <v>2224</v>
      </c>
      <c r="CP30" s="53">
        <f t="shared" si="56"/>
        <v>4067</v>
      </c>
      <c r="CQ30" s="53">
        <f t="shared" si="57"/>
        <v>3700</v>
      </c>
      <c r="CR30" s="644">
        <f t="shared" si="58"/>
        <v>3293</v>
      </c>
      <c r="CS30" s="53">
        <f t="shared" si="50"/>
        <v>2965</v>
      </c>
      <c r="CT30" s="53">
        <f t="shared" si="51"/>
        <v>3503</v>
      </c>
      <c r="CU30" s="53">
        <f t="shared" si="52"/>
        <v>3033</v>
      </c>
      <c r="CV30" s="53">
        <f t="shared" si="74"/>
        <v>2981.2225983151975</v>
      </c>
      <c r="CW30" s="53">
        <f t="shared" si="59"/>
        <v>2518.3630577994245</v>
      </c>
      <c r="CX30" s="53">
        <f t="shared" ref="CX30:DC30" si="83">CX24+CX29</f>
        <v>2019.9733366484579</v>
      </c>
      <c r="CY30" s="53">
        <f t="shared" si="83"/>
        <v>1983.0660047183155</v>
      </c>
      <c r="CZ30" s="53">
        <f t="shared" si="83"/>
        <v>1962.7319522704456</v>
      </c>
      <c r="DA30" s="53">
        <f t="shared" si="83"/>
        <v>2142.7157840244236</v>
      </c>
      <c r="DB30" s="53">
        <f t="shared" si="83"/>
        <v>2265.8844103164338</v>
      </c>
      <c r="DC30" s="53">
        <f t="shared" si="83"/>
        <v>2335.7755015099501</v>
      </c>
      <c r="DD30" s="645"/>
      <c r="DE30" s="29"/>
      <c r="DF30" s="24"/>
      <c r="DG30" s="29"/>
      <c r="DH30" s="29"/>
      <c r="DI30" s="29"/>
      <c r="DJ30" s="29"/>
      <c r="DK30" s="24"/>
      <c r="DL30" s="24"/>
      <c r="DM30" s="24"/>
      <c r="DN30" s="24"/>
      <c r="DO30" s="24"/>
      <c r="DP30" s="24"/>
      <c r="DQ30" s="24"/>
      <c r="DR30" s="24"/>
    </row>
    <row r="31" spans="1:122" ht="11.25" customHeight="1">
      <c r="A31" s="3"/>
      <c r="B31" s="76"/>
      <c r="C31" s="500" t="s">
        <v>372</v>
      </c>
      <c r="D31" s="3"/>
      <c r="E31" s="9"/>
      <c r="F31" s="780"/>
      <c r="G31" s="780"/>
      <c r="H31" s="780"/>
      <c r="I31" s="846">
        <v>0</v>
      </c>
      <c r="J31" s="845">
        <v>0</v>
      </c>
      <c r="K31" s="780">
        <v>0</v>
      </c>
      <c r="L31" s="780">
        <v>0</v>
      </c>
      <c r="M31" s="521">
        <v>0</v>
      </c>
      <c r="N31" s="457">
        <v>0</v>
      </c>
      <c r="O31" s="457">
        <v>0</v>
      </c>
      <c r="P31" s="457">
        <v>0</v>
      </c>
      <c r="Q31" s="521">
        <v>0</v>
      </c>
      <c r="R31" s="457">
        <v>0</v>
      </c>
      <c r="S31" s="459">
        <v>32.9</v>
      </c>
      <c r="T31" s="457">
        <v>31.4</v>
      </c>
      <c r="U31" s="521">
        <v>0</v>
      </c>
      <c r="V31" s="457">
        <v>0</v>
      </c>
      <c r="W31" s="457">
        <v>0</v>
      </c>
      <c r="X31" s="457">
        <v>0</v>
      </c>
      <c r="Y31" s="521">
        <v>0</v>
      </c>
      <c r="Z31" s="459">
        <v>0</v>
      </c>
      <c r="AA31" s="459">
        <v>0</v>
      </c>
      <c r="AB31" s="459">
        <v>0</v>
      </c>
      <c r="AC31" s="521">
        <v>0</v>
      </c>
      <c r="AD31" s="457">
        <v>0</v>
      </c>
      <c r="AE31" s="457">
        <v>0</v>
      </c>
      <c r="AF31" s="457">
        <v>0</v>
      </c>
      <c r="AG31" s="521">
        <v>0</v>
      </c>
      <c r="AH31" s="457">
        <v>187</v>
      </c>
      <c r="AI31" s="39">
        <v>174</v>
      </c>
      <c r="AJ31" s="39">
        <v>187</v>
      </c>
      <c r="AK31" s="39">
        <f>116+81</f>
        <v>197</v>
      </c>
      <c r="AL31" s="38">
        <f>116+78</f>
        <v>194</v>
      </c>
      <c r="AM31" s="39">
        <f>116+70</f>
        <v>186</v>
      </c>
      <c r="AN31" s="39">
        <f>138+93</f>
        <v>231</v>
      </c>
      <c r="AO31" s="59">
        <f>139+89</f>
        <v>228</v>
      </c>
      <c r="AP31" s="39">
        <f>139+86</f>
        <v>225</v>
      </c>
      <c r="AQ31" s="39">
        <f>139+83</f>
        <v>222</v>
      </c>
      <c r="AR31" s="39">
        <f>139+80</f>
        <v>219</v>
      </c>
      <c r="AS31" s="59">
        <f>146+88</f>
        <v>234</v>
      </c>
      <c r="AT31" s="39">
        <f>150+83</f>
        <v>233</v>
      </c>
      <c r="AU31" s="39">
        <f>151+79</f>
        <v>230</v>
      </c>
      <c r="AV31" s="39">
        <f>151+75</f>
        <v>226</v>
      </c>
      <c r="AW31" s="59">
        <f>151+71</f>
        <v>222</v>
      </c>
      <c r="AX31" s="39">
        <f>151+67</f>
        <v>218</v>
      </c>
      <c r="AY31" s="39">
        <v>151</v>
      </c>
      <c r="AZ31" s="39">
        <f>1851+840</f>
        <v>2691</v>
      </c>
      <c r="BA31" s="59">
        <v>1975</v>
      </c>
      <c r="BB31" s="39">
        <v>1944</v>
      </c>
      <c r="BC31" s="39">
        <v>1907</v>
      </c>
      <c r="BD31" s="39">
        <v>1954</v>
      </c>
      <c r="BE31" s="59">
        <v>1954</v>
      </c>
      <c r="BF31" s="39">
        <v>2051</v>
      </c>
      <c r="BG31" s="39">
        <v>2555</v>
      </c>
      <c r="BH31" s="1380">
        <v>2558</v>
      </c>
      <c r="BI31" s="1446">
        <v>2559</v>
      </c>
      <c r="BJ31" s="1380">
        <v>2559</v>
      </c>
      <c r="BK31" s="39">
        <v>2566</v>
      </c>
      <c r="BL31" s="39">
        <v>2745</v>
      </c>
      <c r="BM31" s="1446">
        <v>2766</v>
      </c>
      <c r="BN31" s="1380">
        <v>2766</v>
      </c>
      <c r="BO31" s="39">
        <v>2766</v>
      </c>
      <c r="BP31" s="39">
        <v>2766</v>
      </c>
      <c r="BQ31" s="1446">
        <f>9951+5034</f>
        <v>14985</v>
      </c>
      <c r="BR31" s="1380">
        <f>9967+4791</f>
        <v>14758</v>
      </c>
      <c r="BS31" s="39">
        <v>10005</v>
      </c>
      <c r="BT31" s="39">
        <v>10012</v>
      </c>
      <c r="BU31" s="1446">
        <v>10014</v>
      </c>
      <c r="BV31" s="1380">
        <v>10073</v>
      </c>
      <c r="BW31" s="1380">
        <v>10076</v>
      </c>
      <c r="BX31" s="53">
        <f t="shared" ref="BX31:BY32" si="84">BW31</f>
        <v>10076</v>
      </c>
      <c r="BY31" s="645">
        <f t="shared" si="84"/>
        <v>10076</v>
      </c>
      <c r="BZ31" s="644">
        <f t="shared" ref="BZ31:CC32" si="85">BY31</f>
        <v>10076</v>
      </c>
      <c r="CA31" s="53">
        <f t="shared" si="85"/>
        <v>10076</v>
      </c>
      <c r="CB31" s="53">
        <f t="shared" si="85"/>
        <v>10076</v>
      </c>
      <c r="CC31" s="645">
        <f t="shared" si="85"/>
        <v>10076</v>
      </c>
      <c r="CD31" s="47"/>
      <c r="CE31" s="1145">
        <f t="shared" si="40"/>
        <v>0</v>
      </c>
      <c r="CF31" s="53">
        <f>M31</f>
        <v>0</v>
      </c>
      <c r="CG31" s="53">
        <f>Q31</f>
        <v>0</v>
      </c>
      <c r="CH31" s="53">
        <f>U31</f>
        <v>0</v>
      </c>
      <c r="CI31" s="138">
        <f>Y31</f>
        <v>0</v>
      </c>
      <c r="CJ31" s="138">
        <f t="shared" si="45"/>
        <v>0</v>
      </c>
      <c r="CK31" s="138">
        <f>AG31</f>
        <v>0</v>
      </c>
      <c r="CL31" s="138">
        <f>AK31</f>
        <v>197</v>
      </c>
      <c r="CM31" s="138">
        <f>AO31</f>
        <v>228</v>
      </c>
      <c r="CN31" s="138">
        <f>AS31</f>
        <v>234</v>
      </c>
      <c r="CO31" s="53">
        <f t="shared" si="55"/>
        <v>222</v>
      </c>
      <c r="CP31" s="53">
        <f t="shared" si="56"/>
        <v>1975</v>
      </c>
      <c r="CQ31" s="53">
        <f t="shared" si="57"/>
        <v>1954</v>
      </c>
      <c r="CR31" s="644">
        <f t="shared" si="58"/>
        <v>2559</v>
      </c>
      <c r="CS31" s="53">
        <f t="shared" si="50"/>
        <v>2766</v>
      </c>
      <c r="CT31" s="53">
        <f t="shared" si="51"/>
        <v>14985</v>
      </c>
      <c r="CU31" s="53">
        <f t="shared" si="52"/>
        <v>10014</v>
      </c>
      <c r="CV31" s="53">
        <f t="shared" si="74"/>
        <v>10076</v>
      </c>
      <c r="CW31" s="53">
        <f t="shared" si="59"/>
        <v>10076</v>
      </c>
      <c r="CX31" s="53">
        <f t="shared" ref="CX31:DC32" si="86">CW31</f>
        <v>10076</v>
      </c>
      <c r="CY31" s="53">
        <f t="shared" si="86"/>
        <v>10076</v>
      </c>
      <c r="CZ31" s="53">
        <f t="shared" si="86"/>
        <v>10076</v>
      </c>
      <c r="DA31" s="53">
        <f t="shared" si="86"/>
        <v>10076</v>
      </c>
      <c r="DB31" s="53">
        <f t="shared" si="86"/>
        <v>10076</v>
      </c>
      <c r="DC31" s="53">
        <f t="shared" si="86"/>
        <v>10076</v>
      </c>
      <c r="DD31" s="645"/>
      <c r="DE31" s="29"/>
      <c r="DF31" s="24"/>
      <c r="DG31" s="30"/>
      <c r="DH31" s="30"/>
      <c r="DI31" s="29"/>
      <c r="DJ31" s="29"/>
      <c r="DK31" s="24"/>
      <c r="DL31" s="24"/>
      <c r="DM31" s="24"/>
      <c r="DN31" s="24"/>
      <c r="DO31" s="24"/>
      <c r="DP31" s="24"/>
      <c r="DQ31" s="24"/>
      <c r="DR31" s="24"/>
    </row>
    <row r="32" spans="1:122">
      <c r="A32" s="3"/>
      <c r="B32" s="76"/>
      <c r="C32" s="3" t="s">
        <v>669</v>
      </c>
      <c r="D32" s="3"/>
      <c r="E32" s="97"/>
      <c r="F32" s="780">
        <v>63.764000000000003</v>
      </c>
      <c r="G32" s="780">
        <v>44.335999999999999</v>
      </c>
      <c r="H32" s="780">
        <v>41.07</v>
      </c>
      <c r="I32" s="846">
        <v>15.776999999999999</v>
      </c>
      <c r="J32" s="845">
        <v>11.569000000000001</v>
      </c>
      <c r="K32" s="780">
        <v>5.4370000000000003</v>
      </c>
      <c r="L32" s="780">
        <v>2.1549999999999998</v>
      </c>
      <c r="M32" s="521">
        <v>0</v>
      </c>
      <c r="N32" s="457">
        <v>1.24</v>
      </c>
      <c r="O32" s="457">
        <v>0.86299999999999999</v>
      </c>
      <c r="P32" s="457">
        <v>0.54300000000000004</v>
      </c>
      <c r="Q32" s="521">
        <v>0</v>
      </c>
      <c r="R32" s="457">
        <v>37.9</v>
      </c>
      <c r="S32" s="459">
        <v>1.4</v>
      </c>
      <c r="T32" s="459">
        <v>0</v>
      </c>
      <c r="U32" s="522">
        <v>27.2</v>
      </c>
      <c r="V32" s="459">
        <v>23.4</v>
      </c>
      <c r="W32" s="459">
        <v>19.8</v>
      </c>
      <c r="X32" s="459">
        <v>16.2</v>
      </c>
      <c r="Y32" s="522">
        <v>12.4</v>
      </c>
      <c r="Z32" s="459">
        <v>10.6</v>
      </c>
      <c r="AA32" s="459">
        <v>20.100000000000001</v>
      </c>
      <c r="AB32" s="459">
        <v>17.600000000000001</v>
      </c>
      <c r="AC32" s="522">
        <v>32.5</v>
      </c>
      <c r="AD32" s="459">
        <v>30</v>
      </c>
      <c r="AE32" s="459">
        <v>37</v>
      </c>
      <c r="AF32" s="459">
        <v>48</v>
      </c>
      <c r="AG32" s="522">
        <v>131</v>
      </c>
      <c r="AH32" s="459">
        <v>224</v>
      </c>
      <c r="AI32" s="459">
        <v>213</v>
      </c>
      <c r="AJ32" s="459">
        <v>198</v>
      </c>
      <c r="AK32" s="522">
        <v>279</v>
      </c>
      <c r="AL32" s="459">
        <v>276</v>
      </c>
      <c r="AM32" s="459">
        <v>270</v>
      </c>
      <c r="AN32" s="459">
        <v>269</v>
      </c>
      <c r="AO32" s="522">
        <v>249</v>
      </c>
      <c r="AP32" s="459">
        <v>249</v>
      </c>
      <c r="AQ32" s="459">
        <v>251</v>
      </c>
      <c r="AR32" s="459">
        <v>247</v>
      </c>
      <c r="AS32" s="522">
        <v>215</v>
      </c>
      <c r="AT32" s="459">
        <v>216</v>
      </c>
      <c r="AU32" s="459">
        <v>216</v>
      </c>
      <c r="AV32" s="459">
        <v>211</v>
      </c>
      <c r="AW32" s="522">
        <v>185</v>
      </c>
      <c r="AX32" s="459">
        <v>114</v>
      </c>
      <c r="AY32" s="459">
        <f>63+104</f>
        <v>167</v>
      </c>
      <c r="AZ32" s="459">
        <v>203</v>
      </c>
      <c r="BA32" s="522">
        <f>224+799</f>
        <v>1023</v>
      </c>
      <c r="BB32" s="459">
        <f>746+269</f>
        <v>1015</v>
      </c>
      <c r="BC32" s="459">
        <f>709+200</f>
        <v>909</v>
      </c>
      <c r="BD32" s="459">
        <f>656+174</f>
        <v>830</v>
      </c>
      <c r="BE32" s="522">
        <f>605+179</f>
        <v>784</v>
      </c>
      <c r="BF32" s="459">
        <f>616+240</f>
        <v>856</v>
      </c>
      <c r="BG32" s="459">
        <f>607+323</f>
        <v>930</v>
      </c>
      <c r="BH32" s="1396">
        <f>539+523</f>
        <v>1062</v>
      </c>
      <c r="BI32" s="1449">
        <f>454+473</f>
        <v>927</v>
      </c>
      <c r="BJ32" s="1396">
        <f>406+495</f>
        <v>901</v>
      </c>
      <c r="BK32" s="39">
        <f>359+455</f>
        <v>814</v>
      </c>
      <c r="BL32" s="39">
        <f>400+551</f>
        <v>951</v>
      </c>
      <c r="BM32" s="1449">
        <f>332+601</f>
        <v>933</v>
      </c>
      <c r="BN32" s="1396">
        <f>319+631</f>
        <v>950</v>
      </c>
      <c r="BO32" s="39">
        <f>292+659</f>
        <v>951</v>
      </c>
      <c r="BP32" s="39">
        <f>268+486</f>
        <v>754</v>
      </c>
      <c r="BQ32" s="1449">
        <f>1171+619</f>
        <v>1790</v>
      </c>
      <c r="BR32" s="1380">
        <f>1217+553</f>
        <v>1770</v>
      </c>
      <c r="BS32" s="39">
        <f>4469+575+1082</f>
        <v>6126</v>
      </c>
      <c r="BT32" s="39">
        <f>1291+4144+589</f>
        <v>6024</v>
      </c>
      <c r="BU32" s="1449">
        <f>1340+3823+594</f>
        <v>5757</v>
      </c>
      <c r="BV32" s="1380">
        <f>1462+3545+557</f>
        <v>5564</v>
      </c>
      <c r="BW32" s="1380">
        <f>1845+3230+522</f>
        <v>5597</v>
      </c>
      <c r="BX32" s="610">
        <f t="shared" si="84"/>
        <v>5597</v>
      </c>
      <c r="BY32" s="611">
        <f t="shared" si="84"/>
        <v>5597</v>
      </c>
      <c r="BZ32" s="656">
        <f t="shared" si="85"/>
        <v>5597</v>
      </c>
      <c r="CA32" s="610">
        <f t="shared" si="85"/>
        <v>5597</v>
      </c>
      <c r="CB32" s="610">
        <f t="shared" si="85"/>
        <v>5597</v>
      </c>
      <c r="CC32" s="611">
        <f t="shared" si="85"/>
        <v>5597</v>
      </c>
      <c r="CD32" s="47"/>
      <c r="CE32" s="1145">
        <f t="shared" si="40"/>
        <v>15.776999999999999</v>
      </c>
      <c r="CF32" s="53">
        <f>M32</f>
        <v>0</v>
      </c>
      <c r="CG32" s="53">
        <f>Q32</f>
        <v>0</v>
      </c>
      <c r="CH32" s="53">
        <f>U32</f>
        <v>27.2</v>
      </c>
      <c r="CI32" s="138">
        <f>Y32</f>
        <v>12.4</v>
      </c>
      <c r="CJ32" s="138">
        <f t="shared" si="45"/>
        <v>32.5</v>
      </c>
      <c r="CK32" s="138">
        <f>AG32</f>
        <v>131</v>
      </c>
      <c r="CL32" s="138">
        <f>AK32</f>
        <v>279</v>
      </c>
      <c r="CM32" s="138">
        <f>AO32</f>
        <v>249</v>
      </c>
      <c r="CN32" s="138">
        <f>AS32</f>
        <v>215</v>
      </c>
      <c r="CO32" s="610">
        <f t="shared" si="55"/>
        <v>185</v>
      </c>
      <c r="CP32" s="610">
        <f t="shared" si="56"/>
        <v>1023</v>
      </c>
      <c r="CQ32" s="610">
        <f t="shared" si="57"/>
        <v>784</v>
      </c>
      <c r="CR32" s="656">
        <f t="shared" si="58"/>
        <v>927</v>
      </c>
      <c r="CS32" s="610">
        <f t="shared" si="50"/>
        <v>933</v>
      </c>
      <c r="CT32" s="53">
        <f t="shared" si="51"/>
        <v>1790</v>
      </c>
      <c r="CU32" s="53">
        <f t="shared" si="52"/>
        <v>5757</v>
      </c>
      <c r="CV32" s="53">
        <f t="shared" si="74"/>
        <v>5597</v>
      </c>
      <c r="CW32" s="53">
        <f t="shared" si="59"/>
        <v>5597</v>
      </c>
      <c r="CX32" s="53">
        <f t="shared" si="86"/>
        <v>5597</v>
      </c>
      <c r="CY32" s="53">
        <f t="shared" si="86"/>
        <v>5597</v>
      </c>
      <c r="CZ32" s="53">
        <f t="shared" si="86"/>
        <v>5597</v>
      </c>
      <c r="DA32" s="53">
        <f t="shared" si="86"/>
        <v>5597</v>
      </c>
      <c r="DB32" s="53">
        <f t="shared" si="86"/>
        <v>5597</v>
      </c>
      <c r="DC32" s="53">
        <f t="shared" si="86"/>
        <v>5597</v>
      </c>
      <c r="DD32" s="645"/>
      <c r="DE32" s="29"/>
      <c r="DF32" s="24"/>
      <c r="DG32" s="29"/>
      <c r="DH32" s="29"/>
      <c r="DI32" s="29"/>
      <c r="DJ32" s="29"/>
      <c r="DK32" s="24"/>
      <c r="DL32" s="24"/>
      <c r="DM32" s="24"/>
      <c r="DN32" s="24"/>
      <c r="DO32" s="24"/>
      <c r="DP32" s="24"/>
      <c r="DQ32" s="24"/>
      <c r="DR32" s="24"/>
    </row>
    <row r="33" spans="1:122">
      <c r="A33" s="3"/>
      <c r="B33" s="70" t="s">
        <v>39</v>
      </c>
      <c r="C33" s="4"/>
      <c r="D33" s="4"/>
      <c r="E33" s="109"/>
      <c r="F33" s="505">
        <f t="shared" ref="F33:AZ33" si="87">SUM(F30:F32,F22)</f>
        <v>562.72700000000009</v>
      </c>
      <c r="G33" s="505">
        <f t="shared" si="87"/>
        <v>590.93700000000013</v>
      </c>
      <c r="H33" s="505">
        <f t="shared" si="87"/>
        <v>545.14099999999996</v>
      </c>
      <c r="I33" s="506">
        <f t="shared" si="87"/>
        <v>507.65199999999999</v>
      </c>
      <c r="J33" s="505">
        <f t="shared" si="87"/>
        <v>619.44500000000005</v>
      </c>
      <c r="K33" s="505">
        <f t="shared" si="87"/>
        <v>635.649</v>
      </c>
      <c r="L33" s="505">
        <f t="shared" si="87"/>
        <v>637.45800000000008</v>
      </c>
      <c r="M33" s="506">
        <f t="shared" si="87"/>
        <v>636.68000000000006</v>
      </c>
      <c r="N33" s="505">
        <f t="shared" si="87"/>
        <v>688.38700000000006</v>
      </c>
      <c r="O33" s="505">
        <f t="shared" si="87"/>
        <v>807.41100000000006</v>
      </c>
      <c r="P33" s="505">
        <f t="shared" si="87"/>
        <v>784.54000000000008</v>
      </c>
      <c r="Q33" s="506">
        <f t="shared" si="87"/>
        <v>866.2</v>
      </c>
      <c r="R33" s="505">
        <f t="shared" si="87"/>
        <v>1001.6</v>
      </c>
      <c r="S33" s="505">
        <f t="shared" si="87"/>
        <v>1115.8</v>
      </c>
      <c r="T33" s="505">
        <f t="shared" si="87"/>
        <v>1107.1000000000001</v>
      </c>
      <c r="U33" s="506">
        <f t="shared" si="87"/>
        <v>1159.2</v>
      </c>
      <c r="V33" s="505">
        <f t="shared" si="87"/>
        <v>1295</v>
      </c>
      <c r="W33" s="505">
        <f t="shared" si="87"/>
        <v>1368.7</v>
      </c>
      <c r="X33" s="505">
        <f t="shared" si="87"/>
        <v>1490.1</v>
      </c>
      <c r="Y33" s="506">
        <f t="shared" si="87"/>
        <v>1588.6</v>
      </c>
      <c r="Z33" s="602">
        <f>SUM(Z30:Z32,Z22)</f>
        <v>1700.4999999999998</v>
      </c>
      <c r="AA33" s="602">
        <f t="shared" si="87"/>
        <v>1778.3999999999999</v>
      </c>
      <c r="AB33" s="602">
        <f t="shared" si="87"/>
        <v>1931.6999999999998</v>
      </c>
      <c r="AC33" s="506">
        <f>SUM(AC30:AC32,AC22)</f>
        <v>2073.3000000000002</v>
      </c>
      <c r="AD33" s="505">
        <f t="shared" si="87"/>
        <v>2325</v>
      </c>
      <c r="AE33" s="505">
        <f t="shared" si="87"/>
        <v>2540</v>
      </c>
      <c r="AF33" s="505">
        <f>SUM(AF30:AF32,AF22)</f>
        <v>2653</v>
      </c>
      <c r="AG33" s="506">
        <f t="shared" si="87"/>
        <v>2901</v>
      </c>
      <c r="AH33" s="505">
        <f t="shared" si="87"/>
        <v>4374</v>
      </c>
      <c r="AI33" s="602">
        <f t="shared" si="87"/>
        <v>4600</v>
      </c>
      <c r="AJ33" s="505">
        <f t="shared" si="87"/>
        <v>4543</v>
      </c>
      <c r="AK33" s="506">
        <f t="shared" si="87"/>
        <v>4875</v>
      </c>
      <c r="AL33" s="505">
        <f t="shared" si="87"/>
        <v>5092</v>
      </c>
      <c r="AM33" s="505">
        <f t="shared" si="87"/>
        <v>4971</v>
      </c>
      <c r="AN33" s="505">
        <f t="shared" si="87"/>
        <v>4992</v>
      </c>
      <c r="AO33" s="506">
        <f t="shared" si="87"/>
        <v>5291</v>
      </c>
      <c r="AP33" s="505">
        <f t="shared" si="87"/>
        <v>5849</v>
      </c>
      <c r="AQ33" s="505">
        <f t="shared" si="87"/>
        <v>6585</v>
      </c>
      <c r="AR33" s="505">
        <f t="shared" si="87"/>
        <v>7000</v>
      </c>
      <c r="AS33" s="506">
        <f t="shared" si="87"/>
        <v>7328</v>
      </c>
      <c r="AT33" s="505">
        <f t="shared" si="87"/>
        <v>7655</v>
      </c>
      <c r="AU33" s="505">
        <f>SUM(AU30:AU32,AU22)</f>
        <v>7843</v>
      </c>
      <c r="AV33" s="505">
        <f t="shared" si="87"/>
        <v>7839</v>
      </c>
      <c r="AW33" s="506">
        <f t="shared" si="87"/>
        <v>8118</v>
      </c>
      <c r="AX33" s="505">
        <f>SUM(AX30:AX32,AX22)</f>
        <v>8467</v>
      </c>
      <c r="AY33" s="505">
        <f t="shared" si="87"/>
        <v>7807</v>
      </c>
      <c r="AZ33" s="505">
        <f t="shared" si="87"/>
        <v>14510</v>
      </c>
      <c r="BA33" s="506">
        <f t="shared" ref="BA33:BL33" si="88">SUM(BA30:BA32,BA22)</f>
        <v>14206</v>
      </c>
      <c r="BB33" s="505">
        <f t="shared" si="88"/>
        <v>14172</v>
      </c>
      <c r="BC33" s="505">
        <f t="shared" si="88"/>
        <v>13929</v>
      </c>
      <c r="BD33" s="505">
        <f t="shared" si="88"/>
        <v>13927</v>
      </c>
      <c r="BE33" s="506">
        <f>SUM(BE30:BE32,BE22)</f>
        <v>14036</v>
      </c>
      <c r="BF33" s="505">
        <f>SUM(BF30:BF32,BF22)</f>
        <v>14806</v>
      </c>
      <c r="BG33" s="505">
        <f t="shared" si="88"/>
        <v>15282</v>
      </c>
      <c r="BH33" s="505">
        <f t="shared" si="88"/>
        <v>15332</v>
      </c>
      <c r="BI33" s="506">
        <f t="shared" si="88"/>
        <v>15499</v>
      </c>
      <c r="BJ33" s="505">
        <f t="shared" ref="BJ33:BQ33" si="89">SUM(BJ30:BJ32,BJ22)</f>
        <v>15652</v>
      </c>
      <c r="BK33" s="505">
        <f t="shared" si="88"/>
        <v>15139</v>
      </c>
      <c r="BL33" s="505">
        <f t="shared" si="88"/>
        <v>15176</v>
      </c>
      <c r="BM33" s="506">
        <f t="shared" si="89"/>
        <v>15181</v>
      </c>
      <c r="BN33" s="505">
        <f>SUM(BN30:BN32,BN22)</f>
        <v>15261</v>
      </c>
      <c r="BO33" s="505">
        <f t="shared" si="89"/>
        <v>15466</v>
      </c>
      <c r="BP33" s="505">
        <f t="shared" si="89"/>
        <v>14947</v>
      </c>
      <c r="BQ33" s="506">
        <f t="shared" si="89"/>
        <v>32862</v>
      </c>
      <c r="BR33" s="507">
        <f t="shared" ref="BR33:BY33" si="90">SUM(BR30:BR32,BR22)</f>
        <v>29010</v>
      </c>
      <c r="BS33" s="505">
        <f t="shared" si="90"/>
        <v>28975</v>
      </c>
      <c r="BT33" s="505">
        <f t="shared" si="90"/>
        <v>29448</v>
      </c>
      <c r="BU33" s="506">
        <f t="shared" si="90"/>
        <v>29860</v>
      </c>
      <c r="BV33" s="507">
        <f t="shared" si="90"/>
        <v>30505</v>
      </c>
      <c r="BW33" s="505">
        <f t="shared" ref="BW33" si="91">SUM(BW30:BW32,BW22)</f>
        <v>29840</v>
      </c>
      <c r="BX33" s="505">
        <f t="shared" si="90"/>
        <v>28990.654944957987</v>
      </c>
      <c r="BY33" s="506">
        <f t="shared" si="90"/>
        <v>29381.329601921934</v>
      </c>
      <c r="BZ33" s="507">
        <f>SUM(BZ30:BZ32,BZ22)</f>
        <v>30165.460049314388</v>
      </c>
      <c r="CA33" s="505">
        <f>SUM(CA30:CA32,CA22)</f>
        <v>30447.186257268491</v>
      </c>
      <c r="CB33" s="505">
        <f>SUM(CB30:CB32,CB22)</f>
        <v>30004.390278698032</v>
      </c>
      <c r="CC33" s="506">
        <f>SUM(CC30:CC32,CC22)</f>
        <v>29636.157831962606</v>
      </c>
      <c r="CD33" s="47"/>
      <c r="CE33" s="918">
        <f t="shared" ref="CE33:CP33" si="92">SUM(CE30:CE32,CE22)</f>
        <v>507.65199999999999</v>
      </c>
      <c r="CF33" s="505">
        <f t="shared" si="92"/>
        <v>636.68000000000006</v>
      </c>
      <c r="CG33" s="505">
        <f t="shared" si="92"/>
        <v>866.2</v>
      </c>
      <c r="CH33" s="505">
        <f t="shared" si="92"/>
        <v>1159.2</v>
      </c>
      <c r="CI33" s="505">
        <f t="shared" si="92"/>
        <v>1588.6</v>
      </c>
      <c r="CJ33" s="505">
        <f>SUM(CJ30:CJ32,CJ22)</f>
        <v>2073.3000000000002</v>
      </c>
      <c r="CK33" s="505">
        <f t="shared" si="92"/>
        <v>2901</v>
      </c>
      <c r="CL33" s="505">
        <f t="shared" si="92"/>
        <v>4875</v>
      </c>
      <c r="CM33" s="505">
        <f t="shared" si="92"/>
        <v>5291</v>
      </c>
      <c r="CN33" s="505">
        <f t="shared" si="92"/>
        <v>7328</v>
      </c>
      <c r="CO33" s="505">
        <f t="shared" si="92"/>
        <v>8118</v>
      </c>
      <c r="CP33" s="505">
        <f t="shared" si="92"/>
        <v>14206</v>
      </c>
      <c r="CQ33" s="505">
        <f t="shared" ref="CQ33:CV33" si="93">SUM(CQ30:CQ32,CQ22)</f>
        <v>14036</v>
      </c>
      <c r="CR33" s="507">
        <f t="shared" si="93"/>
        <v>15499</v>
      </c>
      <c r="CS33" s="505">
        <f t="shared" si="93"/>
        <v>15181</v>
      </c>
      <c r="CT33" s="505">
        <f t="shared" si="93"/>
        <v>32862</v>
      </c>
      <c r="CU33" s="505">
        <f t="shared" si="93"/>
        <v>29860</v>
      </c>
      <c r="CV33" s="505">
        <f t="shared" si="93"/>
        <v>29381.329601921934</v>
      </c>
      <c r="CW33" s="505">
        <f t="shared" ref="CW33:DC33" si="94">SUM(CW30:CW32,CW22)</f>
        <v>29636.157831962606</v>
      </c>
      <c r="CX33" s="505">
        <f t="shared" si="94"/>
        <v>31096.632266526605</v>
      </c>
      <c r="CY33" s="505">
        <f t="shared" si="94"/>
        <v>32544.032222363483</v>
      </c>
      <c r="CZ33" s="505">
        <f t="shared" si="94"/>
        <v>34174.319953125778</v>
      </c>
      <c r="DA33" s="505">
        <f t="shared" si="94"/>
        <v>35910.071804732637</v>
      </c>
      <c r="DB33" s="505">
        <f t="shared" si="94"/>
        <v>37906.488558805708</v>
      </c>
      <c r="DC33" s="505">
        <f t="shared" si="94"/>
        <v>40192.8577203073</v>
      </c>
      <c r="DD33" s="506"/>
      <c r="DE33" s="29"/>
      <c r="DF33" s="31"/>
      <c r="DG33" s="30"/>
      <c r="DH33" s="30"/>
      <c r="DI33" s="30"/>
      <c r="DJ33" s="30"/>
      <c r="DK33" s="31"/>
      <c r="DL33" s="31"/>
      <c r="DM33" s="31"/>
      <c r="DN33" s="31"/>
      <c r="DO33" s="31"/>
      <c r="DP33" s="31"/>
      <c r="DQ33" s="31"/>
      <c r="DR33" s="31"/>
    </row>
    <row r="34" spans="1:122" ht="4.5" customHeight="1">
      <c r="A34" s="3"/>
      <c r="B34" s="76"/>
      <c r="C34" s="96"/>
      <c r="D34" s="96"/>
      <c r="E34" s="97"/>
      <c r="F34" s="780"/>
      <c r="G34" s="780"/>
      <c r="H34" s="780"/>
      <c r="I34" s="846"/>
      <c r="J34" s="845"/>
      <c r="K34" s="780"/>
      <c r="L34" s="780"/>
      <c r="M34" s="47"/>
      <c r="N34" s="44"/>
      <c r="O34" s="44"/>
      <c r="P34" s="44"/>
      <c r="Q34" s="47"/>
      <c r="R34" s="44"/>
      <c r="S34" s="44"/>
      <c r="T34" s="44"/>
      <c r="U34" s="47"/>
      <c r="V34" s="44"/>
      <c r="W34" s="44"/>
      <c r="X34" s="44"/>
      <c r="Y34" s="47"/>
      <c r="Z34" s="39"/>
      <c r="AA34" s="39"/>
      <c r="AB34" s="39"/>
      <c r="AC34" s="47"/>
      <c r="AD34" s="46"/>
      <c r="AE34" s="46"/>
      <c r="AF34" s="44"/>
      <c r="AG34" s="47"/>
      <c r="AH34" s="46"/>
      <c r="AI34" s="39"/>
      <c r="AJ34" s="44"/>
      <c r="AK34" s="65"/>
      <c r="AL34" s="44"/>
      <c r="AM34" s="44"/>
      <c r="AN34" s="44"/>
      <c r="AO34" s="65"/>
      <c r="AP34" s="44"/>
      <c r="AQ34" s="44"/>
      <c r="AR34" s="44"/>
      <c r="AS34" s="65"/>
      <c r="AT34" s="44"/>
      <c r="AU34" s="44"/>
      <c r="AV34" s="44"/>
      <c r="AW34" s="65"/>
      <c r="AX34" s="44"/>
      <c r="AY34" s="44"/>
      <c r="AZ34" s="44"/>
      <c r="BA34" s="65"/>
      <c r="BB34" s="44"/>
      <c r="BC34" s="44"/>
      <c r="BD34" s="44"/>
      <c r="BE34" s="65"/>
      <c r="BF34" s="44"/>
      <c r="BG34" s="44"/>
      <c r="BH34" s="44"/>
      <c r="BI34" s="65"/>
      <c r="BJ34" s="44"/>
      <c r="BK34" s="44"/>
      <c r="BL34" s="44"/>
      <c r="BM34" s="65"/>
      <c r="BN34" s="40"/>
      <c r="BO34" s="44"/>
      <c r="BP34" s="44"/>
      <c r="BQ34" s="65"/>
      <c r="BR34" s="40"/>
      <c r="BS34" s="44"/>
      <c r="BT34" s="44"/>
      <c r="BU34" s="65"/>
      <c r="BV34" s="40"/>
      <c r="BW34" s="44"/>
      <c r="BX34" s="44"/>
      <c r="BY34" s="65"/>
      <c r="BZ34" s="40"/>
      <c r="CA34" s="44"/>
      <c r="CB34" s="44"/>
      <c r="CC34" s="65"/>
      <c r="CD34" s="47"/>
      <c r="CE34" s="1145">
        <f>I34</f>
        <v>0</v>
      </c>
      <c r="CF34" s="53">
        <f>M34</f>
        <v>0</v>
      </c>
      <c r="CG34" s="53">
        <f>Q34</f>
        <v>0</v>
      </c>
      <c r="CH34" s="53">
        <f>U34</f>
        <v>0</v>
      </c>
      <c r="CI34" s="138">
        <f>Y34</f>
        <v>0</v>
      </c>
      <c r="CJ34" s="138">
        <f>AC34</f>
        <v>0</v>
      </c>
      <c r="CK34" s="138">
        <f>AG34</f>
        <v>0</v>
      </c>
      <c r="CL34" s="138">
        <f>AK34</f>
        <v>0</v>
      </c>
      <c r="CM34" s="138">
        <f>AO34</f>
        <v>0</v>
      </c>
      <c r="CN34" s="138">
        <f>AS34</f>
        <v>0</v>
      </c>
      <c r="CO34" s="138"/>
      <c r="CP34" s="138"/>
      <c r="CQ34" s="138"/>
      <c r="CR34" s="169"/>
      <c r="CS34" s="138">
        <f>BM34</f>
        <v>0</v>
      </c>
      <c r="CT34" s="138">
        <f>BN34</f>
        <v>0</v>
      </c>
      <c r="CU34" s="138">
        <f>BO34</f>
        <v>0</v>
      </c>
      <c r="CV34" s="138"/>
      <c r="CW34" s="138"/>
      <c r="CX34" s="138"/>
      <c r="CY34" s="138"/>
      <c r="CZ34" s="138"/>
      <c r="DA34" s="138"/>
      <c r="DB34" s="138"/>
      <c r="DC34" s="138"/>
      <c r="DD34" s="164"/>
      <c r="DE34" s="24"/>
      <c r="DF34" s="24"/>
      <c r="DG34" s="30"/>
      <c r="DH34" s="30"/>
      <c r="DI34" s="29"/>
      <c r="DJ34" s="29"/>
      <c r="DK34" s="24"/>
      <c r="DL34" s="24"/>
      <c r="DM34" s="24"/>
      <c r="DN34" s="24"/>
      <c r="DO34" s="24"/>
      <c r="DP34" s="24"/>
      <c r="DQ34" s="24"/>
      <c r="DR34" s="24"/>
    </row>
    <row r="35" spans="1:122">
      <c r="A35" s="3"/>
      <c r="B35" s="256" t="s">
        <v>276</v>
      </c>
      <c r="C35" s="3"/>
      <c r="D35" s="3"/>
      <c r="E35" s="139"/>
      <c r="F35" s="44"/>
      <c r="G35" s="44"/>
      <c r="H35" s="44"/>
      <c r="I35" s="47"/>
      <c r="J35" s="40"/>
      <c r="K35" s="44"/>
      <c r="L35" s="44"/>
      <c r="M35" s="47"/>
      <c r="N35" s="44"/>
      <c r="O35" s="44"/>
      <c r="P35" s="44"/>
      <c r="Q35" s="47"/>
      <c r="R35" s="44"/>
      <c r="S35" s="44"/>
      <c r="T35" s="44"/>
      <c r="U35" s="47"/>
      <c r="V35" s="44"/>
      <c r="W35" s="44"/>
      <c r="X35" s="44"/>
      <c r="Y35" s="47"/>
      <c r="Z35" s="39"/>
      <c r="AA35" s="39"/>
      <c r="AB35" s="39"/>
      <c r="AC35" s="47"/>
      <c r="AD35" s="46"/>
      <c r="AE35" s="46"/>
      <c r="AF35" s="44"/>
      <c r="AG35" s="47"/>
      <c r="AH35" s="46"/>
      <c r="AI35" s="39"/>
      <c r="AJ35" s="44"/>
      <c r="AK35" s="65"/>
      <c r="AL35" s="44"/>
      <c r="AM35" s="44"/>
      <c r="AN35" s="44"/>
      <c r="AO35" s="65"/>
      <c r="AP35" s="44"/>
      <c r="AQ35" s="44"/>
      <c r="AR35" s="44"/>
      <c r="AS35" s="65"/>
      <c r="AT35" s="44"/>
      <c r="AU35" s="44"/>
      <c r="AV35" s="44"/>
      <c r="AW35" s="65"/>
      <c r="AX35" s="44"/>
      <c r="AY35" s="44"/>
      <c r="AZ35" s="44"/>
      <c r="BA35" s="65"/>
      <c r="BB35" s="44"/>
      <c r="BC35" s="44"/>
      <c r="BD35" s="44"/>
      <c r="BE35" s="65"/>
      <c r="BF35" s="44"/>
      <c r="BG35" s="44"/>
      <c r="BH35" s="44"/>
      <c r="BI35" s="65"/>
      <c r="BJ35" s="44"/>
      <c r="BK35" s="44"/>
      <c r="BL35" s="44"/>
      <c r="BM35" s="65"/>
      <c r="BN35" s="40"/>
      <c r="BO35" s="44"/>
      <c r="BP35" s="44"/>
      <c r="BQ35" s="65"/>
      <c r="BR35" s="40"/>
      <c r="BS35" s="44"/>
      <c r="BT35" s="44"/>
      <c r="BU35" s="65"/>
      <c r="BV35" s="40"/>
      <c r="BW35" s="44"/>
      <c r="BX35" s="44"/>
      <c r="BY35" s="65"/>
      <c r="BZ35" s="40"/>
      <c r="CA35" s="44"/>
      <c r="CB35" s="44"/>
      <c r="CC35" s="65"/>
      <c r="CD35" s="47"/>
      <c r="CE35" s="1147"/>
      <c r="CF35" s="39"/>
      <c r="CG35" s="39"/>
      <c r="CH35" s="39"/>
      <c r="CI35" s="46"/>
      <c r="CJ35" s="46"/>
      <c r="CK35" s="46"/>
      <c r="CL35" s="46"/>
      <c r="CM35" s="46"/>
      <c r="CN35" s="46"/>
      <c r="CO35" s="46"/>
      <c r="CP35" s="46"/>
      <c r="CQ35" s="46"/>
      <c r="CR35" s="46"/>
      <c r="CS35" s="46"/>
      <c r="CT35" s="46"/>
      <c r="CU35" s="46"/>
      <c r="CV35" s="46"/>
      <c r="CW35" s="46"/>
      <c r="CX35" s="46"/>
      <c r="CY35" s="46"/>
      <c r="CZ35" s="46"/>
      <c r="DA35" s="46"/>
      <c r="DB35" s="46"/>
      <c r="DC35" s="46"/>
      <c r="DD35" s="47"/>
      <c r="DE35" s="24"/>
      <c r="DF35" s="24"/>
      <c r="DG35" s="30"/>
      <c r="DH35" s="30"/>
      <c r="DI35" s="29"/>
      <c r="DJ35" s="29"/>
      <c r="DK35" s="24"/>
      <c r="DL35" s="24"/>
      <c r="DM35" s="24"/>
      <c r="DN35" s="24"/>
      <c r="DO35" s="24"/>
      <c r="DP35" s="24"/>
      <c r="DQ35" s="24"/>
      <c r="DR35" s="24"/>
    </row>
    <row r="36" spans="1:122">
      <c r="A36" s="3"/>
      <c r="B36" s="256"/>
      <c r="C36" s="4" t="s">
        <v>620</v>
      </c>
      <c r="D36" s="3"/>
      <c r="E36" s="139"/>
      <c r="F36" s="44"/>
      <c r="G36" s="703"/>
      <c r="H36" s="44"/>
      <c r="I36" s="47"/>
      <c r="J36" s="40"/>
      <c r="K36" s="703"/>
      <c r="L36" s="44"/>
      <c r="M36" s="47"/>
      <c r="N36" s="44"/>
      <c r="O36" s="703"/>
      <c r="P36" s="44"/>
      <c r="Q36" s="47"/>
      <c r="R36" s="44"/>
      <c r="S36" s="703"/>
      <c r="T36" s="44"/>
      <c r="U36" s="47"/>
      <c r="V36" s="44"/>
      <c r="W36" s="703"/>
      <c r="X36" s="44"/>
      <c r="Y36" s="47"/>
      <c r="Z36" s="39"/>
      <c r="AA36" s="39"/>
      <c r="AB36" s="39"/>
      <c r="AC36" s="47"/>
      <c r="AD36" s="46"/>
      <c r="AE36" s="46"/>
      <c r="AF36" s="44"/>
      <c r="AG36" s="47"/>
      <c r="AH36" s="46"/>
      <c r="AI36" s="39"/>
      <c r="AJ36" s="44"/>
      <c r="AK36" s="65"/>
      <c r="AL36" s="44"/>
      <c r="AM36" s="44"/>
      <c r="AN36" s="44"/>
      <c r="AO36" s="65"/>
      <c r="AP36" s="44"/>
      <c r="AQ36" s="44"/>
      <c r="AR36" s="44"/>
      <c r="AS36" s="65"/>
      <c r="AT36" s="44"/>
      <c r="AU36" s="44"/>
      <c r="AV36" s="44"/>
      <c r="AW36" s="65"/>
      <c r="AX36" s="44"/>
      <c r="AY36" s="44"/>
      <c r="AZ36" s="44"/>
      <c r="BA36" s="65"/>
      <c r="BB36" s="44"/>
      <c r="BC36" s="44"/>
      <c r="BD36" s="44"/>
      <c r="BE36" s="65"/>
      <c r="BF36" s="44"/>
      <c r="BG36" s="44"/>
      <c r="BH36" s="44"/>
      <c r="BI36" s="65"/>
      <c r="BJ36" s="44"/>
      <c r="BK36" s="44"/>
      <c r="BL36" s="44"/>
      <c r="BM36" s="65"/>
      <c r="BN36" s="40"/>
      <c r="BO36" s="44"/>
      <c r="BP36" s="44"/>
      <c r="BQ36" s="65"/>
      <c r="BR36" s="40"/>
      <c r="BS36" s="44"/>
      <c r="BT36" s="44"/>
      <c r="BU36" s="65"/>
      <c r="BV36" s="40"/>
      <c r="BW36" s="44"/>
      <c r="BX36" s="44"/>
      <c r="BY36" s="65"/>
      <c r="BZ36" s="40"/>
      <c r="CA36" s="44"/>
      <c r="CB36" s="44"/>
      <c r="CC36" s="65"/>
      <c r="CD36" s="47"/>
      <c r="CE36" s="1147"/>
      <c r="CF36" s="39"/>
      <c r="CG36" s="39"/>
      <c r="CH36" s="39"/>
      <c r="CI36" s="46"/>
      <c r="CJ36" s="46"/>
      <c r="CK36" s="39"/>
      <c r="CL36" s="46"/>
      <c r="CM36" s="46"/>
      <c r="CN36" s="46"/>
      <c r="CO36" s="46"/>
      <c r="CP36" s="46"/>
      <c r="CQ36" s="46"/>
      <c r="CR36" s="969"/>
      <c r="CS36" s="46"/>
      <c r="CT36" s="46"/>
      <c r="CU36" s="46"/>
      <c r="CV36" s="46"/>
      <c r="CW36" s="46"/>
      <c r="CX36" s="46"/>
      <c r="CY36" s="46"/>
      <c r="CZ36" s="46"/>
      <c r="DA36" s="46"/>
      <c r="DB36" s="46"/>
      <c r="DC36" s="46"/>
      <c r="DD36" s="47"/>
      <c r="DE36" s="24"/>
      <c r="DF36" s="24"/>
      <c r="DG36" s="30"/>
      <c r="DH36" s="30"/>
      <c r="DI36" s="29"/>
      <c r="DJ36" s="29"/>
      <c r="DK36" s="24"/>
      <c r="DL36" s="24"/>
      <c r="DM36" s="24"/>
      <c r="DN36" s="24"/>
      <c r="DO36" s="24"/>
      <c r="DP36" s="24"/>
      <c r="DQ36" s="24"/>
      <c r="DR36" s="24"/>
    </row>
    <row r="37" spans="1:122">
      <c r="A37" s="3"/>
      <c r="B37" s="76"/>
      <c r="C37" s="3"/>
      <c r="D37" s="96" t="s">
        <v>106</v>
      </c>
      <c r="E37" s="97"/>
      <c r="F37" s="780">
        <v>236.471</v>
      </c>
      <c r="G37" s="780">
        <v>263.00099999999998</v>
      </c>
      <c r="H37" s="780">
        <v>234.851</v>
      </c>
      <c r="I37" s="846">
        <v>224.54400000000001</v>
      </c>
      <c r="J37" s="845">
        <v>319.01499999999999</v>
      </c>
      <c r="K37" s="780">
        <v>323.33</v>
      </c>
      <c r="L37" s="780">
        <v>316.93200000000002</v>
      </c>
      <c r="M37" s="521">
        <v>302.99799999999999</v>
      </c>
      <c r="N37" s="457">
        <v>344.38900000000001</v>
      </c>
      <c r="O37" s="457">
        <v>352.24900000000002</v>
      </c>
      <c r="P37" s="457">
        <v>348.33199999999999</v>
      </c>
      <c r="Q37" s="521">
        <v>352.3</v>
      </c>
      <c r="R37" s="457">
        <v>402.6</v>
      </c>
      <c r="S37" s="459">
        <v>471.7</v>
      </c>
      <c r="T37" s="459">
        <v>420.5</v>
      </c>
      <c r="U37" s="522">
        <v>434.9</v>
      </c>
      <c r="V37" s="459">
        <v>535.6</v>
      </c>
      <c r="W37" s="459">
        <v>521.5</v>
      </c>
      <c r="X37" s="459">
        <v>551</v>
      </c>
      <c r="Y37" s="522">
        <v>569.1</v>
      </c>
      <c r="Z37" s="459">
        <v>648.1</v>
      </c>
      <c r="AA37" s="459">
        <v>580.20000000000005</v>
      </c>
      <c r="AB37" s="459">
        <v>597.4</v>
      </c>
      <c r="AC37" s="522">
        <v>631.79999999999995</v>
      </c>
      <c r="AD37" s="459">
        <v>750</v>
      </c>
      <c r="AE37" s="459">
        <v>816</v>
      </c>
      <c r="AF37" s="459">
        <v>851</v>
      </c>
      <c r="AG37" s="522">
        <v>882</v>
      </c>
      <c r="AH37" s="459">
        <v>1106</v>
      </c>
      <c r="AI37" s="39">
        <v>1216</v>
      </c>
      <c r="AJ37" s="39">
        <v>1144</v>
      </c>
      <c r="AK37" s="59">
        <v>1181</v>
      </c>
      <c r="AL37" s="39">
        <v>1215</v>
      </c>
      <c r="AM37" s="39">
        <v>1075</v>
      </c>
      <c r="AN37" s="39">
        <v>1001</v>
      </c>
      <c r="AO37" s="59">
        <v>1101</v>
      </c>
      <c r="AP37" s="39">
        <v>1342</v>
      </c>
      <c r="AQ37" s="39">
        <v>1507</v>
      </c>
      <c r="AR37" s="39">
        <v>1508</v>
      </c>
      <c r="AS37" s="59">
        <v>1507</v>
      </c>
      <c r="AT37" s="39">
        <v>1703</v>
      </c>
      <c r="AU37" s="39">
        <v>1628</v>
      </c>
      <c r="AV37" s="39">
        <v>1486</v>
      </c>
      <c r="AW37" s="59">
        <v>1545</v>
      </c>
      <c r="AX37" s="39">
        <v>1708</v>
      </c>
      <c r="AY37" s="39">
        <v>883</v>
      </c>
      <c r="AZ37" s="39">
        <v>2774</v>
      </c>
      <c r="BA37" s="59">
        <v>2773</v>
      </c>
      <c r="BB37" s="39">
        <v>2545</v>
      </c>
      <c r="BC37" s="39">
        <v>2185</v>
      </c>
      <c r="BD37" s="39">
        <v>2037</v>
      </c>
      <c r="BE37" s="59">
        <v>1990</v>
      </c>
      <c r="BF37" s="39">
        <v>2061</v>
      </c>
      <c r="BG37" s="39">
        <v>2106</v>
      </c>
      <c r="BH37" s="1380">
        <v>1902</v>
      </c>
      <c r="BI37" s="1446">
        <v>1971</v>
      </c>
      <c r="BJ37" s="1380">
        <v>2016</v>
      </c>
      <c r="BK37" s="39">
        <v>2071</v>
      </c>
      <c r="BL37" s="1380">
        <v>2020</v>
      </c>
      <c r="BM37" s="1446">
        <v>1881</v>
      </c>
      <c r="BN37" s="1380">
        <v>1799</v>
      </c>
      <c r="BO37" s="39">
        <f>1806+32</f>
        <v>1838</v>
      </c>
      <c r="BP37" s="1380">
        <v>1571</v>
      </c>
      <c r="BQ37" s="1446">
        <f>1888+168</f>
        <v>2056</v>
      </c>
      <c r="BR37" s="1380">
        <f>1946+190</f>
        <v>2136</v>
      </c>
      <c r="BS37" s="39">
        <f>2012+175</f>
        <v>2187</v>
      </c>
      <c r="BT37" s="39">
        <f>2185+194</f>
        <v>2379</v>
      </c>
      <c r="BU37" s="1446">
        <f>2144+206</f>
        <v>2350</v>
      </c>
      <c r="BV37" s="1380">
        <f>2066+226</f>
        <v>2292</v>
      </c>
      <c r="BW37" s="1380">
        <f>1921+250</f>
        <v>2171</v>
      </c>
      <c r="BX37" s="53">
        <f>IS!BX16*BS!BX120/BS!BX$9</f>
        <v>2270.5895433913042</v>
      </c>
      <c r="BY37" s="645">
        <f>IS!BY16*BS!BY120/BS!BY$9</f>
        <v>2385.4607272650605</v>
      </c>
      <c r="BZ37" s="644">
        <f>IS!BZ16*BS!BZ120/BS!BZ$9</f>
        <v>2531.1985461905861</v>
      </c>
      <c r="CA37" s="53">
        <f>IS!CA16*BS!CA120/BS!CA$9</f>
        <v>2552.2644779152492</v>
      </c>
      <c r="CB37" s="53">
        <f>IS!CB16*BS!CB120/BS!CB$9</f>
        <v>2375.4212957563932</v>
      </c>
      <c r="CC37" s="645">
        <f>IS!CC16*BS!CC120/BS!CC$9</f>
        <v>2066.0793675977479</v>
      </c>
      <c r="CD37" s="47"/>
      <c r="CE37" s="1145">
        <f t="shared" ref="CE37:CE42" si="95">I37</f>
        <v>224.54400000000001</v>
      </c>
      <c r="CF37" s="53">
        <f t="shared" ref="CF37:CF42" si="96">M37</f>
        <v>302.99799999999999</v>
      </c>
      <c r="CG37" s="53">
        <f t="shared" ref="CG37:CG42" si="97">Q37</f>
        <v>352.3</v>
      </c>
      <c r="CH37" s="53">
        <f t="shared" ref="CH37:CH42" si="98">U37</f>
        <v>434.9</v>
      </c>
      <c r="CI37" s="138">
        <f t="shared" ref="CI37:CI42" si="99">Y37</f>
        <v>569.1</v>
      </c>
      <c r="CJ37" s="138">
        <f t="shared" ref="CJ37:CJ42" si="100">AC37</f>
        <v>631.79999999999995</v>
      </c>
      <c r="CK37" s="138">
        <f t="shared" ref="CK37:CK42" si="101">AG37</f>
        <v>882</v>
      </c>
      <c r="CL37" s="138">
        <f t="shared" ref="CL37:CL42" si="102">AK37</f>
        <v>1181</v>
      </c>
      <c r="CM37" s="138">
        <f t="shared" ref="CM37:CM42" si="103">AO37</f>
        <v>1101</v>
      </c>
      <c r="CN37" s="138">
        <f t="shared" ref="CN37:CN42" si="104">AS37</f>
        <v>1507</v>
      </c>
      <c r="CO37" s="136">
        <f t="shared" ref="CO37:CO42" si="105">AW37</f>
        <v>1545</v>
      </c>
      <c r="CP37" s="136">
        <f t="shared" ref="CP37:CP42" si="106">BA37</f>
        <v>2773</v>
      </c>
      <c r="CQ37" s="136">
        <f t="shared" ref="CQ37:CQ42" si="107">BE37</f>
        <v>1990</v>
      </c>
      <c r="CR37" s="655">
        <f t="shared" ref="CR37:CR42" si="108">BI37</f>
        <v>1971</v>
      </c>
      <c r="CS37" s="136">
        <f t="shared" ref="CS37:CS42" si="109">BM37</f>
        <v>1881</v>
      </c>
      <c r="CT37" s="53">
        <f t="shared" ref="CT37:CT42" si="110">BQ37</f>
        <v>2056</v>
      </c>
      <c r="CU37" s="53">
        <f t="shared" ref="CU37:CU42" si="111">BU37</f>
        <v>2350</v>
      </c>
      <c r="CV37" s="53">
        <f t="shared" ref="CV37:CV42" si="112">BY37</f>
        <v>2385.4607272650605</v>
      </c>
      <c r="CW37" s="53">
        <f t="shared" ref="CW37:CW42" si="113">CC37</f>
        <v>2066.0793675977479</v>
      </c>
      <c r="CX37" s="53">
        <f>IS!CX16*BS!CX120/BS!CX$9</f>
        <v>2268.1964260435225</v>
      </c>
      <c r="CY37" s="53">
        <f>IS!CY16*BS!CY120/BS!CY$9</f>
        <v>2403.5423843660978</v>
      </c>
      <c r="CZ37" s="53">
        <f>IS!CZ16*BS!CZ120/BS!CZ$9</f>
        <v>2502.5938063416743</v>
      </c>
      <c r="DA37" s="53">
        <f>IS!DA16*BS!DA120/BS!DA$9</f>
        <v>2636.316618874037</v>
      </c>
      <c r="DB37" s="53">
        <f>IS!DB16*BS!DB120/BS!DB$9</f>
        <v>2786.7303708577915</v>
      </c>
      <c r="DC37" s="53">
        <f>IS!DC16*BS!DC120/BS!DC$9</f>
        <v>2956.2423658771327</v>
      </c>
      <c r="DD37" s="645"/>
      <c r="DE37" s="24"/>
      <c r="DF37" s="24"/>
      <c r="DG37" s="30"/>
      <c r="DH37" s="30"/>
      <c r="DI37" s="29"/>
      <c r="DJ37" s="29"/>
      <c r="DK37" s="24"/>
      <c r="DL37" s="24"/>
      <c r="DM37" s="24"/>
      <c r="DN37" s="24"/>
      <c r="DO37" s="24"/>
      <c r="DP37" s="24"/>
      <c r="DQ37" s="24"/>
      <c r="DR37" s="24"/>
    </row>
    <row r="38" spans="1:122">
      <c r="A38" s="3"/>
      <c r="B38" s="76"/>
      <c r="C38" s="3"/>
      <c r="D38" s="96" t="s">
        <v>373</v>
      </c>
      <c r="E38" s="97"/>
      <c r="F38" s="780"/>
      <c r="G38" s="780"/>
      <c r="H38" s="780"/>
      <c r="I38" s="846"/>
      <c r="J38" s="845"/>
      <c r="K38" s="780"/>
      <c r="L38" s="780"/>
      <c r="M38" s="521"/>
      <c r="N38" s="457"/>
      <c r="O38" s="457"/>
      <c r="P38" s="457"/>
      <c r="Q38" s="521"/>
      <c r="R38" s="457"/>
      <c r="S38" s="459"/>
      <c r="T38" s="459"/>
      <c r="U38" s="522"/>
      <c r="V38" s="459"/>
      <c r="W38" s="459"/>
      <c r="X38" s="459"/>
      <c r="Y38" s="522"/>
      <c r="Z38" s="459"/>
      <c r="AA38" s="459"/>
      <c r="AB38" s="459"/>
      <c r="AC38" s="522"/>
      <c r="AD38" s="459"/>
      <c r="AE38" s="459"/>
      <c r="AF38" s="459"/>
      <c r="AG38" s="522"/>
      <c r="AH38" s="459">
        <v>59</v>
      </c>
      <c r="AI38" s="39">
        <v>51</v>
      </c>
      <c r="AJ38" s="39">
        <v>28</v>
      </c>
      <c r="AK38" s="59">
        <v>0</v>
      </c>
      <c r="AL38" s="39">
        <v>0</v>
      </c>
      <c r="AM38" s="39">
        <v>0</v>
      </c>
      <c r="AN38" s="39">
        <v>0</v>
      </c>
      <c r="AO38" s="59">
        <v>0</v>
      </c>
      <c r="AP38" s="39">
        <v>0</v>
      </c>
      <c r="AQ38" s="39">
        <v>0</v>
      </c>
      <c r="AR38" s="39">
        <v>0</v>
      </c>
      <c r="AS38" s="59">
        <v>0</v>
      </c>
      <c r="AT38" s="39">
        <v>0</v>
      </c>
      <c r="AU38" s="39">
        <v>0</v>
      </c>
      <c r="AV38" s="39">
        <v>0</v>
      </c>
      <c r="AW38" s="59">
        <v>0</v>
      </c>
      <c r="AX38" s="39">
        <v>0</v>
      </c>
      <c r="AY38" s="39">
        <v>0</v>
      </c>
      <c r="AZ38" s="39">
        <v>0</v>
      </c>
      <c r="BA38" s="59">
        <v>0</v>
      </c>
      <c r="BB38" s="39">
        <v>0</v>
      </c>
      <c r="BC38" s="39">
        <v>0</v>
      </c>
      <c r="BD38" s="39">
        <v>0</v>
      </c>
      <c r="BE38" s="59">
        <v>0</v>
      </c>
      <c r="BF38" s="39">
        <v>0</v>
      </c>
      <c r="BG38" s="39">
        <v>0</v>
      </c>
      <c r="BH38" s="1380">
        <v>0</v>
      </c>
      <c r="BI38" s="1446">
        <v>0</v>
      </c>
      <c r="BJ38" s="1380">
        <v>0</v>
      </c>
      <c r="BK38" s="39">
        <f>BJ38</f>
        <v>0</v>
      </c>
      <c r="BL38" s="1380">
        <v>0</v>
      </c>
      <c r="BM38" s="1446">
        <v>0</v>
      </c>
      <c r="BN38" s="1380">
        <v>0</v>
      </c>
      <c r="BO38" s="39">
        <v>0</v>
      </c>
      <c r="BP38" s="1380">
        <v>0</v>
      </c>
      <c r="BQ38" s="1446">
        <v>0</v>
      </c>
      <c r="BR38" s="1380">
        <v>0</v>
      </c>
      <c r="BS38" s="39">
        <v>0</v>
      </c>
      <c r="BT38" s="39">
        <f t="shared" ref="BT38:BY38" si="114">BS38</f>
        <v>0</v>
      </c>
      <c r="BU38" s="1446">
        <v>0</v>
      </c>
      <c r="BV38" s="1380">
        <v>0</v>
      </c>
      <c r="BW38" s="1380">
        <v>0</v>
      </c>
      <c r="BX38" s="53">
        <f t="shared" si="114"/>
        <v>0</v>
      </c>
      <c r="BY38" s="645">
        <f t="shared" si="114"/>
        <v>0</v>
      </c>
      <c r="BZ38" s="644">
        <f>BY38</f>
        <v>0</v>
      </c>
      <c r="CA38" s="53">
        <f>BZ38</f>
        <v>0</v>
      </c>
      <c r="CB38" s="53">
        <f>CA38</f>
        <v>0</v>
      </c>
      <c r="CC38" s="645">
        <f>CB38</f>
        <v>0</v>
      </c>
      <c r="CD38" s="47"/>
      <c r="CE38" s="1145">
        <f t="shared" si="95"/>
        <v>0</v>
      </c>
      <c r="CF38" s="53">
        <f t="shared" si="96"/>
        <v>0</v>
      </c>
      <c r="CG38" s="53">
        <f t="shared" si="97"/>
        <v>0</v>
      </c>
      <c r="CH38" s="53">
        <f t="shared" si="98"/>
        <v>0</v>
      </c>
      <c r="CI38" s="138">
        <f t="shared" si="99"/>
        <v>0</v>
      </c>
      <c r="CJ38" s="138">
        <f t="shared" si="100"/>
        <v>0</v>
      </c>
      <c r="CK38" s="138">
        <f t="shared" si="101"/>
        <v>0</v>
      </c>
      <c r="CL38" s="138">
        <f t="shared" si="102"/>
        <v>0</v>
      </c>
      <c r="CM38" s="138">
        <f t="shared" si="103"/>
        <v>0</v>
      </c>
      <c r="CN38" s="138">
        <f t="shared" si="104"/>
        <v>0</v>
      </c>
      <c r="CO38" s="136">
        <f t="shared" si="105"/>
        <v>0</v>
      </c>
      <c r="CP38" s="136">
        <f t="shared" si="106"/>
        <v>0</v>
      </c>
      <c r="CQ38" s="136">
        <f t="shared" si="107"/>
        <v>0</v>
      </c>
      <c r="CR38" s="644">
        <f t="shared" si="108"/>
        <v>0</v>
      </c>
      <c r="CS38" s="53">
        <f t="shared" si="109"/>
        <v>0</v>
      </c>
      <c r="CT38" s="53">
        <f t="shared" si="110"/>
        <v>0</v>
      </c>
      <c r="CU38" s="53">
        <f t="shared" si="111"/>
        <v>0</v>
      </c>
      <c r="CV38" s="53">
        <f t="shared" si="112"/>
        <v>0</v>
      </c>
      <c r="CW38" s="53">
        <f t="shared" si="113"/>
        <v>0</v>
      </c>
      <c r="CX38" s="53">
        <f t="shared" ref="CX38:DC38" si="115">CW38</f>
        <v>0</v>
      </c>
      <c r="CY38" s="53">
        <f t="shared" si="115"/>
        <v>0</v>
      </c>
      <c r="CZ38" s="53">
        <f t="shared" si="115"/>
        <v>0</v>
      </c>
      <c r="DA38" s="53">
        <f t="shared" si="115"/>
        <v>0</v>
      </c>
      <c r="DB38" s="53">
        <f t="shared" si="115"/>
        <v>0</v>
      </c>
      <c r="DC38" s="53">
        <f t="shared" si="115"/>
        <v>0</v>
      </c>
      <c r="DD38" s="645"/>
      <c r="DE38" s="24"/>
      <c r="DF38" s="24"/>
      <c r="DG38" s="30"/>
      <c r="DH38" s="30"/>
      <c r="DI38" s="29"/>
      <c r="DJ38" s="29"/>
      <c r="DK38" s="24"/>
      <c r="DL38" s="24"/>
      <c r="DM38" s="24"/>
      <c r="DN38" s="24"/>
      <c r="DO38" s="24"/>
      <c r="DP38" s="24"/>
      <c r="DQ38" s="24"/>
      <c r="DR38" s="24"/>
    </row>
    <row r="39" spans="1:122">
      <c r="A39" s="3"/>
      <c r="B39" s="76"/>
      <c r="C39" s="3"/>
      <c r="D39" s="96" t="s">
        <v>107</v>
      </c>
      <c r="E39" s="97"/>
      <c r="F39" s="780">
        <v>113.459</v>
      </c>
      <c r="G39" s="780">
        <v>109.577</v>
      </c>
      <c r="H39" s="780">
        <v>95.132999999999996</v>
      </c>
      <c r="I39" s="846">
        <v>82.741</v>
      </c>
      <c r="J39" s="845">
        <v>111.24</v>
      </c>
      <c r="K39" s="780">
        <v>114.58499999999999</v>
      </c>
      <c r="L39" s="780">
        <v>73.132000000000005</v>
      </c>
      <c r="M39" s="521">
        <v>103.474</v>
      </c>
      <c r="N39" s="457">
        <v>115.89100000000001</v>
      </c>
      <c r="O39" s="457">
        <v>142.048</v>
      </c>
      <c r="P39" s="457">
        <v>132.108</v>
      </c>
      <c r="Q39" s="521">
        <v>112.4</v>
      </c>
      <c r="R39" s="457">
        <v>181.1</v>
      </c>
      <c r="S39" s="459">
        <v>149.69999999999999</v>
      </c>
      <c r="T39" s="459">
        <v>139</v>
      </c>
      <c r="U39" s="522">
        <v>136.80000000000001</v>
      </c>
      <c r="V39" s="459">
        <v>160.30000000000001</v>
      </c>
      <c r="W39" s="459">
        <v>184.8</v>
      </c>
      <c r="X39" s="459">
        <v>188.1</v>
      </c>
      <c r="Y39" s="522">
        <v>229.3</v>
      </c>
      <c r="Z39" s="459">
        <v>110.1</v>
      </c>
      <c r="AA39" s="459">
        <v>135.30000000000001</v>
      </c>
      <c r="AB39" s="459">
        <v>137.9</v>
      </c>
      <c r="AC39" s="522">
        <v>131</v>
      </c>
      <c r="AD39" s="459">
        <v>128</v>
      </c>
      <c r="AE39" s="459">
        <v>140</v>
      </c>
      <c r="AF39" s="459">
        <v>125</v>
      </c>
      <c r="AG39" s="522">
        <v>163</v>
      </c>
      <c r="AH39" s="459">
        <v>211</v>
      </c>
      <c r="AI39" s="39">
        <v>234</v>
      </c>
      <c r="AJ39" s="44">
        <v>226</v>
      </c>
      <c r="AK39" s="65">
        <v>266</v>
      </c>
      <c r="AL39" s="44">
        <v>243</v>
      </c>
      <c r="AM39" s="44">
        <v>243</v>
      </c>
      <c r="AN39" s="44">
        <v>252</v>
      </c>
      <c r="AO39" s="65">
        <v>247</v>
      </c>
      <c r="AP39" s="44">
        <v>218</v>
      </c>
      <c r="AQ39" s="44">
        <v>288</v>
      </c>
      <c r="AR39" s="44">
        <v>225</v>
      </c>
      <c r="AS39" s="65">
        <v>281</v>
      </c>
      <c r="AT39" s="44">
        <v>227</v>
      </c>
      <c r="AU39" s="44">
        <v>262</v>
      </c>
      <c r="AV39" s="44">
        <v>250</v>
      </c>
      <c r="AW39" s="65">
        <v>349</v>
      </c>
      <c r="AX39" s="39">
        <v>348</v>
      </c>
      <c r="AY39" s="44">
        <v>364</v>
      </c>
      <c r="AZ39" s="44">
        <v>837</v>
      </c>
      <c r="BA39" s="59">
        <v>858</v>
      </c>
      <c r="BB39" s="44">
        <v>774</v>
      </c>
      <c r="BC39" s="39">
        <v>722</v>
      </c>
      <c r="BD39" s="44">
        <v>837</v>
      </c>
      <c r="BE39" s="65">
        <f>480+453+706</f>
        <v>1639</v>
      </c>
      <c r="BF39" s="44">
        <f>406+388+719</f>
        <v>1513</v>
      </c>
      <c r="BG39" s="44">
        <f>732+479+456</f>
        <v>1667</v>
      </c>
      <c r="BH39" s="1381">
        <f>745+455+409</f>
        <v>1609</v>
      </c>
      <c r="BI39" s="1450">
        <f>412+460+758</f>
        <v>1630</v>
      </c>
      <c r="BJ39" s="1381">
        <f>772+433+438</f>
        <v>1643</v>
      </c>
      <c r="BK39" s="44">
        <f>496+451</f>
        <v>947</v>
      </c>
      <c r="BL39" s="1381">
        <f>0+503+398</f>
        <v>901</v>
      </c>
      <c r="BM39" s="1450">
        <f>470+330</f>
        <v>800</v>
      </c>
      <c r="BN39" s="1381">
        <f>528+336</f>
        <v>864</v>
      </c>
      <c r="BO39" s="44">
        <f>505+315</f>
        <v>820</v>
      </c>
      <c r="BP39" s="1381">
        <f>579+282</f>
        <v>861</v>
      </c>
      <c r="BQ39" s="1450">
        <f>995+392</f>
        <v>1387</v>
      </c>
      <c r="BR39" s="1380">
        <f>983+552</f>
        <v>1535</v>
      </c>
      <c r="BS39" s="44">
        <f>1001+581</f>
        <v>1582</v>
      </c>
      <c r="BT39" s="44">
        <f>1073+480</f>
        <v>1553</v>
      </c>
      <c r="BU39" s="1450">
        <f>1069+506</f>
        <v>1575</v>
      </c>
      <c r="BV39" s="1380">
        <f>1271+468</f>
        <v>1739</v>
      </c>
      <c r="BW39" s="1380">
        <f>1191+523</f>
        <v>1714</v>
      </c>
      <c r="BX39" s="136">
        <f>(IS!BX16+IS!BX67)*BS!BX130-BX40</f>
        <v>1588.1751053999997</v>
      </c>
      <c r="BY39" s="137">
        <f>(IS!BY16+IS!BY67)*BS!BY130-BY40</f>
        <v>1647.4736784524096</v>
      </c>
      <c r="BZ39" s="655">
        <f>(IS!BZ16+IS!BZ67)*BS!BZ130-BZ40</f>
        <v>1900.394716782549</v>
      </c>
      <c r="CA39" s="136">
        <f>(IS!CA16+IS!CA67)*BS!CA130-CA40</f>
        <v>1908.8072932205191</v>
      </c>
      <c r="CB39" s="136">
        <f>(IS!CB16+IS!CB67)*BS!CB130-CB40</f>
        <v>1641.1164940185975</v>
      </c>
      <c r="CC39" s="137">
        <f>(IS!CC16+IS!CC67)*BS!CC130-CC40</f>
        <v>1602.0514466626769</v>
      </c>
      <c r="CD39" s="47"/>
      <c r="CE39" s="1145">
        <f t="shared" si="95"/>
        <v>82.741</v>
      </c>
      <c r="CF39" s="53">
        <f t="shared" si="96"/>
        <v>103.474</v>
      </c>
      <c r="CG39" s="53">
        <f t="shared" si="97"/>
        <v>112.4</v>
      </c>
      <c r="CH39" s="53">
        <f t="shared" si="98"/>
        <v>136.80000000000001</v>
      </c>
      <c r="CI39" s="138">
        <f t="shared" si="99"/>
        <v>229.3</v>
      </c>
      <c r="CJ39" s="138">
        <f t="shared" si="100"/>
        <v>131</v>
      </c>
      <c r="CK39" s="138">
        <f t="shared" si="101"/>
        <v>163</v>
      </c>
      <c r="CL39" s="138">
        <f t="shared" si="102"/>
        <v>266</v>
      </c>
      <c r="CM39" s="138">
        <f t="shared" si="103"/>
        <v>247</v>
      </c>
      <c r="CN39" s="138">
        <f t="shared" si="104"/>
        <v>281</v>
      </c>
      <c r="CO39" s="136">
        <f t="shared" si="105"/>
        <v>349</v>
      </c>
      <c r="CP39" s="136">
        <f t="shared" si="106"/>
        <v>858</v>
      </c>
      <c r="CQ39" s="136">
        <f t="shared" si="107"/>
        <v>1639</v>
      </c>
      <c r="CR39" s="644">
        <f t="shared" si="108"/>
        <v>1630</v>
      </c>
      <c r="CS39" s="53">
        <f t="shared" si="109"/>
        <v>800</v>
      </c>
      <c r="CT39" s="53">
        <f t="shared" si="110"/>
        <v>1387</v>
      </c>
      <c r="CU39" s="53">
        <f t="shared" si="111"/>
        <v>1575</v>
      </c>
      <c r="CV39" s="53">
        <f t="shared" si="112"/>
        <v>1647.4736784524096</v>
      </c>
      <c r="CW39" s="53">
        <f t="shared" si="113"/>
        <v>1602.0514466626769</v>
      </c>
      <c r="CX39" s="53">
        <f>(IS!CX16+IS!CX67)*BS!CX130-CX40</f>
        <v>1719.4454880908836</v>
      </c>
      <c r="CY39" s="53">
        <f>(IS!CY16+IS!CY67)*BS!CY130-CY40</f>
        <v>1790.342962569769</v>
      </c>
      <c r="CZ39" s="53">
        <f>(IS!CZ16+IS!CZ67)*BS!CZ130-CZ40</f>
        <v>1855.6621998853607</v>
      </c>
      <c r="DA39" s="53">
        <f>(IS!DA16+IS!DA67)*BS!DA130-DA40</f>
        <v>1945.3689292060108</v>
      </c>
      <c r="DB39" s="53">
        <f>(IS!DB16+IS!DB67)*BS!DB130-DB40</f>
        <v>2049.4534422331926</v>
      </c>
      <c r="DC39" s="53">
        <f>(IS!DC16+IS!DC67)*BS!DC130-DC40</f>
        <v>2166.9067136896065</v>
      </c>
      <c r="DD39" s="645"/>
      <c r="DE39" s="24"/>
      <c r="DF39" s="24"/>
      <c r="DG39" s="30"/>
      <c r="DH39" s="30"/>
      <c r="DI39" s="29"/>
      <c r="DJ39" s="29"/>
      <c r="DK39" s="24"/>
      <c r="DL39" s="24"/>
      <c r="DM39" s="24"/>
      <c r="DN39" s="24"/>
      <c r="DO39" s="24"/>
      <c r="DP39" s="24"/>
      <c r="DQ39" s="24"/>
      <c r="DR39" s="24"/>
    </row>
    <row r="40" spans="1:122">
      <c r="A40" s="3"/>
      <c r="B40" s="23"/>
      <c r="C40" s="3"/>
      <c r="D40" s="96" t="s">
        <v>108</v>
      </c>
      <c r="E40" s="25"/>
      <c r="F40" s="780">
        <v>30.989000000000001</v>
      </c>
      <c r="G40" s="780">
        <v>35.752000000000002</v>
      </c>
      <c r="H40" s="780">
        <v>33.856000000000002</v>
      </c>
      <c r="I40" s="846">
        <v>30.943000000000001</v>
      </c>
      <c r="J40" s="845"/>
      <c r="K40" s="780"/>
      <c r="L40" s="780">
        <v>28.471</v>
      </c>
      <c r="M40" s="521"/>
      <c r="N40" s="457"/>
      <c r="O40" s="457"/>
      <c r="P40" s="457"/>
      <c r="Q40" s="521">
        <v>41</v>
      </c>
      <c r="R40" s="457"/>
      <c r="S40" s="459"/>
      <c r="T40" s="459"/>
      <c r="U40" s="522"/>
      <c r="V40" s="459"/>
      <c r="W40" s="459"/>
      <c r="X40" s="459"/>
      <c r="Y40" s="522"/>
      <c r="Z40" s="459">
        <v>78.099999999999994</v>
      </c>
      <c r="AA40" s="459">
        <v>76.599999999999994</v>
      </c>
      <c r="AB40" s="459">
        <v>78.2</v>
      </c>
      <c r="AC40" s="522">
        <v>71.599999999999994</v>
      </c>
      <c r="AD40" s="459">
        <v>74</v>
      </c>
      <c r="AE40" s="459">
        <v>72</v>
      </c>
      <c r="AF40" s="459">
        <v>74</v>
      </c>
      <c r="AG40" s="522">
        <v>73</v>
      </c>
      <c r="AH40" s="459">
        <v>76</v>
      </c>
      <c r="AI40" s="39">
        <v>80</v>
      </c>
      <c r="AJ40" s="46">
        <v>85</v>
      </c>
      <c r="AK40" s="47">
        <v>90</v>
      </c>
      <c r="AL40" s="46">
        <v>93</v>
      </c>
      <c r="AM40" s="46">
        <v>94</v>
      </c>
      <c r="AN40" s="46">
        <v>93</v>
      </c>
      <c r="AO40" s="47">
        <v>95</v>
      </c>
      <c r="AP40" s="46">
        <v>101</v>
      </c>
      <c r="AQ40" s="46">
        <v>118</v>
      </c>
      <c r="AR40" s="46">
        <v>124</v>
      </c>
      <c r="AS40" s="47">
        <v>129</v>
      </c>
      <c r="AT40" s="46">
        <v>131</v>
      </c>
      <c r="AU40" s="46">
        <v>135</v>
      </c>
      <c r="AV40" s="46">
        <v>134</v>
      </c>
      <c r="AW40" s="47">
        <v>132</v>
      </c>
      <c r="AX40" s="39">
        <v>135</v>
      </c>
      <c r="AY40" s="46">
        <v>124</v>
      </c>
      <c r="AZ40" s="46">
        <v>194</v>
      </c>
      <c r="BA40" s="59">
        <v>171</v>
      </c>
      <c r="BB40" s="46">
        <v>146</v>
      </c>
      <c r="BC40" s="39">
        <v>131</v>
      </c>
      <c r="BD40" s="46">
        <v>122</v>
      </c>
      <c r="BE40" s="47">
        <v>114</v>
      </c>
      <c r="BF40" s="46">
        <v>123</v>
      </c>
      <c r="BG40" s="46">
        <v>117</v>
      </c>
      <c r="BH40" s="1382">
        <v>111</v>
      </c>
      <c r="BI40" s="1448">
        <v>119</v>
      </c>
      <c r="BJ40" s="1382">
        <v>134</v>
      </c>
      <c r="BK40" s="46">
        <v>146</v>
      </c>
      <c r="BL40" s="1382">
        <v>156</v>
      </c>
      <c r="BM40" s="1448">
        <v>150</v>
      </c>
      <c r="BN40" s="1382">
        <v>141</v>
      </c>
      <c r="BO40" s="46">
        <v>144</v>
      </c>
      <c r="BP40" s="1382">
        <v>146</v>
      </c>
      <c r="BQ40" s="1448">
        <v>172</v>
      </c>
      <c r="BR40" s="1380">
        <v>170</v>
      </c>
      <c r="BS40" s="46">
        <v>190</v>
      </c>
      <c r="BT40" s="46">
        <v>196</v>
      </c>
      <c r="BU40" s="1448">
        <v>186</v>
      </c>
      <c r="BV40" s="1380">
        <v>180</v>
      </c>
      <c r="BW40" s="1380">
        <v>194</v>
      </c>
      <c r="BX40" s="138">
        <f>IS!BX11*BS!BX131</f>
        <v>245.45493249999996</v>
      </c>
      <c r="BY40" s="164">
        <f>IS!BY11*BS!BY131</f>
        <v>245.701063963</v>
      </c>
      <c r="BZ40" s="169">
        <f>IS!BZ11*BS!BZ131</f>
        <v>253.5255670429392</v>
      </c>
      <c r="CA40" s="138">
        <f>IS!CA11*BS!CA131</f>
        <v>249.5053744375131</v>
      </c>
      <c r="CB40" s="138">
        <f>IS!CB11*BS!CB131</f>
        <v>231.69472692390806</v>
      </c>
      <c r="CC40" s="164">
        <f>IS!CC11*BS!CC131</f>
        <v>221.45595873490973</v>
      </c>
      <c r="CD40" s="47"/>
      <c r="CE40" s="1145">
        <f t="shared" si="95"/>
        <v>30.943000000000001</v>
      </c>
      <c r="CF40" s="53">
        <f t="shared" si="96"/>
        <v>0</v>
      </c>
      <c r="CG40" s="53">
        <f t="shared" si="97"/>
        <v>41</v>
      </c>
      <c r="CH40" s="53">
        <f t="shared" si="98"/>
        <v>0</v>
      </c>
      <c r="CI40" s="138">
        <f t="shared" si="99"/>
        <v>0</v>
      </c>
      <c r="CJ40" s="138">
        <f t="shared" si="100"/>
        <v>71.599999999999994</v>
      </c>
      <c r="CK40" s="138">
        <f t="shared" si="101"/>
        <v>73</v>
      </c>
      <c r="CL40" s="138">
        <f t="shared" si="102"/>
        <v>90</v>
      </c>
      <c r="CM40" s="138">
        <f t="shared" si="103"/>
        <v>95</v>
      </c>
      <c r="CN40" s="138">
        <f t="shared" si="104"/>
        <v>129</v>
      </c>
      <c r="CO40" s="138">
        <f t="shared" si="105"/>
        <v>132</v>
      </c>
      <c r="CP40" s="138">
        <f t="shared" si="106"/>
        <v>171</v>
      </c>
      <c r="CQ40" s="138">
        <f t="shared" si="107"/>
        <v>114</v>
      </c>
      <c r="CR40" s="644">
        <f t="shared" si="108"/>
        <v>119</v>
      </c>
      <c r="CS40" s="53">
        <f t="shared" si="109"/>
        <v>150</v>
      </c>
      <c r="CT40" s="53">
        <f t="shared" si="110"/>
        <v>172</v>
      </c>
      <c r="CU40" s="53">
        <f t="shared" si="111"/>
        <v>186</v>
      </c>
      <c r="CV40" s="53">
        <f t="shared" si="112"/>
        <v>245.701063963</v>
      </c>
      <c r="CW40" s="53">
        <f t="shared" si="113"/>
        <v>221.45595873490973</v>
      </c>
      <c r="CX40" s="53">
        <f>IS!CX11*BS!CX131</f>
        <v>237.60542150035795</v>
      </c>
      <c r="CY40" s="53">
        <f>IS!CY11*BS!CY131</f>
        <v>246.21915643504821</v>
      </c>
      <c r="CZ40" s="53">
        <f>IS!CZ11*BS!CZ131</f>
        <v>255.59115908635303</v>
      </c>
      <c r="DA40" s="53">
        <f>IS!DA11*BS!DA131</f>
        <v>267.43716469018318</v>
      </c>
      <c r="DB40" s="53">
        <f>IS!DB11*BS!DB131</f>
        <v>280.86278148077594</v>
      </c>
      <c r="DC40" s="53">
        <f>IS!DC11*BS!DC131</f>
        <v>296.06790739842666</v>
      </c>
      <c r="DD40" s="645"/>
      <c r="DE40" s="24"/>
      <c r="DF40" s="24"/>
      <c r="DG40" s="30"/>
      <c r="DH40" s="30"/>
      <c r="DI40" s="29"/>
      <c r="DJ40" s="29"/>
      <c r="DK40" s="24"/>
      <c r="DL40" s="24"/>
      <c r="DM40" s="24"/>
      <c r="DN40" s="24"/>
      <c r="DO40" s="24"/>
      <c r="DP40" s="24"/>
      <c r="DQ40" s="24"/>
      <c r="DR40" s="24"/>
    </row>
    <row r="41" spans="1:122">
      <c r="A41" s="3"/>
      <c r="B41" s="23"/>
      <c r="C41" s="3"/>
      <c r="D41" s="24" t="s">
        <v>374</v>
      </c>
      <c r="E41" s="25"/>
      <c r="F41" s="780"/>
      <c r="G41" s="780"/>
      <c r="H41" s="780"/>
      <c r="I41" s="846"/>
      <c r="J41" s="845"/>
      <c r="K41" s="780"/>
      <c r="L41" s="780"/>
      <c r="M41" s="521"/>
      <c r="N41" s="457"/>
      <c r="O41" s="457"/>
      <c r="P41" s="457"/>
      <c r="Q41" s="521"/>
      <c r="R41" s="457"/>
      <c r="S41" s="459"/>
      <c r="T41" s="459"/>
      <c r="U41" s="522"/>
      <c r="V41" s="459"/>
      <c r="W41" s="459"/>
      <c r="X41" s="459"/>
      <c r="Y41" s="522"/>
      <c r="Z41" s="459"/>
      <c r="AA41" s="459"/>
      <c r="AB41" s="459"/>
      <c r="AC41" s="522"/>
      <c r="AD41" s="459"/>
      <c r="AE41" s="459"/>
      <c r="AF41" s="459"/>
      <c r="AG41" s="522"/>
      <c r="AH41" s="459">
        <v>999</v>
      </c>
      <c r="AI41" s="39">
        <v>760</v>
      </c>
      <c r="AJ41" s="44">
        <v>0</v>
      </c>
      <c r="AK41" s="47">
        <v>0</v>
      </c>
      <c r="AL41" s="46">
        <v>0</v>
      </c>
      <c r="AM41" s="46">
        <v>0</v>
      </c>
      <c r="AN41" s="46">
        <v>0</v>
      </c>
      <c r="AO41" s="47">
        <v>0</v>
      </c>
      <c r="AP41" s="46">
        <v>0</v>
      </c>
      <c r="AQ41" s="46">
        <v>0</v>
      </c>
      <c r="AR41" s="46">
        <v>0</v>
      </c>
      <c r="AS41" s="47">
        <v>0</v>
      </c>
      <c r="AT41" s="46">
        <v>0</v>
      </c>
      <c r="AU41" s="46">
        <v>0</v>
      </c>
      <c r="AV41" s="46">
        <v>0</v>
      </c>
      <c r="AW41" s="47">
        <v>0</v>
      </c>
      <c r="AX41" s="46">
        <v>0</v>
      </c>
      <c r="AY41" s="46">
        <v>0</v>
      </c>
      <c r="AZ41" s="46">
        <v>500</v>
      </c>
      <c r="BA41" s="59">
        <v>0</v>
      </c>
      <c r="BB41" s="46">
        <v>0</v>
      </c>
      <c r="BC41" s="39">
        <v>0</v>
      </c>
      <c r="BD41" s="46">
        <v>0</v>
      </c>
      <c r="BE41" s="47">
        <v>0</v>
      </c>
      <c r="BF41" s="46">
        <v>500</v>
      </c>
      <c r="BG41" s="46">
        <v>500</v>
      </c>
      <c r="BH41" s="1382">
        <v>0</v>
      </c>
      <c r="BI41" s="1448">
        <v>0</v>
      </c>
      <c r="BJ41" s="1382">
        <v>0</v>
      </c>
      <c r="BK41" s="46">
        <v>0</v>
      </c>
      <c r="BL41" s="1382">
        <v>0</v>
      </c>
      <c r="BM41" s="1448">
        <v>255</v>
      </c>
      <c r="BN41" s="1382">
        <v>255</v>
      </c>
      <c r="BO41" s="46">
        <v>255</v>
      </c>
      <c r="BP41" s="1382">
        <v>0</v>
      </c>
      <c r="BQ41" s="1448">
        <v>0</v>
      </c>
      <c r="BR41" s="1380">
        <v>0</v>
      </c>
      <c r="BS41" s="46">
        <v>0</v>
      </c>
      <c r="BT41" s="46">
        <v>0</v>
      </c>
      <c r="BU41" s="1448">
        <v>0</v>
      </c>
      <c r="BV41" s="1380">
        <v>0</v>
      </c>
      <c r="BW41" s="1380">
        <v>0</v>
      </c>
      <c r="BX41" s="138">
        <f>BW41+CF!BX35-CF!BX36</f>
        <v>0</v>
      </c>
      <c r="BY41" s="138">
        <f>BX41+CF!BY35-CF!BY36</f>
        <v>0</v>
      </c>
      <c r="BZ41" s="169">
        <f>BY41+CF!BZ35-CF!BZ36</f>
        <v>0</v>
      </c>
      <c r="CA41" s="138">
        <f>BZ41+CF!CA35-CF!CA36</f>
        <v>0</v>
      </c>
      <c r="CB41" s="138">
        <f>CA41+CF!CB35-CF!CB36</f>
        <v>0</v>
      </c>
      <c r="CC41" s="138">
        <f>CB41+CF!CC35-CF!CC36</f>
        <v>0</v>
      </c>
      <c r="CD41" s="1436"/>
      <c r="CE41" s="1435">
        <f t="shared" si="95"/>
        <v>0</v>
      </c>
      <c r="CF41" s="53">
        <f t="shared" si="96"/>
        <v>0</v>
      </c>
      <c r="CG41" s="53">
        <f t="shared" si="97"/>
        <v>0</v>
      </c>
      <c r="CH41" s="53">
        <f t="shared" si="98"/>
        <v>0</v>
      </c>
      <c r="CI41" s="138">
        <f t="shared" si="99"/>
        <v>0</v>
      </c>
      <c r="CJ41" s="138">
        <f t="shared" si="100"/>
        <v>0</v>
      </c>
      <c r="CK41" s="138">
        <f t="shared" si="101"/>
        <v>0</v>
      </c>
      <c r="CL41" s="138">
        <f t="shared" si="102"/>
        <v>0</v>
      </c>
      <c r="CM41" s="138">
        <f t="shared" si="103"/>
        <v>0</v>
      </c>
      <c r="CN41" s="138">
        <f t="shared" si="104"/>
        <v>0</v>
      </c>
      <c r="CO41" s="138">
        <f t="shared" si="105"/>
        <v>0</v>
      </c>
      <c r="CP41" s="138">
        <f t="shared" si="106"/>
        <v>0</v>
      </c>
      <c r="CQ41" s="138">
        <f t="shared" si="107"/>
        <v>0</v>
      </c>
      <c r="CR41" s="644">
        <f t="shared" si="108"/>
        <v>0</v>
      </c>
      <c r="CS41" s="53">
        <f t="shared" si="109"/>
        <v>255</v>
      </c>
      <c r="CT41" s="53">
        <f t="shared" si="110"/>
        <v>0</v>
      </c>
      <c r="CU41" s="53">
        <f t="shared" si="111"/>
        <v>0</v>
      </c>
      <c r="CV41" s="53">
        <f t="shared" si="112"/>
        <v>0</v>
      </c>
      <c r="CW41" s="53">
        <f t="shared" si="113"/>
        <v>0</v>
      </c>
      <c r="CX41" s="53">
        <f>CW41+CF!CX35-CF!CX36</f>
        <v>0</v>
      </c>
      <c r="CY41" s="53">
        <f>CX41+CF!CY35-CF!CY36</f>
        <v>0</v>
      </c>
      <c r="CZ41" s="53">
        <f>CY41+CF!CZ35-CF!CZ36</f>
        <v>0</v>
      </c>
      <c r="DA41" s="53">
        <f>CZ41+CF!DA35-CF!DA36</f>
        <v>0</v>
      </c>
      <c r="DB41" s="53">
        <f>DA41+CF!DB35-CF!DB36</f>
        <v>0</v>
      </c>
      <c r="DC41" s="53">
        <f>DB41+CF!DC35-CF!DC36</f>
        <v>0</v>
      </c>
      <c r="DD41" s="645"/>
      <c r="DE41" s="24"/>
      <c r="DF41" s="24"/>
      <c r="DG41" s="30"/>
      <c r="DH41" s="30"/>
      <c r="DI41" s="29"/>
      <c r="DJ41" s="29"/>
      <c r="DK41" s="24"/>
      <c r="DL41" s="24"/>
      <c r="DM41" s="24"/>
      <c r="DN41" s="24"/>
      <c r="DO41" s="24"/>
      <c r="DP41" s="24"/>
      <c r="DQ41" s="24"/>
      <c r="DR41" s="24"/>
    </row>
    <row r="42" spans="1:122">
      <c r="A42" s="3"/>
      <c r="B42" s="76"/>
      <c r="C42" s="3"/>
      <c r="D42" s="96" t="s">
        <v>109</v>
      </c>
      <c r="E42" s="97"/>
      <c r="F42" s="780"/>
      <c r="G42" s="780"/>
      <c r="H42" s="780"/>
      <c r="I42" s="846">
        <v>2.1179999999999999</v>
      </c>
      <c r="J42" s="845">
        <v>0</v>
      </c>
      <c r="K42" s="780">
        <v>0</v>
      </c>
      <c r="L42" s="780">
        <v>0</v>
      </c>
      <c r="M42" s="521">
        <v>0</v>
      </c>
      <c r="N42" s="457">
        <v>0</v>
      </c>
      <c r="O42" s="457">
        <v>0</v>
      </c>
      <c r="P42" s="457">
        <v>0</v>
      </c>
      <c r="Q42" s="521">
        <v>0</v>
      </c>
      <c r="R42" s="457">
        <v>0</v>
      </c>
      <c r="S42" s="459">
        <v>3.1</v>
      </c>
      <c r="T42" s="459">
        <v>6.3</v>
      </c>
      <c r="U42" s="522">
        <v>15.2</v>
      </c>
      <c r="V42" s="459">
        <v>19.8</v>
      </c>
      <c r="W42" s="459">
        <v>19.899999999999999</v>
      </c>
      <c r="X42" s="459">
        <v>19.899999999999999</v>
      </c>
      <c r="Y42" s="522">
        <v>20.100000000000001</v>
      </c>
      <c r="Z42" s="459">
        <v>22.2</v>
      </c>
      <c r="AA42" s="459">
        <v>24.9</v>
      </c>
      <c r="AB42" s="459">
        <v>25</v>
      </c>
      <c r="AC42" s="522">
        <v>24.6</v>
      </c>
      <c r="AD42" s="459">
        <v>30</v>
      </c>
      <c r="AE42" s="459">
        <v>28</v>
      </c>
      <c r="AF42" s="459">
        <v>14</v>
      </c>
      <c r="AG42" s="522">
        <v>12</v>
      </c>
      <c r="AH42" s="459">
        <v>12</v>
      </c>
      <c r="AI42" s="39">
        <v>11</v>
      </c>
      <c r="AJ42" s="39">
        <v>11</v>
      </c>
      <c r="AK42" s="59">
        <v>27</v>
      </c>
      <c r="AL42" s="39">
        <v>45</v>
      </c>
      <c r="AM42" s="39">
        <v>60</v>
      </c>
      <c r="AN42" s="39">
        <v>77</v>
      </c>
      <c r="AO42" s="59">
        <v>82</v>
      </c>
      <c r="AP42" s="39">
        <v>88</v>
      </c>
      <c r="AQ42" s="39">
        <v>94</v>
      </c>
      <c r="AR42" s="39">
        <v>100</v>
      </c>
      <c r="AS42" s="59">
        <v>106</v>
      </c>
      <c r="AT42" s="39">
        <v>113</v>
      </c>
      <c r="AU42" s="39">
        <v>119</v>
      </c>
      <c r="AV42" s="39">
        <v>125</v>
      </c>
      <c r="AW42" s="59">
        <v>144</v>
      </c>
      <c r="AX42" s="39">
        <v>163</v>
      </c>
      <c r="AY42" s="39">
        <v>181</v>
      </c>
      <c r="AZ42" s="39">
        <v>230</v>
      </c>
      <c r="BA42" s="59">
        <v>230</v>
      </c>
      <c r="BB42" s="39">
        <v>230</v>
      </c>
      <c r="BC42" s="39">
        <v>288</v>
      </c>
      <c r="BD42" s="39">
        <v>230</v>
      </c>
      <c r="BE42" s="59">
        <v>230</v>
      </c>
      <c r="BF42" s="39">
        <v>230</v>
      </c>
      <c r="BG42" s="39">
        <v>230</v>
      </c>
      <c r="BH42" s="1380">
        <v>125</v>
      </c>
      <c r="BI42" s="1446">
        <v>125</v>
      </c>
      <c r="BJ42" s="1380">
        <v>125</v>
      </c>
      <c r="BK42" s="39">
        <v>125</v>
      </c>
      <c r="BL42" s="1380">
        <v>141</v>
      </c>
      <c r="BM42" s="1446">
        <v>156</v>
      </c>
      <c r="BN42" s="1380">
        <v>172</v>
      </c>
      <c r="BO42" s="39">
        <v>188</v>
      </c>
      <c r="BP42" s="1380">
        <v>203</v>
      </c>
      <c r="BQ42" s="1446">
        <f>339+2995</f>
        <v>3334</v>
      </c>
      <c r="BR42" s="1380">
        <v>78</v>
      </c>
      <c r="BS42" s="39">
        <v>129</v>
      </c>
      <c r="BT42" s="39">
        <v>181</v>
      </c>
      <c r="BU42" s="1446">
        <v>233</v>
      </c>
      <c r="BV42" s="1380">
        <v>258</v>
      </c>
      <c r="BW42" s="1380">
        <v>274</v>
      </c>
      <c r="BX42" s="53">
        <f>BW42+CF!BX42</f>
        <v>274</v>
      </c>
      <c r="BY42" s="645">
        <f>BX42+CF!BY42</f>
        <v>274</v>
      </c>
      <c r="BZ42" s="644">
        <f>BY42+CF!BZ42</f>
        <v>274</v>
      </c>
      <c r="CA42" s="53">
        <f>BZ42+CF!CA42</f>
        <v>274</v>
      </c>
      <c r="CB42" s="53">
        <f>CA42+CF!CB42</f>
        <v>274</v>
      </c>
      <c r="CC42" s="645">
        <f>CB42+CF!CC42</f>
        <v>274</v>
      </c>
      <c r="CD42" s="47"/>
      <c r="CE42" s="1145">
        <f t="shared" si="95"/>
        <v>2.1179999999999999</v>
      </c>
      <c r="CF42" s="53">
        <f t="shared" si="96"/>
        <v>0</v>
      </c>
      <c r="CG42" s="53">
        <f t="shared" si="97"/>
        <v>0</v>
      </c>
      <c r="CH42" s="53">
        <f t="shared" si="98"/>
        <v>15.2</v>
      </c>
      <c r="CI42" s="138">
        <f t="shared" si="99"/>
        <v>20.100000000000001</v>
      </c>
      <c r="CJ42" s="138">
        <f t="shared" si="100"/>
        <v>24.6</v>
      </c>
      <c r="CK42" s="138">
        <f t="shared" si="101"/>
        <v>12</v>
      </c>
      <c r="CL42" s="138">
        <f t="shared" si="102"/>
        <v>27</v>
      </c>
      <c r="CM42" s="138">
        <f t="shared" si="103"/>
        <v>82</v>
      </c>
      <c r="CN42" s="138">
        <f t="shared" si="104"/>
        <v>106</v>
      </c>
      <c r="CO42" s="136">
        <f t="shared" si="105"/>
        <v>144</v>
      </c>
      <c r="CP42" s="136">
        <f t="shared" si="106"/>
        <v>230</v>
      </c>
      <c r="CQ42" s="136">
        <f t="shared" si="107"/>
        <v>230</v>
      </c>
      <c r="CR42" s="655">
        <f t="shared" si="108"/>
        <v>125</v>
      </c>
      <c r="CS42" s="136">
        <f t="shared" si="109"/>
        <v>156</v>
      </c>
      <c r="CT42" s="53">
        <f t="shared" si="110"/>
        <v>3334</v>
      </c>
      <c r="CU42" s="53">
        <f t="shared" si="111"/>
        <v>233</v>
      </c>
      <c r="CV42" s="53">
        <f t="shared" si="112"/>
        <v>274</v>
      </c>
      <c r="CW42" s="53">
        <f t="shared" si="113"/>
        <v>274</v>
      </c>
      <c r="CX42" s="53">
        <f t="shared" ref="CX42:DC42" si="116">CW42</f>
        <v>274</v>
      </c>
      <c r="CY42" s="53">
        <f t="shared" si="116"/>
        <v>274</v>
      </c>
      <c r="CZ42" s="53">
        <f t="shared" si="116"/>
        <v>274</v>
      </c>
      <c r="DA42" s="53">
        <f t="shared" si="116"/>
        <v>274</v>
      </c>
      <c r="DB42" s="53">
        <f t="shared" si="116"/>
        <v>274</v>
      </c>
      <c r="DC42" s="53">
        <f t="shared" si="116"/>
        <v>274</v>
      </c>
      <c r="DD42" s="645"/>
      <c r="DE42" s="24"/>
      <c r="DF42" s="24"/>
      <c r="DG42" s="30"/>
      <c r="DH42" s="30"/>
      <c r="DI42" s="29"/>
      <c r="DJ42" s="29"/>
      <c r="DK42" s="24"/>
      <c r="DL42" s="24"/>
      <c r="DM42" s="24"/>
      <c r="DN42" s="24"/>
      <c r="DO42" s="24"/>
      <c r="DP42" s="24"/>
      <c r="DQ42" s="24"/>
      <c r="DR42" s="24"/>
    </row>
    <row r="43" spans="1:122">
      <c r="A43" s="3"/>
      <c r="B43" s="70"/>
      <c r="C43" s="4" t="s">
        <v>278</v>
      </c>
      <c r="D43" s="4"/>
      <c r="E43" s="109"/>
      <c r="F43" s="505">
        <f t="shared" ref="F43:AZ43" si="117">SUM(F37:F42)</f>
        <v>380.91899999999998</v>
      </c>
      <c r="G43" s="505">
        <f t="shared" si="117"/>
        <v>408.33</v>
      </c>
      <c r="H43" s="505">
        <f t="shared" si="117"/>
        <v>363.84</v>
      </c>
      <c r="I43" s="506">
        <f t="shared" si="117"/>
        <v>340.346</v>
      </c>
      <c r="J43" s="505">
        <f t="shared" si="117"/>
        <v>430.255</v>
      </c>
      <c r="K43" s="505">
        <f t="shared" si="117"/>
        <v>437.91499999999996</v>
      </c>
      <c r="L43" s="505">
        <f t="shared" si="117"/>
        <v>418.53500000000003</v>
      </c>
      <c r="M43" s="506">
        <f t="shared" si="117"/>
        <v>406.47199999999998</v>
      </c>
      <c r="N43" s="505">
        <f t="shared" si="117"/>
        <v>460.28000000000003</v>
      </c>
      <c r="O43" s="505">
        <f t="shared" si="117"/>
        <v>494.29700000000003</v>
      </c>
      <c r="P43" s="505">
        <f t="shared" si="117"/>
        <v>480.44</v>
      </c>
      <c r="Q43" s="506">
        <f t="shared" si="117"/>
        <v>505.70000000000005</v>
      </c>
      <c r="R43" s="505">
        <f t="shared" si="117"/>
        <v>583.70000000000005</v>
      </c>
      <c r="S43" s="505">
        <f t="shared" si="117"/>
        <v>624.5</v>
      </c>
      <c r="T43" s="505">
        <f t="shared" si="117"/>
        <v>565.79999999999995</v>
      </c>
      <c r="U43" s="506">
        <f t="shared" si="117"/>
        <v>586.90000000000009</v>
      </c>
      <c r="V43" s="505">
        <f t="shared" si="117"/>
        <v>715.7</v>
      </c>
      <c r="W43" s="505">
        <f t="shared" si="117"/>
        <v>726.19999999999993</v>
      </c>
      <c r="X43" s="505">
        <f t="shared" si="117"/>
        <v>759</v>
      </c>
      <c r="Y43" s="506">
        <f t="shared" si="117"/>
        <v>818.50000000000011</v>
      </c>
      <c r="Z43" s="602">
        <f t="shared" si="117"/>
        <v>858.50000000000011</v>
      </c>
      <c r="AA43" s="602">
        <f t="shared" si="117"/>
        <v>817</v>
      </c>
      <c r="AB43" s="602">
        <f t="shared" si="117"/>
        <v>838.5</v>
      </c>
      <c r="AC43" s="506">
        <f t="shared" si="117"/>
        <v>859</v>
      </c>
      <c r="AD43" s="505">
        <f t="shared" si="117"/>
        <v>982</v>
      </c>
      <c r="AE43" s="505">
        <f t="shared" si="117"/>
        <v>1056</v>
      </c>
      <c r="AF43" s="505">
        <f t="shared" si="117"/>
        <v>1064</v>
      </c>
      <c r="AG43" s="506">
        <f t="shared" si="117"/>
        <v>1130</v>
      </c>
      <c r="AH43" s="505">
        <f t="shared" si="117"/>
        <v>2463</v>
      </c>
      <c r="AI43" s="602">
        <f t="shared" si="117"/>
        <v>2352</v>
      </c>
      <c r="AJ43" s="505">
        <f t="shared" si="117"/>
        <v>1494</v>
      </c>
      <c r="AK43" s="506">
        <f t="shared" si="117"/>
        <v>1564</v>
      </c>
      <c r="AL43" s="505">
        <f>SUM(AL37:AL42)</f>
        <v>1596</v>
      </c>
      <c r="AM43" s="505">
        <f t="shared" si="117"/>
        <v>1472</v>
      </c>
      <c r="AN43" s="505">
        <f t="shared" si="117"/>
        <v>1423</v>
      </c>
      <c r="AO43" s="506">
        <f t="shared" si="117"/>
        <v>1525</v>
      </c>
      <c r="AP43" s="505">
        <f t="shared" si="117"/>
        <v>1749</v>
      </c>
      <c r="AQ43" s="505">
        <f t="shared" si="117"/>
        <v>2007</v>
      </c>
      <c r="AR43" s="505">
        <f t="shared" si="117"/>
        <v>1957</v>
      </c>
      <c r="AS43" s="506">
        <f t="shared" si="117"/>
        <v>2023</v>
      </c>
      <c r="AT43" s="505">
        <f t="shared" si="117"/>
        <v>2174</v>
      </c>
      <c r="AU43" s="505">
        <f t="shared" si="117"/>
        <v>2144</v>
      </c>
      <c r="AV43" s="505">
        <f t="shared" si="117"/>
        <v>1995</v>
      </c>
      <c r="AW43" s="506">
        <f t="shared" si="117"/>
        <v>2170</v>
      </c>
      <c r="AX43" s="505">
        <f t="shared" si="117"/>
        <v>2354</v>
      </c>
      <c r="AY43" s="505">
        <f t="shared" si="117"/>
        <v>1552</v>
      </c>
      <c r="AZ43" s="505">
        <f t="shared" si="117"/>
        <v>4535</v>
      </c>
      <c r="BA43" s="506">
        <f t="shared" ref="BA43:BI43" si="118">SUM(BA37:BA42)</f>
        <v>4032</v>
      </c>
      <c r="BB43" s="505">
        <f t="shared" si="118"/>
        <v>3695</v>
      </c>
      <c r="BC43" s="505">
        <f t="shared" si="118"/>
        <v>3326</v>
      </c>
      <c r="BD43" s="505">
        <f t="shared" si="118"/>
        <v>3226</v>
      </c>
      <c r="BE43" s="506">
        <f>SUM(BE37:BE42)</f>
        <v>3973</v>
      </c>
      <c r="BF43" s="505">
        <f>SUM(BF37:BF42)</f>
        <v>4427</v>
      </c>
      <c r="BG43" s="505">
        <f t="shared" si="118"/>
        <v>4620</v>
      </c>
      <c r="BH43" s="505">
        <f t="shared" si="118"/>
        <v>3747</v>
      </c>
      <c r="BI43" s="506">
        <f t="shared" si="118"/>
        <v>3845</v>
      </c>
      <c r="BJ43" s="505">
        <f t="shared" ref="BJ43:BQ43" si="119">SUM(BJ37:BJ42)</f>
        <v>3918</v>
      </c>
      <c r="BK43" s="505">
        <f t="shared" si="119"/>
        <v>3289</v>
      </c>
      <c r="BL43" s="505">
        <f t="shared" si="119"/>
        <v>3218</v>
      </c>
      <c r="BM43" s="506">
        <f>SUM(BM37:BM42)</f>
        <v>3242</v>
      </c>
      <c r="BN43" s="505">
        <f t="shared" si="119"/>
        <v>3231</v>
      </c>
      <c r="BO43" s="505">
        <f t="shared" si="119"/>
        <v>3245</v>
      </c>
      <c r="BP43" s="505">
        <f t="shared" si="119"/>
        <v>2781</v>
      </c>
      <c r="BQ43" s="506">
        <f t="shared" si="119"/>
        <v>6949</v>
      </c>
      <c r="BR43" s="507">
        <f t="shared" ref="BR43:BY43" si="120">SUM(BR37:BR42)</f>
        <v>3919</v>
      </c>
      <c r="BS43" s="505">
        <f t="shared" si="120"/>
        <v>4088</v>
      </c>
      <c r="BT43" s="505">
        <f t="shared" si="120"/>
        <v>4309</v>
      </c>
      <c r="BU43" s="506">
        <f t="shared" si="120"/>
        <v>4344</v>
      </c>
      <c r="BV43" s="507">
        <f t="shared" si="120"/>
        <v>4469</v>
      </c>
      <c r="BW43" s="505">
        <f t="shared" ref="BW43" si="121">SUM(BW37:BW42)</f>
        <v>4353</v>
      </c>
      <c r="BX43" s="505">
        <f t="shared" si="120"/>
        <v>4378.2195812913042</v>
      </c>
      <c r="BY43" s="506">
        <f t="shared" si="120"/>
        <v>4552.6354696804701</v>
      </c>
      <c r="BZ43" s="507">
        <f>SUM(BZ37:BZ42)</f>
        <v>4959.1188300160738</v>
      </c>
      <c r="CA43" s="505">
        <f>SUM(CA37:CA42)</f>
        <v>4984.5771455732811</v>
      </c>
      <c r="CB43" s="505">
        <f>SUM(CB37:CB42)</f>
        <v>4522.2325166988985</v>
      </c>
      <c r="CC43" s="506">
        <f>SUM(CC37:CC42)</f>
        <v>4163.5867729953352</v>
      </c>
      <c r="CD43" s="47"/>
      <c r="CE43" s="918">
        <f t="shared" ref="CE43:CP43" si="122">SUM(CE37:CE42)</f>
        <v>340.346</v>
      </c>
      <c r="CF43" s="505">
        <f t="shared" si="122"/>
        <v>406.47199999999998</v>
      </c>
      <c r="CG43" s="505">
        <f t="shared" si="122"/>
        <v>505.70000000000005</v>
      </c>
      <c r="CH43" s="505">
        <f t="shared" si="122"/>
        <v>586.90000000000009</v>
      </c>
      <c r="CI43" s="505">
        <f t="shared" si="122"/>
        <v>818.50000000000011</v>
      </c>
      <c r="CJ43" s="505">
        <f t="shared" si="122"/>
        <v>859</v>
      </c>
      <c r="CK43" s="602">
        <f t="shared" si="122"/>
        <v>1130</v>
      </c>
      <c r="CL43" s="505">
        <f t="shared" si="122"/>
        <v>1564</v>
      </c>
      <c r="CM43" s="505">
        <f t="shared" si="122"/>
        <v>1525</v>
      </c>
      <c r="CN43" s="505">
        <f t="shared" si="122"/>
        <v>2023</v>
      </c>
      <c r="CO43" s="505">
        <f t="shared" si="122"/>
        <v>2170</v>
      </c>
      <c r="CP43" s="505">
        <f t="shared" si="122"/>
        <v>4032</v>
      </c>
      <c r="CQ43" s="505">
        <f t="shared" ref="CQ43:CV43" si="123">SUM(CQ37:CQ42)</f>
        <v>3973</v>
      </c>
      <c r="CR43" s="507">
        <f t="shared" si="123"/>
        <v>3845</v>
      </c>
      <c r="CS43" s="505">
        <f t="shared" si="123"/>
        <v>3242</v>
      </c>
      <c r="CT43" s="505">
        <f t="shared" si="123"/>
        <v>6949</v>
      </c>
      <c r="CU43" s="505">
        <f t="shared" si="123"/>
        <v>4344</v>
      </c>
      <c r="CV43" s="505">
        <f t="shared" si="123"/>
        <v>4552.6354696804701</v>
      </c>
      <c r="CW43" s="505">
        <f t="shared" ref="CW43:DC43" si="124">SUM(CW37:CW42)</f>
        <v>4163.5867729953352</v>
      </c>
      <c r="CX43" s="505">
        <f t="shared" si="124"/>
        <v>4499.2473356347637</v>
      </c>
      <c r="CY43" s="505">
        <f t="shared" si="124"/>
        <v>4714.1045033709152</v>
      </c>
      <c r="CZ43" s="505">
        <f t="shared" si="124"/>
        <v>4887.8471653133884</v>
      </c>
      <c r="DA43" s="505">
        <f t="shared" si="124"/>
        <v>5123.1227127702314</v>
      </c>
      <c r="DB43" s="505">
        <f t="shared" si="124"/>
        <v>5391.0465945717597</v>
      </c>
      <c r="DC43" s="505">
        <f t="shared" si="124"/>
        <v>5693.2169869651661</v>
      </c>
      <c r="DD43" s="506"/>
      <c r="DE43" s="24"/>
      <c r="DF43" s="31"/>
      <c r="DG43" s="30"/>
      <c r="DH43" s="30"/>
      <c r="DI43" s="30"/>
      <c r="DJ43" s="30"/>
      <c r="DK43" s="31"/>
      <c r="DL43" s="31"/>
      <c r="DM43" s="31"/>
      <c r="DN43" s="31"/>
      <c r="DO43" s="31"/>
      <c r="DP43" s="31"/>
      <c r="DQ43" s="31"/>
      <c r="DR43" s="31"/>
    </row>
    <row r="44" spans="1:122" ht="4.5" customHeight="1">
      <c r="A44" s="3"/>
      <c r="B44" s="76"/>
      <c r="C44" s="96"/>
      <c r="D44" s="96"/>
      <c r="E44" s="97"/>
      <c r="F44" s="44"/>
      <c r="G44" s="44"/>
      <c r="H44" s="44"/>
      <c r="I44" s="47"/>
      <c r="J44" s="40"/>
      <c r="K44" s="44"/>
      <c r="L44" s="44"/>
      <c r="M44" s="47"/>
      <c r="N44" s="44"/>
      <c r="O44" s="44"/>
      <c r="P44" s="44"/>
      <c r="Q44" s="47"/>
      <c r="R44" s="44"/>
      <c r="S44" s="44"/>
      <c r="T44" s="44"/>
      <c r="U44" s="47"/>
      <c r="V44" s="44"/>
      <c r="W44" s="44"/>
      <c r="X44" s="44"/>
      <c r="Y44" s="47"/>
      <c r="Z44" s="39"/>
      <c r="AA44" s="39"/>
      <c r="AB44" s="39"/>
      <c r="AC44" s="47"/>
      <c r="AD44" s="46"/>
      <c r="AE44" s="46"/>
      <c r="AF44" s="44"/>
      <c r="AG44" s="47"/>
      <c r="AH44" s="46"/>
      <c r="AI44" s="39"/>
      <c r="AJ44" s="44"/>
      <c r="AK44" s="65"/>
      <c r="AL44" s="44"/>
      <c r="AM44" s="44"/>
      <c r="AN44" s="44"/>
      <c r="AO44" s="65"/>
      <c r="AP44" s="44"/>
      <c r="AQ44" s="44"/>
      <c r="AR44" s="44"/>
      <c r="AS44" s="65"/>
      <c r="AT44" s="44"/>
      <c r="AU44" s="44"/>
      <c r="AV44" s="44"/>
      <c r="AW44" s="65"/>
      <c r="AX44" s="44"/>
      <c r="AY44" s="44"/>
      <c r="AZ44" s="44"/>
      <c r="BA44" s="65"/>
      <c r="BB44" s="44"/>
      <c r="BC44" s="44"/>
      <c r="BD44" s="44"/>
      <c r="BE44" s="65"/>
      <c r="BF44" s="44"/>
      <c r="BG44" s="44"/>
      <c r="BH44" s="44"/>
      <c r="BI44" s="65"/>
      <c r="BJ44" s="44"/>
      <c r="BK44" s="44"/>
      <c r="BL44" s="44"/>
      <c r="BM44" s="65"/>
      <c r="BN44" s="44"/>
      <c r="BO44" s="44"/>
      <c r="BP44" s="44"/>
      <c r="BQ44" s="65"/>
      <c r="BR44" s="40"/>
      <c r="BS44" s="44"/>
      <c r="BT44" s="44"/>
      <c r="BU44" s="65"/>
      <c r="BV44" s="40"/>
      <c r="BW44" s="44"/>
      <c r="BX44" s="44"/>
      <c r="BY44" s="65"/>
      <c r="BZ44" s="40"/>
      <c r="CA44" s="44"/>
      <c r="CB44" s="44"/>
      <c r="CC44" s="65"/>
      <c r="CD44" s="47"/>
      <c r="CE44" s="1145">
        <f>I44</f>
        <v>0</v>
      </c>
      <c r="CF44" s="53">
        <f>M44</f>
        <v>0</v>
      </c>
      <c r="CG44" s="53">
        <f>Q44</f>
        <v>0</v>
      </c>
      <c r="CH44" s="53">
        <f>U44</f>
        <v>0</v>
      </c>
      <c r="CI44" s="138">
        <f>Y44</f>
        <v>0</v>
      </c>
      <c r="CJ44" s="138">
        <f>AC44</f>
        <v>0</v>
      </c>
      <c r="CK44" s="53">
        <f>AG44</f>
        <v>0</v>
      </c>
      <c r="CL44" s="138">
        <f>AK44</f>
        <v>0</v>
      </c>
      <c r="CM44" s="138">
        <f>AO44</f>
        <v>0</v>
      </c>
      <c r="CN44" s="138">
        <f>AS44</f>
        <v>0</v>
      </c>
      <c r="CO44" s="44"/>
      <c r="CP44" s="44"/>
      <c r="CQ44" s="44"/>
      <c r="CR44" s="40"/>
      <c r="CS44" s="44">
        <f>BM44</f>
        <v>0</v>
      </c>
      <c r="CT44" s="44">
        <f>BN44</f>
        <v>0</v>
      </c>
      <c r="CU44" s="44">
        <f>BO44</f>
        <v>0</v>
      </c>
      <c r="CV44" s="44"/>
      <c r="CW44" s="44"/>
      <c r="CX44" s="44"/>
      <c r="CY44" s="44"/>
      <c r="CZ44" s="44"/>
      <c r="DA44" s="44"/>
      <c r="DB44" s="44"/>
      <c r="DC44" s="44"/>
      <c r="DD44" s="65"/>
      <c r="DE44" s="24"/>
      <c r="DF44" s="24"/>
      <c r="DG44" s="30"/>
      <c r="DH44" s="30"/>
      <c r="DI44" s="29"/>
      <c r="DJ44" s="29"/>
      <c r="DK44" s="24"/>
      <c r="DL44" s="24"/>
      <c r="DM44" s="24"/>
      <c r="DN44" s="24"/>
      <c r="DO44" s="24"/>
      <c r="DP44" s="24"/>
      <c r="DQ44" s="24"/>
      <c r="DR44" s="24"/>
    </row>
    <row r="45" spans="1:122">
      <c r="A45" s="3"/>
      <c r="B45" s="76"/>
      <c r="C45" s="147" t="s">
        <v>50</v>
      </c>
      <c r="D45" s="96"/>
      <c r="E45" s="97"/>
      <c r="F45" s="44"/>
      <c r="G45" s="44"/>
      <c r="H45" s="44"/>
      <c r="I45" s="47"/>
      <c r="J45" s="40"/>
      <c r="K45" s="44"/>
      <c r="L45" s="44"/>
      <c r="M45" s="47"/>
      <c r="N45" s="44"/>
      <c r="O45" s="44"/>
      <c r="P45" s="44"/>
      <c r="Q45" s="47"/>
      <c r="R45" s="44"/>
      <c r="S45" s="44"/>
      <c r="T45" s="44"/>
      <c r="U45" s="47"/>
      <c r="V45" s="44"/>
      <c r="W45" s="44"/>
      <c r="X45" s="44"/>
      <c r="Y45" s="47"/>
      <c r="Z45" s="39"/>
      <c r="AA45" s="39"/>
      <c r="AB45" s="39"/>
      <c r="AC45" s="47"/>
      <c r="AD45" s="46"/>
      <c r="AE45" s="46"/>
      <c r="AF45" s="44"/>
      <c r="AG45" s="47"/>
      <c r="AH45" s="46"/>
      <c r="AI45" s="39"/>
      <c r="AJ45" s="44"/>
      <c r="AK45" s="65"/>
      <c r="AL45" s="44"/>
      <c r="AM45" s="44"/>
      <c r="AN45" s="44"/>
      <c r="AO45" s="65"/>
      <c r="AP45" s="44"/>
      <c r="AQ45" s="44"/>
      <c r="AR45" s="44"/>
      <c r="AS45" s="65"/>
      <c r="AT45" s="44"/>
      <c r="AU45" s="44"/>
      <c r="AV45" s="44"/>
      <c r="AW45" s="65"/>
      <c r="AX45" s="44"/>
      <c r="AY45" s="44"/>
      <c r="AZ45" s="44"/>
      <c r="BA45" s="65"/>
      <c r="BB45" s="44"/>
      <c r="BC45" s="44"/>
      <c r="BD45" s="44"/>
      <c r="BE45" s="65"/>
      <c r="BF45" s="44"/>
      <c r="BG45" s="44"/>
      <c r="BH45" s="44"/>
      <c r="BI45" s="65"/>
      <c r="BJ45" s="44"/>
      <c r="BK45" s="44"/>
      <c r="BL45" s="44"/>
      <c r="BM45" s="65"/>
      <c r="BN45" s="44"/>
      <c r="BO45" s="44"/>
      <c r="BP45" s="44"/>
      <c r="BQ45" s="65"/>
      <c r="BR45" s="40"/>
      <c r="BS45" s="44"/>
      <c r="BT45" s="44"/>
      <c r="BU45" s="65"/>
      <c r="BV45" s="40"/>
      <c r="BW45" s="44"/>
      <c r="BX45" s="44"/>
      <c r="BY45" s="65"/>
      <c r="BZ45" s="40"/>
      <c r="CA45" s="44"/>
      <c r="CB45" s="44"/>
      <c r="CC45" s="65"/>
      <c r="CD45" s="47"/>
      <c r="CE45" s="1147"/>
      <c r="CF45" s="39"/>
      <c r="CG45" s="39"/>
      <c r="CH45" s="39"/>
      <c r="CI45" s="46"/>
      <c r="CJ45" s="46"/>
      <c r="CK45" s="39"/>
      <c r="CL45" s="46"/>
      <c r="CM45" s="46"/>
      <c r="CN45" s="46"/>
      <c r="CO45" s="44"/>
      <c r="CP45" s="44"/>
      <c r="CQ45" s="44"/>
      <c r="CR45" s="40"/>
      <c r="CS45" s="44"/>
      <c r="CT45" s="44"/>
      <c r="CU45" s="44"/>
      <c r="CV45" s="44"/>
      <c r="CW45" s="44"/>
      <c r="CX45" s="44"/>
      <c r="CY45" s="44"/>
      <c r="CZ45" s="44"/>
      <c r="DA45" s="44"/>
      <c r="DB45" s="44"/>
      <c r="DC45" s="44"/>
      <c r="DD45" s="65"/>
      <c r="DE45" s="24"/>
      <c r="DF45" s="24"/>
      <c r="DG45" s="30"/>
      <c r="DH45" s="30"/>
      <c r="DI45" s="29"/>
      <c r="DJ45" s="29"/>
      <c r="DK45" s="24"/>
      <c r="DL45" s="24"/>
      <c r="DM45" s="24"/>
      <c r="DN45" s="24"/>
      <c r="DO45" s="24"/>
      <c r="DP45" s="24"/>
      <c r="DQ45" s="24"/>
      <c r="DR45" s="24"/>
    </row>
    <row r="46" spans="1:122">
      <c r="A46" s="3"/>
      <c r="B46" s="76"/>
      <c r="C46" s="3"/>
      <c r="D46" s="96" t="s">
        <v>110</v>
      </c>
      <c r="E46" s="97"/>
      <c r="F46" s="780">
        <v>46.844000000000001</v>
      </c>
      <c r="G46" s="780">
        <v>44.466999999999999</v>
      </c>
      <c r="H46" s="780">
        <v>41.555999999999997</v>
      </c>
      <c r="I46" s="846">
        <v>38.628999999999998</v>
      </c>
      <c r="J46" s="845">
        <v>47.561</v>
      </c>
      <c r="K46" s="780">
        <v>46.436</v>
      </c>
      <c r="L46" s="780">
        <v>39.968000000000004</v>
      </c>
      <c r="M46" s="521">
        <v>41.142000000000003</v>
      </c>
      <c r="N46" s="457">
        <v>27.657</v>
      </c>
      <c r="O46" s="457">
        <v>29.588000000000001</v>
      </c>
      <c r="P46" s="457">
        <v>28.015999999999998</v>
      </c>
      <c r="Q46" s="521">
        <v>33.1</v>
      </c>
      <c r="R46" s="457">
        <v>23.6</v>
      </c>
      <c r="S46" s="459">
        <v>27.5</v>
      </c>
      <c r="T46" s="459">
        <v>26.6</v>
      </c>
      <c r="U46" s="522">
        <v>32</v>
      </c>
      <c r="V46" s="459">
        <v>24.1</v>
      </c>
      <c r="W46" s="459">
        <v>31.5</v>
      </c>
      <c r="X46" s="459">
        <v>30.6</v>
      </c>
      <c r="Y46" s="522">
        <v>35.4</v>
      </c>
      <c r="Z46" s="459">
        <v>31.5</v>
      </c>
      <c r="AA46" s="459">
        <v>35.5</v>
      </c>
      <c r="AB46" s="459">
        <v>40</v>
      </c>
      <c r="AC46" s="522">
        <v>37.6</v>
      </c>
      <c r="AD46" s="459">
        <v>42</v>
      </c>
      <c r="AE46" s="459">
        <v>38</v>
      </c>
      <c r="AF46" s="459">
        <v>40</v>
      </c>
      <c r="AG46" s="522">
        <v>45</v>
      </c>
      <c r="AH46" s="459">
        <v>117</v>
      </c>
      <c r="AI46" s="39">
        <v>117</v>
      </c>
      <c r="AJ46" s="44">
        <v>129</v>
      </c>
      <c r="AK46" s="44">
        <v>133</v>
      </c>
      <c r="AL46" s="40">
        <v>147</v>
      </c>
      <c r="AM46" s="44">
        <v>134</v>
      </c>
      <c r="AN46" s="44">
        <v>152</v>
      </c>
      <c r="AO46" s="65">
        <v>174</v>
      </c>
      <c r="AP46" s="44">
        <v>202</v>
      </c>
      <c r="AQ46" s="44">
        <v>237</v>
      </c>
      <c r="AR46" s="44">
        <v>287</v>
      </c>
      <c r="AS46" s="65">
        <v>302</v>
      </c>
      <c r="AT46" s="44">
        <v>308</v>
      </c>
      <c r="AU46" s="44">
        <v>309</v>
      </c>
      <c r="AV46" s="44">
        <v>328</v>
      </c>
      <c r="AW46" s="65">
        <v>310</v>
      </c>
      <c r="AX46" s="44">
        <v>290</v>
      </c>
      <c r="AY46" s="44">
        <v>282</v>
      </c>
      <c r="AZ46" s="44">
        <v>546</v>
      </c>
      <c r="BA46" s="59">
        <v>550</v>
      </c>
      <c r="BB46" s="44">
        <v>542</v>
      </c>
      <c r="BC46" s="39">
        <v>516</v>
      </c>
      <c r="BD46" s="44">
        <v>495</v>
      </c>
      <c r="BE46" s="65">
        <v>445</v>
      </c>
      <c r="BF46" s="44">
        <v>458</v>
      </c>
      <c r="BG46" s="44">
        <v>473</v>
      </c>
      <c r="BH46" s="1381">
        <v>473</v>
      </c>
      <c r="BI46" s="1450">
        <v>499</v>
      </c>
      <c r="BJ46" s="1381">
        <v>490</v>
      </c>
      <c r="BK46" s="44">
        <v>518</v>
      </c>
      <c r="BL46" s="1381">
        <v>529</v>
      </c>
      <c r="BM46" s="1450">
        <v>564</v>
      </c>
      <c r="BN46" s="1381">
        <v>585</v>
      </c>
      <c r="BO46" s="44">
        <v>602</v>
      </c>
      <c r="BP46" s="1381">
        <v>557</v>
      </c>
      <c r="BQ46" s="1450">
        <v>1108</v>
      </c>
      <c r="BR46" s="1380">
        <v>1261</v>
      </c>
      <c r="BS46" s="44">
        <v>1211</v>
      </c>
      <c r="BT46" s="44">
        <v>1201</v>
      </c>
      <c r="BU46" s="1450">
        <v>1180</v>
      </c>
      <c r="BV46" s="1380">
        <v>1104</v>
      </c>
      <c r="BW46" s="1380">
        <v>2438</v>
      </c>
      <c r="BX46" s="136">
        <f>(IS!BX16+IS!BX67)*BS!BX134</f>
        <v>1301.8773269089997</v>
      </c>
      <c r="BY46" s="137">
        <f>(IS!BY16+IS!BY67)*BS!BY134</f>
        <v>1344.1540671149407</v>
      </c>
      <c r="BZ46" s="655">
        <f>(IS!BZ16+IS!BZ67)*BS!BZ134</f>
        <v>1390.2576377419059</v>
      </c>
      <c r="CA46" s="136">
        <f>(IS!CA16+IS!CA67)*BS!CA134</f>
        <v>1393.0927218520023</v>
      </c>
      <c r="CB46" s="136">
        <f>(IS!CB16+IS!CB67)*BS!CB134</f>
        <v>1329.6959668691788</v>
      </c>
      <c r="CC46" s="137">
        <f>(IS!CC16+IS!CC67)*BS!CC134</f>
        <v>1294.7414081101376</v>
      </c>
      <c r="CD46" s="47"/>
      <c r="CE46" s="1145">
        <f>I46</f>
        <v>38.628999999999998</v>
      </c>
      <c r="CF46" s="53">
        <f>M46</f>
        <v>41.142000000000003</v>
      </c>
      <c r="CG46" s="53">
        <f>Q46</f>
        <v>33.1</v>
      </c>
      <c r="CH46" s="53">
        <f>U46</f>
        <v>32</v>
      </c>
      <c r="CI46" s="138">
        <f>Y46</f>
        <v>35.4</v>
      </c>
      <c r="CJ46" s="138">
        <f>AC46</f>
        <v>37.6</v>
      </c>
      <c r="CK46" s="138">
        <f>AG46</f>
        <v>45</v>
      </c>
      <c r="CL46" s="138">
        <f>AK46</f>
        <v>133</v>
      </c>
      <c r="CM46" s="138">
        <f>AO46</f>
        <v>174</v>
      </c>
      <c r="CN46" s="138">
        <f>AS46</f>
        <v>302</v>
      </c>
      <c r="CO46" s="136">
        <f>AW46</f>
        <v>310</v>
      </c>
      <c r="CP46" s="136">
        <f>BA46</f>
        <v>550</v>
      </c>
      <c r="CQ46" s="136">
        <f>BE46</f>
        <v>445</v>
      </c>
      <c r="CR46" s="655">
        <f>BI46</f>
        <v>499</v>
      </c>
      <c r="CS46" s="136">
        <f>BM46</f>
        <v>564</v>
      </c>
      <c r="CT46" s="53">
        <f>BQ46</f>
        <v>1108</v>
      </c>
      <c r="CU46" s="53">
        <f>BU46</f>
        <v>1180</v>
      </c>
      <c r="CV46" s="53">
        <f>BY46</f>
        <v>1344.1540671149407</v>
      </c>
      <c r="CW46" s="53">
        <f>CC46</f>
        <v>1294.7414081101376</v>
      </c>
      <c r="CX46" s="53">
        <f>(IS!CX16+IS!CX67)*BS!CX134</f>
        <v>1389.5610420484797</v>
      </c>
      <c r="CY46" s="53">
        <f>(IS!CY16+IS!CY67)*BS!CY134</f>
        <v>1446.0162310605733</v>
      </c>
      <c r="CZ46" s="53">
        <f>(IS!CZ16+IS!CZ67)*BS!CZ134</f>
        <v>1499.0491065630154</v>
      </c>
      <c r="DA46" s="53">
        <f>(IS!DA16+IS!DA67)*BS!DA134</f>
        <v>1571.1543969634615</v>
      </c>
      <c r="DB46" s="53">
        <f>(IS!DB16+IS!DB67)*BS!DB134</f>
        <v>1654.589885350907</v>
      </c>
      <c r="DC46" s="53">
        <f>(IS!DC16+IS!DC67)*BS!DC134</f>
        <v>1748.781068619659</v>
      </c>
      <c r="DD46" s="645"/>
      <c r="DE46" s="24"/>
      <c r="DF46" s="24"/>
      <c r="DG46" s="30"/>
      <c r="DH46" s="30"/>
      <c r="DI46" s="29"/>
      <c r="DJ46" s="29"/>
      <c r="DK46" s="24"/>
      <c r="DL46" s="24"/>
      <c r="DM46" s="24"/>
      <c r="DN46" s="24"/>
      <c r="DO46" s="24"/>
      <c r="DP46" s="24"/>
      <c r="DQ46" s="24"/>
      <c r="DR46" s="24"/>
    </row>
    <row r="47" spans="1:122">
      <c r="A47" s="3"/>
      <c r="B47" s="76"/>
      <c r="C47" s="3"/>
      <c r="D47" s="96" t="s">
        <v>111</v>
      </c>
      <c r="E47" s="97"/>
      <c r="F47" s="780">
        <v>178.512</v>
      </c>
      <c r="G47" s="780">
        <v>113.203</v>
      </c>
      <c r="H47" s="780">
        <v>112.611</v>
      </c>
      <c r="I47" s="846">
        <v>112.491</v>
      </c>
      <c r="J47" s="845">
        <v>113.974</v>
      </c>
      <c r="K47" s="780">
        <v>102.404</v>
      </c>
      <c r="L47" s="780">
        <v>89.516999999999996</v>
      </c>
      <c r="M47" s="521">
        <v>86.203999999999994</v>
      </c>
      <c r="N47" s="457">
        <v>72.599000000000004</v>
      </c>
      <c r="O47" s="457">
        <v>73.555999999999997</v>
      </c>
      <c r="P47" s="457">
        <v>0</v>
      </c>
      <c r="Q47" s="521">
        <v>0</v>
      </c>
      <c r="R47" s="457">
        <v>50</v>
      </c>
      <c r="S47" s="459">
        <v>46.9</v>
      </c>
      <c r="T47" s="459">
        <v>43.8</v>
      </c>
      <c r="U47" s="522">
        <v>52.7</v>
      </c>
      <c r="V47" s="459">
        <v>47.7</v>
      </c>
      <c r="W47" s="459">
        <v>42.7</v>
      </c>
      <c r="X47" s="459">
        <v>37.700000000000003</v>
      </c>
      <c r="Y47" s="522">
        <v>32.6</v>
      </c>
      <c r="Z47" s="459">
        <v>33.799999999999997</v>
      </c>
      <c r="AA47" s="459">
        <v>31.9</v>
      </c>
      <c r="AB47" s="459">
        <v>25.2</v>
      </c>
      <c r="AC47" s="522">
        <v>19.5</v>
      </c>
      <c r="AD47" s="459">
        <v>29</v>
      </c>
      <c r="AE47" s="459">
        <v>21</v>
      </c>
      <c r="AF47" s="459">
        <v>13</v>
      </c>
      <c r="AG47" s="522">
        <v>10</v>
      </c>
      <c r="AH47" s="459">
        <v>7</v>
      </c>
      <c r="AI47" s="39">
        <v>4</v>
      </c>
      <c r="AJ47" s="44">
        <v>503</v>
      </c>
      <c r="AK47" s="65">
        <v>482</v>
      </c>
      <c r="AL47" s="44">
        <v>462</v>
      </c>
      <c r="AM47" s="44">
        <v>444</v>
      </c>
      <c r="AN47" s="44">
        <v>425</v>
      </c>
      <c r="AO47" s="65">
        <v>400</v>
      </c>
      <c r="AP47" s="44">
        <v>375</v>
      </c>
      <c r="AQ47" s="44">
        <v>350</v>
      </c>
      <c r="AR47" s="44">
        <v>325</v>
      </c>
      <c r="AS47" s="65">
        <v>294</v>
      </c>
      <c r="AT47" s="44">
        <v>262</v>
      </c>
      <c r="AU47" s="44">
        <v>231</v>
      </c>
      <c r="AV47" s="44">
        <v>200</v>
      </c>
      <c r="AW47" s="65">
        <v>150</v>
      </c>
      <c r="AX47" s="44">
        <v>100</v>
      </c>
      <c r="AY47" s="44">
        <v>50</v>
      </c>
      <c r="AZ47" s="44">
        <v>2013</v>
      </c>
      <c r="BA47" s="59">
        <v>1955</v>
      </c>
      <c r="BB47" s="44">
        <v>1898</v>
      </c>
      <c r="BC47" s="39">
        <v>1840</v>
      </c>
      <c r="BD47" s="44">
        <v>1783</v>
      </c>
      <c r="BE47" s="65">
        <v>1725</v>
      </c>
      <c r="BF47" s="44">
        <v>1668</v>
      </c>
      <c r="BG47" s="44">
        <v>1610</v>
      </c>
      <c r="BH47" s="1381">
        <v>2344</v>
      </c>
      <c r="BI47" s="1450">
        <v>2313</v>
      </c>
      <c r="BJ47" s="1381">
        <v>2281</v>
      </c>
      <c r="BK47" s="44">
        <v>2250</v>
      </c>
      <c r="BL47" s="1381">
        <v>2203</v>
      </c>
      <c r="BM47" s="1450">
        <v>2156</v>
      </c>
      <c r="BN47" s="1381">
        <v>2109</v>
      </c>
      <c r="BO47" s="44">
        <v>2062</v>
      </c>
      <c r="BP47" s="1381">
        <v>2000</v>
      </c>
      <c r="BQ47" s="1450">
        <v>13660</v>
      </c>
      <c r="BR47" s="1380">
        <v>13055</v>
      </c>
      <c r="BS47" s="44">
        <v>12944</v>
      </c>
      <c r="BT47" s="44">
        <v>12907</v>
      </c>
      <c r="BU47" s="1450">
        <v>12918</v>
      </c>
      <c r="BV47" s="1380">
        <v>12873</v>
      </c>
      <c r="BW47" s="1380">
        <v>11777</v>
      </c>
      <c r="BX47" s="136">
        <f>BW47+CF!BX41+CF!BX46</f>
        <v>11527</v>
      </c>
      <c r="BY47" s="137">
        <f>BX47+CF!BY41+CF!BY46</f>
        <v>11277</v>
      </c>
      <c r="BZ47" s="655">
        <f>BY47+CF!BZ41+CF!BZ46</f>
        <v>11027</v>
      </c>
      <c r="CA47" s="136">
        <f>BZ47+CF!CA41+CF!CA46</f>
        <v>10777</v>
      </c>
      <c r="CB47" s="136">
        <f>CA47+CF!CB41+CF!CB46</f>
        <v>10527</v>
      </c>
      <c r="CC47" s="137">
        <f>CB47+CF!CC41+CF!CC46</f>
        <v>10277</v>
      </c>
      <c r="CD47" s="47"/>
      <c r="CE47" s="1145">
        <f>I47</f>
        <v>112.491</v>
      </c>
      <c r="CF47" s="53">
        <f>M47</f>
        <v>86.203999999999994</v>
      </c>
      <c r="CG47" s="53">
        <f>Q47</f>
        <v>0</v>
      </c>
      <c r="CH47" s="53">
        <f>U47</f>
        <v>52.7</v>
      </c>
      <c r="CI47" s="138">
        <f>Y47</f>
        <v>32.6</v>
      </c>
      <c r="CJ47" s="138">
        <f>AC47</f>
        <v>19.5</v>
      </c>
      <c r="CK47" s="138">
        <f>AG47</f>
        <v>10</v>
      </c>
      <c r="CL47" s="138">
        <f>AK47</f>
        <v>482</v>
      </c>
      <c r="CM47" s="138">
        <f>AO47</f>
        <v>400</v>
      </c>
      <c r="CN47" s="138">
        <f>AS47</f>
        <v>294</v>
      </c>
      <c r="CO47" s="136">
        <f>AW47</f>
        <v>150</v>
      </c>
      <c r="CP47" s="136">
        <f>BA47</f>
        <v>1955</v>
      </c>
      <c r="CQ47" s="136">
        <f>BE47</f>
        <v>1725</v>
      </c>
      <c r="CR47" s="655">
        <f>BI47</f>
        <v>2313</v>
      </c>
      <c r="CS47" s="136">
        <f>BM47</f>
        <v>2156</v>
      </c>
      <c r="CT47" s="53">
        <f>BQ47</f>
        <v>13660</v>
      </c>
      <c r="CU47" s="53">
        <f>BU47</f>
        <v>12918</v>
      </c>
      <c r="CV47" s="53">
        <f>BY47</f>
        <v>11277</v>
      </c>
      <c r="CW47" s="53">
        <f>CC47</f>
        <v>10277</v>
      </c>
      <c r="CX47" s="53">
        <f>CW47+CF!CX41+CF!CX46</f>
        <v>9277</v>
      </c>
      <c r="CY47" s="53">
        <f>CX47+CF!CY41+CF!CY46</f>
        <v>8277</v>
      </c>
      <c r="CZ47" s="53">
        <f>CY47+CF!CZ41+CF!CZ46</f>
        <v>7277</v>
      </c>
      <c r="DA47" s="53">
        <f>CZ47+CF!DA41+CF!DA46</f>
        <v>6277</v>
      </c>
      <c r="DB47" s="53">
        <f>DA47+CF!DB41+CF!DB46</f>
        <v>5277</v>
      </c>
      <c r="DC47" s="53">
        <f>DB47+CF!DC41+CF!DC46</f>
        <v>4277</v>
      </c>
      <c r="DD47" s="645"/>
      <c r="DE47" s="24"/>
      <c r="DF47" s="24"/>
      <c r="DG47" s="30"/>
      <c r="DH47" s="30"/>
      <c r="DI47" s="29"/>
      <c r="DJ47" s="29"/>
      <c r="DK47" s="24"/>
      <c r="DL47" s="24"/>
      <c r="DM47" s="24"/>
      <c r="DN47" s="24"/>
      <c r="DO47" s="24"/>
      <c r="DP47" s="24"/>
      <c r="DQ47" s="24"/>
      <c r="DR47" s="24"/>
    </row>
    <row r="48" spans="1:122">
      <c r="A48" s="3"/>
      <c r="B48" s="76"/>
      <c r="C48" s="3"/>
      <c r="D48" s="24" t="s">
        <v>356</v>
      </c>
      <c r="E48" s="97"/>
      <c r="F48" s="780">
        <v>9.6440000000000001</v>
      </c>
      <c r="G48" s="780">
        <v>9.2509999999999994</v>
      </c>
      <c r="H48" s="780">
        <v>8.9979999999999993</v>
      </c>
      <c r="I48" s="846">
        <v>9.3829999999999991</v>
      </c>
      <c r="J48" s="845"/>
      <c r="K48" s="780"/>
      <c r="L48" s="780"/>
      <c r="M48" s="521"/>
      <c r="N48" s="457"/>
      <c r="O48" s="457"/>
      <c r="P48" s="457"/>
      <c r="Q48" s="521"/>
      <c r="R48" s="457"/>
      <c r="S48" s="459"/>
      <c r="T48" s="459"/>
      <c r="U48" s="522"/>
      <c r="V48" s="459"/>
      <c r="W48" s="459"/>
      <c r="X48" s="459"/>
      <c r="Y48" s="522"/>
      <c r="Z48" s="459"/>
      <c r="AA48" s="459"/>
      <c r="AB48" s="459"/>
      <c r="AC48" s="522"/>
      <c r="AD48" s="459"/>
      <c r="AE48" s="459"/>
      <c r="AF48" s="459"/>
      <c r="AG48" s="522"/>
      <c r="AH48" s="459"/>
      <c r="AI48" s="39"/>
      <c r="AJ48" s="136"/>
      <c r="AK48" s="137"/>
      <c r="AL48" s="136"/>
      <c r="AM48" s="136"/>
      <c r="AN48" s="136"/>
      <c r="AO48" s="137"/>
      <c r="AP48" s="136"/>
      <c r="AQ48" s="136"/>
      <c r="AR48" s="136"/>
      <c r="AS48" s="137"/>
      <c r="AT48" s="136"/>
      <c r="AU48" s="136"/>
      <c r="AV48" s="136"/>
      <c r="AW48" s="137"/>
      <c r="AX48" s="136"/>
      <c r="AY48" s="136"/>
      <c r="AZ48" s="136"/>
      <c r="BA48" s="137"/>
      <c r="BB48" s="136"/>
      <c r="BC48" s="136"/>
      <c r="BD48" s="136"/>
      <c r="BE48" s="137"/>
      <c r="BF48" s="136"/>
      <c r="BG48" s="136"/>
      <c r="BH48" s="1381"/>
      <c r="BI48" s="137"/>
      <c r="BJ48" s="136"/>
      <c r="BK48" s="136"/>
      <c r="BL48" s="1381"/>
      <c r="BM48" s="137"/>
      <c r="BN48" s="136"/>
      <c r="BO48" s="136"/>
      <c r="BP48" s="1381"/>
      <c r="BQ48" s="137"/>
      <c r="BR48" s="655"/>
      <c r="BS48" s="136"/>
      <c r="BT48" s="136"/>
      <c r="BU48" s="137"/>
      <c r="BV48" s="655"/>
      <c r="BW48" s="136"/>
      <c r="BX48" s="136"/>
      <c r="BY48" s="137"/>
      <c r="BZ48" s="655"/>
      <c r="CA48" s="136"/>
      <c r="CB48" s="136"/>
      <c r="CC48" s="137"/>
      <c r="CD48" s="47"/>
      <c r="CE48" s="1145">
        <f>I48</f>
        <v>9.3829999999999991</v>
      </c>
      <c r="CF48" s="53">
        <f>M48</f>
        <v>0</v>
      </c>
      <c r="CG48" s="53">
        <f>Q48</f>
        <v>0</v>
      </c>
      <c r="CH48" s="53">
        <f>U48</f>
        <v>0</v>
      </c>
      <c r="CI48" s="138">
        <f>Y48</f>
        <v>0</v>
      </c>
      <c r="CJ48" s="138">
        <f>AC48</f>
        <v>0</v>
      </c>
      <c r="CK48" s="138">
        <f>AG48</f>
        <v>0</v>
      </c>
      <c r="CL48" s="138">
        <f>AK48</f>
        <v>0</v>
      </c>
      <c r="CM48" s="138">
        <f>AO48</f>
        <v>0</v>
      </c>
      <c r="CN48" s="138">
        <f>AS48</f>
        <v>0</v>
      </c>
      <c r="CO48" s="136">
        <f>AW48</f>
        <v>0</v>
      </c>
      <c r="CP48" s="136">
        <f>BA48</f>
        <v>0</v>
      </c>
      <c r="CQ48" s="136"/>
      <c r="CR48" s="655"/>
      <c r="CS48" s="136"/>
      <c r="CT48" s="53"/>
      <c r="CU48" s="53"/>
      <c r="CV48" s="53"/>
      <c r="CW48" s="53"/>
      <c r="CX48" s="53"/>
      <c r="CY48" s="53"/>
      <c r="CZ48" s="53"/>
      <c r="DA48" s="53"/>
      <c r="DB48" s="53"/>
      <c r="DC48" s="53"/>
      <c r="DD48" s="645"/>
      <c r="DE48" s="24"/>
      <c r="DF48" s="24"/>
      <c r="DG48" s="30"/>
      <c r="DH48" s="30"/>
      <c r="DI48" s="29"/>
      <c r="DJ48" s="29"/>
      <c r="DK48" s="24"/>
      <c r="DL48" s="24"/>
      <c r="DM48" s="24"/>
      <c r="DN48" s="24"/>
      <c r="DO48" s="24"/>
      <c r="DP48" s="24"/>
      <c r="DQ48" s="24"/>
      <c r="DR48" s="24"/>
    </row>
    <row r="49" spans="1:122">
      <c r="A49" s="3"/>
      <c r="B49" s="70"/>
      <c r="C49" s="4" t="s">
        <v>277</v>
      </c>
      <c r="D49" s="4"/>
      <c r="E49" s="109"/>
      <c r="F49" s="505">
        <f t="shared" ref="F49:AZ49" si="125">SUM(F46:F48)</f>
        <v>235</v>
      </c>
      <c r="G49" s="505">
        <f t="shared" si="125"/>
        <v>166.92100000000002</v>
      </c>
      <c r="H49" s="505">
        <f t="shared" si="125"/>
        <v>163.16499999999999</v>
      </c>
      <c r="I49" s="505">
        <f t="shared" si="125"/>
        <v>160.50300000000001</v>
      </c>
      <c r="J49" s="507">
        <f t="shared" si="125"/>
        <v>161.535</v>
      </c>
      <c r="K49" s="505">
        <f t="shared" si="125"/>
        <v>148.84</v>
      </c>
      <c r="L49" s="505">
        <f t="shared" si="125"/>
        <v>129.48500000000001</v>
      </c>
      <c r="M49" s="505">
        <f t="shared" si="125"/>
        <v>127.346</v>
      </c>
      <c r="N49" s="507">
        <f t="shared" si="125"/>
        <v>100.256</v>
      </c>
      <c r="O49" s="505">
        <f t="shared" si="125"/>
        <v>103.14400000000001</v>
      </c>
      <c r="P49" s="505">
        <f t="shared" si="125"/>
        <v>28.015999999999998</v>
      </c>
      <c r="Q49" s="505">
        <f t="shared" si="125"/>
        <v>33.1</v>
      </c>
      <c r="R49" s="507">
        <f t="shared" si="125"/>
        <v>73.599999999999994</v>
      </c>
      <c r="S49" s="505">
        <f t="shared" si="125"/>
        <v>74.400000000000006</v>
      </c>
      <c r="T49" s="505">
        <f t="shared" si="125"/>
        <v>70.400000000000006</v>
      </c>
      <c r="U49" s="505">
        <f t="shared" si="125"/>
        <v>84.7</v>
      </c>
      <c r="V49" s="507">
        <f t="shared" si="125"/>
        <v>71.800000000000011</v>
      </c>
      <c r="W49" s="505">
        <f t="shared" si="125"/>
        <v>74.2</v>
      </c>
      <c r="X49" s="505">
        <f t="shared" si="125"/>
        <v>68.300000000000011</v>
      </c>
      <c r="Y49" s="506">
        <f t="shared" si="125"/>
        <v>68</v>
      </c>
      <c r="Z49" s="602">
        <f t="shared" si="125"/>
        <v>65.3</v>
      </c>
      <c r="AA49" s="602">
        <f t="shared" si="125"/>
        <v>67.400000000000006</v>
      </c>
      <c r="AB49" s="602">
        <f t="shared" si="125"/>
        <v>65.2</v>
      </c>
      <c r="AC49" s="506">
        <f t="shared" si="125"/>
        <v>57.1</v>
      </c>
      <c r="AD49" s="505">
        <f t="shared" si="125"/>
        <v>71</v>
      </c>
      <c r="AE49" s="505">
        <f t="shared" si="125"/>
        <v>59</v>
      </c>
      <c r="AF49" s="505">
        <f t="shared" si="125"/>
        <v>53</v>
      </c>
      <c r="AG49" s="506">
        <f t="shared" si="125"/>
        <v>55</v>
      </c>
      <c r="AH49" s="505">
        <f t="shared" si="125"/>
        <v>124</v>
      </c>
      <c r="AI49" s="602">
        <f t="shared" si="125"/>
        <v>121</v>
      </c>
      <c r="AJ49" s="505">
        <f t="shared" si="125"/>
        <v>632</v>
      </c>
      <c r="AK49" s="506">
        <f t="shared" si="125"/>
        <v>615</v>
      </c>
      <c r="AL49" s="505">
        <f t="shared" si="125"/>
        <v>609</v>
      </c>
      <c r="AM49" s="505">
        <f t="shared" si="125"/>
        <v>578</v>
      </c>
      <c r="AN49" s="505">
        <f t="shared" si="125"/>
        <v>577</v>
      </c>
      <c r="AO49" s="506">
        <f t="shared" si="125"/>
        <v>574</v>
      </c>
      <c r="AP49" s="505">
        <f t="shared" si="125"/>
        <v>577</v>
      </c>
      <c r="AQ49" s="505">
        <f t="shared" si="125"/>
        <v>587</v>
      </c>
      <c r="AR49" s="505">
        <f t="shared" si="125"/>
        <v>612</v>
      </c>
      <c r="AS49" s="506">
        <f t="shared" si="125"/>
        <v>596</v>
      </c>
      <c r="AT49" s="505">
        <f t="shared" si="125"/>
        <v>570</v>
      </c>
      <c r="AU49" s="505">
        <f t="shared" si="125"/>
        <v>540</v>
      </c>
      <c r="AV49" s="505">
        <f t="shared" si="125"/>
        <v>528</v>
      </c>
      <c r="AW49" s="506">
        <f t="shared" si="125"/>
        <v>460</v>
      </c>
      <c r="AX49" s="505">
        <f t="shared" si="125"/>
        <v>390</v>
      </c>
      <c r="AY49" s="505">
        <f t="shared" si="125"/>
        <v>332</v>
      </c>
      <c r="AZ49" s="505">
        <f t="shared" si="125"/>
        <v>2559</v>
      </c>
      <c r="BA49" s="506">
        <f t="shared" ref="BA49:BI49" si="126">SUM(BA46:BA48)</f>
        <v>2505</v>
      </c>
      <c r="BB49" s="505">
        <f t="shared" si="126"/>
        <v>2440</v>
      </c>
      <c r="BC49" s="505">
        <f t="shared" si="126"/>
        <v>2356</v>
      </c>
      <c r="BD49" s="505">
        <f t="shared" si="126"/>
        <v>2278</v>
      </c>
      <c r="BE49" s="506">
        <f>SUM(BE46:BE48)</f>
        <v>2170</v>
      </c>
      <c r="BF49" s="505">
        <f>SUM(BF46:BF48)</f>
        <v>2126</v>
      </c>
      <c r="BG49" s="505">
        <f t="shared" si="126"/>
        <v>2083</v>
      </c>
      <c r="BH49" s="505">
        <f t="shared" si="126"/>
        <v>2817</v>
      </c>
      <c r="BI49" s="506">
        <f t="shared" si="126"/>
        <v>2812</v>
      </c>
      <c r="BJ49" s="505">
        <f t="shared" ref="BJ49:BQ49" si="127">SUM(BJ46:BJ48)</f>
        <v>2771</v>
      </c>
      <c r="BK49" s="505">
        <f t="shared" si="127"/>
        <v>2768</v>
      </c>
      <c r="BL49" s="505">
        <f>SUM(BL46:BL48)</f>
        <v>2732</v>
      </c>
      <c r="BM49" s="506">
        <f>SUM(BM46:BM48)</f>
        <v>2720</v>
      </c>
      <c r="BN49" s="505">
        <f t="shared" si="127"/>
        <v>2694</v>
      </c>
      <c r="BO49" s="505">
        <f>SUM(BO46:BO48)</f>
        <v>2664</v>
      </c>
      <c r="BP49" s="505">
        <f t="shared" si="127"/>
        <v>2557</v>
      </c>
      <c r="BQ49" s="506">
        <f t="shared" si="127"/>
        <v>14768</v>
      </c>
      <c r="BR49" s="507">
        <f t="shared" ref="BR49:BY49" si="128">SUM(BR46:BR48)</f>
        <v>14316</v>
      </c>
      <c r="BS49" s="505">
        <f t="shared" si="128"/>
        <v>14155</v>
      </c>
      <c r="BT49" s="505">
        <f t="shared" si="128"/>
        <v>14108</v>
      </c>
      <c r="BU49" s="506">
        <f t="shared" si="128"/>
        <v>14098</v>
      </c>
      <c r="BV49" s="507">
        <f t="shared" si="128"/>
        <v>13977</v>
      </c>
      <c r="BW49" s="505">
        <f t="shared" ref="BW49" si="129">SUM(BW46:BW48)</f>
        <v>14215</v>
      </c>
      <c r="BX49" s="505">
        <f t="shared" si="128"/>
        <v>12828.877326909</v>
      </c>
      <c r="BY49" s="506">
        <f t="shared" si="128"/>
        <v>12621.154067114941</v>
      </c>
      <c r="BZ49" s="507">
        <f>SUM(BZ46:BZ48)</f>
        <v>12417.257637741906</v>
      </c>
      <c r="CA49" s="505">
        <f>SUM(CA46:CA48)</f>
        <v>12170.092721852003</v>
      </c>
      <c r="CB49" s="505">
        <f>SUM(CB46:CB48)</f>
        <v>11856.695966869178</v>
      </c>
      <c r="CC49" s="506">
        <f>SUM(CC46:CC48)</f>
        <v>11571.741408110138</v>
      </c>
      <c r="CD49" s="47"/>
      <c r="CE49" s="918">
        <f t="shared" ref="CE49:CP49" si="130">SUM(CE46:CE48)</f>
        <v>160.50300000000001</v>
      </c>
      <c r="CF49" s="505">
        <f t="shared" si="130"/>
        <v>127.346</v>
      </c>
      <c r="CG49" s="505">
        <f t="shared" si="130"/>
        <v>33.1</v>
      </c>
      <c r="CH49" s="505">
        <f t="shared" si="130"/>
        <v>84.7</v>
      </c>
      <c r="CI49" s="505">
        <f t="shared" si="130"/>
        <v>68</v>
      </c>
      <c r="CJ49" s="505">
        <f t="shared" si="130"/>
        <v>57.1</v>
      </c>
      <c r="CK49" s="505">
        <f t="shared" si="130"/>
        <v>55</v>
      </c>
      <c r="CL49" s="505">
        <f t="shared" si="130"/>
        <v>615</v>
      </c>
      <c r="CM49" s="505">
        <f t="shared" si="130"/>
        <v>574</v>
      </c>
      <c r="CN49" s="505">
        <f t="shared" si="130"/>
        <v>596</v>
      </c>
      <c r="CO49" s="505">
        <f t="shared" si="130"/>
        <v>460</v>
      </c>
      <c r="CP49" s="505">
        <f t="shared" si="130"/>
        <v>2505</v>
      </c>
      <c r="CQ49" s="505">
        <f t="shared" ref="CQ49:CV49" si="131">SUM(CQ46:CQ48)</f>
        <v>2170</v>
      </c>
      <c r="CR49" s="507">
        <f t="shared" si="131"/>
        <v>2812</v>
      </c>
      <c r="CS49" s="505">
        <f t="shared" si="131"/>
        <v>2720</v>
      </c>
      <c r="CT49" s="505">
        <f t="shared" si="131"/>
        <v>14768</v>
      </c>
      <c r="CU49" s="505">
        <f t="shared" si="131"/>
        <v>14098</v>
      </c>
      <c r="CV49" s="505">
        <f t="shared" si="131"/>
        <v>12621.154067114941</v>
      </c>
      <c r="CW49" s="505">
        <f t="shared" ref="CW49:DC49" si="132">SUM(CW46:CW48)</f>
        <v>11571.741408110138</v>
      </c>
      <c r="CX49" s="505">
        <f t="shared" si="132"/>
        <v>10666.561042048479</v>
      </c>
      <c r="CY49" s="505">
        <f t="shared" si="132"/>
        <v>9723.0162310605738</v>
      </c>
      <c r="CZ49" s="505">
        <f t="shared" si="132"/>
        <v>8776.0491065630158</v>
      </c>
      <c r="DA49" s="505">
        <f t="shared" si="132"/>
        <v>7848.1543969634613</v>
      </c>
      <c r="DB49" s="505">
        <f t="shared" si="132"/>
        <v>6931.589885350907</v>
      </c>
      <c r="DC49" s="505">
        <f t="shared" si="132"/>
        <v>6025.781068619659</v>
      </c>
      <c r="DD49" s="506"/>
      <c r="DE49" s="24"/>
      <c r="DF49" s="31"/>
      <c r="DG49" s="30"/>
      <c r="DH49" s="30"/>
      <c r="DI49" s="30"/>
      <c r="DJ49" s="30"/>
      <c r="DK49" s="31"/>
      <c r="DL49" s="31"/>
      <c r="DM49" s="31"/>
      <c r="DN49" s="31"/>
      <c r="DO49" s="31"/>
      <c r="DP49" s="31"/>
      <c r="DQ49" s="31"/>
      <c r="DR49" s="31"/>
    </row>
    <row r="50" spans="1:122" ht="4.5" customHeight="1">
      <c r="A50" s="3"/>
      <c r="B50" s="76"/>
      <c r="C50" s="96"/>
      <c r="D50" s="96"/>
      <c r="E50" s="97"/>
      <c r="F50" s="44"/>
      <c r="G50" s="44"/>
      <c r="H50" s="44"/>
      <c r="I50" s="65"/>
      <c r="J50" s="40"/>
      <c r="K50" s="44"/>
      <c r="L50" s="44"/>
      <c r="M50" s="65"/>
      <c r="N50" s="44"/>
      <c r="O50" s="44"/>
      <c r="P50" s="44"/>
      <c r="Q50" s="65"/>
      <c r="R50" s="44"/>
      <c r="S50" s="44"/>
      <c r="T50" s="44"/>
      <c r="U50" s="65"/>
      <c r="V50" s="44"/>
      <c r="W50" s="44"/>
      <c r="X50" s="44"/>
      <c r="Y50" s="65"/>
      <c r="Z50" s="39"/>
      <c r="AA50" s="39"/>
      <c r="AB50" s="39"/>
      <c r="AC50" s="65"/>
      <c r="AD50" s="44"/>
      <c r="AE50" s="44"/>
      <c r="AF50" s="44"/>
      <c r="AG50" s="65"/>
      <c r="AH50" s="44"/>
      <c r="AI50" s="39"/>
      <c r="AJ50" s="44"/>
      <c r="AK50" s="65"/>
      <c r="AL50" s="44"/>
      <c r="AM50" s="44"/>
      <c r="AN50" s="44"/>
      <c r="AO50" s="65"/>
      <c r="AP50" s="44"/>
      <c r="AQ50" s="44"/>
      <c r="AR50" s="44"/>
      <c r="AS50" s="65"/>
      <c r="AT50" s="44"/>
      <c r="AU50" s="44"/>
      <c r="AV50" s="44"/>
      <c r="AW50" s="65"/>
      <c r="AX50" s="44"/>
      <c r="AY50" s="44"/>
      <c r="AZ50" s="44"/>
      <c r="BA50" s="65"/>
      <c r="BB50" s="44"/>
      <c r="BC50" s="44"/>
      <c r="BD50" s="44"/>
      <c r="BE50" s="65"/>
      <c r="BF50" s="44"/>
      <c r="BG50" s="44"/>
      <c r="BH50" s="44"/>
      <c r="BI50" s="65"/>
      <c r="BJ50" s="44"/>
      <c r="BK50" s="44"/>
      <c r="BL50" s="44"/>
      <c r="BM50" s="65"/>
      <c r="BN50" s="44"/>
      <c r="BO50" s="44"/>
      <c r="BP50" s="44"/>
      <c r="BQ50" s="65"/>
      <c r="BR50" s="40"/>
      <c r="BS50" s="44"/>
      <c r="BT50" s="44"/>
      <c r="BU50" s="65"/>
      <c r="BV50" s="40"/>
      <c r="BW50" s="44"/>
      <c r="BX50" s="44"/>
      <c r="BY50" s="65"/>
      <c r="BZ50" s="40"/>
      <c r="CA50" s="44"/>
      <c r="CB50" s="44"/>
      <c r="CC50" s="65"/>
      <c r="CD50" s="47"/>
      <c r="CE50" s="40"/>
      <c r="CF50" s="44"/>
      <c r="CG50" s="44"/>
      <c r="CH50" s="44"/>
      <c r="CI50" s="44"/>
      <c r="CJ50" s="44"/>
      <c r="CK50" s="44"/>
      <c r="CL50" s="44"/>
      <c r="CM50" s="44"/>
      <c r="CN50" s="44"/>
      <c r="CO50" s="44"/>
      <c r="CP50" s="44"/>
      <c r="CQ50" s="44"/>
      <c r="CR50" s="40"/>
      <c r="CS50" s="44">
        <f>BM50</f>
        <v>0</v>
      </c>
      <c r="CT50" s="44">
        <f>BN50</f>
        <v>0</v>
      </c>
      <c r="CU50" s="44">
        <f>BO50</f>
        <v>0</v>
      </c>
      <c r="CV50" s="44"/>
      <c r="CW50" s="44"/>
      <c r="CX50" s="44"/>
      <c r="CY50" s="44"/>
      <c r="CZ50" s="44"/>
      <c r="DA50" s="44"/>
      <c r="DB50" s="44"/>
      <c r="DC50" s="44"/>
      <c r="DD50" s="65"/>
      <c r="DE50" s="24"/>
      <c r="DF50" s="24"/>
      <c r="DG50" s="30"/>
      <c r="DH50" s="30"/>
      <c r="DI50" s="29"/>
      <c r="DJ50" s="29"/>
      <c r="DK50" s="24"/>
      <c r="DL50" s="24"/>
      <c r="DM50" s="24"/>
      <c r="DN50" s="24"/>
      <c r="DO50" s="24"/>
      <c r="DP50" s="24"/>
      <c r="DQ50" s="24"/>
      <c r="DR50" s="24"/>
    </row>
    <row r="51" spans="1:122">
      <c r="A51" s="3"/>
      <c r="B51" s="70" t="s">
        <v>40</v>
      </c>
      <c r="C51" s="4"/>
      <c r="D51" s="4"/>
      <c r="E51" s="109"/>
      <c r="F51" s="505">
        <f t="shared" ref="F51:AZ51" si="133">F43+F49</f>
        <v>615.91899999999998</v>
      </c>
      <c r="G51" s="505">
        <f t="shared" si="133"/>
        <v>575.25099999999998</v>
      </c>
      <c r="H51" s="505">
        <f t="shared" si="133"/>
        <v>527.005</v>
      </c>
      <c r="I51" s="506">
        <f t="shared" si="133"/>
        <v>500.84900000000005</v>
      </c>
      <c r="J51" s="505">
        <f t="shared" si="133"/>
        <v>591.79</v>
      </c>
      <c r="K51" s="505">
        <f t="shared" si="133"/>
        <v>586.755</v>
      </c>
      <c r="L51" s="505">
        <f t="shared" si="133"/>
        <v>548.02</v>
      </c>
      <c r="M51" s="506">
        <f t="shared" si="133"/>
        <v>533.81799999999998</v>
      </c>
      <c r="N51" s="505">
        <f t="shared" si="133"/>
        <v>560.53600000000006</v>
      </c>
      <c r="O51" s="505">
        <f t="shared" si="133"/>
        <v>597.44100000000003</v>
      </c>
      <c r="P51" s="505">
        <f t="shared" si="133"/>
        <v>508.45600000000002</v>
      </c>
      <c r="Q51" s="506">
        <f t="shared" si="133"/>
        <v>538.80000000000007</v>
      </c>
      <c r="R51" s="505">
        <f t="shared" si="133"/>
        <v>657.30000000000007</v>
      </c>
      <c r="S51" s="505">
        <f t="shared" si="133"/>
        <v>698.9</v>
      </c>
      <c r="T51" s="505">
        <f t="shared" si="133"/>
        <v>636.19999999999993</v>
      </c>
      <c r="U51" s="506">
        <f t="shared" si="133"/>
        <v>671.60000000000014</v>
      </c>
      <c r="V51" s="505">
        <f t="shared" si="133"/>
        <v>787.5</v>
      </c>
      <c r="W51" s="505">
        <f t="shared" si="133"/>
        <v>800.4</v>
      </c>
      <c r="X51" s="505">
        <f t="shared" si="133"/>
        <v>827.3</v>
      </c>
      <c r="Y51" s="506">
        <f t="shared" si="133"/>
        <v>886.50000000000011</v>
      </c>
      <c r="Z51" s="602">
        <f t="shared" si="133"/>
        <v>923.80000000000007</v>
      </c>
      <c r="AA51" s="602">
        <f t="shared" si="133"/>
        <v>884.4</v>
      </c>
      <c r="AB51" s="602">
        <f t="shared" si="133"/>
        <v>903.7</v>
      </c>
      <c r="AC51" s="506">
        <f t="shared" si="133"/>
        <v>916.1</v>
      </c>
      <c r="AD51" s="505">
        <f t="shared" si="133"/>
        <v>1053</v>
      </c>
      <c r="AE51" s="505">
        <f t="shared" si="133"/>
        <v>1115</v>
      </c>
      <c r="AF51" s="505">
        <f t="shared" si="133"/>
        <v>1117</v>
      </c>
      <c r="AG51" s="506">
        <f t="shared" si="133"/>
        <v>1185</v>
      </c>
      <c r="AH51" s="505">
        <f t="shared" si="133"/>
        <v>2587</v>
      </c>
      <c r="AI51" s="602">
        <f t="shared" si="133"/>
        <v>2473</v>
      </c>
      <c r="AJ51" s="505">
        <f t="shared" si="133"/>
        <v>2126</v>
      </c>
      <c r="AK51" s="506">
        <f t="shared" si="133"/>
        <v>2179</v>
      </c>
      <c r="AL51" s="505">
        <f t="shared" si="133"/>
        <v>2205</v>
      </c>
      <c r="AM51" s="505">
        <f t="shared" si="133"/>
        <v>2050</v>
      </c>
      <c r="AN51" s="505">
        <f t="shared" si="133"/>
        <v>2000</v>
      </c>
      <c r="AO51" s="506">
        <f t="shared" si="133"/>
        <v>2099</v>
      </c>
      <c r="AP51" s="505">
        <f t="shared" si="133"/>
        <v>2326</v>
      </c>
      <c r="AQ51" s="505">
        <f t="shared" si="133"/>
        <v>2594</v>
      </c>
      <c r="AR51" s="505">
        <f t="shared" si="133"/>
        <v>2569</v>
      </c>
      <c r="AS51" s="506">
        <f t="shared" si="133"/>
        <v>2619</v>
      </c>
      <c r="AT51" s="505">
        <f t="shared" si="133"/>
        <v>2744</v>
      </c>
      <c r="AU51" s="505">
        <f t="shared" si="133"/>
        <v>2684</v>
      </c>
      <c r="AV51" s="505">
        <f t="shared" si="133"/>
        <v>2523</v>
      </c>
      <c r="AW51" s="506">
        <f t="shared" si="133"/>
        <v>2630</v>
      </c>
      <c r="AX51" s="505">
        <f t="shared" si="133"/>
        <v>2744</v>
      </c>
      <c r="AY51" s="505">
        <f t="shared" si="133"/>
        <v>1884</v>
      </c>
      <c r="AZ51" s="505">
        <f t="shared" si="133"/>
        <v>7094</v>
      </c>
      <c r="BA51" s="506">
        <f t="shared" ref="BA51:BI51" si="134">BA43+BA49</f>
        <v>6537</v>
      </c>
      <c r="BB51" s="505">
        <f t="shared" si="134"/>
        <v>6135</v>
      </c>
      <c r="BC51" s="505">
        <f t="shared" si="134"/>
        <v>5682</v>
      </c>
      <c r="BD51" s="505">
        <f t="shared" si="134"/>
        <v>5504</v>
      </c>
      <c r="BE51" s="506">
        <f>BE43+BE49</f>
        <v>6143</v>
      </c>
      <c r="BF51" s="505">
        <f>BF43+BF49</f>
        <v>6553</v>
      </c>
      <c r="BG51" s="505">
        <f t="shared" si="134"/>
        <v>6703</v>
      </c>
      <c r="BH51" s="505">
        <f t="shared" si="134"/>
        <v>6564</v>
      </c>
      <c r="BI51" s="506">
        <f t="shared" si="134"/>
        <v>6657</v>
      </c>
      <c r="BJ51" s="505">
        <f t="shared" ref="BJ51:BQ51" si="135">BJ43+BJ49</f>
        <v>6689</v>
      </c>
      <c r="BK51" s="505">
        <f t="shared" si="135"/>
        <v>6057</v>
      </c>
      <c r="BL51" s="505">
        <f>BL43+BL49</f>
        <v>5950</v>
      </c>
      <c r="BM51" s="506">
        <f>BM43+BM49</f>
        <v>5962</v>
      </c>
      <c r="BN51" s="505">
        <f t="shared" si="135"/>
        <v>5925</v>
      </c>
      <c r="BO51" s="505">
        <f>BO43+BO49</f>
        <v>5909</v>
      </c>
      <c r="BP51" s="505">
        <f t="shared" si="135"/>
        <v>5338</v>
      </c>
      <c r="BQ51" s="506">
        <f t="shared" si="135"/>
        <v>21717</v>
      </c>
      <c r="BR51" s="507">
        <f t="shared" ref="BR51:BY51" si="136">BR43+BR49</f>
        <v>18235</v>
      </c>
      <c r="BS51" s="505">
        <f t="shared" si="136"/>
        <v>18243</v>
      </c>
      <c r="BT51" s="505">
        <f t="shared" si="136"/>
        <v>18417</v>
      </c>
      <c r="BU51" s="506">
        <f t="shared" si="136"/>
        <v>18442</v>
      </c>
      <c r="BV51" s="507">
        <f t="shared" si="136"/>
        <v>18446</v>
      </c>
      <c r="BW51" s="505">
        <f t="shared" ref="BW51" si="137">BW43+BW49</f>
        <v>18568</v>
      </c>
      <c r="BX51" s="505">
        <f t="shared" si="136"/>
        <v>17207.096908200303</v>
      </c>
      <c r="BY51" s="506">
        <f t="shared" si="136"/>
        <v>17173.789536795412</v>
      </c>
      <c r="BZ51" s="507">
        <f>BZ43+BZ49</f>
        <v>17376.376467757982</v>
      </c>
      <c r="CA51" s="505">
        <f>CA43+CA49</f>
        <v>17154.669867425284</v>
      </c>
      <c r="CB51" s="505">
        <f>CB43+CB49</f>
        <v>16378.928483568077</v>
      </c>
      <c r="CC51" s="506">
        <f>CC43+CC49</f>
        <v>15735.328181105473</v>
      </c>
      <c r="CD51" s="47"/>
      <c r="CE51" s="918">
        <f t="shared" ref="CE51:CN51" si="138">SUM(CE49,CE43)</f>
        <v>500.84900000000005</v>
      </c>
      <c r="CF51" s="505">
        <f t="shared" si="138"/>
        <v>533.81799999999998</v>
      </c>
      <c r="CG51" s="505">
        <f t="shared" si="138"/>
        <v>538.80000000000007</v>
      </c>
      <c r="CH51" s="505">
        <f t="shared" si="138"/>
        <v>671.60000000000014</v>
      </c>
      <c r="CI51" s="505">
        <f t="shared" si="138"/>
        <v>886.50000000000011</v>
      </c>
      <c r="CJ51" s="505">
        <f t="shared" si="138"/>
        <v>916.1</v>
      </c>
      <c r="CK51" s="505">
        <f t="shared" si="138"/>
        <v>1185</v>
      </c>
      <c r="CL51" s="505">
        <f t="shared" si="138"/>
        <v>2179</v>
      </c>
      <c r="CM51" s="505">
        <f t="shared" si="138"/>
        <v>2099</v>
      </c>
      <c r="CN51" s="505">
        <f t="shared" si="138"/>
        <v>2619</v>
      </c>
      <c r="CO51" s="505">
        <f t="shared" ref="CO51:CT51" si="139">CO43+CO49</f>
        <v>2630</v>
      </c>
      <c r="CP51" s="505">
        <f t="shared" si="139"/>
        <v>6537</v>
      </c>
      <c r="CQ51" s="505">
        <f t="shared" si="139"/>
        <v>6143</v>
      </c>
      <c r="CR51" s="507">
        <f t="shared" si="139"/>
        <v>6657</v>
      </c>
      <c r="CS51" s="505">
        <f t="shared" si="139"/>
        <v>5962</v>
      </c>
      <c r="CT51" s="505">
        <f t="shared" si="139"/>
        <v>21717</v>
      </c>
      <c r="CU51" s="505">
        <f t="shared" ref="CU51:DA51" si="140">CU43+CU49</f>
        <v>18442</v>
      </c>
      <c r="CV51" s="505">
        <f t="shared" si="140"/>
        <v>17173.789536795412</v>
      </c>
      <c r="CW51" s="505">
        <f>CW43+CW49</f>
        <v>15735.328181105473</v>
      </c>
      <c r="CX51" s="505">
        <f t="shared" si="140"/>
        <v>15165.808377683243</v>
      </c>
      <c r="CY51" s="505">
        <f t="shared" si="140"/>
        <v>14437.12073443149</v>
      </c>
      <c r="CZ51" s="505">
        <f t="shared" si="140"/>
        <v>13663.896271876405</v>
      </c>
      <c r="DA51" s="505">
        <f t="shared" si="140"/>
        <v>12971.277109733692</v>
      </c>
      <c r="DB51" s="505">
        <f>DB43+DB49</f>
        <v>12322.636479922667</v>
      </c>
      <c r="DC51" s="505">
        <f>DC43+DC49</f>
        <v>11718.998055584825</v>
      </c>
      <c r="DD51" s="506"/>
      <c r="DE51" s="24"/>
      <c r="DF51" s="31"/>
      <c r="DG51" s="30"/>
      <c r="DH51" s="30"/>
      <c r="DI51" s="30"/>
      <c r="DJ51" s="30"/>
      <c r="DK51" s="31"/>
      <c r="DL51" s="31"/>
      <c r="DM51" s="31"/>
      <c r="DN51" s="31"/>
      <c r="DO51" s="31"/>
      <c r="DP51" s="31"/>
      <c r="DQ51" s="31"/>
      <c r="DR51" s="31"/>
    </row>
    <row r="52" spans="1:122" ht="4.5" customHeight="1">
      <c r="A52" s="3"/>
      <c r="B52" s="76"/>
      <c r="C52" s="96"/>
      <c r="D52" s="96"/>
      <c r="E52" s="97"/>
      <c r="F52" s="44"/>
      <c r="G52" s="44"/>
      <c r="H52" s="44"/>
      <c r="I52" s="65"/>
      <c r="J52" s="40"/>
      <c r="K52" s="44"/>
      <c r="L52" s="44"/>
      <c r="M52" s="65"/>
      <c r="N52" s="44"/>
      <c r="O52" s="44"/>
      <c r="P52" s="44"/>
      <c r="Q52" s="65"/>
      <c r="R52" s="44"/>
      <c r="S52" s="44"/>
      <c r="T52" s="44"/>
      <c r="U52" s="65"/>
      <c r="V52" s="44"/>
      <c r="W52" s="44"/>
      <c r="X52" s="44"/>
      <c r="Y52" s="65"/>
      <c r="Z52" s="39"/>
      <c r="AA52" s="39"/>
      <c r="AB52" s="39"/>
      <c r="AC52" s="65"/>
      <c r="AD52" s="44"/>
      <c r="AE52" s="44"/>
      <c r="AF52" s="44"/>
      <c r="AG52" s="65"/>
      <c r="AH52" s="44"/>
      <c r="AI52" s="39"/>
      <c r="AJ52" s="44"/>
      <c r="AK52" s="65"/>
      <c r="AL52" s="44"/>
      <c r="AM52" s="44"/>
      <c r="AN52" s="44"/>
      <c r="AO52" s="65"/>
      <c r="AP52" s="44"/>
      <c r="AQ52" s="44"/>
      <c r="AR52" s="44"/>
      <c r="AS52" s="65"/>
      <c r="AT52" s="44"/>
      <c r="AU52" s="44"/>
      <c r="AV52" s="44"/>
      <c r="AW52" s="65"/>
      <c r="AX52" s="44"/>
      <c r="AY52" s="44"/>
      <c r="AZ52" s="44"/>
      <c r="BA52" s="65"/>
      <c r="BB52" s="44"/>
      <c r="BC52" s="44"/>
      <c r="BD52" s="44"/>
      <c r="BE52" s="65"/>
      <c r="BF52" s="44"/>
      <c r="BG52" s="44"/>
      <c r="BH52" s="44"/>
      <c r="BI52" s="65"/>
      <c r="BJ52" s="44"/>
      <c r="BK52" s="44"/>
      <c r="BL52" s="44"/>
      <c r="BM52" s="65"/>
      <c r="BN52" s="44"/>
      <c r="BO52" s="44"/>
      <c r="BP52" s="44"/>
      <c r="BQ52" s="65"/>
      <c r="BR52" s="40"/>
      <c r="BS52" s="44"/>
      <c r="BT52" s="44"/>
      <c r="BU52" s="65"/>
      <c r="BV52" s="40"/>
      <c r="BW52" s="44"/>
      <c r="BX52" s="44"/>
      <c r="BY52" s="65"/>
      <c r="BZ52" s="40"/>
      <c r="CA52" s="44"/>
      <c r="CB52" s="44"/>
      <c r="CC52" s="65"/>
      <c r="CD52" s="47"/>
      <c r="CE52" s="1145">
        <f>I52</f>
        <v>0</v>
      </c>
      <c r="CF52" s="53">
        <f>M52</f>
        <v>0</v>
      </c>
      <c r="CG52" s="53">
        <f>Q52</f>
        <v>0</v>
      </c>
      <c r="CH52" s="53">
        <f>U52</f>
        <v>0</v>
      </c>
      <c r="CI52" s="138">
        <f>Y52</f>
        <v>0</v>
      </c>
      <c r="CJ52" s="138">
        <f>AC52</f>
        <v>0</v>
      </c>
      <c r="CK52" s="53">
        <f>AG52</f>
        <v>0</v>
      </c>
      <c r="CL52" s="138">
        <f>AK52</f>
        <v>0</v>
      </c>
      <c r="CM52" s="138">
        <f>AO52</f>
        <v>0</v>
      </c>
      <c r="CN52" s="138">
        <f>AS52</f>
        <v>0</v>
      </c>
      <c r="CO52" s="44"/>
      <c r="CP52" s="44"/>
      <c r="CQ52" s="44"/>
      <c r="CR52" s="40"/>
      <c r="CS52" s="44">
        <f>BM52</f>
        <v>0</v>
      </c>
      <c r="CT52" s="44">
        <f>BN52</f>
        <v>0</v>
      </c>
      <c r="CU52" s="44">
        <f>BO52</f>
        <v>0</v>
      </c>
      <c r="CV52" s="44"/>
      <c r="CW52" s="44"/>
      <c r="CX52" s="44"/>
      <c r="CY52" s="44"/>
      <c r="CZ52" s="44"/>
      <c r="DA52" s="44"/>
      <c r="DB52" s="44"/>
      <c r="DC52" s="44"/>
      <c r="DD52" s="65"/>
      <c r="DE52" s="24"/>
      <c r="DF52" s="24"/>
      <c r="DG52" s="30"/>
      <c r="DH52" s="30"/>
      <c r="DI52" s="29"/>
      <c r="DJ52" s="29"/>
      <c r="DK52" s="24"/>
      <c r="DL52" s="24"/>
      <c r="DM52" s="24"/>
      <c r="DN52" s="24"/>
      <c r="DO52" s="24"/>
      <c r="DP52" s="24"/>
      <c r="DQ52" s="24"/>
      <c r="DR52" s="24"/>
    </row>
    <row r="53" spans="1:122" hidden="1" outlineLevel="1">
      <c r="A53" s="3"/>
      <c r="B53" s="256" t="s">
        <v>621</v>
      </c>
      <c r="C53" s="3"/>
      <c r="D53" s="3"/>
      <c r="E53" s="139"/>
      <c r="F53" s="44"/>
      <c r="G53" s="44"/>
      <c r="H53" s="44"/>
      <c r="I53" s="65"/>
      <c r="J53" s="40"/>
      <c r="K53" s="44"/>
      <c r="L53" s="44"/>
      <c r="M53" s="65"/>
      <c r="N53" s="44"/>
      <c r="O53" s="44"/>
      <c r="P53" s="44"/>
      <c r="Q53" s="65"/>
      <c r="R53" s="44"/>
      <c r="S53" s="44"/>
      <c r="T53" s="44"/>
      <c r="U53" s="65"/>
      <c r="V53" s="44"/>
      <c r="W53" s="44"/>
      <c r="X53" s="44"/>
      <c r="Y53" s="65"/>
      <c r="Z53" s="39"/>
      <c r="AA53" s="39"/>
      <c r="AB53" s="39"/>
      <c r="AC53" s="59"/>
      <c r="AD53" s="44"/>
      <c r="AE53" s="44"/>
      <c r="AF53" s="44"/>
      <c r="AG53" s="65"/>
      <c r="AH53" s="44"/>
      <c r="AI53" s="39"/>
      <c r="AJ53" s="44"/>
      <c r="AK53" s="65"/>
      <c r="AL53" s="44"/>
      <c r="AM53" s="44"/>
      <c r="AN53" s="44"/>
      <c r="AO53" s="65"/>
      <c r="AP53" s="44"/>
      <c r="AQ53" s="44"/>
      <c r="AR53" s="44"/>
      <c r="AS53" s="65"/>
      <c r="AT53" s="44"/>
      <c r="AU53" s="44"/>
      <c r="AV53" s="44"/>
      <c r="AW53" s="65"/>
      <c r="AX53" s="44"/>
      <c r="AY53" s="44"/>
      <c r="AZ53" s="44"/>
      <c r="BA53" s="65"/>
      <c r="BB53" s="44"/>
      <c r="BC53" s="44"/>
      <c r="BD53" s="44"/>
      <c r="BE53" s="65"/>
      <c r="BF53" s="44"/>
      <c r="BG53" s="44"/>
      <c r="BH53" s="44"/>
      <c r="BI53" s="65"/>
      <c r="BJ53" s="44"/>
      <c r="BK53" s="44"/>
      <c r="BL53" s="44"/>
      <c r="BM53" s="65"/>
      <c r="BN53" s="44"/>
      <c r="BO53" s="44"/>
      <c r="BP53" s="44"/>
      <c r="BQ53" s="65"/>
      <c r="BR53" s="40"/>
      <c r="BS53" s="44"/>
      <c r="BT53" s="44"/>
      <c r="BU53" s="65"/>
      <c r="BV53" s="40"/>
      <c r="BW53" s="44"/>
      <c r="BX53" s="44"/>
      <c r="BY53" s="65"/>
      <c r="BZ53" s="40"/>
      <c r="CA53" s="44"/>
      <c r="CB53" s="44"/>
      <c r="CC53" s="65"/>
      <c r="CD53" s="47"/>
      <c r="CE53" s="1147"/>
      <c r="CF53" s="39"/>
      <c r="CG53" s="39"/>
      <c r="CH53" s="39"/>
      <c r="CI53" s="46"/>
      <c r="CJ53" s="46"/>
      <c r="CK53" s="39"/>
      <c r="CL53" s="46"/>
      <c r="CM53" s="46"/>
      <c r="CN53" s="46"/>
      <c r="CO53" s="44"/>
      <c r="CP53" s="44"/>
      <c r="CQ53" s="44"/>
      <c r="CR53" s="40"/>
      <c r="CS53" s="44"/>
      <c r="CT53" s="44"/>
      <c r="CU53" s="44"/>
      <c r="CV53" s="44"/>
      <c r="CW53" s="44"/>
      <c r="CX53" s="44"/>
      <c r="CY53" s="44"/>
      <c r="CZ53" s="44"/>
      <c r="DA53" s="44"/>
      <c r="DB53" s="44"/>
      <c r="DC53" s="44"/>
      <c r="DD53" s="65"/>
      <c r="DE53" s="24"/>
      <c r="DF53" s="24"/>
      <c r="DG53" s="30"/>
      <c r="DH53" s="30"/>
      <c r="DI53" s="29"/>
      <c r="DJ53" s="29"/>
      <c r="DK53" s="24"/>
      <c r="DL53" s="24"/>
      <c r="DM53" s="24"/>
      <c r="DN53" s="24"/>
      <c r="DO53" s="24"/>
      <c r="DP53" s="24"/>
      <c r="DQ53" s="24"/>
      <c r="DR53" s="24"/>
    </row>
    <row r="54" spans="1:122" hidden="1" outlineLevel="1">
      <c r="A54" s="3"/>
      <c r="B54" s="76"/>
      <c r="C54" s="96" t="s">
        <v>112</v>
      </c>
      <c r="D54" s="3"/>
      <c r="E54" s="97"/>
      <c r="F54" s="780">
        <v>1.6850000000000001</v>
      </c>
      <c r="G54" s="780">
        <v>1.8320000000000001</v>
      </c>
      <c r="H54" s="780">
        <v>1.835</v>
      </c>
      <c r="I54" s="846">
        <v>1.9279999999999999</v>
      </c>
      <c r="J54" s="845">
        <v>1.9279999999999999</v>
      </c>
      <c r="K54" s="780">
        <v>1.944</v>
      </c>
      <c r="L54" s="780">
        <v>1.9550000000000001</v>
      </c>
      <c r="M54" s="522">
        <v>1.954</v>
      </c>
      <c r="N54" s="459">
        <v>1.9550000000000001</v>
      </c>
      <c r="O54" s="459">
        <v>1.9550000000000001</v>
      </c>
      <c r="P54" s="459">
        <v>1.9830000000000001</v>
      </c>
      <c r="Q54" s="522">
        <v>2</v>
      </c>
      <c r="R54" s="459">
        <v>2.1</v>
      </c>
      <c r="S54" s="459">
        <v>2.1</v>
      </c>
      <c r="T54" s="459">
        <v>2.1</v>
      </c>
      <c r="U54" s="522">
        <v>2.1</v>
      </c>
      <c r="V54" s="459">
        <v>2.1</v>
      </c>
      <c r="W54" s="459">
        <v>2.1</v>
      </c>
      <c r="X54" s="459">
        <v>2.1</v>
      </c>
      <c r="Y54" s="522">
        <v>2.1</v>
      </c>
      <c r="Z54" s="459">
        <v>2.2000000000000002</v>
      </c>
      <c r="AA54" s="459">
        <v>2.2000000000000002</v>
      </c>
      <c r="AB54" s="459">
        <v>2.2000000000000002</v>
      </c>
      <c r="AC54" s="522">
        <v>2.2000000000000002</v>
      </c>
      <c r="AD54" s="459">
        <v>2</v>
      </c>
      <c r="AE54" s="459">
        <v>2</v>
      </c>
      <c r="AF54" s="459">
        <v>2</v>
      </c>
      <c r="AG54" s="522">
        <v>2</v>
      </c>
      <c r="AH54" s="459">
        <v>2</v>
      </c>
      <c r="AI54" s="39">
        <v>2</v>
      </c>
      <c r="AJ54" s="39">
        <v>2</v>
      </c>
      <c r="AK54" s="65">
        <v>2</v>
      </c>
      <c r="AL54" s="44">
        <v>2</v>
      </c>
      <c r="AM54" s="44">
        <v>2</v>
      </c>
      <c r="AN54" s="44">
        <v>2</v>
      </c>
      <c r="AO54" s="65">
        <v>2</v>
      </c>
      <c r="AP54" s="44">
        <v>2</v>
      </c>
      <c r="AQ54" s="44">
        <v>2</v>
      </c>
      <c r="AR54" s="44">
        <v>2</v>
      </c>
      <c r="AS54" s="65">
        <v>2</v>
      </c>
      <c r="AT54" s="44">
        <v>2</v>
      </c>
      <c r="AU54" s="44">
        <v>2</v>
      </c>
      <c r="AV54" s="44">
        <v>2</v>
      </c>
      <c r="AW54" s="65">
        <v>2</v>
      </c>
      <c r="AX54" s="44">
        <v>2</v>
      </c>
      <c r="AY54" s="44">
        <v>2</v>
      </c>
      <c r="AZ54" s="44">
        <v>3</v>
      </c>
      <c r="BA54" s="65">
        <v>3</v>
      </c>
      <c r="BB54" s="44">
        <v>3</v>
      </c>
      <c r="BC54" s="39">
        <v>3</v>
      </c>
      <c r="BD54" s="39">
        <v>3</v>
      </c>
      <c r="BE54" s="65">
        <v>3</v>
      </c>
      <c r="BF54" s="44">
        <v>3</v>
      </c>
      <c r="BG54" s="1381">
        <v>3</v>
      </c>
      <c r="BH54" s="1381">
        <v>3</v>
      </c>
      <c r="BI54" s="65">
        <v>3</v>
      </c>
      <c r="BJ54" s="44">
        <v>3</v>
      </c>
      <c r="BK54" s="1381">
        <v>3</v>
      </c>
      <c r="BL54" s="1381">
        <v>3</v>
      </c>
      <c r="BM54" s="65">
        <v>3</v>
      </c>
      <c r="BN54" s="44">
        <v>3</v>
      </c>
      <c r="BO54" s="1381">
        <v>3</v>
      </c>
      <c r="BP54" s="1381">
        <v>3</v>
      </c>
      <c r="BQ54" s="65">
        <v>3</v>
      </c>
      <c r="BR54" s="44">
        <v>3</v>
      </c>
      <c r="BS54" s="1381">
        <v>3</v>
      </c>
      <c r="BT54" s="1381">
        <v>3</v>
      </c>
      <c r="BU54" s="65">
        <v>3</v>
      </c>
      <c r="BV54" s="655">
        <f t="shared" ref="BV54:CC54" si="141">BU54</f>
        <v>3</v>
      </c>
      <c r="BW54" s="136">
        <f t="shared" si="141"/>
        <v>3</v>
      </c>
      <c r="BX54" s="136">
        <f t="shared" si="141"/>
        <v>3</v>
      </c>
      <c r="BY54" s="137">
        <f t="shared" si="141"/>
        <v>3</v>
      </c>
      <c r="BZ54" s="655">
        <f t="shared" si="141"/>
        <v>3</v>
      </c>
      <c r="CA54" s="136">
        <f t="shared" si="141"/>
        <v>3</v>
      </c>
      <c r="CB54" s="136">
        <f t="shared" si="141"/>
        <v>3</v>
      </c>
      <c r="CC54" s="137">
        <f t="shared" si="141"/>
        <v>3</v>
      </c>
      <c r="CD54" s="47"/>
      <c r="CE54" s="1145">
        <f t="shared" ref="CE54:CE59" si="142">I54</f>
        <v>1.9279999999999999</v>
      </c>
      <c r="CF54" s="53">
        <f t="shared" ref="CF54:CF59" si="143">M54</f>
        <v>1.954</v>
      </c>
      <c r="CG54" s="53">
        <f t="shared" ref="CG54:CG59" si="144">Q54</f>
        <v>2</v>
      </c>
      <c r="CH54" s="53">
        <f t="shared" ref="CH54:CH59" si="145">U54</f>
        <v>2.1</v>
      </c>
      <c r="CI54" s="138">
        <f t="shared" ref="CI54:CI59" si="146">Y54</f>
        <v>2.1</v>
      </c>
      <c r="CJ54" s="138">
        <f t="shared" ref="CJ54:CJ59" si="147">AC54</f>
        <v>2.2000000000000002</v>
      </c>
      <c r="CK54" s="138">
        <f t="shared" ref="CK54:CK59" si="148">AG54</f>
        <v>2</v>
      </c>
      <c r="CL54" s="138">
        <f t="shared" ref="CL54:CL59" si="149">AK54</f>
        <v>2</v>
      </c>
      <c r="CM54" s="138">
        <f t="shared" ref="CM54:CM59" si="150">AO54</f>
        <v>2</v>
      </c>
      <c r="CN54" s="138">
        <f t="shared" ref="CN54:CN60" si="151">AS54</f>
        <v>2</v>
      </c>
      <c r="CO54" s="136">
        <f t="shared" ref="CO54:CO60" si="152">AW54</f>
        <v>2</v>
      </c>
      <c r="CP54" s="136">
        <f t="shared" ref="CP54:CP59" si="153">BA54</f>
        <v>3</v>
      </c>
      <c r="CQ54" s="136">
        <f t="shared" ref="CQ54:CQ60" si="154">BE54</f>
        <v>3</v>
      </c>
      <c r="CR54" s="655">
        <f t="shared" ref="CR54:CR60" si="155">BI54</f>
        <v>3</v>
      </c>
      <c r="CS54" s="136">
        <f t="shared" ref="CS54:CS59" si="156">BM54</f>
        <v>3</v>
      </c>
      <c r="CT54" s="53">
        <f t="shared" ref="CT54:CT59" si="157">BQ54</f>
        <v>3</v>
      </c>
      <c r="CU54" s="53">
        <f t="shared" ref="CU54:CU59" si="158">BU54</f>
        <v>3</v>
      </c>
      <c r="CV54" s="53">
        <f t="shared" ref="CV54:CV59" si="159">BY54</f>
        <v>3</v>
      </c>
      <c r="CW54" s="53">
        <f t="shared" ref="CW54:CW59" si="160">CC54</f>
        <v>3</v>
      </c>
      <c r="CX54" s="53">
        <f t="shared" ref="CX54:DC54" si="161">CW54</f>
        <v>3</v>
      </c>
      <c r="CY54" s="53">
        <f t="shared" si="161"/>
        <v>3</v>
      </c>
      <c r="CZ54" s="53">
        <f t="shared" si="161"/>
        <v>3</v>
      </c>
      <c r="DA54" s="53">
        <f t="shared" si="161"/>
        <v>3</v>
      </c>
      <c r="DB54" s="53">
        <f t="shared" si="161"/>
        <v>3</v>
      </c>
      <c r="DC54" s="53">
        <f t="shared" si="161"/>
        <v>3</v>
      </c>
      <c r="DD54" s="645"/>
      <c r="DE54" s="24"/>
      <c r="DF54" s="24"/>
      <c r="DG54" s="30"/>
      <c r="DH54" s="30"/>
      <c r="DI54" s="118"/>
      <c r="DJ54" s="118"/>
      <c r="DK54" s="24"/>
      <c r="DL54" s="24"/>
      <c r="DM54" s="24"/>
      <c r="DN54" s="24"/>
      <c r="DO54" s="24"/>
      <c r="DP54" s="24"/>
      <c r="DQ54" s="24"/>
      <c r="DR54" s="24"/>
    </row>
    <row r="55" spans="1:122" hidden="1" outlineLevel="1">
      <c r="A55" s="3"/>
      <c r="B55" s="76"/>
      <c r="C55" s="96" t="s">
        <v>113</v>
      </c>
      <c r="D55" s="3"/>
      <c r="E55" s="97"/>
      <c r="F55" s="780">
        <v>624.08600000000001</v>
      </c>
      <c r="G55" s="780">
        <v>708.39800000000002</v>
      </c>
      <c r="H55" s="780">
        <v>694.56700000000001</v>
      </c>
      <c r="I55" s="846">
        <v>735.43899999999996</v>
      </c>
      <c r="J55" s="845">
        <v>729.32</v>
      </c>
      <c r="K55" s="780">
        <v>731.06399999999996</v>
      </c>
      <c r="L55" s="780">
        <v>719.01900000000001</v>
      </c>
      <c r="M55" s="522">
        <v>710.94500000000005</v>
      </c>
      <c r="N55" s="459">
        <v>684.995</v>
      </c>
      <c r="O55" s="459">
        <v>640.13</v>
      </c>
      <c r="P55" s="459">
        <v>651.51400000000001</v>
      </c>
      <c r="Q55" s="522">
        <v>676.6</v>
      </c>
      <c r="R55" s="459">
        <v>687.2</v>
      </c>
      <c r="S55" s="459">
        <v>691.3</v>
      </c>
      <c r="T55" s="459">
        <v>695.3</v>
      </c>
      <c r="U55" s="522">
        <v>698.7</v>
      </c>
      <c r="V55" s="459">
        <v>684.7</v>
      </c>
      <c r="W55" s="459">
        <v>674.6</v>
      </c>
      <c r="X55" s="459">
        <v>700.1</v>
      </c>
      <c r="Y55" s="522">
        <v>711.1</v>
      </c>
      <c r="Z55" s="459">
        <v>705.4</v>
      </c>
      <c r="AA55" s="459">
        <v>704</v>
      </c>
      <c r="AB55" s="459">
        <v>752.8</v>
      </c>
      <c r="AC55" s="522">
        <v>775.3</v>
      </c>
      <c r="AD55" s="459">
        <v>782</v>
      </c>
      <c r="AE55" s="459">
        <v>802</v>
      </c>
      <c r="AF55" s="459">
        <v>807</v>
      </c>
      <c r="AG55" s="522">
        <v>811</v>
      </c>
      <c r="AH55" s="459">
        <v>811</v>
      </c>
      <c r="AI55" s="39">
        <v>818</v>
      </c>
      <c r="AJ55" s="39">
        <v>821</v>
      </c>
      <c r="AK55" s="65">
        <v>906</v>
      </c>
      <c r="AL55" s="44">
        <v>920</v>
      </c>
      <c r="AM55" s="44">
        <v>909</v>
      </c>
      <c r="AN55" s="44">
        <v>913</v>
      </c>
      <c r="AO55" s="65">
        <v>896</v>
      </c>
      <c r="AP55" s="44">
        <v>932</v>
      </c>
      <c r="AQ55" s="44">
        <v>976</v>
      </c>
      <c r="AR55" s="44">
        <v>997</v>
      </c>
      <c r="AS55" s="65">
        <v>1022</v>
      </c>
      <c r="AT55" s="44">
        <v>1038</v>
      </c>
      <c r="AU55" s="44">
        <v>1040</v>
      </c>
      <c r="AV55" s="44">
        <v>1064</v>
      </c>
      <c r="AW55" s="65">
        <v>1091</v>
      </c>
      <c r="AX55" s="44">
        <v>1106</v>
      </c>
      <c r="AY55" s="44">
        <v>1151</v>
      </c>
      <c r="AZ55" s="44">
        <v>2150</v>
      </c>
      <c r="BA55" s="65">
        <v>2223</v>
      </c>
      <c r="BB55" s="44">
        <v>2224</v>
      </c>
      <c r="BC55" s="39">
        <v>2224</v>
      </c>
      <c r="BD55" s="39">
        <v>2232</v>
      </c>
      <c r="BE55" s="65">
        <v>2188</v>
      </c>
      <c r="BF55" s="44">
        <v>2205</v>
      </c>
      <c r="BG55" s="1381">
        <v>2262</v>
      </c>
      <c r="BH55" s="1381">
        <v>2314</v>
      </c>
      <c r="BI55" s="65">
        <v>2331</v>
      </c>
      <c r="BJ55" s="44">
        <v>2285</v>
      </c>
      <c r="BK55" s="1381">
        <v>2318</v>
      </c>
      <c r="BL55" s="1381">
        <v>2369</v>
      </c>
      <c r="BM55" s="65">
        <v>2428</v>
      </c>
      <c r="BN55" s="44">
        <v>2407</v>
      </c>
      <c r="BO55" s="1381">
        <v>2421</v>
      </c>
      <c r="BP55" s="1381">
        <v>2454</v>
      </c>
      <c r="BQ55" s="65">
        <v>4429</v>
      </c>
      <c r="BR55" s="44">
        <v>4492</v>
      </c>
      <c r="BS55" s="1381">
        <v>4574</v>
      </c>
      <c r="BT55" s="1381">
        <v>4477</v>
      </c>
      <c r="BU55" s="65">
        <v>4506</v>
      </c>
      <c r="BV55" s="2212">
        <f>BV60-SUM(BV54, BV56:BV59)</f>
        <v>4613.1350000000002</v>
      </c>
      <c r="BW55" s="2270">
        <f>BW60-SUM(BW54, BW56:BW59)</f>
        <v>4796.7749999999996</v>
      </c>
      <c r="BX55" s="136">
        <f>BW55+CF!BX19+CF!BX43</f>
        <v>4887.8546038886807</v>
      </c>
      <c r="BY55" s="137">
        <f>BX55+CF!BY19+CF!BY43</f>
        <v>4979.0255384176799</v>
      </c>
      <c r="BZ55" s="655">
        <f>BY55+CF!BZ19+CF!BZ43</f>
        <v>5073.0998680175708</v>
      </c>
      <c r="CA55" s="136">
        <f>BZ55+CF!CA19+CF!CA43</f>
        <v>5165.6824469880121</v>
      </c>
      <c r="CB55" s="136">
        <f>CA55+CF!CB19+CF!CB43</f>
        <v>5251.6561275182476</v>
      </c>
      <c r="CC55" s="137">
        <f>CB55+CF!CC19+CF!CC43</f>
        <v>5333.0330709343743</v>
      </c>
      <c r="CD55" s="47"/>
      <c r="CE55" s="1145">
        <f t="shared" si="142"/>
        <v>735.43899999999996</v>
      </c>
      <c r="CF55" s="53">
        <f t="shared" si="143"/>
        <v>710.94500000000005</v>
      </c>
      <c r="CG55" s="53">
        <f t="shared" si="144"/>
        <v>676.6</v>
      </c>
      <c r="CH55" s="53">
        <f t="shared" si="145"/>
        <v>698.7</v>
      </c>
      <c r="CI55" s="138">
        <f t="shared" si="146"/>
        <v>711.1</v>
      </c>
      <c r="CJ55" s="138">
        <f t="shared" si="147"/>
        <v>775.3</v>
      </c>
      <c r="CK55" s="138">
        <f t="shared" si="148"/>
        <v>811</v>
      </c>
      <c r="CL55" s="138">
        <f t="shared" si="149"/>
        <v>906</v>
      </c>
      <c r="CM55" s="138">
        <f t="shared" si="150"/>
        <v>896</v>
      </c>
      <c r="CN55" s="138">
        <f t="shared" si="151"/>
        <v>1022</v>
      </c>
      <c r="CO55" s="136">
        <f t="shared" si="152"/>
        <v>1091</v>
      </c>
      <c r="CP55" s="136">
        <f t="shared" si="153"/>
        <v>2223</v>
      </c>
      <c r="CQ55" s="136">
        <f t="shared" si="154"/>
        <v>2188</v>
      </c>
      <c r="CR55" s="655">
        <f t="shared" si="155"/>
        <v>2331</v>
      </c>
      <c r="CS55" s="136">
        <f t="shared" si="156"/>
        <v>2428</v>
      </c>
      <c r="CT55" s="53">
        <f t="shared" si="157"/>
        <v>4429</v>
      </c>
      <c r="CU55" s="53">
        <f t="shared" si="158"/>
        <v>4506</v>
      </c>
      <c r="CV55" s="53">
        <f t="shared" si="159"/>
        <v>4979.0255384176799</v>
      </c>
      <c r="CW55" s="53">
        <f t="shared" si="160"/>
        <v>5333.0330709343743</v>
      </c>
      <c r="CX55" s="53">
        <f>CW55+CF!CX19+CF!CX43</f>
        <v>5712.8562622291201</v>
      </c>
      <c r="CY55" s="53">
        <f>CX55+CF!CY19+CF!CY43</f>
        <v>6106.4489048739324</v>
      </c>
      <c r="CZ55" s="53">
        <f>CY55+CF!CZ19+CF!CZ43</f>
        <v>6515.0231246787416</v>
      </c>
      <c r="DA55" s="53">
        <f>CZ55+CF!DA19+CF!DA43</f>
        <v>6942.533729117079</v>
      </c>
      <c r="DB55" s="53">
        <f>DA55+CF!DB19+CF!DB43</f>
        <v>7391.505799301035</v>
      </c>
      <c r="DC55" s="53">
        <f>DB55+CF!DC19+CF!DC43</f>
        <v>7864.7839623915115</v>
      </c>
      <c r="DD55" s="645"/>
      <c r="DE55" s="24"/>
      <c r="DF55" s="24"/>
      <c r="DG55" s="30"/>
      <c r="DH55" s="30"/>
      <c r="DI55" s="29"/>
      <c r="DJ55" s="29"/>
      <c r="DK55" s="24"/>
      <c r="DL55" s="24"/>
      <c r="DM55" s="24"/>
      <c r="DN55" s="24"/>
      <c r="DO55" s="24"/>
      <c r="DP55" s="24"/>
      <c r="DQ55" s="24"/>
      <c r="DR55" s="24"/>
    </row>
    <row r="56" spans="1:122" hidden="1" outlineLevel="1">
      <c r="A56" s="3"/>
      <c r="B56" s="76"/>
      <c r="C56" s="96" t="s">
        <v>114</v>
      </c>
      <c r="D56" s="3"/>
      <c r="E56" s="97"/>
      <c r="F56" s="780">
        <v>8.9149999999999991</v>
      </c>
      <c r="G56" s="780">
        <v>-10.032</v>
      </c>
      <c r="H56" s="780">
        <v>-9.4469999999999992</v>
      </c>
      <c r="I56" s="846">
        <v>3.1120000000000001</v>
      </c>
      <c r="J56" s="845">
        <v>1.581</v>
      </c>
      <c r="K56" s="780">
        <v>2.1789999999999998</v>
      </c>
      <c r="L56" s="780">
        <v>4.0940000000000003</v>
      </c>
      <c r="M56" s="522">
        <v>2.5590000000000002</v>
      </c>
      <c r="N56" s="459">
        <v>1.24</v>
      </c>
      <c r="O56" s="459">
        <v>1.85</v>
      </c>
      <c r="P56" s="459">
        <v>3.2480000000000002</v>
      </c>
      <c r="Q56" s="522">
        <v>0</v>
      </c>
      <c r="R56" s="459"/>
      <c r="S56" s="459"/>
      <c r="T56" s="459"/>
      <c r="U56" s="522">
        <v>0.2</v>
      </c>
      <c r="V56" s="459"/>
      <c r="W56" s="459"/>
      <c r="X56" s="459"/>
      <c r="Y56" s="522">
        <v>-0.3</v>
      </c>
      <c r="Z56" s="459">
        <v>0</v>
      </c>
      <c r="AA56" s="459">
        <v>0</v>
      </c>
      <c r="AB56" s="459">
        <v>0</v>
      </c>
      <c r="AC56" s="522">
        <v>1</v>
      </c>
      <c r="AD56" s="459">
        <v>1</v>
      </c>
      <c r="AE56" s="459">
        <v>0</v>
      </c>
      <c r="AF56" s="459">
        <v>5</v>
      </c>
      <c r="AG56" s="522">
        <v>-1</v>
      </c>
      <c r="AH56" s="459">
        <v>2</v>
      </c>
      <c r="AI56" s="39">
        <v>5</v>
      </c>
      <c r="AJ56" s="39">
        <v>43</v>
      </c>
      <c r="AK56" s="65">
        <v>-12</v>
      </c>
      <c r="AL56" s="44">
        <v>-14</v>
      </c>
      <c r="AM56" s="44">
        <v>-11</v>
      </c>
      <c r="AN56" s="44">
        <v>-3</v>
      </c>
      <c r="AO56" s="65">
        <v>2</v>
      </c>
      <c r="AP56" s="44">
        <v>9</v>
      </c>
      <c r="AQ56" s="44">
        <v>4</v>
      </c>
      <c r="AR56" s="44">
        <v>22</v>
      </c>
      <c r="AS56" s="65">
        <v>11</v>
      </c>
      <c r="AT56" s="44">
        <v>39</v>
      </c>
      <c r="AU56" s="44">
        <v>21</v>
      </c>
      <c r="AV56" s="44">
        <v>8</v>
      </c>
      <c r="AW56" s="65">
        <v>-5</v>
      </c>
      <c r="AX56" s="44">
        <v>-24</v>
      </c>
      <c r="AY56" s="44">
        <v>-14</v>
      </c>
      <c r="AZ56" s="44">
        <v>-4</v>
      </c>
      <c r="BA56" s="65">
        <v>-15</v>
      </c>
      <c r="BB56" s="44">
        <v>14</v>
      </c>
      <c r="BC56" s="39">
        <v>8</v>
      </c>
      <c r="BD56" s="39">
        <v>20</v>
      </c>
      <c r="BE56" s="65">
        <v>-35</v>
      </c>
      <c r="BF56" s="44">
        <v>-19</v>
      </c>
      <c r="BG56" s="1381">
        <v>-49</v>
      </c>
      <c r="BH56" s="1381">
        <v>-4</v>
      </c>
      <c r="BI56" s="65">
        <v>12</v>
      </c>
      <c r="BJ56" s="44">
        <v>-14</v>
      </c>
      <c r="BK56" s="1381">
        <v>-32</v>
      </c>
      <c r="BL56" s="1381">
        <v>-3</v>
      </c>
      <c r="BM56" s="65">
        <v>-20</v>
      </c>
      <c r="BN56" s="44">
        <v>-44</v>
      </c>
      <c r="BO56" s="1381">
        <v>-8</v>
      </c>
      <c r="BP56" s="1381">
        <v>32</v>
      </c>
      <c r="BQ56" s="65">
        <v>103</v>
      </c>
      <c r="BR56" s="44">
        <v>115</v>
      </c>
      <c r="BS56" s="1381">
        <v>-197</v>
      </c>
      <c r="BT56" s="1381">
        <v>-96</v>
      </c>
      <c r="BU56" s="65">
        <v>-58</v>
      </c>
      <c r="BV56" s="655">
        <f t="shared" ref="BV56:BY57" si="162">BU56</f>
        <v>-58</v>
      </c>
      <c r="BW56" s="136">
        <f t="shared" si="162"/>
        <v>-58</v>
      </c>
      <c r="BX56" s="136">
        <f t="shared" si="162"/>
        <v>-58</v>
      </c>
      <c r="BY56" s="137">
        <f t="shared" si="162"/>
        <v>-58</v>
      </c>
      <c r="BZ56" s="655">
        <f t="shared" ref="BZ56:CC57" si="163">BY56</f>
        <v>-58</v>
      </c>
      <c r="CA56" s="136">
        <f t="shared" si="163"/>
        <v>-58</v>
      </c>
      <c r="CB56" s="136">
        <f t="shared" si="163"/>
        <v>-58</v>
      </c>
      <c r="CC56" s="137">
        <f t="shared" si="163"/>
        <v>-58</v>
      </c>
      <c r="CD56" s="47"/>
      <c r="CE56" s="1145">
        <f t="shared" si="142"/>
        <v>3.1120000000000001</v>
      </c>
      <c r="CF56" s="53">
        <f t="shared" si="143"/>
        <v>2.5590000000000002</v>
      </c>
      <c r="CG56" s="53">
        <f t="shared" si="144"/>
        <v>0</v>
      </c>
      <c r="CH56" s="53">
        <f t="shared" si="145"/>
        <v>0.2</v>
      </c>
      <c r="CI56" s="138">
        <f t="shared" si="146"/>
        <v>-0.3</v>
      </c>
      <c r="CJ56" s="138">
        <f t="shared" si="147"/>
        <v>1</v>
      </c>
      <c r="CK56" s="138">
        <f t="shared" si="148"/>
        <v>-1</v>
      </c>
      <c r="CL56" s="138">
        <f t="shared" si="149"/>
        <v>-12</v>
      </c>
      <c r="CM56" s="138">
        <f t="shared" si="150"/>
        <v>2</v>
      </c>
      <c r="CN56" s="138">
        <f t="shared" si="151"/>
        <v>11</v>
      </c>
      <c r="CO56" s="136">
        <f t="shared" si="152"/>
        <v>-5</v>
      </c>
      <c r="CP56" s="136">
        <f t="shared" si="153"/>
        <v>-15</v>
      </c>
      <c r="CQ56" s="136">
        <f t="shared" si="154"/>
        <v>-35</v>
      </c>
      <c r="CR56" s="655">
        <f t="shared" si="155"/>
        <v>12</v>
      </c>
      <c r="CS56" s="136">
        <f t="shared" si="156"/>
        <v>-20</v>
      </c>
      <c r="CT56" s="53">
        <f t="shared" si="157"/>
        <v>103</v>
      </c>
      <c r="CU56" s="53">
        <f t="shared" si="158"/>
        <v>-58</v>
      </c>
      <c r="CV56" s="53">
        <f t="shared" si="159"/>
        <v>-58</v>
      </c>
      <c r="CW56" s="53">
        <f t="shared" si="160"/>
        <v>-58</v>
      </c>
      <c r="CX56" s="53">
        <f t="shared" ref="CX56:DC57" si="164">CW56</f>
        <v>-58</v>
      </c>
      <c r="CY56" s="53">
        <f t="shared" si="164"/>
        <v>-58</v>
      </c>
      <c r="CZ56" s="53">
        <f t="shared" si="164"/>
        <v>-58</v>
      </c>
      <c r="DA56" s="53">
        <f t="shared" si="164"/>
        <v>-58</v>
      </c>
      <c r="DB56" s="53">
        <f t="shared" si="164"/>
        <v>-58</v>
      </c>
      <c r="DC56" s="53">
        <f t="shared" si="164"/>
        <v>-58</v>
      </c>
      <c r="DD56" s="645"/>
      <c r="DE56" s="24"/>
      <c r="DF56" s="24"/>
      <c r="DG56" s="30"/>
      <c r="DH56" s="30"/>
      <c r="DI56" s="29"/>
      <c r="DJ56" s="29"/>
      <c r="DK56" s="24"/>
      <c r="DL56" s="24"/>
      <c r="DM56" s="24"/>
      <c r="DN56" s="24"/>
      <c r="DO56" s="24"/>
      <c r="DP56" s="24"/>
      <c r="DQ56" s="24"/>
      <c r="DR56" s="24"/>
    </row>
    <row r="57" spans="1:122" hidden="1" outlineLevel="1">
      <c r="A57" s="3"/>
      <c r="B57" s="76"/>
      <c r="C57" s="96" t="s">
        <v>115</v>
      </c>
      <c r="D57" s="3"/>
      <c r="E57" s="97"/>
      <c r="F57" s="780"/>
      <c r="G57" s="780"/>
      <c r="H57" s="780"/>
      <c r="I57" s="846">
        <v>-3.7450000000000001</v>
      </c>
      <c r="J57" s="845"/>
      <c r="K57" s="780"/>
      <c r="L57" s="780"/>
      <c r="M57" s="522"/>
      <c r="N57" s="459"/>
      <c r="O57" s="459"/>
      <c r="P57" s="459"/>
      <c r="Q57" s="522">
        <v>-1.2</v>
      </c>
      <c r="R57" s="459"/>
      <c r="S57" s="459"/>
      <c r="T57" s="459"/>
      <c r="U57" s="522">
        <v>-1.3</v>
      </c>
      <c r="V57" s="459"/>
      <c r="W57" s="459"/>
      <c r="X57" s="459">
        <v>-13.5</v>
      </c>
      <c r="Y57" s="522">
        <v>-14.6</v>
      </c>
      <c r="Z57" s="459">
        <v>0</v>
      </c>
      <c r="AA57" s="459">
        <v>0</v>
      </c>
      <c r="AB57" s="459">
        <v>0</v>
      </c>
      <c r="AC57" s="522">
        <v>0</v>
      </c>
      <c r="AD57" s="459">
        <v>0</v>
      </c>
      <c r="AE57" s="459">
        <v>0</v>
      </c>
      <c r="AF57" s="459">
        <v>0</v>
      </c>
      <c r="AG57" s="522">
        <v>0</v>
      </c>
      <c r="AH57" s="459">
        <v>0</v>
      </c>
      <c r="AI57" s="39">
        <v>0</v>
      </c>
      <c r="AJ57" s="39">
        <v>0</v>
      </c>
      <c r="AK57" s="65">
        <v>0</v>
      </c>
      <c r="AL57" s="44">
        <v>0</v>
      </c>
      <c r="AM57" s="44">
        <v>0</v>
      </c>
      <c r="AN57" s="44">
        <v>0</v>
      </c>
      <c r="AO57" s="65">
        <v>0</v>
      </c>
      <c r="AP57" s="44">
        <v>0</v>
      </c>
      <c r="AQ57" s="44">
        <v>0</v>
      </c>
      <c r="AR57" s="44">
        <v>0</v>
      </c>
      <c r="AS57" s="65">
        <v>0</v>
      </c>
      <c r="AT57" s="44">
        <v>0</v>
      </c>
      <c r="AU57" s="44">
        <v>0</v>
      </c>
      <c r="AV57" s="44">
        <v>0</v>
      </c>
      <c r="AW57" s="65">
        <v>0</v>
      </c>
      <c r="AX57" s="44">
        <v>0</v>
      </c>
      <c r="AY57" s="44">
        <v>0</v>
      </c>
      <c r="AZ57" s="44">
        <v>0</v>
      </c>
      <c r="BA57" s="65">
        <v>0</v>
      </c>
      <c r="BB57" s="44">
        <v>0</v>
      </c>
      <c r="BC57" s="39">
        <v>0</v>
      </c>
      <c r="BD57" s="39">
        <v>0</v>
      </c>
      <c r="BE57" s="65">
        <f>BD57</f>
        <v>0</v>
      </c>
      <c r="BF57" s="44">
        <v>0</v>
      </c>
      <c r="BG57" s="1381">
        <v>0</v>
      </c>
      <c r="BH57" s="1381">
        <v>0</v>
      </c>
      <c r="BI57" s="65">
        <f>BH57</f>
        <v>0</v>
      </c>
      <c r="BJ57" s="44">
        <v>0</v>
      </c>
      <c r="BK57" s="1381">
        <v>0</v>
      </c>
      <c r="BL57" s="1381">
        <v>0</v>
      </c>
      <c r="BM57" s="65">
        <f>BL57</f>
        <v>0</v>
      </c>
      <c r="BN57" s="44">
        <v>0</v>
      </c>
      <c r="BO57" s="1381">
        <v>0</v>
      </c>
      <c r="BP57" s="1381">
        <v>0</v>
      </c>
      <c r="BQ57" s="65">
        <v>0</v>
      </c>
      <c r="BR57" s="44">
        <v>0</v>
      </c>
      <c r="BS57" s="1381">
        <v>0</v>
      </c>
      <c r="BT57" s="1381">
        <v>0</v>
      </c>
      <c r="BU57" s="65">
        <v>0</v>
      </c>
      <c r="BV57" s="655">
        <f t="shared" si="162"/>
        <v>0</v>
      </c>
      <c r="BW57" s="136">
        <f t="shared" si="162"/>
        <v>0</v>
      </c>
      <c r="BX57" s="136">
        <f t="shared" si="162"/>
        <v>0</v>
      </c>
      <c r="BY57" s="137">
        <f t="shared" si="162"/>
        <v>0</v>
      </c>
      <c r="BZ57" s="655">
        <f t="shared" si="163"/>
        <v>0</v>
      </c>
      <c r="CA57" s="136">
        <f t="shared" si="163"/>
        <v>0</v>
      </c>
      <c r="CB57" s="136">
        <f t="shared" si="163"/>
        <v>0</v>
      </c>
      <c r="CC57" s="137">
        <f t="shared" si="163"/>
        <v>0</v>
      </c>
      <c r="CD57" s="47"/>
      <c r="CE57" s="1145">
        <f t="shared" si="142"/>
        <v>-3.7450000000000001</v>
      </c>
      <c r="CF57" s="53">
        <f t="shared" si="143"/>
        <v>0</v>
      </c>
      <c r="CG57" s="53">
        <f t="shared" si="144"/>
        <v>-1.2</v>
      </c>
      <c r="CH57" s="53">
        <f t="shared" si="145"/>
        <v>-1.3</v>
      </c>
      <c r="CI57" s="138">
        <f t="shared" si="146"/>
        <v>-14.6</v>
      </c>
      <c r="CJ57" s="138">
        <f t="shared" si="147"/>
        <v>0</v>
      </c>
      <c r="CK57" s="138">
        <f t="shared" si="148"/>
        <v>0</v>
      </c>
      <c r="CL57" s="138">
        <f t="shared" si="149"/>
        <v>0</v>
      </c>
      <c r="CM57" s="138">
        <f t="shared" si="150"/>
        <v>0</v>
      </c>
      <c r="CN57" s="138">
        <f t="shared" si="151"/>
        <v>0</v>
      </c>
      <c r="CO57" s="136">
        <f t="shared" si="152"/>
        <v>0</v>
      </c>
      <c r="CP57" s="136">
        <f t="shared" si="153"/>
        <v>0</v>
      </c>
      <c r="CQ57" s="136">
        <f t="shared" si="154"/>
        <v>0</v>
      </c>
      <c r="CR57" s="655">
        <f t="shared" si="155"/>
        <v>0</v>
      </c>
      <c r="CS57" s="136">
        <f t="shared" si="156"/>
        <v>0</v>
      </c>
      <c r="CT57" s="53">
        <f t="shared" si="157"/>
        <v>0</v>
      </c>
      <c r="CU57" s="53">
        <f t="shared" si="158"/>
        <v>0</v>
      </c>
      <c r="CV57" s="53">
        <f t="shared" si="159"/>
        <v>0</v>
      </c>
      <c r="CW57" s="53">
        <f t="shared" si="160"/>
        <v>0</v>
      </c>
      <c r="CX57" s="53">
        <f t="shared" si="164"/>
        <v>0</v>
      </c>
      <c r="CY57" s="53">
        <f t="shared" si="164"/>
        <v>0</v>
      </c>
      <c r="CZ57" s="53">
        <f t="shared" si="164"/>
        <v>0</v>
      </c>
      <c r="DA57" s="53">
        <f t="shared" si="164"/>
        <v>0</v>
      </c>
      <c r="DB57" s="53">
        <f t="shared" si="164"/>
        <v>0</v>
      </c>
      <c r="DC57" s="53">
        <f t="shared" si="164"/>
        <v>0</v>
      </c>
      <c r="DD57" s="645"/>
      <c r="DE57" s="24"/>
      <c r="DF57" s="24"/>
      <c r="DG57" s="30"/>
      <c r="DH57" s="30"/>
      <c r="DI57" s="118"/>
      <c r="DJ57" s="29"/>
      <c r="DK57" s="24"/>
      <c r="DL57" s="24"/>
      <c r="DM57" s="24"/>
      <c r="DN57" s="24"/>
      <c r="DO57" s="24"/>
      <c r="DP57" s="24"/>
      <c r="DQ57" s="24"/>
      <c r="DR57" s="24"/>
    </row>
    <row r="58" spans="1:122" hidden="1" outlineLevel="1">
      <c r="A58" s="3"/>
      <c r="B58" s="76"/>
      <c r="C58" s="96" t="s">
        <v>116</v>
      </c>
      <c r="D58" s="3"/>
      <c r="E58" s="97"/>
      <c r="F58" s="780">
        <v>-516.37699999999995</v>
      </c>
      <c r="G58" s="780">
        <v>-514.58900000000006</v>
      </c>
      <c r="H58" s="780">
        <v>-517.63599999999997</v>
      </c>
      <c r="I58" s="846">
        <v>-581.72</v>
      </c>
      <c r="J58" s="845">
        <v>-561.202</v>
      </c>
      <c r="K58" s="780">
        <v>-548.60799999999995</v>
      </c>
      <c r="L58" s="780">
        <v>-529.41</v>
      </c>
      <c r="M58" s="522">
        <v>-516.29200000000003</v>
      </c>
      <c r="N58" s="459">
        <v>-494.077</v>
      </c>
      <c r="O58" s="459">
        <v>-419.71699999999998</v>
      </c>
      <c r="P58" s="459">
        <v>-365.21499999999997</v>
      </c>
      <c r="Q58" s="522">
        <v>-334.2</v>
      </c>
      <c r="R58" s="459">
        <v>-329.2</v>
      </c>
      <c r="S58" s="459">
        <v>-260.39999999999998</v>
      </c>
      <c r="T58" s="459">
        <v>-212.5</v>
      </c>
      <c r="U58" s="522">
        <v>-182.9</v>
      </c>
      <c r="V58" s="459">
        <v>-152.5</v>
      </c>
      <c r="W58" s="459">
        <v>-96.5</v>
      </c>
      <c r="X58" s="459">
        <v>-25.7</v>
      </c>
      <c r="Y58" s="522">
        <v>15.5</v>
      </c>
      <c r="Z58" s="459">
        <v>84.3</v>
      </c>
      <c r="AA58" s="459">
        <v>188.6</v>
      </c>
      <c r="AB58" s="459">
        <v>291.5</v>
      </c>
      <c r="AC58" s="522">
        <v>390.5</v>
      </c>
      <c r="AD58" s="459">
        <v>494</v>
      </c>
      <c r="AE58" s="459">
        <v>622</v>
      </c>
      <c r="AF58" s="459">
        <v>742</v>
      </c>
      <c r="AG58" s="522">
        <v>955</v>
      </c>
      <c r="AH58" s="459">
        <v>1023</v>
      </c>
      <c r="AI58" s="39">
        <v>1329</v>
      </c>
      <c r="AJ58" s="39">
        <v>1609</v>
      </c>
      <c r="AK58" s="59">
        <v>1822</v>
      </c>
      <c r="AL58" s="39">
        <v>2033</v>
      </c>
      <c r="AM58" s="39">
        <v>2047</v>
      </c>
      <c r="AN58" s="39">
        <v>2096</v>
      </c>
      <c r="AO58" s="59">
        <v>2292</v>
      </c>
      <c r="AP58" s="39">
        <v>2580</v>
      </c>
      <c r="AQ58" s="39">
        <v>3009</v>
      </c>
      <c r="AR58" s="39">
        <v>3410</v>
      </c>
      <c r="AS58" s="59">
        <v>3674</v>
      </c>
      <c r="AT58" s="39">
        <v>3871</v>
      </c>
      <c r="AU58" s="39">
        <v>4096</v>
      </c>
      <c r="AV58" s="39">
        <v>4242</v>
      </c>
      <c r="AW58" s="59">
        <v>4400</v>
      </c>
      <c r="AX58" s="39">
        <v>4639</v>
      </c>
      <c r="AY58" s="39">
        <v>4784</v>
      </c>
      <c r="AZ58" s="39">
        <v>5267</v>
      </c>
      <c r="BA58" s="59">
        <v>6012</v>
      </c>
      <c r="BB58" s="39">
        <v>6470</v>
      </c>
      <c r="BC58" s="39">
        <v>6744</v>
      </c>
      <c r="BD58" s="39">
        <v>7073</v>
      </c>
      <c r="BE58" s="59">
        <v>6749</v>
      </c>
      <c r="BF58" s="39">
        <v>7183</v>
      </c>
      <c r="BG58" s="1380">
        <v>7541</v>
      </c>
      <c r="BH58" s="1380">
        <v>7845</v>
      </c>
      <c r="BI58" s="59">
        <v>8066</v>
      </c>
      <c r="BJ58" s="39">
        <v>8394</v>
      </c>
      <c r="BK58" s="1380">
        <v>8738</v>
      </c>
      <c r="BL58" s="1380">
        <v>9004</v>
      </c>
      <c r="BM58" s="59">
        <v>9107</v>
      </c>
      <c r="BN58" s="39">
        <v>9273</v>
      </c>
      <c r="BO58" s="1380">
        <v>9407</v>
      </c>
      <c r="BP58" s="1380">
        <v>9363</v>
      </c>
      <c r="BQ58" s="59">
        <v>8848</v>
      </c>
      <c r="BR58" s="39">
        <v>8329</v>
      </c>
      <c r="BS58" s="1380">
        <v>8411</v>
      </c>
      <c r="BT58" s="1380">
        <v>8507</v>
      </c>
      <c r="BU58" s="59">
        <v>8633</v>
      </c>
      <c r="BV58" s="644">
        <f>BU58+IS!BV100+CF!BV47</f>
        <v>9166.8649999999998</v>
      </c>
      <c r="BW58" s="53">
        <f>BV58+IS!BW100+CF!BW47</f>
        <v>8196.2250000000004</v>
      </c>
      <c r="BX58" s="53">
        <f>BW58+IS!BX100+CF!BX47</f>
        <v>8616.7034328689988</v>
      </c>
      <c r="BY58" s="645">
        <f>BX58+IS!BY100+CF!BY47</f>
        <v>8949.5145267088428</v>
      </c>
      <c r="BZ58" s="644">
        <f>BY58+IS!BZ100+CF!BZ47</f>
        <v>9436.9837135388352</v>
      </c>
      <c r="CA58" s="53">
        <f>BZ58+IS!CA100+CF!CA47</f>
        <v>9847.8339428551899</v>
      </c>
      <c r="CB58" s="53">
        <f>CA58+IS!CB100+CF!CB47</f>
        <v>10094.805667611701</v>
      </c>
      <c r="CC58" s="645">
        <f>CB58+IS!CC100+CF!CC47</f>
        <v>10288.796579922753</v>
      </c>
      <c r="CD58" s="47"/>
      <c r="CE58" s="1145">
        <f t="shared" si="142"/>
        <v>-581.72</v>
      </c>
      <c r="CF58" s="53">
        <f t="shared" si="143"/>
        <v>-516.29200000000003</v>
      </c>
      <c r="CG58" s="53">
        <f t="shared" si="144"/>
        <v>-334.2</v>
      </c>
      <c r="CH58" s="53">
        <f t="shared" si="145"/>
        <v>-182.9</v>
      </c>
      <c r="CI58" s="138">
        <f t="shared" si="146"/>
        <v>15.5</v>
      </c>
      <c r="CJ58" s="138">
        <f t="shared" si="147"/>
        <v>390.5</v>
      </c>
      <c r="CK58" s="138">
        <f t="shared" si="148"/>
        <v>955</v>
      </c>
      <c r="CL58" s="138">
        <f t="shared" si="149"/>
        <v>1822</v>
      </c>
      <c r="CM58" s="138">
        <f t="shared" si="150"/>
        <v>2292</v>
      </c>
      <c r="CN58" s="138">
        <f t="shared" si="151"/>
        <v>3674</v>
      </c>
      <c r="CO58" s="136">
        <f t="shared" si="152"/>
        <v>4400</v>
      </c>
      <c r="CP58" s="136">
        <f t="shared" si="153"/>
        <v>6012</v>
      </c>
      <c r="CQ58" s="136">
        <f t="shared" si="154"/>
        <v>6749</v>
      </c>
      <c r="CR58" s="644">
        <f t="shared" si="155"/>
        <v>8066</v>
      </c>
      <c r="CS58" s="53">
        <f t="shared" si="156"/>
        <v>9107</v>
      </c>
      <c r="CT58" s="53">
        <f t="shared" si="157"/>
        <v>8848</v>
      </c>
      <c r="CU58" s="53">
        <f t="shared" si="158"/>
        <v>8633</v>
      </c>
      <c r="CV58" s="53">
        <f t="shared" si="159"/>
        <v>8949.5145267088428</v>
      </c>
      <c r="CW58" s="53">
        <f t="shared" si="160"/>
        <v>10288.796579922753</v>
      </c>
      <c r="CX58" s="53">
        <f>CW58+IS!CX100+CF!CX47</f>
        <v>11938.967626614234</v>
      </c>
      <c r="CY58" s="53">
        <f>CX58+IS!CY100+CF!CY47</f>
        <v>13721.462583058057</v>
      </c>
      <c r="CZ58" s="53">
        <f>CY58+IS!CZ100+CF!CZ47</f>
        <v>15716.400556570628</v>
      </c>
      <c r="DA58" s="53">
        <f>CZ58+IS!DA100+CF!DA47</f>
        <v>17717.260965881858</v>
      </c>
      <c r="DB58" s="53">
        <f>DA58+IS!DB100+CF!DB47</f>
        <v>19913.346279582005</v>
      </c>
      <c r="DC58" s="53">
        <f>DB58+IS!DC100+CF!DC47</f>
        <v>22330.075702330956</v>
      </c>
      <c r="DD58" s="645"/>
      <c r="DE58" s="24"/>
      <c r="DF58" s="24"/>
      <c r="DG58" s="30"/>
      <c r="DH58" s="30"/>
      <c r="DI58" s="29"/>
      <c r="DJ58" s="29"/>
      <c r="DK58" s="24"/>
      <c r="DL58" s="24"/>
      <c r="DM58" s="24"/>
      <c r="DN58" s="24"/>
      <c r="DO58" s="24"/>
      <c r="DP58" s="24"/>
      <c r="DQ58" s="24"/>
      <c r="DR58" s="24"/>
    </row>
    <row r="59" spans="1:122" hidden="1" outlineLevel="1">
      <c r="A59" s="3"/>
      <c r="B59" s="76"/>
      <c r="C59" s="24" t="s">
        <v>357</v>
      </c>
      <c r="D59" s="3"/>
      <c r="E59" s="97"/>
      <c r="F59" s="780">
        <v>-171.501</v>
      </c>
      <c r="G59" s="780">
        <v>-169.923</v>
      </c>
      <c r="H59" s="780">
        <v>-151.18299999999999</v>
      </c>
      <c r="I59" s="846">
        <v>-148.21100000000001</v>
      </c>
      <c r="J59" s="845">
        <v>-143.97200000000001</v>
      </c>
      <c r="K59" s="780">
        <v>-137.685</v>
      </c>
      <c r="L59" s="780">
        <v>-106.22</v>
      </c>
      <c r="M59" s="522">
        <v>-96.304000000000002</v>
      </c>
      <c r="N59" s="459">
        <v>-66.262</v>
      </c>
      <c r="O59" s="459">
        <v>-14.247999999999999</v>
      </c>
      <c r="P59" s="459">
        <v>-15.446</v>
      </c>
      <c r="Q59" s="522">
        <v>-15.8</v>
      </c>
      <c r="R59" s="459">
        <v>-15.8</v>
      </c>
      <c r="S59" s="459">
        <v>-16.100000000000001</v>
      </c>
      <c r="T59" s="459">
        <v>-14</v>
      </c>
      <c r="U59" s="522">
        <v>-29.2</v>
      </c>
      <c r="V59" s="459">
        <v>-26.8</v>
      </c>
      <c r="W59" s="459">
        <v>-11.9</v>
      </c>
      <c r="X59" s="459">
        <v>-0.2</v>
      </c>
      <c r="Y59" s="522">
        <v>-11.7</v>
      </c>
      <c r="Z59" s="459">
        <v>-15.2</v>
      </c>
      <c r="AA59" s="459">
        <v>-0.8</v>
      </c>
      <c r="AB59" s="459">
        <v>-18.5</v>
      </c>
      <c r="AC59" s="522">
        <v>-11.8</v>
      </c>
      <c r="AD59" s="459">
        <v>-7</v>
      </c>
      <c r="AE59" s="459">
        <v>-1</v>
      </c>
      <c r="AF59" s="459">
        <v>-20</v>
      </c>
      <c r="AG59" s="522">
        <v>-51</v>
      </c>
      <c r="AH59" s="459">
        <v>-51</v>
      </c>
      <c r="AI59" s="39">
        <v>-27</v>
      </c>
      <c r="AJ59" s="39">
        <v>-58</v>
      </c>
      <c r="AK59" s="59">
        <v>-22</v>
      </c>
      <c r="AL59" s="39">
        <v>-54</v>
      </c>
      <c r="AM59" s="39">
        <v>-26</v>
      </c>
      <c r="AN59" s="39">
        <v>-16</v>
      </c>
      <c r="AO59" s="59">
        <v>0</v>
      </c>
      <c r="AP59" s="39">
        <v>0</v>
      </c>
      <c r="AQ59" s="39">
        <v>0</v>
      </c>
      <c r="AR59" s="39">
        <v>0</v>
      </c>
      <c r="AS59" s="59">
        <v>0</v>
      </c>
      <c r="AT59" s="39">
        <v>-39</v>
      </c>
      <c r="AU59" s="39">
        <v>0</v>
      </c>
      <c r="AV59" s="39">
        <v>0</v>
      </c>
      <c r="AW59" s="59">
        <v>0</v>
      </c>
      <c r="AX59" s="39">
        <v>0</v>
      </c>
      <c r="AY59" s="39">
        <v>0</v>
      </c>
      <c r="AZ59" s="39">
        <v>0</v>
      </c>
      <c r="BA59" s="59">
        <v>-554</v>
      </c>
      <c r="BB59" s="39">
        <v>-674</v>
      </c>
      <c r="BC59" s="39">
        <v>-732</v>
      </c>
      <c r="BD59" s="39">
        <v>-905</v>
      </c>
      <c r="BE59" s="59">
        <v>-1012</v>
      </c>
      <c r="BF59" s="39">
        <v>-1119</v>
      </c>
      <c r="BG59" s="1380">
        <v>-1178</v>
      </c>
      <c r="BH59" s="1380">
        <v>-1390</v>
      </c>
      <c r="BI59" s="59">
        <v>-1570</v>
      </c>
      <c r="BJ59" s="39">
        <v>-1705</v>
      </c>
      <c r="BK59" s="1380">
        <v>-1945</v>
      </c>
      <c r="BL59" s="1380">
        <v>-2147</v>
      </c>
      <c r="BM59" s="59">
        <v>-2299</v>
      </c>
      <c r="BN59" s="39">
        <v>-2303</v>
      </c>
      <c r="BO59" s="1380">
        <v>-2266</v>
      </c>
      <c r="BP59" s="1380">
        <v>-2243</v>
      </c>
      <c r="BQ59" s="59">
        <v>-2238</v>
      </c>
      <c r="BR59" s="39">
        <v>-2164</v>
      </c>
      <c r="BS59" s="1380">
        <v>-2059</v>
      </c>
      <c r="BT59" s="1380">
        <v>-1860</v>
      </c>
      <c r="BU59" s="59">
        <v>-1666</v>
      </c>
      <c r="BV59" s="644">
        <f>BU59+CF!BV45</f>
        <v>-1666</v>
      </c>
      <c r="BW59" s="53">
        <f>BV59+CF!BW45</f>
        <v>-1666</v>
      </c>
      <c r="BX59" s="53">
        <f>BW59+CF!BX45</f>
        <v>-1666</v>
      </c>
      <c r="BY59" s="645">
        <f>BX59+CF!BY45</f>
        <v>-1666</v>
      </c>
      <c r="BZ59" s="644">
        <f>BY59+CF!BZ45</f>
        <v>-1666</v>
      </c>
      <c r="CA59" s="53">
        <f>BZ59+CF!CA45</f>
        <v>-1666</v>
      </c>
      <c r="CB59" s="53">
        <f>CA59+CF!CB45</f>
        <v>-1666</v>
      </c>
      <c r="CC59" s="645">
        <f>CB59+CF!CC45</f>
        <v>-1666</v>
      </c>
      <c r="CD59" s="47"/>
      <c r="CE59" s="1145">
        <f t="shared" si="142"/>
        <v>-148.21100000000001</v>
      </c>
      <c r="CF59" s="53">
        <f t="shared" si="143"/>
        <v>-96.304000000000002</v>
      </c>
      <c r="CG59" s="53">
        <f t="shared" si="144"/>
        <v>-15.8</v>
      </c>
      <c r="CH59" s="53">
        <f t="shared" si="145"/>
        <v>-29.2</v>
      </c>
      <c r="CI59" s="138">
        <f t="shared" si="146"/>
        <v>-11.7</v>
      </c>
      <c r="CJ59" s="138">
        <f t="shared" si="147"/>
        <v>-11.8</v>
      </c>
      <c r="CK59" s="138">
        <f t="shared" si="148"/>
        <v>-51</v>
      </c>
      <c r="CL59" s="138">
        <f t="shared" si="149"/>
        <v>-22</v>
      </c>
      <c r="CM59" s="138">
        <f t="shared" si="150"/>
        <v>0</v>
      </c>
      <c r="CN59" s="138">
        <f t="shared" si="151"/>
        <v>0</v>
      </c>
      <c r="CO59" s="136">
        <f t="shared" si="152"/>
        <v>0</v>
      </c>
      <c r="CP59" s="136">
        <f t="shared" si="153"/>
        <v>-554</v>
      </c>
      <c r="CQ59" s="136">
        <f t="shared" si="154"/>
        <v>-1012</v>
      </c>
      <c r="CR59" s="644">
        <f t="shared" si="155"/>
        <v>-1570</v>
      </c>
      <c r="CS59" s="53">
        <f t="shared" si="156"/>
        <v>-2299</v>
      </c>
      <c r="CT59" s="53">
        <f t="shared" si="157"/>
        <v>-2238</v>
      </c>
      <c r="CU59" s="53">
        <f t="shared" si="158"/>
        <v>-1666</v>
      </c>
      <c r="CV59" s="53">
        <f t="shared" si="159"/>
        <v>-1666</v>
      </c>
      <c r="CW59" s="53">
        <f t="shared" si="160"/>
        <v>-1666</v>
      </c>
      <c r="CX59" s="53">
        <f>CW59+CF!CX45</f>
        <v>-1666</v>
      </c>
      <c r="CY59" s="53">
        <f>CX59+CF!CY45</f>
        <v>-1666</v>
      </c>
      <c r="CZ59" s="53">
        <f>CY59+CF!CZ45</f>
        <v>-1666</v>
      </c>
      <c r="DA59" s="53">
        <f>CZ59+CF!DA45</f>
        <v>-1666</v>
      </c>
      <c r="DB59" s="53">
        <f>DA59+CF!DB45</f>
        <v>-1666</v>
      </c>
      <c r="DC59" s="53">
        <f>DB59+CF!DC45</f>
        <v>-1666</v>
      </c>
      <c r="DD59" s="645"/>
      <c r="DE59" s="24"/>
      <c r="DF59" s="24"/>
      <c r="DG59" s="30"/>
      <c r="DH59" s="30"/>
      <c r="DI59" s="29"/>
      <c r="DJ59" s="29"/>
      <c r="DK59" s="24"/>
      <c r="DL59" s="24"/>
      <c r="DM59" s="24"/>
      <c r="DN59" s="24"/>
      <c r="DO59" s="24"/>
      <c r="DP59" s="24"/>
      <c r="DQ59" s="24"/>
      <c r="DR59" s="24"/>
    </row>
    <row r="60" spans="1:122" collapsed="1">
      <c r="A60" s="3"/>
      <c r="B60" s="70" t="s">
        <v>649</v>
      </c>
      <c r="C60" s="4"/>
      <c r="D60" s="4"/>
      <c r="E60" s="109"/>
      <c r="F60" s="620">
        <f t="shared" ref="F60:U60" si="165">SUM(F54:F59)</f>
        <v>-53.192000000000036</v>
      </c>
      <c r="G60" s="620">
        <f t="shared" si="165"/>
        <v>15.685999999999922</v>
      </c>
      <c r="H60" s="620">
        <f t="shared" si="165"/>
        <v>18.136000000000081</v>
      </c>
      <c r="I60" s="838">
        <f t="shared" si="165"/>
        <v>6.8029999999998836</v>
      </c>
      <c r="J60" s="620">
        <f t="shared" si="165"/>
        <v>27.655000000000058</v>
      </c>
      <c r="K60" s="620">
        <f t="shared" si="165"/>
        <v>48.893999999999949</v>
      </c>
      <c r="L60" s="620">
        <f t="shared" si="165"/>
        <v>89.43800000000013</v>
      </c>
      <c r="M60" s="838">
        <f t="shared" si="165"/>
        <v>102.86199999999994</v>
      </c>
      <c r="N60" s="620">
        <f t="shared" si="165"/>
        <v>127.85100000000006</v>
      </c>
      <c r="O60" s="620">
        <f t="shared" si="165"/>
        <v>209.97000000000008</v>
      </c>
      <c r="P60" s="620">
        <f t="shared" si="165"/>
        <v>276.084</v>
      </c>
      <c r="Q60" s="838">
        <f t="shared" si="165"/>
        <v>327.39999999999998</v>
      </c>
      <c r="R60" s="620">
        <f t="shared" si="165"/>
        <v>344.30000000000007</v>
      </c>
      <c r="S60" s="620">
        <f t="shared" si="165"/>
        <v>416.9</v>
      </c>
      <c r="T60" s="620">
        <f t="shared" si="165"/>
        <v>470.9</v>
      </c>
      <c r="U60" s="838">
        <f t="shared" si="165"/>
        <v>487.60000000000019</v>
      </c>
      <c r="V60" s="620">
        <f t="shared" ref="V60:BB60" si="166">SUM(V54:V59)</f>
        <v>507.50000000000006</v>
      </c>
      <c r="W60" s="620">
        <f t="shared" si="166"/>
        <v>568.30000000000007</v>
      </c>
      <c r="X60" s="620">
        <f t="shared" si="166"/>
        <v>662.8</v>
      </c>
      <c r="Y60" s="838">
        <f>SUM(Y54:Y59)</f>
        <v>702.1</v>
      </c>
      <c r="Z60" s="620">
        <f t="shared" si="166"/>
        <v>776.69999999999993</v>
      </c>
      <c r="AA60" s="620">
        <f t="shared" si="166"/>
        <v>894.00000000000011</v>
      </c>
      <c r="AB60" s="620">
        <f t="shared" si="166"/>
        <v>1028</v>
      </c>
      <c r="AC60" s="838">
        <f t="shared" si="166"/>
        <v>1157.2</v>
      </c>
      <c r="AD60" s="620">
        <f t="shared" si="166"/>
        <v>1272</v>
      </c>
      <c r="AE60" s="620">
        <f t="shared" si="166"/>
        <v>1425</v>
      </c>
      <c r="AF60" s="620">
        <f t="shared" si="166"/>
        <v>1536</v>
      </c>
      <c r="AG60" s="838">
        <f>SUM(AG54:AG59)</f>
        <v>1716</v>
      </c>
      <c r="AH60" s="501">
        <f t="shared" si="166"/>
        <v>1787</v>
      </c>
      <c r="AI60" s="620">
        <f t="shared" si="166"/>
        <v>2127</v>
      </c>
      <c r="AJ60" s="620">
        <f t="shared" si="166"/>
        <v>2417</v>
      </c>
      <c r="AK60" s="838">
        <f>SUM(AK54:AK59)</f>
        <v>2696</v>
      </c>
      <c r="AL60" s="620">
        <f>SUM(AL54:AL59)</f>
        <v>2887</v>
      </c>
      <c r="AM60" s="505">
        <f t="shared" si="166"/>
        <v>2921</v>
      </c>
      <c r="AN60" s="505">
        <f t="shared" si="166"/>
        <v>2992</v>
      </c>
      <c r="AO60" s="838">
        <f t="shared" ref="AO60:AT60" si="167">SUM(AO54:AO59)</f>
        <v>3192</v>
      </c>
      <c r="AP60" s="620">
        <f t="shared" si="167"/>
        <v>3523</v>
      </c>
      <c r="AQ60" s="620">
        <f t="shared" si="167"/>
        <v>3991</v>
      </c>
      <c r="AR60" s="620">
        <f t="shared" si="167"/>
        <v>4431</v>
      </c>
      <c r="AS60" s="838">
        <f t="shared" si="167"/>
        <v>4709</v>
      </c>
      <c r="AT60" s="620">
        <f t="shared" si="167"/>
        <v>4911</v>
      </c>
      <c r="AU60" s="505">
        <f t="shared" si="166"/>
        <v>5159</v>
      </c>
      <c r="AV60" s="505">
        <f t="shared" si="166"/>
        <v>5316</v>
      </c>
      <c r="AW60" s="838">
        <f t="shared" si="166"/>
        <v>5488</v>
      </c>
      <c r="AX60" s="620">
        <f t="shared" si="166"/>
        <v>5723</v>
      </c>
      <c r="AY60" s="505">
        <f t="shared" si="166"/>
        <v>5923</v>
      </c>
      <c r="AZ60" s="505">
        <f t="shared" si="166"/>
        <v>7416</v>
      </c>
      <c r="BA60" s="506">
        <f t="shared" si="166"/>
        <v>7669</v>
      </c>
      <c r="BB60" s="620">
        <f t="shared" si="166"/>
        <v>8037</v>
      </c>
      <c r="BC60" s="505">
        <f t="shared" ref="BC60:BH60" si="168">SUM(BC54:BC59)</f>
        <v>8247</v>
      </c>
      <c r="BD60" s="505">
        <f t="shared" si="168"/>
        <v>8423</v>
      </c>
      <c r="BE60" s="506">
        <f>SUM(BE54:BE59)</f>
        <v>7893</v>
      </c>
      <c r="BF60" s="620">
        <f>SUM(BF54:BF59)</f>
        <v>8253</v>
      </c>
      <c r="BG60" s="505">
        <f t="shared" si="168"/>
        <v>8579</v>
      </c>
      <c r="BH60" s="505">
        <f t="shared" si="168"/>
        <v>8768</v>
      </c>
      <c r="BI60" s="506">
        <f t="shared" ref="BI60:BP60" si="169">SUM(BI54:BI59)</f>
        <v>8842</v>
      </c>
      <c r="BJ60" s="620">
        <f t="shared" si="169"/>
        <v>8963</v>
      </c>
      <c r="BK60" s="505">
        <f t="shared" si="169"/>
        <v>9082</v>
      </c>
      <c r="BL60" s="505">
        <f t="shared" si="169"/>
        <v>9226</v>
      </c>
      <c r="BM60" s="506">
        <f t="shared" si="169"/>
        <v>9219</v>
      </c>
      <c r="BN60" s="620">
        <f t="shared" si="169"/>
        <v>9336</v>
      </c>
      <c r="BO60" s="505">
        <f t="shared" si="169"/>
        <v>9557</v>
      </c>
      <c r="BP60" s="505">
        <f t="shared" si="169"/>
        <v>9609</v>
      </c>
      <c r="BQ60" s="506">
        <f t="shared" ref="BQ60:BY60" si="170">SUM(BQ54:BQ59)</f>
        <v>11145</v>
      </c>
      <c r="BR60" s="620">
        <f t="shared" si="170"/>
        <v>10775</v>
      </c>
      <c r="BS60" s="505">
        <f t="shared" si="170"/>
        <v>10732</v>
      </c>
      <c r="BT60" s="505">
        <f t="shared" si="170"/>
        <v>11031</v>
      </c>
      <c r="BU60" s="506">
        <f>SUM(BU54:BU59)</f>
        <v>11418</v>
      </c>
      <c r="BV60" s="895">
        <v>12059</v>
      </c>
      <c r="BW60" s="895">
        <v>11272</v>
      </c>
      <c r="BX60" s="505">
        <f t="shared" si="170"/>
        <v>11783.55803675768</v>
      </c>
      <c r="BY60" s="506">
        <f t="shared" si="170"/>
        <v>12207.540065126523</v>
      </c>
      <c r="BZ60" s="507">
        <f>SUM(BZ54:BZ59)</f>
        <v>12789.083581556406</v>
      </c>
      <c r="CA60" s="505">
        <f>SUM(CA54:CA59)</f>
        <v>13292.516389843202</v>
      </c>
      <c r="CB60" s="505">
        <f>SUM(CB54:CB59)</f>
        <v>13625.461795129948</v>
      </c>
      <c r="CC60" s="506">
        <f>SUM(CC54:CC59)</f>
        <v>13900.829650857127</v>
      </c>
      <c r="CD60" s="47"/>
      <c r="CE60" s="918">
        <f t="shared" ref="CE60:CP60" si="171">SUM(CE54:CE59)</f>
        <v>6.8029999999998836</v>
      </c>
      <c r="CF60" s="505">
        <f t="shared" si="171"/>
        <v>102.86199999999994</v>
      </c>
      <c r="CG60" s="505">
        <f t="shared" si="171"/>
        <v>327.39999999999998</v>
      </c>
      <c r="CH60" s="505">
        <f t="shared" si="171"/>
        <v>487.60000000000019</v>
      </c>
      <c r="CI60" s="505">
        <f t="shared" si="171"/>
        <v>702.1</v>
      </c>
      <c r="CJ60" s="505">
        <f t="shared" si="171"/>
        <v>1157.2</v>
      </c>
      <c r="CK60" s="505">
        <f t="shared" si="171"/>
        <v>1716</v>
      </c>
      <c r="CL60" s="505">
        <f t="shared" si="171"/>
        <v>2696</v>
      </c>
      <c r="CM60" s="505">
        <f t="shared" si="171"/>
        <v>3192</v>
      </c>
      <c r="CN60" s="505">
        <f t="shared" si="151"/>
        <v>4709</v>
      </c>
      <c r="CO60" s="505">
        <f t="shared" si="152"/>
        <v>5488</v>
      </c>
      <c r="CP60" s="505">
        <f t="shared" si="171"/>
        <v>7669</v>
      </c>
      <c r="CQ60" s="505">
        <f t="shared" si="154"/>
        <v>7893</v>
      </c>
      <c r="CR60" s="507">
        <f t="shared" si="155"/>
        <v>8842</v>
      </c>
      <c r="CS60" s="505">
        <f t="shared" ref="CS60:DA60" si="172">SUM(CS54:CS59)</f>
        <v>9219</v>
      </c>
      <c r="CT60" s="505">
        <f t="shared" si="172"/>
        <v>11145</v>
      </c>
      <c r="CU60" s="505">
        <f t="shared" si="172"/>
        <v>11418</v>
      </c>
      <c r="CV60" s="505">
        <f t="shared" si="172"/>
        <v>12207.540065126523</v>
      </c>
      <c r="CW60" s="505">
        <f>SUM(CW54:CW59)</f>
        <v>13900.829650857127</v>
      </c>
      <c r="CX60" s="505">
        <f t="shared" si="172"/>
        <v>15930.823888843355</v>
      </c>
      <c r="CY60" s="505">
        <f t="shared" si="172"/>
        <v>18106.91148793199</v>
      </c>
      <c r="CZ60" s="505">
        <f t="shared" si="172"/>
        <v>20510.423681249369</v>
      </c>
      <c r="DA60" s="505">
        <f t="shared" si="172"/>
        <v>22938.794694998938</v>
      </c>
      <c r="DB60" s="505">
        <f>SUM(DB54:DB59)</f>
        <v>25583.852078883039</v>
      </c>
      <c r="DC60" s="505">
        <f>SUM(DC54:DC59)</f>
        <v>28473.859664722469</v>
      </c>
      <c r="DD60" s="506"/>
      <c r="DE60" s="24"/>
      <c r="DF60" s="31"/>
      <c r="DG60" s="30"/>
      <c r="DH60" s="30"/>
      <c r="DI60" s="30"/>
      <c r="DJ60" s="30"/>
      <c r="DK60" s="31"/>
      <c r="DL60" s="31"/>
      <c r="DM60" s="31"/>
      <c r="DN60" s="31"/>
      <c r="DO60" s="31"/>
      <c r="DP60" s="31"/>
      <c r="DQ60" s="31"/>
      <c r="DR60" s="31"/>
    </row>
    <row r="61" spans="1:122" ht="4.5" customHeight="1">
      <c r="A61" s="3"/>
      <c r="B61" s="76"/>
      <c r="C61" s="96"/>
      <c r="D61" s="96"/>
      <c r="E61" s="97"/>
      <c r="F61" s="44"/>
      <c r="G61" s="44"/>
      <c r="H61" s="44"/>
      <c r="I61" s="65"/>
      <c r="J61" s="40"/>
      <c r="K61" s="44"/>
      <c r="L61" s="44"/>
      <c r="M61" s="65"/>
      <c r="N61" s="44"/>
      <c r="O61" s="44"/>
      <c r="P61" s="44"/>
      <c r="Q61" s="65"/>
      <c r="R61" s="44"/>
      <c r="S61" s="44"/>
      <c r="T61" s="44"/>
      <c r="U61" s="65"/>
      <c r="V61" s="44"/>
      <c r="W61" s="44"/>
      <c r="X61" s="44"/>
      <c r="Y61" s="65"/>
      <c r="Z61" s="44"/>
      <c r="AA61" s="44"/>
      <c r="AB61" s="44"/>
      <c r="AC61" s="65"/>
      <c r="AD61" s="44"/>
      <c r="AE61" s="44"/>
      <c r="AF61" s="44"/>
      <c r="AG61" s="65"/>
      <c r="AH61" s="44"/>
      <c r="AI61" s="44"/>
      <c r="AJ61" s="44"/>
      <c r="AK61" s="65"/>
      <c r="AL61" s="44"/>
      <c r="AM61" s="44"/>
      <c r="AN61" s="44"/>
      <c r="AO61" s="65"/>
      <c r="AP61" s="44"/>
      <c r="AQ61" s="44"/>
      <c r="AR61" s="44"/>
      <c r="AS61" s="65"/>
      <c r="AT61" s="44"/>
      <c r="AU61" s="44"/>
      <c r="AV61" s="44"/>
      <c r="AW61" s="65"/>
      <c r="AX61" s="44"/>
      <c r="AY61" s="44"/>
      <c r="AZ61" s="44"/>
      <c r="BA61" s="65"/>
      <c r="BB61" s="44"/>
      <c r="BC61" s="44"/>
      <c r="BD61" s="44"/>
      <c r="BE61" s="65"/>
      <c r="BF61" s="44"/>
      <c r="BG61" s="44"/>
      <c r="BH61" s="44"/>
      <c r="BI61" s="65"/>
      <c r="BJ61" s="44"/>
      <c r="BK61" s="44"/>
      <c r="BL61" s="44"/>
      <c r="BM61" s="65"/>
      <c r="BN61" s="44"/>
      <c r="BO61" s="44"/>
      <c r="BP61" s="44"/>
      <c r="BQ61" s="65"/>
      <c r="BR61" s="44"/>
      <c r="BS61" s="44"/>
      <c r="BT61" s="44"/>
      <c r="BU61" s="65"/>
      <c r="BV61" s="40"/>
      <c r="BW61" s="44"/>
      <c r="BX61" s="44"/>
      <c r="BY61" s="65"/>
      <c r="BZ61" s="40"/>
      <c r="CA61" s="44"/>
      <c r="CB61" s="44"/>
      <c r="CC61" s="65"/>
      <c r="CD61" s="47"/>
      <c r="CE61" s="1148"/>
      <c r="CF61" s="44"/>
      <c r="CG61" s="44"/>
      <c r="CH61" s="44"/>
      <c r="CI61" s="44"/>
      <c r="CJ61" s="44"/>
      <c r="CK61" s="44"/>
      <c r="CL61" s="44"/>
      <c r="CM61" s="44"/>
      <c r="CN61" s="44"/>
      <c r="CO61" s="44"/>
      <c r="CP61" s="44"/>
      <c r="CQ61" s="44"/>
      <c r="CR61" s="40"/>
      <c r="CS61" s="44">
        <f>BM61</f>
        <v>0</v>
      </c>
      <c r="CT61" s="44">
        <f>BN61</f>
        <v>0</v>
      </c>
      <c r="CU61" s="44">
        <f>BO61</f>
        <v>0</v>
      </c>
      <c r="CV61" s="44"/>
      <c r="CW61" s="44"/>
      <c r="CX61" s="44"/>
      <c r="CY61" s="44"/>
      <c r="CZ61" s="44"/>
      <c r="DA61" s="44"/>
      <c r="DB61" s="44"/>
      <c r="DC61" s="44"/>
      <c r="DD61" s="65"/>
      <c r="DE61" s="24"/>
      <c r="DF61" s="24"/>
      <c r="DG61" s="30"/>
      <c r="DH61" s="30"/>
      <c r="DI61" s="29"/>
      <c r="DJ61" s="29"/>
      <c r="DK61" s="24"/>
      <c r="DL61" s="24"/>
      <c r="DM61" s="24"/>
      <c r="DN61" s="24"/>
      <c r="DO61" s="24"/>
      <c r="DP61" s="24"/>
      <c r="DQ61" s="24"/>
      <c r="DR61" s="24"/>
    </row>
    <row r="62" spans="1:122">
      <c r="A62" s="3"/>
      <c r="B62" s="425" t="s">
        <v>41</v>
      </c>
      <c r="C62" s="5"/>
      <c r="D62" s="5"/>
      <c r="E62" s="708"/>
      <c r="F62" s="553">
        <f>F51+F60</f>
        <v>562.72699999999998</v>
      </c>
      <c r="G62" s="553">
        <f>G51+G60</f>
        <v>590.9369999999999</v>
      </c>
      <c r="H62" s="553">
        <f t="shared" ref="H62:M62" si="173">H51+H60</f>
        <v>545.14100000000008</v>
      </c>
      <c r="I62" s="552">
        <f t="shared" si="173"/>
        <v>507.65199999999993</v>
      </c>
      <c r="J62" s="553">
        <f t="shared" si="173"/>
        <v>619.44500000000005</v>
      </c>
      <c r="K62" s="553">
        <f>K51+K60</f>
        <v>635.64899999999989</v>
      </c>
      <c r="L62" s="553">
        <f t="shared" si="173"/>
        <v>637.45800000000008</v>
      </c>
      <c r="M62" s="552">
        <f t="shared" si="173"/>
        <v>636.67999999999995</v>
      </c>
      <c r="N62" s="553">
        <f t="shared" ref="N62:AK62" si="174">N51+N60</f>
        <v>688.38700000000017</v>
      </c>
      <c r="O62" s="553">
        <f>O51+O60</f>
        <v>807.41100000000006</v>
      </c>
      <c r="P62" s="553">
        <f t="shared" si="174"/>
        <v>784.54</v>
      </c>
      <c r="Q62" s="552">
        <f t="shared" si="174"/>
        <v>866.2</v>
      </c>
      <c r="R62" s="553">
        <f t="shared" si="174"/>
        <v>1001.6000000000001</v>
      </c>
      <c r="S62" s="553">
        <f t="shared" si="174"/>
        <v>1115.8</v>
      </c>
      <c r="T62" s="553">
        <f t="shared" si="174"/>
        <v>1107.0999999999999</v>
      </c>
      <c r="U62" s="552">
        <f>U51+U60</f>
        <v>1159.2000000000003</v>
      </c>
      <c r="V62" s="553">
        <f t="shared" si="174"/>
        <v>1295</v>
      </c>
      <c r="W62" s="553">
        <f t="shared" si="174"/>
        <v>1368.7</v>
      </c>
      <c r="X62" s="553">
        <f t="shared" si="174"/>
        <v>1490.1</v>
      </c>
      <c r="Y62" s="552">
        <f>Y51+Y60</f>
        <v>1588.6000000000001</v>
      </c>
      <c r="Z62" s="553">
        <f t="shared" si="174"/>
        <v>1700.5</v>
      </c>
      <c r="AA62" s="553">
        <f t="shared" si="174"/>
        <v>1778.4</v>
      </c>
      <c r="AB62" s="553">
        <f t="shared" si="174"/>
        <v>1931.7</v>
      </c>
      <c r="AC62" s="552">
        <f t="shared" si="174"/>
        <v>2073.3000000000002</v>
      </c>
      <c r="AD62" s="553">
        <f t="shared" si="174"/>
        <v>2325</v>
      </c>
      <c r="AE62" s="553">
        <f t="shared" si="174"/>
        <v>2540</v>
      </c>
      <c r="AF62" s="553">
        <f t="shared" si="174"/>
        <v>2653</v>
      </c>
      <c r="AG62" s="552">
        <f>AG51+AG60</f>
        <v>2901</v>
      </c>
      <c r="AH62" s="553">
        <f t="shared" si="174"/>
        <v>4374</v>
      </c>
      <c r="AI62" s="553">
        <f t="shared" si="174"/>
        <v>4600</v>
      </c>
      <c r="AJ62" s="553">
        <f>AJ51+AJ60</f>
        <v>4543</v>
      </c>
      <c r="AK62" s="552">
        <f t="shared" si="174"/>
        <v>4875</v>
      </c>
      <c r="AL62" s="508">
        <f t="shared" ref="AL62:AS62" si="175">AL60+AL51</f>
        <v>5092</v>
      </c>
      <c r="AM62" s="553">
        <f t="shared" si="175"/>
        <v>4971</v>
      </c>
      <c r="AN62" s="553">
        <f t="shared" si="175"/>
        <v>4992</v>
      </c>
      <c r="AO62" s="552">
        <f t="shared" si="175"/>
        <v>5291</v>
      </c>
      <c r="AP62" s="508">
        <f t="shared" si="175"/>
        <v>5849</v>
      </c>
      <c r="AQ62" s="553">
        <f t="shared" si="175"/>
        <v>6585</v>
      </c>
      <c r="AR62" s="553">
        <f t="shared" si="175"/>
        <v>7000</v>
      </c>
      <c r="AS62" s="552">
        <f t="shared" si="175"/>
        <v>7328</v>
      </c>
      <c r="AT62" s="508">
        <f>AT60+AT51</f>
        <v>7655</v>
      </c>
      <c r="AU62" s="553">
        <f t="shared" ref="AU62:BA62" si="176">AU60+AU51</f>
        <v>7843</v>
      </c>
      <c r="AV62" s="553">
        <f t="shared" si="176"/>
        <v>7839</v>
      </c>
      <c r="AW62" s="552">
        <f t="shared" si="176"/>
        <v>8118</v>
      </c>
      <c r="AX62" s="508">
        <f t="shared" si="176"/>
        <v>8467</v>
      </c>
      <c r="AY62" s="553">
        <f t="shared" si="176"/>
        <v>7807</v>
      </c>
      <c r="AZ62" s="553">
        <f t="shared" si="176"/>
        <v>14510</v>
      </c>
      <c r="BA62" s="552">
        <f t="shared" si="176"/>
        <v>14206</v>
      </c>
      <c r="BB62" s="508">
        <f t="shared" ref="BB62:BH62" si="177">BB60+BB51</f>
        <v>14172</v>
      </c>
      <c r="BC62" s="553">
        <f t="shared" si="177"/>
        <v>13929</v>
      </c>
      <c r="BD62" s="553">
        <f t="shared" si="177"/>
        <v>13927</v>
      </c>
      <c r="BE62" s="552">
        <f>BE60+BE51</f>
        <v>14036</v>
      </c>
      <c r="BF62" s="508">
        <f>BF60+BF51</f>
        <v>14806</v>
      </c>
      <c r="BG62" s="553">
        <f t="shared" si="177"/>
        <v>15282</v>
      </c>
      <c r="BH62" s="553">
        <f t="shared" si="177"/>
        <v>15332</v>
      </c>
      <c r="BI62" s="552">
        <f t="shared" ref="BI62:BP62" si="178">BI60+BI51</f>
        <v>15499</v>
      </c>
      <c r="BJ62" s="508">
        <f t="shared" si="178"/>
        <v>15652</v>
      </c>
      <c r="BK62" s="553">
        <f t="shared" si="178"/>
        <v>15139</v>
      </c>
      <c r="BL62" s="553">
        <f t="shared" si="178"/>
        <v>15176</v>
      </c>
      <c r="BM62" s="552">
        <f t="shared" si="178"/>
        <v>15181</v>
      </c>
      <c r="BN62" s="508">
        <f t="shared" si="178"/>
        <v>15261</v>
      </c>
      <c r="BO62" s="553">
        <f t="shared" si="178"/>
        <v>15466</v>
      </c>
      <c r="BP62" s="553">
        <f t="shared" si="178"/>
        <v>14947</v>
      </c>
      <c r="BQ62" s="552">
        <f>BQ60+BQ51</f>
        <v>32862</v>
      </c>
      <c r="BR62" s="508">
        <f>BR60+BR51</f>
        <v>29010</v>
      </c>
      <c r="BS62" s="553">
        <f>BS60+BS51</f>
        <v>28975</v>
      </c>
      <c r="BT62" s="553">
        <f>BT60+BT51</f>
        <v>29448</v>
      </c>
      <c r="BU62" s="552">
        <f>BU60+BU51</f>
        <v>29860</v>
      </c>
      <c r="BV62" s="508">
        <f t="shared" ref="BV62:CC62" si="179">BV60+BV51</f>
        <v>30505</v>
      </c>
      <c r="BW62" s="553">
        <f t="shared" ref="BW62" si="180">BW60+BW51</f>
        <v>29840</v>
      </c>
      <c r="BX62" s="553">
        <f t="shared" si="179"/>
        <v>28990.654944957983</v>
      </c>
      <c r="BY62" s="552">
        <f t="shared" si="179"/>
        <v>29381.329601921934</v>
      </c>
      <c r="BZ62" s="508">
        <f t="shared" si="179"/>
        <v>30165.460049314388</v>
      </c>
      <c r="CA62" s="553">
        <f t="shared" si="179"/>
        <v>30447.186257268484</v>
      </c>
      <c r="CB62" s="553">
        <f t="shared" si="179"/>
        <v>30004.390278698025</v>
      </c>
      <c r="CC62" s="552">
        <f t="shared" si="179"/>
        <v>29636.157831962599</v>
      </c>
      <c r="CD62" s="47"/>
      <c r="CE62" s="1149">
        <f>SUM(CE51,CE60)</f>
        <v>507.65199999999993</v>
      </c>
      <c r="CF62" s="553">
        <f t="shared" ref="CF62:CM62" si="181">SUM(CF51,CF60)</f>
        <v>636.67999999999995</v>
      </c>
      <c r="CG62" s="553">
        <f t="shared" si="181"/>
        <v>866.2</v>
      </c>
      <c r="CH62" s="553">
        <f t="shared" si="181"/>
        <v>1159.2000000000003</v>
      </c>
      <c r="CI62" s="553">
        <f t="shared" si="181"/>
        <v>1588.6000000000001</v>
      </c>
      <c r="CJ62" s="1064">
        <f t="shared" si="181"/>
        <v>2073.3000000000002</v>
      </c>
      <c r="CK62" s="553">
        <f t="shared" si="181"/>
        <v>2901</v>
      </c>
      <c r="CL62" s="553">
        <f t="shared" si="181"/>
        <v>4875</v>
      </c>
      <c r="CM62" s="553">
        <f t="shared" si="181"/>
        <v>5291</v>
      </c>
      <c r="CN62" s="553">
        <f>SUM(CN51,CN60)</f>
        <v>7328</v>
      </c>
      <c r="CO62" s="553">
        <f t="shared" ref="CO62:CT62" si="182">CO60+CO51</f>
        <v>8118</v>
      </c>
      <c r="CP62" s="553">
        <f t="shared" si="182"/>
        <v>14206</v>
      </c>
      <c r="CQ62" s="553">
        <f t="shared" si="182"/>
        <v>14036</v>
      </c>
      <c r="CR62" s="508">
        <f t="shared" si="182"/>
        <v>15499</v>
      </c>
      <c r="CS62" s="553">
        <f t="shared" si="182"/>
        <v>15181</v>
      </c>
      <c r="CT62" s="553">
        <f t="shared" si="182"/>
        <v>32862</v>
      </c>
      <c r="CU62" s="553">
        <f t="shared" ref="CU62:DA62" si="183">CU60+CU51</f>
        <v>29860</v>
      </c>
      <c r="CV62" s="553">
        <f t="shared" si="183"/>
        <v>29381.329601921934</v>
      </c>
      <c r="CW62" s="553">
        <f>CW60+CW51</f>
        <v>29636.157831962599</v>
      </c>
      <c r="CX62" s="553">
        <f t="shared" si="183"/>
        <v>31096.632266526598</v>
      </c>
      <c r="CY62" s="553">
        <f t="shared" si="183"/>
        <v>32544.032222363479</v>
      </c>
      <c r="CZ62" s="553">
        <f t="shared" si="183"/>
        <v>34174.319953125771</v>
      </c>
      <c r="DA62" s="553">
        <f t="shared" si="183"/>
        <v>35910.07180473263</v>
      </c>
      <c r="DB62" s="553">
        <f>DB60+DB51</f>
        <v>37906.488558805708</v>
      </c>
      <c r="DC62" s="553">
        <f>DC60+DC51</f>
        <v>40192.857720307293</v>
      </c>
      <c r="DD62" s="552"/>
      <c r="DE62" s="24"/>
      <c r="DF62" s="31"/>
      <c r="DG62" s="30"/>
      <c r="DH62" s="30"/>
      <c r="DI62" s="30"/>
      <c r="DJ62" s="30"/>
      <c r="DK62" s="31"/>
      <c r="DL62" s="31"/>
      <c r="DM62" s="31"/>
      <c r="DN62" s="31"/>
      <c r="DO62" s="31"/>
      <c r="DP62" s="31"/>
      <c r="DQ62" s="31"/>
      <c r="DR62" s="31"/>
    </row>
    <row r="63" spans="1:122">
      <c r="A63" s="3"/>
      <c r="B63" s="560" t="s">
        <v>295</v>
      </c>
      <c r="C63" s="3"/>
      <c r="D63" s="3"/>
      <c r="E63" s="255"/>
      <c r="F63" s="174">
        <f t="shared" ref="F63:BA63" si="184">F62-F33</f>
        <v>0</v>
      </c>
      <c r="G63" s="174">
        <f t="shared" si="184"/>
        <v>0</v>
      </c>
      <c r="H63" s="174">
        <f t="shared" si="184"/>
        <v>0</v>
      </c>
      <c r="I63" s="174">
        <f t="shared" si="184"/>
        <v>0</v>
      </c>
      <c r="J63" s="174">
        <f t="shared" si="184"/>
        <v>0</v>
      </c>
      <c r="K63" s="174">
        <f t="shared" si="184"/>
        <v>0</v>
      </c>
      <c r="L63" s="174">
        <f t="shared" si="184"/>
        <v>0</v>
      </c>
      <c r="M63" s="174">
        <f t="shared" si="184"/>
        <v>0</v>
      </c>
      <c r="N63" s="174">
        <f t="shared" si="184"/>
        <v>0</v>
      </c>
      <c r="O63" s="174">
        <f t="shared" si="184"/>
        <v>0</v>
      </c>
      <c r="P63" s="174">
        <f t="shared" si="184"/>
        <v>0</v>
      </c>
      <c r="Q63" s="174">
        <f t="shared" si="184"/>
        <v>0</v>
      </c>
      <c r="R63" s="174">
        <f t="shared" si="184"/>
        <v>0</v>
      </c>
      <c r="S63" s="174">
        <f t="shared" si="184"/>
        <v>0</v>
      </c>
      <c r="T63" s="174">
        <f t="shared" si="184"/>
        <v>0</v>
      </c>
      <c r="U63" s="174">
        <f t="shared" si="184"/>
        <v>0</v>
      </c>
      <c r="V63" s="174">
        <f t="shared" si="184"/>
        <v>0</v>
      </c>
      <c r="W63" s="174">
        <f t="shared" si="184"/>
        <v>0</v>
      </c>
      <c r="X63" s="174">
        <f t="shared" si="184"/>
        <v>0</v>
      </c>
      <c r="Y63" s="174">
        <f t="shared" si="184"/>
        <v>0</v>
      </c>
      <c r="Z63" s="174">
        <f t="shared" si="184"/>
        <v>0</v>
      </c>
      <c r="AA63" s="174">
        <f t="shared" si="184"/>
        <v>0</v>
      </c>
      <c r="AB63" s="174">
        <f t="shared" si="184"/>
        <v>0</v>
      </c>
      <c r="AC63" s="174">
        <f t="shared" si="184"/>
        <v>0</v>
      </c>
      <c r="AD63" s="172">
        <f t="shared" si="184"/>
        <v>0</v>
      </c>
      <c r="AE63" s="172">
        <f t="shared" si="184"/>
        <v>0</v>
      </c>
      <c r="AF63" s="172">
        <f t="shared" si="184"/>
        <v>0</v>
      </c>
      <c r="AG63" s="174">
        <f t="shared" si="184"/>
        <v>0</v>
      </c>
      <c r="AH63" s="172">
        <f t="shared" si="184"/>
        <v>0</v>
      </c>
      <c r="AI63" s="789">
        <f t="shared" si="184"/>
        <v>0</v>
      </c>
      <c r="AJ63" s="789">
        <f t="shared" si="184"/>
        <v>0</v>
      </c>
      <c r="AK63" s="789">
        <f>AK62-AK33</f>
        <v>0</v>
      </c>
      <c r="AL63" s="789">
        <f t="shared" si="184"/>
        <v>0</v>
      </c>
      <c r="AM63" s="789">
        <f t="shared" si="184"/>
        <v>0</v>
      </c>
      <c r="AN63" s="789">
        <f t="shared" si="184"/>
        <v>0</v>
      </c>
      <c r="AO63" s="789">
        <f t="shared" si="184"/>
        <v>0</v>
      </c>
      <c r="AP63" s="789">
        <f t="shared" si="184"/>
        <v>0</v>
      </c>
      <c r="AQ63" s="789">
        <f t="shared" si="184"/>
        <v>0</v>
      </c>
      <c r="AR63" s="789">
        <f t="shared" si="184"/>
        <v>0</v>
      </c>
      <c r="AS63" s="789">
        <f t="shared" si="184"/>
        <v>0</v>
      </c>
      <c r="AT63" s="789">
        <f t="shared" si="184"/>
        <v>0</v>
      </c>
      <c r="AU63" s="789">
        <f t="shared" si="184"/>
        <v>0</v>
      </c>
      <c r="AV63" s="789">
        <f t="shared" si="184"/>
        <v>0</v>
      </c>
      <c r="AW63" s="789">
        <f t="shared" si="184"/>
        <v>0</v>
      </c>
      <c r="AX63" s="789">
        <f t="shared" si="184"/>
        <v>0</v>
      </c>
      <c r="AY63" s="789">
        <f t="shared" si="184"/>
        <v>0</v>
      </c>
      <c r="AZ63" s="789">
        <f t="shared" si="184"/>
        <v>0</v>
      </c>
      <c r="BA63" s="789">
        <f t="shared" si="184"/>
        <v>0</v>
      </c>
      <c r="BB63" s="789">
        <f t="shared" ref="BB63:BI63" si="185">BB62-BB33</f>
        <v>0</v>
      </c>
      <c r="BC63" s="789">
        <f t="shared" si="185"/>
        <v>0</v>
      </c>
      <c r="BD63" s="789">
        <f t="shared" si="185"/>
        <v>0</v>
      </c>
      <c r="BE63" s="789">
        <f t="shared" si="185"/>
        <v>0</v>
      </c>
      <c r="BF63" s="789">
        <f t="shared" si="185"/>
        <v>0</v>
      </c>
      <c r="BG63" s="789">
        <f t="shared" si="185"/>
        <v>0</v>
      </c>
      <c r="BH63" s="789">
        <f t="shared" si="185"/>
        <v>0</v>
      </c>
      <c r="BI63" s="789">
        <f t="shared" si="185"/>
        <v>0</v>
      </c>
      <c r="BJ63" s="789">
        <f t="shared" ref="BJ63:BT63" si="186">BJ62-BJ33</f>
        <v>0</v>
      </c>
      <c r="BK63" s="789">
        <f t="shared" si="186"/>
        <v>0</v>
      </c>
      <c r="BL63" s="789">
        <f t="shared" si="186"/>
        <v>0</v>
      </c>
      <c r="BM63" s="789">
        <f t="shared" si="186"/>
        <v>0</v>
      </c>
      <c r="BN63" s="789">
        <f t="shared" si="186"/>
        <v>0</v>
      </c>
      <c r="BO63" s="789">
        <f t="shared" si="186"/>
        <v>0</v>
      </c>
      <c r="BP63" s="789">
        <f t="shared" si="186"/>
        <v>0</v>
      </c>
      <c r="BQ63" s="789">
        <f>BQ62-BQ33</f>
        <v>0</v>
      </c>
      <c r="BR63" s="789">
        <f>BR62-BR33</f>
        <v>0</v>
      </c>
      <c r="BS63" s="789">
        <f>BS62-BS33</f>
        <v>0</v>
      </c>
      <c r="BT63" s="789">
        <f t="shared" si="186"/>
        <v>0</v>
      </c>
      <c r="BU63" s="789">
        <f>BU62-BU33</f>
        <v>0</v>
      </c>
      <c r="BV63" s="1410">
        <f t="shared" ref="BV63:CC63" si="187">BV62-BV33</f>
        <v>0</v>
      </c>
      <c r="BW63" s="789">
        <f t="shared" si="187"/>
        <v>0</v>
      </c>
      <c r="BX63" s="2268">
        <f t="shared" si="187"/>
        <v>0</v>
      </c>
      <c r="BY63" s="789">
        <f t="shared" si="187"/>
        <v>0</v>
      </c>
      <c r="BZ63" s="1410">
        <f t="shared" si="187"/>
        <v>0</v>
      </c>
      <c r="CA63" s="789">
        <f t="shared" si="187"/>
        <v>0</v>
      </c>
      <c r="CB63" s="789">
        <f t="shared" si="187"/>
        <v>0</v>
      </c>
      <c r="CC63" s="789">
        <f t="shared" si="187"/>
        <v>0</v>
      </c>
      <c r="CD63" s="312"/>
      <c r="CE63" s="130">
        <f t="shared" ref="CE63:CT63" si="188">CE62-CE33</f>
        <v>0</v>
      </c>
      <c r="CF63" s="130">
        <f t="shared" si="188"/>
        <v>0</v>
      </c>
      <c r="CG63" s="130">
        <f t="shared" si="188"/>
        <v>0</v>
      </c>
      <c r="CH63" s="130">
        <f t="shared" si="188"/>
        <v>0</v>
      </c>
      <c r="CI63" s="130">
        <f t="shared" si="188"/>
        <v>0</v>
      </c>
      <c r="CJ63" s="174">
        <f t="shared" si="188"/>
        <v>0</v>
      </c>
      <c r="CK63" s="130">
        <f t="shared" si="188"/>
        <v>0</v>
      </c>
      <c r="CL63" s="789">
        <f t="shared" si="188"/>
        <v>0</v>
      </c>
      <c r="CM63" s="789">
        <f t="shared" si="188"/>
        <v>0</v>
      </c>
      <c r="CN63" s="789">
        <f t="shared" si="188"/>
        <v>0</v>
      </c>
      <c r="CO63" s="789">
        <f t="shared" si="188"/>
        <v>0</v>
      </c>
      <c r="CP63" s="789">
        <f t="shared" si="188"/>
        <v>0</v>
      </c>
      <c r="CQ63" s="789">
        <f>CQ62-CQ33</f>
        <v>0</v>
      </c>
      <c r="CR63" s="789">
        <f>CR62-CR33</f>
        <v>0</v>
      </c>
      <c r="CS63" s="789">
        <f>CS62-CS33</f>
        <v>0</v>
      </c>
      <c r="CT63" s="789">
        <f t="shared" si="188"/>
        <v>0</v>
      </c>
      <c r="CU63" s="789">
        <f t="shared" ref="CU63:DA63" si="189">CU62-CU33</f>
        <v>0</v>
      </c>
      <c r="CV63" s="789">
        <f t="shared" si="189"/>
        <v>0</v>
      </c>
      <c r="CW63" s="789">
        <f>CW62-CW33</f>
        <v>0</v>
      </c>
      <c r="CX63" s="789">
        <f t="shared" si="189"/>
        <v>0</v>
      </c>
      <c r="CY63" s="789">
        <f t="shared" si="189"/>
        <v>0</v>
      </c>
      <c r="CZ63" s="789">
        <f t="shared" si="189"/>
        <v>0</v>
      </c>
      <c r="DA63" s="789">
        <f t="shared" si="189"/>
        <v>0</v>
      </c>
      <c r="DB63" s="789">
        <f>DB62-DB33</f>
        <v>0</v>
      </c>
      <c r="DC63" s="789">
        <f>DC62-DC33</f>
        <v>0</v>
      </c>
      <c r="DD63" s="1548"/>
      <c r="DE63" s="24"/>
      <c r="DF63" s="24"/>
      <c r="DG63" s="30"/>
      <c r="DH63" s="30"/>
      <c r="DI63" s="118"/>
      <c r="DJ63" s="118"/>
      <c r="DK63" s="24"/>
      <c r="DL63" s="24"/>
      <c r="DM63" s="24"/>
      <c r="DN63" s="135"/>
      <c r="DO63" s="135"/>
      <c r="DP63" s="135"/>
      <c r="DQ63" s="135"/>
      <c r="DR63" s="135"/>
    </row>
    <row r="64" spans="1:122">
      <c r="A64" s="3"/>
      <c r="B64" s="518"/>
      <c r="C64" s="5"/>
      <c r="D64" s="5"/>
      <c r="E64" s="518"/>
      <c r="F64" s="518"/>
      <c r="G64" s="518"/>
      <c r="H64" s="518"/>
      <c r="I64" s="518"/>
      <c r="J64" s="518"/>
      <c r="K64" s="518"/>
      <c r="L64" s="518"/>
      <c r="M64" s="518"/>
      <c r="N64" s="518"/>
      <c r="O64" s="518"/>
      <c r="P64" s="518"/>
      <c r="Q64" s="518"/>
      <c r="R64" s="518"/>
      <c r="S64" s="518"/>
      <c r="T64" s="518"/>
      <c r="U64" s="518"/>
      <c r="V64" s="511"/>
      <c r="W64" s="511"/>
      <c r="X64" s="510"/>
      <c r="Y64" s="511"/>
      <c r="Z64" s="511"/>
      <c r="AA64" s="511"/>
      <c r="AB64" s="511"/>
      <c r="AC64" s="511"/>
      <c r="AD64" s="519"/>
      <c r="AE64" s="519"/>
      <c r="AF64" s="519"/>
      <c r="AG64" s="511"/>
      <c r="AH64" s="519"/>
      <c r="AI64" s="510"/>
      <c r="AJ64" s="510"/>
      <c r="AK64" s="510"/>
      <c r="AL64" s="510"/>
      <c r="AM64" s="510"/>
      <c r="AN64" s="510"/>
      <c r="AO64" s="510"/>
      <c r="AP64" s="510"/>
      <c r="AQ64" s="510"/>
      <c r="AR64" s="510"/>
      <c r="AS64" s="510"/>
      <c r="AT64" s="510"/>
      <c r="AU64" s="510"/>
      <c r="AV64" s="510"/>
      <c r="AW64" s="510"/>
      <c r="AX64" s="510"/>
      <c r="AY64" s="510"/>
      <c r="AZ64" s="510"/>
      <c r="BA64" s="510"/>
      <c r="BB64" s="510"/>
      <c r="BC64" s="510"/>
      <c r="BD64" s="510"/>
      <c r="BE64" s="510"/>
      <c r="BF64" s="510"/>
      <c r="BG64" s="510"/>
      <c r="BH64" s="510"/>
      <c r="BI64" s="510"/>
      <c r="BJ64" s="510"/>
      <c r="BK64" s="510"/>
      <c r="BL64" s="510"/>
      <c r="BM64" s="510"/>
      <c r="BN64" s="510"/>
      <c r="BO64" s="130"/>
      <c r="BP64" s="130"/>
      <c r="BQ64" s="130"/>
      <c r="BR64" s="130"/>
      <c r="BS64" s="130"/>
      <c r="BT64" s="130"/>
      <c r="BU64" s="130"/>
      <c r="BV64" s="1411"/>
      <c r="BW64" s="130"/>
      <c r="BX64" s="130"/>
      <c r="BY64" s="130"/>
      <c r="BZ64" s="1411"/>
      <c r="CA64" s="130"/>
      <c r="CB64" s="130"/>
      <c r="CC64" s="130"/>
      <c r="CD64" s="312"/>
      <c r="CE64" s="510"/>
      <c r="CF64" s="510"/>
      <c r="CG64" s="510"/>
      <c r="CH64" s="510"/>
      <c r="CI64" s="510"/>
      <c r="CJ64" s="510"/>
      <c r="CK64" s="510"/>
      <c r="CL64" s="510"/>
      <c r="CM64" s="510"/>
      <c r="CN64" s="510"/>
      <c r="CO64" s="510"/>
      <c r="CP64" s="510"/>
      <c r="CQ64" s="510"/>
      <c r="CR64" s="510"/>
      <c r="CS64" s="510"/>
      <c r="CT64" s="510"/>
      <c r="CU64" s="510"/>
      <c r="CV64" s="510"/>
      <c r="CW64" s="510"/>
      <c r="CX64" s="511"/>
      <c r="CY64" s="511"/>
      <c r="CZ64" s="511"/>
      <c r="DA64" s="511"/>
      <c r="DB64" s="511"/>
      <c r="DC64" s="511"/>
      <c r="DD64" s="1549"/>
      <c r="DE64" s="24"/>
      <c r="DF64" s="24"/>
      <c r="DG64" s="30"/>
      <c r="DH64" s="30"/>
      <c r="DI64" s="118"/>
      <c r="DJ64" s="118"/>
      <c r="DK64" s="24"/>
      <c r="DL64" s="24"/>
      <c r="DM64" s="24"/>
      <c r="DN64" s="135"/>
      <c r="DO64" s="135"/>
      <c r="DP64" s="135"/>
      <c r="DQ64" s="135"/>
      <c r="DR64" s="135"/>
    </row>
    <row r="65" spans="1:122">
      <c r="A65" s="3" t="s">
        <v>25</v>
      </c>
      <c r="B65" s="513" t="s">
        <v>582</v>
      </c>
      <c r="C65" s="226"/>
      <c r="D65" s="226"/>
      <c r="E65" s="421"/>
      <c r="F65" s="513"/>
      <c r="G65" s="163"/>
      <c r="H65" s="163"/>
      <c r="I65" s="514"/>
      <c r="J65" s="513"/>
      <c r="K65" s="163"/>
      <c r="L65" s="163"/>
      <c r="M65" s="514"/>
      <c r="N65" s="513"/>
      <c r="O65" s="163"/>
      <c r="P65" s="163"/>
      <c r="Q65" s="514"/>
      <c r="R65" s="513"/>
      <c r="S65" s="163"/>
      <c r="T65" s="163"/>
      <c r="U65" s="514"/>
      <c r="V65" s="515"/>
      <c r="W65" s="515"/>
      <c r="X65" s="515"/>
      <c r="Y65" s="516"/>
      <c r="Z65" s="517"/>
      <c r="AA65" s="515"/>
      <c r="AB65" s="515"/>
      <c r="AC65" s="516"/>
      <c r="AD65" s="517"/>
      <c r="AE65" s="515"/>
      <c r="AF65" s="515"/>
      <c r="AG65" s="516"/>
      <c r="AH65" s="517"/>
      <c r="AI65" s="515"/>
      <c r="AJ65" s="515"/>
      <c r="AK65" s="516"/>
      <c r="AL65" s="517"/>
      <c r="AM65" s="515"/>
      <c r="AN65" s="515"/>
      <c r="AO65" s="420"/>
      <c r="AP65" s="515"/>
      <c r="AQ65" s="515"/>
      <c r="AR65" s="515"/>
      <c r="AS65" s="516"/>
      <c r="AT65" s="515"/>
      <c r="AU65" s="515"/>
      <c r="AV65" s="515"/>
      <c r="AW65" s="516"/>
      <c r="AX65" s="515"/>
      <c r="AY65" s="515"/>
      <c r="AZ65" s="515"/>
      <c r="BA65" s="516"/>
      <c r="BB65" s="515"/>
      <c r="BC65" s="515"/>
      <c r="BD65" s="515"/>
      <c r="BE65" s="516"/>
      <c r="BF65" s="515"/>
      <c r="BG65" s="515"/>
      <c r="BH65" s="515"/>
      <c r="BI65" s="516"/>
      <c r="BJ65" s="515"/>
      <c r="BK65" s="515"/>
      <c r="BL65" s="515"/>
      <c r="BM65" s="420"/>
      <c r="BN65" s="418"/>
      <c r="BO65" s="419"/>
      <c r="BP65" s="419"/>
      <c r="BQ65" s="420"/>
      <c r="BR65" s="418"/>
      <c r="BS65" s="419"/>
      <c r="BT65" s="419"/>
      <c r="BU65" s="420"/>
      <c r="BV65" s="418"/>
      <c r="BW65" s="419"/>
      <c r="BX65" s="419"/>
      <c r="BY65" s="420"/>
      <c r="BZ65" s="418"/>
      <c r="CA65" s="419"/>
      <c r="CB65" s="419"/>
      <c r="CC65" s="420"/>
      <c r="CD65" s="12"/>
      <c r="CE65" s="162"/>
      <c r="CF65" s="162"/>
      <c r="CG65" s="162"/>
      <c r="CH65" s="162"/>
      <c r="CI65" s="162"/>
      <c r="CJ65" s="162"/>
      <c r="CK65" s="162"/>
      <c r="CL65" s="162"/>
      <c r="CM65" s="417"/>
      <c r="CN65" s="417"/>
      <c r="CO65" s="417"/>
      <c r="CP65" s="417"/>
      <c r="CQ65" s="417"/>
      <c r="CR65" s="1577"/>
      <c r="CS65" s="417"/>
      <c r="CT65" s="417"/>
      <c r="CU65" s="417"/>
      <c r="CV65" s="417"/>
      <c r="CW65" s="417"/>
      <c r="CX65" s="417"/>
      <c r="CY65" s="417"/>
      <c r="CZ65" s="417"/>
      <c r="DA65" s="417"/>
      <c r="DB65" s="417"/>
      <c r="DC65" s="417"/>
      <c r="DD65" s="1439"/>
      <c r="DE65" s="24"/>
      <c r="DF65" s="24"/>
      <c r="DG65" s="30"/>
      <c r="DH65" s="30"/>
      <c r="DI65" s="24"/>
      <c r="DJ65" s="24"/>
      <c r="DK65" s="24"/>
      <c r="DL65" s="24"/>
      <c r="DM65" s="24"/>
      <c r="DN65" s="24"/>
      <c r="DO65" s="24"/>
      <c r="DP65" s="24"/>
      <c r="DQ65" s="24"/>
      <c r="DR65" s="24"/>
    </row>
    <row r="66" spans="1:122" hidden="1" outlineLevel="1">
      <c r="A66" s="3"/>
      <c r="B66" s="8"/>
      <c r="C66" s="3" t="s">
        <v>274</v>
      </c>
      <c r="D66" s="3"/>
      <c r="E66" s="9"/>
      <c r="F66" s="555"/>
      <c r="G66" s="555"/>
      <c r="H66" s="555"/>
      <c r="I66" s="556"/>
      <c r="J66" s="555"/>
      <c r="K66" s="555"/>
      <c r="L66" s="555"/>
      <c r="M66" s="556"/>
      <c r="N66" s="555">
        <f t="shared" ref="N66:V66" si="190">M72</f>
        <v>102.86199999999994</v>
      </c>
      <c r="O66" s="555">
        <f t="shared" si="190"/>
        <v>127.85100000000006</v>
      </c>
      <c r="P66" s="555">
        <f t="shared" si="190"/>
        <v>209.97000000000008</v>
      </c>
      <c r="Q66" s="556">
        <f t="shared" si="190"/>
        <v>276.084</v>
      </c>
      <c r="R66" s="555">
        <f t="shared" si="190"/>
        <v>327.39999999999998</v>
      </c>
      <c r="S66" s="555">
        <f t="shared" si="190"/>
        <v>344.30000000000007</v>
      </c>
      <c r="T66" s="555">
        <f t="shared" si="190"/>
        <v>416.9</v>
      </c>
      <c r="U66" s="556">
        <f t="shared" si="190"/>
        <v>470.9</v>
      </c>
      <c r="V66" s="555">
        <f t="shared" si="190"/>
        <v>487.60000000000019</v>
      </c>
      <c r="W66" s="555">
        <f t="shared" ref="W66:AS66" si="191">V72</f>
        <v>507.50000000000006</v>
      </c>
      <c r="X66" s="555">
        <f t="shared" si="191"/>
        <v>568.30000000000007</v>
      </c>
      <c r="Y66" s="556">
        <f t="shared" si="191"/>
        <v>662.8</v>
      </c>
      <c r="Z66" s="555">
        <f t="shared" si="191"/>
        <v>702.1</v>
      </c>
      <c r="AA66" s="555">
        <f t="shared" si="191"/>
        <v>776.69999999999993</v>
      </c>
      <c r="AB66" s="555">
        <f t="shared" si="191"/>
        <v>894.00000000000011</v>
      </c>
      <c r="AC66" s="556">
        <f t="shared" si="191"/>
        <v>1028</v>
      </c>
      <c r="AD66" s="555">
        <f t="shared" si="191"/>
        <v>1157.2</v>
      </c>
      <c r="AE66" s="555">
        <f t="shared" si="191"/>
        <v>1272</v>
      </c>
      <c r="AF66" s="555">
        <f t="shared" si="191"/>
        <v>1425</v>
      </c>
      <c r="AG66" s="556">
        <f>AF72</f>
        <v>1536</v>
      </c>
      <c r="AH66" s="555">
        <f t="shared" si="191"/>
        <v>1716</v>
      </c>
      <c r="AI66" s="555">
        <f>AH72</f>
        <v>1787</v>
      </c>
      <c r="AJ66" s="555">
        <f t="shared" si="191"/>
        <v>2127</v>
      </c>
      <c r="AK66" s="556">
        <f t="shared" si="191"/>
        <v>2417</v>
      </c>
      <c r="AL66" s="555">
        <f t="shared" si="191"/>
        <v>2696</v>
      </c>
      <c r="AM66" s="555">
        <f t="shared" si="191"/>
        <v>2887</v>
      </c>
      <c r="AN66" s="555">
        <f t="shared" si="191"/>
        <v>2921</v>
      </c>
      <c r="AO66" s="556">
        <f t="shared" si="191"/>
        <v>2992</v>
      </c>
      <c r="AP66" s="555">
        <f t="shared" si="191"/>
        <v>3192</v>
      </c>
      <c r="AQ66" s="555">
        <f t="shared" si="191"/>
        <v>3523</v>
      </c>
      <c r="AR66" s="555">
        <f t="shared" si="191"/>
        <v>3991</v>
      </c>
      <c r="AS66" s="556">
        <f t="shared" si="191"/>
        <v>4431</v>
      </c>
      <c r="AT66" s="555">
        <f t="shared" ref="AT66:BA66" si="192">AS72</f>
        <v>4709</v>
      </c>
      <c r="AU66" s="555">
        <f t="shared" si="192"/>
        <v>4911</v>
      </c>
      <c r="AV66" s="555">
        <f t="shared" si="192"/>
        <v>5159</v>
      </c>
      <c r="AW66" s="555">
        <f t="shared" si="192"/>
        <v>5316</v>
      </c>
      <c r="AX66" s="836">
        <f t="shared" si="192"/>
        <v>5488</v>
      </c>
      <c r="AY66" s="555">
        <f t="shared" si="192"/>
        <v>5723</v>
      </c>
      <c r="AZ66" s="555">
        <f>AY72</f>
        <v>5923</v>
      </c>
      <c r="BA66" s="556">
        <f t="shared" si="192"/>
        <v>7416</v>
      </c>
      <c r="BB66" s="836">
        <f t="shared" ref="BB66:BH66" si="193">BA72</f>
        <v>7669</v>
      </c>
      <c r="BC66" s="555">
        <f t="shared" si="193"/>
        <v>8037</v>
      </c>
      <c r="BD66" s="555">
        <f t="shared" si="193"/>
        <v>8247</v>
      </c>
      <c r="BE66" s="556">
        <f>BD72</f>
        <v>8423</v>
      </c>
      <c r="BF66" s="836">
        <f>BE72</f>
        <v>7893</v>
      </c>
      <c r="BG66" s="555">
        <f t="shared" si="193"/>
        <v>8253</v>
      </c>
      <c r="BH66" s="555">
        <f t="shared" si="193"/>
        <v>8579</v>
      </c>
      <c r="BI66" s="556">
        <f t="shared" ref="BI66:BU66" si="194">BH72</f>
        <v>8768</v>
      </c>
      <c r="BJ66" s="836">
        <f t="shared" si="194"/>
        <v>8842</v>
      </c>
      <c r="BK66" s="555">
        <f t="shared" si="194"/>
        <v>8963</v>
      </c>
      <c r="BL66" s="555">
        <f t="shared" si="194"/>
        <v>9082</v>
      </c>
      <c r="BM66" s="556">
        <f t="shared" si="194"/>
        <v>9226</v>
      </c>
      <c r="BN66" s="836">
        <f t="shared" si="194"/>
        <v>9219</v>
      </c>
      <c r="BO66" s="555">
        <f t="shared" si="194"/>
        <v>9336</v>
      </c>
      <c r="BP66" s="555">
        <f t="shared" si="194"/>
        <v>9557</v>
      </c>
      <c r="BQ66" s="556">
        <f t="shared" si="194"/>
        <v>9609</v>
      </c>
      <c r="BR66" s="836">
        <f t="shared" si="194"/>
        <v>11145</v>
      </c>
      <c r="BS66" s="555">
        <f t="shared" si="194"/>
        <v>10775</v>
      </c>
      <c r="BT66" s="555">
        <f t="shared" si="194"/>
        <v>10732</v>
      </c>
      <c r="BU66" s="556">
        <f t="shared" si="194"/>
        <v>11031</v>
      </c>
      <c r="BV66" s="836">
        <f t="shared" ref="BV66:CC66" si="195">BU72</f>
        <v>11418</v>
      </c>
      <c r="BW66" s="555">
        <f t="shared" si="195"/>
        <v>12059</v>
      </c>
      <c r="BX66" s="555">
        <f t="shared" si="195"/>
        <v>11272</v>
      </c>
      <c r="BY66" s="556">
        <f t="shared" si="195"/>
        <v>11783.55803675768</v>
      </c>
      <c r="BZ66" s="836">
        <f t="shared" si="195"/>
        <v>12207.540065126523</v>
      </c>
      <c r="CA66" s="555">
        <f t="shared" si="195"/>
        <v>12789.083581556406</v>
      </c>
      <c r="CB66" s="555">
        <f t="shared" si="195"/>
        <v>13292.516389843202</v>
      </c>
      <c r="CC66" s="556">
        <f t="shared" si="195"/>
        <v>13625.461795129948</v>
      </c>
      <c r="CD66" s="9"/>
      <c r="CE66" s="555"/>
      <c r="CF66" s="555"/>
      <c r="CG66" s="555">
        <f t="shared" ref="CG66:CV66" si="196">CF72</f>
        <v>102.86199999999994</v>
      </c>
      <c r="CH66" s="555">
        <f t="shared" si="196"/>
        <v>327.39999999999998</v>
      </c>
      <c r="CI66" s="555">
        <f t="shared" si="196"/>
        <v>487.60000000000019</v>
      </c>
      <c r="CJ66" s="555">
        <f t="shared" si="196"/>
        <v>702.1</v>
      </c>
      <c r="CK66" s="555">
        <f t="shared" si="196"/>
        <v>1157.2</v>
      </c>
      <c r="CL66" s="555">
        <f t="shared" si="196"/>
        <v>1716</v>
      </c>
      <c r="CM66" s="555">
        <f t="shared" si="196"/>
        <v>2696</v>
      </c>
      <c r="CN66" s="555">
        <f>CM72</f>
        <v>3192</v>
      </c>
      <c r="CO66" s="555">
        <f>CN72</f>
        <v>4709</v>
      </c>
      <c r="CP66" s="555">
        <f t="shared" si="196"/>
        <v>5488</v>
      </c>
      <c r="CQ66" s="555">
        <f>CP72</f>
        <v>7669</v>
      </c>
      <c r="CR66" s="836">
        <f>CQ72</f>
        <v>7893</v>
      </c>
      <c r="CS66" s="555">
        <f>CR72</f>
        <v>8842</v>
      </c>
      <c r="CT66" s="555">
        <f t="shared" si="196"/>
        <v>9219</v>
      </c>
      <c r="CU66" s="555">
        <f t="shared" si="196"/>
        <v>11145</v>
      </c>
      <c r="CV66" s="555">
        <f t="shared" si="196"/>
        <v>11418</v>
      </c>
      <c r="CW66" s="555">
        <f t="shared" ref="CW66:DC66" si="197">CV72</f>
        <v>12207.540065126523</v>
      </c>
      <c r="CX66" s="555">
        <f t="shared" si="197"/>
        <v>13900.829650857127</v>
      </c>
      <c r="CY66" s="555">
        <f t="shared" si="197"/>
        <v>15930.823888843355</v>
      </c>
      <c r="CZ66" s="555">
        <f t="shared" si="197"/>
        <v>18106.91148793199</v>
      </c>
      <c r="DA66" s="555">
        <f t="shared" si="197"/>
        <v>20510.423681249369</v>
      </c>
      <c r="DB66" s="555">
        <f t="shared" si="197"/>
        <v>22938.794694998938</v>
      </c>
      <c r="DC66" s="555">
        <f t="shared" si="197"/>
        <v>25583.852078883039</v>
      </c>
      <c r="DD66" s="556"/>
      <c r="DE66" s="24"/>
      <c r="DF66" s="24"/>
      <c r="DG66" s="24"/>
      <c r="DH66" s="24"/>
      <c r="DI66" s="24"/>
      <c r="DJ66" s="24"/>
      <c r="DK66" s="24"/>
      <c r="DL66" s="24"/>
      <c r="DM66" s="24"/>
      <c r="DN66" s="24"/>
      <c r="DO66" s="24"/>
      <c r="DP66" s="24"/>
      <c r="DQ66" s="24"/>
      <c r="DR66" s="24"/>
    </row>
    <row r="67" spans="1:122" hidden="1" outlineLevel="1">
      <c r="A67" s="3"/>
      <c r="B67" s="8"/>
      <c r="C67" s="3" t="s">
        <v>275</v>
      </c>
      <c r="D67" s="3"/>
      <c r="E67" s="9"/>
      <c r="F67" s="555"/>
      <c r="G67" s="555"/>
      <c r="H67" s="555"/>
      <c r="I67" s="556"/>
      <c r="J67" s="555"/>
      <c r="K67" s="555"/>
      <c r="L67" s="555"/>
      <c r="M67" s="556"/>
      <c r="N67" s="555">
        <f>IS!N100</f>
        <v>22.215278737041611</v>
      </c>
      <c r="O67" s="555">
        <f>IS!O100</f>
        <v>74.358401891764629</v>
      </c>
      <c r="P67" s="555">
        <f>IS!P100</f>
        <v>54.501534776115619</v>
      </c>
      <c r="Q67" s="556">
        <f>IS!Q100</f>
        <v>31.021365616533515</v>
      </c>
      <c r="R67" s="555">
        <f>IS!R100</f>
        <v>5.0248834503210329</v>
      </c>
      <c r="S67" s="555">
        <f>IS!S100</f>
        <v>68.800000000000068</v>
      </c>
      <c r="T67" s="555">
        <f>IS!T100</f>
        <v>47.89097677325644</v>
      </c>
      <c r="U67" s="556">
        <f>IS!U100</f>
        <v>29.600184742957552</v>
      </c>
      <c r="V67" s="555">
        <f>IS!V100</f>
        <v>30.400000000000016</v>
      </c>
      <c r="W67" s="555">
        <f>IS!W100</f>
        <v>56.025081087970925</v>
      </c>
      <c r="X67" s="555">
        <f>IS!X100</f>
        <v>70.795537108473852</v>
      </c>
      <c r="Y67" s="556">
        <f>IS!Y100</f>
        <v>41.067057114279791</v>
      </c>
      <c r="Z67" s="555">
        <f>IS!Z100</f>
        <v>68.804952461412199</v>
      </c>
      <c r="AA67" s="555">
        <f>IS!AA100</f>
        <v>104.26742626372697</v>
      </c>
      <c r="AB67" s="555">
        <f>IS!AB100</f>
        <v>102.86998165864213</v>
      </c>
      <c r="AC67" s="556">
        <f>IS!AC100</f>
        <v>119.92063398226595</v>
      </c>
      <c r="AD67" s="555">
        <f>IS!AD100</f>
        <v>102.99883343612146</v>
      </c>
      <c r="AE67" s="555">
        <f>IS!AE100</f>
        <v>131.97001149535686</v>
      </c>
      <c r="AF67" s="555">
        <f>IS!AF100</f>
        <v>123.02977342464601</v>
      </c>
      <c r="AG67" s="556">
        <f>IS!AG100</f>
        <v>234.70777431250463</v>
      </c>
      <c r="AH67" s="836">
        <f>IS!AH100</f>
        <v>68.988572513042982</v>
      </c>
      <c r="AI67" s="555">
        <f>IS!AI100</f>
        <v>305.30360848767646</v>
      </c>
      <c r="AJ67" s="555">
        <f>IS!AJ100</f>
        <v>279.60684184863976</v>
      </c>
      <c r="AK67" s="556">
        <f>IS!AK100</f>
        <v>213.0649197251787</v>
      </c>
      <c r="AL67" s="555">
        <f>IS!AL100</f>
        <v>210.98976037078137</v>
      </c>
      <c r="AM67" s="555">
        <f>IS!AM100</f>
        <v>13.787725256349859</v>
      </c>
      <c r="AN67" s="555">
        <f>IS!AN100</f>
        <v>49.892006935091558</v>
      </c>
      <c r="AO67" s="556">
        <f>IS!AO100</f>
        <v>196.18657194384241</v>
      </c>
      <c r="AP67" s="555">
        <f>IS!AP100</f>
        <v>288.94885115999978</v>
      </c>
      <c r="AQ67" s="555">
        <f>IS!AQ100</f>
        <v>429.94007525000006</v>
      </c>
      <c r="AR67" s="555">
        <f>IS!AR100</f>
        <v>400.83925150000005</v>
      </c>
      <c r="AS67" s="556">
        <f>IS!AS100</f>
        <v>266.76533969848873</v>
      </c>
      <c r="AT67" s="555">
        <f>IS!AT100</f>
        <v>206.97132884299981</v>
      </c>
      <c r="AU67" s="555">
        <f>IS!AU100</f>
        <v>225.58216772499964</v>
      </c>
      <c r="AV67" s="555">
        <f>IS!AV100</f>
        <v>146.05312178269969</v>
      </c>
      <c r="AW67" s="555">
        <f>IS!AW100</f>
        <v>159.31393374718755</v>
      </c>
      <c r="AX67" s="836">
        <f>IS!AX100</f>
        <v>239.43461406480401</v>
      </c>
      <c r="AY67" s="555">
        <f>IS!AY100</f>
        <v>145.37867133650047</v>
      </c>
      <c r="AZ67" s="555">
        <f>IS!AZ100</f>
        <v>483.17196134369033</v>
      </c>
      <c r="BA67" s="556">
        <f>IS!BA100</f>
        <v>745.10029102005683</v>
      </c>
      <c r="BB67" s="836">
        <f>IS!BB100</f>
        <v>518.90000000000009</v>
      </c>
      <c r="BC67" s="555">
        <f>IS!BC100</f>
        <v>335.05549999999994</v>
      </c>
      <c r="BD67" s="555">
        <f>IS!BD100</f>
        <v>390.72000000000025</v>
      </c>
      <c r="BE67" s="556">
        <f>IS!BE100</f>
        <v>-264.76200000000017</v>
      </c>
      <c r="BF67" s="836">
        <f>IS!BF100</f>
        <v>495.07020000000011</v>
      </c>
      <c r="BG67" s="555">
        <f>IS!BG100</f>
        <v>429.82400000000007</v>
      </c>
      <c r="BH67" s="555">
        <f>IS!BH100</f>
        <v>375.00799999999981</v>
      </c>
      <c r="BI67" s="556">
        <f>IS!BI100</f>
        <v>317.30999999999995</v>
      </c>
      <c r="BJ67" s="836">
        <f>IS!BJ100</f>
        <v>427.19399999999996</v>
      </c>
      <c r="BK67" s="555">
        <f>IS!BK100</f>
        <v>446.904</v>
      </c>
      <c r="BL67" s="555">
        <f>IS!BL100</f>
        <v>374.89599999999996</v>
      </c>
      <c r="BM67" s="556">
        <f>IS!BM100</f>
        <v>213.48249999999985</v>
      </c>
      <c r="BN67" s="836">
        <f>IS!BN100</f>
        <v>283.22499999999991</v>
      </c>
      <c r="BO67" s="555">
        <f>IS!BO100</f>
        <v>241.21249999999998</v>
      </c>
      <c r="BP67" s="555">
        <f>IS!BP100</f>
        <v>68.259999999999877</v>
      </c>
      <c r="BQ67" s="556">
        <f>IS!BQ100</f>
        <v>-367.16999999999996</v>
      </c>
      <c r="BR67" s="836">
        <f>IS!BR100</f>
        <v>-366.44399999999996</v>
      </c>
      <c r="BS67" s="555">
        <f>IS!BS100</f>
        <v>234.85299999999984</v>
      </c>
      <c r="BT67" s="555">
        <f>IS!BT100</f>
        <v>248.07600000000002</v>
      </c>
      <c r="BU67" s="556">
        <f>IS!BU100</f>
        <v>280.07699999999977</v>
      </c>
      <c r="BV67" s="836">
        <f>IS!BV100</f>
        <v>680.86499999999978</v>
      </c>
      <c r="BW67" s="555">
        <f>IS!BW100</f>
        <v>-822.63999999999987</v>
      </c>
      <c r="BX67" s="555">
        <f>IS!BX100</f>
        <v>570.84186636899972</v>
      </c>
      <c r="BY67" s="556">
        <f>IS!BY100</f>
        <v>483.53341067384486</v>
      </c>
      <c r="BZ67" s="836">
        <f>IS!BZ100</f>
        <v>638.19150366399299</v>
      </c>
      <c r="CA67" s="555">
        <f>IS!CA100</f>
        <v>561.8225461503547</v>
      </c>
      <c r="CB67" s="555">
        <f>IS!CB100</f>
        <v>398.19404159051226</v>
      </c>
      <c r="CC67" s="556">
        <f>IS!CC100</f>
        <v>347.13813011965897</v>
      </c>
      <c r="CD67" s="9"/>
      <c r="CE67" s="555"/>
      <c r="CF67" s="555"/>
      <c r="CG67" s="555">
        <f>IS!CG100</f>
        <v>182.09658102145599</v>
      </c>
      <c r="CH67" s="555">
        <f>IS!CH100</f>
        <v>151.31604496653452</v>
      </c>
      <c r="CI67" s="555">
        <f>IS!CI100</f>
        <v>198.28767531072438</v>
      </c>
      <c r="CJ67" s="555">
        <f>IS!CJ100</f>
        <v>395.86299436604759</v>
      </c>
      <c r="CK67" s="555">
        <f>IS!CK100</f>
        <v>592.70639266862872</v>
      </c>
      <c r="CL67" s="555">
        <f>IS!CL100</f>
        <v>866.96394257453812</v>
      </c>
      <c r="CM67" s="555">
        <f>IS!CM100</f>
        <v>470.8560645060661</v>
      </c>
      <c r="CN67" s="555">
        <f>IS!CN100</f>
        <v>1386.4935176084884</v>
      </c>
      <c r="CO67" s="555">
        <f>IS!CO100</f>
        <v>737.92055209788668</v>
      </c>
      <c r="CP67" s="555">
        <f>IS!CP100</f>
        <v>1613.0855377650514</v>
      </c>
      <c r="CQ67" s="555">
        <f>IS!CQ100</f>
        <v>979.91350000000057</v>
      </c>
      <c r="CR67" s="836">
        <f>IS!CR100</f>
        <v>1617.2121999999999</v>
      </c>
      <c r="CS67" s="555">
        <f>IS!CS100</f>
        <v>1462.4764999999998</v>
      </c>
      <c r="CT67" s="555">
        <f>IS!CT100</f>
        <v>225.52749999999969</v>
      </c>
      <c r="CU67" s="555">
        <f>IS!CU100</f>
        <v>396.5619999999999</v>
      </c>
      <c r="CV67" s="555">
        <f>IS!CV100</f>
        <v>912.60027704284403</v>
      </c>
      <c r="CW67" s="555">
        <f>IS!CW100</f>
        <v>1945.3462215245167</v>
      </c>
      <c r="CX67" s="555">
        <f>IS!CX100</f>
        <v>2275.2020940646489</v>
      </c>
      <c r="CY67" s="555">
        <f>IS!CY100</f>
        <v>2421.2963633356276</v>
      </c>
      <c r="CZ67" s="555">
        <f>IS!CZ100</f>
        <v>2648.6104222752533</v>
      </c>
      <c r="DA67" s="555">
        <f>IS!DA100</f>
        <v>2670.3340380490326</v>
      </c>
      <c r="DB67" s="555">
        <f>IS!DB100</f>
        <v>2881.31318536872</v>
      </c>
      <c r="DC67" s="555">
        <f>IS!DC100</f>
        <v>3117.7365510555992</v>
      </c>
      <c r="DD67" s="556"/>
      <c r="DE67" s="24"/>
      <c r="DF67" s="24"/>
      <c r="DG67" s="24"/>
      <c r="DH67" s="24"/>
      <c r="DI67" s="24"/>
      <c r="DJ67" s="24"/>
      <c r="DK67" s="24"/>
      <c r="DL67" s="24"/>
      <c r="DM67" s="24"/>
      <c r="DN67" s="24"/>
      <c r="DO67" s="24"/>
      <c r="DP67" s="24"/>
      <c r="DQ67" s="24"/>
      <c r="DR67" s="24"/>
    </row>
    <row r="68" spans="1:122" hidden="1" outlineLevel="1">
      <c r="A68" s="3"/>
      <c r="B68" s="8"/>
      <c r="C68" s="3" t="s">
        <v>650</v>
      </c>
      <c r="D68" s="3"/>
      <c r="E68" s="9"/>
      <c r="F68" s="555"/>
      <c r="G68" s="555"/>
      <c r="H68" s="555"/>
      <c r="I68" s="556"/>
      <c r="J68" s="555"/>
      <c r="K68" s="555"/>
      <c r="L68" s="555"/>
      <c r="M68" s="556"/>
      <c r="N68" s="555">
        <f t="shared" ref="N68:AS68" si="198">N56-M56+N57-M57</f>
        <v>-1.3190000000000002</v>
      </c>
      <c r="O68" s="555">
        <f t="shared" si="198"/>
        <v>0.6100000000000001</v>
      </c>
      <c r="P68" s="555">
        <f t="shared" si="198"/>
        <v>1.3980000000000001</v>
      </c>
      <c r="Q68" s="556">
        <f t="shared" si="198"/>
        <v>-4.4480000000000004</v>
      </c>
      <c r="R68" s="555">
        <f t="shared" si="198"/>
        <v>1.2</v>
      </c>
      <c r="S68" s="555">
        <f t="shared" si="198"/>
        <v>0</v>
      </c>
      <c r="T68" s="555">
        <f t="shared" si="198"/>
        <v>0</v>
      </c>
      <c r="U68" s="556">
        <f t="shared" si="198"/>
        <v>-1.1000000000000001</v>
      </c>
      <c r="V68" s="555">
        <f t="shared" si="198"/>
        <v>1.1000000000000001</v>
      </c>
      <c r="W68" s="555">
        <f t="shared" si="198"/>
        <v>0</v>
      </c>
      <c r="X68" s="555">
        <f t="shared" si="198"/>
        <v>-13.5</v>
      </c>
      <c r="Y68" s="556">
        <f t="shared" si="198"/>
        <v>-1.4000000000000004</v>
      </c>
      <c r="Z68" s="555">
        <f t="shared" si="198"/>
        <v>14.9</v>
      </c>
      <c r="AA68" s="555">
        <f t="shared" si="198"/>
        <v>0</v>
      </c>
      <c r="AB68" s="555">
        <f t="shared" si="198"/>
        <v>0</v>
      </c>
      <c r="AC68" s="556">
        <f t="shared" si="198"/>
        <v>1</v>
      </c>
      <c r="AD68" s="555">
        <f t="shared" si="198"/>
        <v>0</v>
      </c>
      <c r="AE68" s="555">
        <f t="shared" si="198"/>
        <v>-1</v>
      </c>
      <c r="AF68" s="555">
        <f t="shared" si="198"/>
        <v>5</v>
      </c>
      <c r="AG68" s="556">
        <f t="shared" si="198"/>
        <v>-6</v>
      </c>
      <c r="AH68" s="836">
        <f t="shared" si="198"/>
        <v>3</v>
      </c>
      <c r="AI68" s="555">
        <f t="shared" si="198"/>
        <v>3</v>
      </c>
      <c r="AJ68" s="555">
        <f t="shared" si="198"/>
        <v>38</v>
      </c>
      <c r="AK68" s="556">
        <f t="shared" si="198"/>
        <v>-55</v>
      </c>
      <c r="AL68" s="555">
        <f t="shared" si="198"/>
        <v>-2</v>
      </c>
      <c r="AM68" s="555">
        <f t="shared" si="198"/>
        <v>3</v>
      </c>
      <c r="AN68" s="555">
        <f t="shared" si="198"/>
        <v>8</v>
      </c>
      <c r="AO68" s="556">
        <f t="shared" si="198"/>
        <v>5</v>
      </c>
      <c r="AP68" s="555">
        <f t="shared" si="198"/>
        <v>7</v>
      </c>
      <c r="AQ68" s="555">
        <f t="shared" si="198"/>
        <v>-5</v>
      </c>
      <c r="AR68" s="555">
        <f t="shared" si="198"/>
        <v>18</v>
      </c>
      <c r="AS68" s="556">
        <f t="shared" si="198"/>
        <v>-11</v>
      </c>
      <c r="AT68" s="555">
        <f t="shared" ref="AT68:BA68" si="199">AT56-AS56+AT57-AS57</f>
        <v>28</v>
      </c>
      <c r="AU68" s="555">
        <f t="shared" si="199"/>
        <v>-18</v>
      </c>
      <c r="AV68" s="555">
        <f t="shared" si="199"/>
        <v>-13</v>
      </c>
      <c r="AW68" s="555">
        <f t="shared" si="199"/>
        <v>-13</v>
      </c>
      <c r="AX68" s="836">
        <f t="shared" si="199"/>
        <v>-19</v>
      </c>
      <c r="AY68" s="555">
        <f t="shared" si="199"/>
        <v>10</v>
      </c>
      <c r="AZ68" s="555">
        <f t="shared" si="199"/>
        <v>10</v>
      </c>
      <c r="BA68" s="556">
        <f t="shared" si="199"/>
        <v>-11</v>
      </c>
      <c r="BB68" s="836">
        <f t="shared" ref="BB68:BH68" si="200">BB56-BA56+BB57-BA57</f>
        <v>29</v>
      </c>
      <c r="BC68" s="555">
        <f t="shared" si="200"/>
        <v>-6</v>
      </c>
      <c r="BD68" s="555">
        <f t="shared" si="200"/>
        <v>12</v>
      </c>
      <c r="BE68" s="556">
        <f>BE56-BD56+BE57-BD57</f>
        <v>-55</v>
      </c>
      <c r="BF68" s="836">
        <f>BF56-BE56+BF57-BE57</f>
        <v>16</v>
      </c>
      <c r="BG68" s="555">
        <f t="shared" si="200"/>
        <v>-30</v>
      </c>
      <c r="BH68" s="555">
        <f t="shared" si="200"/>
        <v>45</v>
      </c>
      <c r="BI68" s="556">
        <f t="shared" ref="BI68:BU68" si="201">BI56-BH56+BI57-BH57</f>
        <v>16</v>
      </c>
      <c r="BJ68" s="836">
        <f t="shared" si="201"/>
        <v>-26</v>
      </c>
      <c r="BK68" s="555">
        <f t="shared" si="201"/>
        <v>-18</v>
      </c>
      <c r="BL68" s="555">
        <f t="shared" si="201"/>
        <v>29</v>
      </c>
      <c r="BM68" s="556">
        <f t="shared" si="201"/>
        <v>-17</v>
      </c>
      <c r="BN68" s="836">
        <f t="shared" si="201"/>
        <v>-24</v>
      </c>
      <c r="BO68" s="555">
        <f t="shared" si="201"/>
        <v>36</v>
      </c>
      <c r="BP68" s="555">
        <f t="shared" si="201"/>
        <v>40</v>
      </c>
      <c r="BQ68" s="556">
        <f t="shared" si="201"/>
        <v>71</v>
      </c>
      <c r="BR68" s="836">
        <f t="shared" si="201"/>
        <v>12</v>
      </c>
      <c r="BS68" s="555">
        <f t="shared" si="201"/>
        <v>-312</v>
      </c>
      <c r="BT68" s="555">
        <f t="shared" si="201"/>
        <v>101</v>
      </c>
      <c r="BU68" s="556">
        <f t="shared" si="201"/>
        <v>38</v>
      </c>
      <c r="BV68" s="836">
        <f t="shared" ref="BV68:CC68" si="202">BV56-BU56+BV57-BU57</f>
        <v>0</v>
      </c>
      <c r="BW68" s="555">
        <f t="shared" si="202"/>
        <v>0</v>
      </c>
      <c r="BX68" s="555">
        <f t="shared" si="202"/>
        <v>0</v>
      </c>
      <c r="BY68" s="556">
        <f t="shared" si="202"/>
        <v>0</v>
      </c>
      <c r="BZ68" s="836">
        <f t="shared" si="202"/>
        <v>0</v>
      </c>
      <c r="CA68" s="555">
        <f t="shared" si="202"/>
        <v>0</v>
      </c>
      <c r="CB68" s="555">
        <f t="shared" si="202"/>
        <v>0</v>
      </c>
      <c r="CC68" s="556">
        <f t="shared" si="202"/>
        <v>0</v>
      </c>
      <c r="CD68" s="9"/>
      <c r="CE68" s="555"/>
      <c r="CF68" s="555"/>
      <c r="CG68" s="555">
        <f t="shared" ref="CG68:CV68" si="203">CG56-CF56+CG57-CF57</f>
        <v>-3.7590000000000003</v>
      </c>
      <c r="CH68" s="555">
        <f t="shared" si="203"/>
        <v>9.9999999999999867E-2</v>
      </c>
      <c r="CI68" s="555">
        <f t="shared" si="203"/>
        <v>-13.799999999999999</v>
      </c>
      <c r="CJ68" s="555">
        <f t="shared" si="203"/>
        <v>15.9</v>
      </c>
      <c r="CK68" s="555">
        <f t="shared" si="203"/>
        <v>-2</v>
      </c>
      <c r="CL68" s="555">
        <f t="shared" si="203"/>
        <v>-11</v>
      </c>
      <c r="CM68" s="555">
        <f t="shared" si="203"/>
        <v>14</v>
      </c>
      <c r="CN68" s="555">
        <f t="shared" si="203"/>
        <v>9</v>
      </c>
      <c r="CO68" s="555">
        <f t="shared" si="203"/>
        <v>-16</v>
      </c>
      <c r="CP68" s="555">
        <f>CP56-CO56+CP57-CO57</f>
        <v>-10</v>
      </c>
      <c r="CQ68" s="555">
        <f>CQ56-CP56+CQ57-CP57</f>
        <v>-20</v>
      </c>
      <c r="CR68" s="836">
        <f>CR56-CQ56+CR57-CQ57</f>
        <v>47</v>
      </c>
      <c r="CS68" s="555">
        <f>CS56-CR56+CS57-CR57</f>
        <v>-32</v>
      </c>
      <c r="CT68" s="555">
        <f t="shared" si="203"/>
        <v>123</v>
      </c>
      <c r="CU68" s="555">
        <f t="shared" si="203"/>
        <v>-161</v>
      </c>
      <c r="CV68" s="555">
        <f t="shared" si="203"/>
        <v>0</v>
      </c>
      <c r="CW68" s="555">
        <f t="shared" ref="CW68:DC68" si="204">CW56-CV56+CW57-CV57</f>
        <v>0</v>
      </c>
      <c r="CX68" s="555">
        <f t="shared" si="204"/>
        <v>0</v>
      </c>
      <c r="CY68" s="555">
        <f t="shared" si="204"/>
        <v>0</v>
      </c>
      <c r="CZ68" s="555">
        <f t="shared" si="204"/>
        <v>0</v>
      </c>
      <c r="DA68" s="555">
        <f t="shared" si="204"/>
        <v>0</v>
      </c>
      <c r="DB68" s="555">
        <f t="shared" si="204"/>
        <v>0</v>
      </c>
      <c r="DC68" s="555">
        <f t="shared" si="204"/>
        <v>0</v>
      </c>
      <c r="DD68" s="556"/>
      <c r="DE68" s="24"/>
      <c r="DF68" s="24"/>
      <c r="DG68" s="24"/>
      <c r="DH68" s="24"/>
      <c r="DI68" s="24"/>
      <c r="DJ68" s="24"/>
      <c r="DK68" s="24"/>
      <c r="DL68" s="24"/>
      <c r="DM68" s="24"/>
      <c r="DN68" s="24"/>
      <c r="DO68" s="24"/>
      <c r="DP68" s="24"/>
      <c r="DQ68" s="24"/>
      <c r="DR68" s="24"/>
    </row>
    <row r="69" spans="1:122" hidden="1" outlineLevel="1">
      <c r="A69" s="3"/>
      <c r="B69" s="8"/>
      <c r="C69" s="3" t="s">
        <v>863</v>
      </c>
      <c r="D69" s="3"/>
      <c r="E69" s="9"/>
      <c r="F69" s="555"/>
      <c r="G69" s="555"/>
      <c r="H69" s="555"/>
      <c r="I69" s="556"/>
      <c r="J69" s="555"/>
      <c r="K69" s="555"/>
      <c r="L69" s="555"/>
      <c r="M69" s="556"/>
      <c r="N69" s="555">
        <f>N54+N55-M54-M55</f>
        <v>-25.948999999999955</v>
      </c>
      <c r="O69" s="555">
        <f t="shared" ref="O69:AC69" si="205">O54+O55-N54-N55</f>
        <v>-44.865000000000009</v>
      </c>
      <c r="P69" s="555">
        <f t="shared" si="205"/>
        <v>11.411999999999921</v>
      </c>
      <c r="Q69" s="556">
        <f t="shared" si="205"/>
        <v>25.103000000000065</v>
      </c>
      <c r="R69" s="555">
        <f t="shared" si="205"/>
        <v>10.700000000000045</v>
      </c>
      <c r="S69" s="555">
        <f t="shared" si="205"/>
        <v>4.0999999999999091</v>
      </c>
      <c r="T69" s="555">
        <f t="shared" si="205"/>
        <v>4</v>
      </c>
      <c r="U69" s="556">
        <f t="shared" si="205"/>
        <v>3.4000000000000909</v>
      </c>
      <c r="V69" s="555">
        <f t="shared" si="205"/>
        <v>-14</v>
      </c>
      <c r="W69" s="555">
        <f t="shared" si="205"/>
        <v>-10.100000000000023</v>
      </c>
      <c r="X69" s="555">
        <f t="shared" si="205"/>
        <v>25.5</v>
      </c>
      <c r="Y69" s="556">
        <f t="shared" si="205"/>
        <v>11</v>
      </c>
      <c r="Z69" s="836">
        <f t="shared" si="205"/>
        <v>-5.6000000000000227</v>
      </c>
      <c r="AA69" s="555">
        <f t="shared" si="205"/>
        <v>-1.3999999999999773</v>
      </c>
      <c r="AB69" s="555">
        <f t="shared" si="205"/>
        <v>48.799999999999955</v>
      </c>
      <c r="AC69" s="556">
        <f t="shared" si="205"/>
        <v>22.5</v>
      </c>
      <c r="AD69" s="836">
        <f>AD54+AD55-AC54-AC55</f>
        <v>6.5</v>
      </c>
      <c r="AE69" s="555">
        <f>AE54+AE55-AD54-AD55</f>
        <v>20</v>
      </c>
      <c r="AF69" s="555">
        <f>AF54+AF55-AE54-AE55</f>
        <v>5</v>
      </c>
      <c r="AG69" s="556">
        <f>AG54+AG55-AF54-AF55</f>
        <v>4</v>
      </c>
      <c r="AH69" s="836">
        <f>AH54+AH55-AG54-AG55</f>
        <v>0</v>
      </c>
      <c r="AI69" s="555">
        <f t="shared" ref="AI69:BA69" si="206">AI54+AI55-AH54-AH55-AI70</f>
        <v>7</v>
      </c>
      <c r="AJ69" s="555">
        <f t="shared" si="206"/>
        <v>47</v>
      </c>
      <c r="AK69" s="555">
        <f t="shared" si="206"/>
        <v>85</v>
      </c>
      <c r="AL69" s="836">
        <f t="shared" si="206"/>
        <v>50</v>
      </c>
      <c r="AM69" s="555">
        <f t="shared" si="206"/>
        <v>-11</v>
      </c>
      <c r="AN69" s="555">
        <f t="shared" si="206"/>
        <v>4</v>
      </c>
      <c r="AO69" s="556">
        <f t="shared" si="206"/>
        <v>-17</v>
      </c>
      <c r="AP69" s="555">
        <f t="shared" si="206"/>
        <v>36</v>
      </c>
      <c r="AQ69" s="555">
        <f t="shared" si="206"/>
        <v>44</v>
      </c>
      <c r="AR69" s="555">
        <f t="shared" si="206"/>
        <v>21</v>
      </c>
      <c r="AS69" s="556">
        <f t="shared" si="206"/>
        <v>25</v>
      </c>
      <c r="AT69" s="555">
        <f t="shared" si="206"/>
        <v>66</v>
      </c>
      <c r="AU69" s="555">
        <f t="shared" si="206"/>
        <v>2</v>
      </c>
      <c r="AV69" s="555">
        <f t="shared" si="206"/>
        <v>24</v>
      </c>
      <c r="AW69" s="555">
        <f t="shared" si="206"/>
        <v>27</v>
      </c>
      <c r="AX69" s="836">
        <f t="shared" si="206"/>
        <v>15</v>
      </c>
      <c r="AY69" s="555">
        <f t="shared" si="206"/>
        <v>45</v>
      </c>
      <c r="AZ69" s="555">
        <f t="shared" si="206"/>
        <v>1000</v>
      </c>
      <c r="BA69" s="556">
        <f t="shared" si="206"/>
        <v>677</v>
      </c>
      <c r="BB69" s="836">
        <f t="shared" ref="BB69:BH69" si="207">BB54+BB55-BA54-BA55-BB70</f>
        <v>219</v>
      </c>
      <c r="BC69" s="555">
        <f t="shared" si="207"/>
        <v>146</v>
      </c>
      <c r="BD69" s="555">
        <f t="shared" si="207"/>
        <v>251</v>
      </c>
      <c r="BE69" s="556">
        <f>BE54+BE55-BD54-BD55-BE70</f>
        <v>191</v>
      </c>
      <c r="BF69" s="836">
        <f>BF54+BF55-BE54-BE55-BF70</f>
        <v>167</v>
      </c>
      <c r="BG69" s="555">
        <f t="shared" si="207"/>
        <v>207</v>
      </c>
      <c r="BH69" s="555">
        <f t="shared" si="207"/>
        <v>296</v>
      </c>
      <c r="BI69" s="556">
        <f t="shared" ref="BI69:BU69" si="208">BI54+BI55-BH54-BH55-BI70</f>
        <v>289</v>
      </c>
      <c r="BJ69" s="836">
        <f t="shared" si="208"/>
        <v>177</v>
      </c>
      <c r="BK69" s="555">
        <f t="shared" si="208"/>
        <v>342</v>
      </c>
      <c r="BL69" s="555">
        <f t="shared" si="208"/>
        <v>291</v>
      </c>
      <c r="BM69" s="556">
        <f t="shared" si="208"/>
        <v>257</v>
      </c>
      <c r="BN69" s="836">
        <f t="shared" si="208"/>
        <v>39</v>
      </c>
      <c r="BO69" s="555">
        <f t="shared" si="208"/>
        <v>14</v>
      </c>
      <c r="BP69" s="555">
        <f t="shared" si="208"/>
        <v>33</v>
      </c>
      <c r="BQ69" s="556">
        <f t="shared" si="208"/>
        <v>1975</v>
      </c>
      <c r="BR69" s="836">
        <f t="shared" si="208"/>
        <v>63</v>
      </c>
      <c r="BS69" s="555">
        <f t="shared" si="208"/>
        <v>82</v>
      </c>
      <c r="BT69" s="555">
        <f t="shared" si="208"/>
        <v>-97</v>
      </c>
      <c r="BU69" s="556">
        <f t="shared" si="208"/>
        <v>29</v>
      </c>
      <c r="BV69" s="836">
        <f t="shared" ref="BV69:CC69" si="209">BV54+BV55-BU54-BU55-BV70</f>
        <v>107.13500000000022</v>
      </c>
      <c r="BW69" s="555">
        <f t="shared" si="209"/>
        <v>183.63999999999942</v>
      </c>
      <c r="BX69" s="555">
        <f t="shared" si="209"/>
        <v>91.079603888681049</v>
      </c>
      <c r="BY69" s="556">
        <f t="shared" si="209"/>
        <v>91.170934528999169</v>
      </c>
      <c r="BZ69" s="836">
        <f t="shared" si="209"/>
        <v>94.074329599890916</v>
      </c>
      <c r="CA69" s="555">
        <f t="shared" si="209"/>
        <v>92.582578970441318</v>
      </c>
      <c r="CB69" s="555">
        <f t="shared" si="209"/>
        <v>85.97368053023547</v>
      </c>
      <c r="CC69" s="556">
        <f t="shared" si="209"/>
        <v>81.376943416126778</v>
      </c>
      <c r="CD69" s="9"/>
      <c r="CE69" s="555"/>
      <c r="CF69" s="555"/>
      <c r="CG69" s="555">
        <f>CG54+CG55-CF54-CF55-CG70</f>
        <v>-34.298999999999978</v>
      </c>
      <c r="CH69" s="555">
        <f>CH54+CH55-CG54-CG55-CH70</f>
        <v>38.200000000000045</v>
      </c>
      <c r="CI69" s="555">
        <f t="shared" ref="CI69:CV69" si="210">CI54+CI55-CH54-CH55-CI70</f>
        <v>57.399999999999977</v>
      </c>
      <c r="CJ69" s="555">
        <f t="shared" si="210"/>
        <v>117.79999999999995</v>
      </c>
      <c r="CK69" s="555">
        <f t="shared" si="210"/>
        <v>108.5</v>
      </c>
      <c r="CL69" s="555">
        <f t="shared" si="210"/>
        <v>155</v>
      </c>
      <c r="CM69" s="555">
        <f t="shared" si="210"/>
        <v>26</v>
      </c>
      <c r="CN69" s="555">
        <f t="shared" si="210"/>
        <v>126</v>
      </c>
      <c r="CO69" s="555">
        <f t="shared" si="210"/>
        <v>119</v>
      </c>
      <c r="CP69" s="555">
        <f t="shared" si="210"/>
        <v>1737</v>
      </c>
      <c r="CQ69" s="555">
        <f>CQ54+CQ55-CP54-CP55-CQ70</f>
        <v>807</v>
      </c>
      <c r="CR69" s="836">
        <f>CR54+CR55-CQ54-CQ55-CR70</f>
        <v>959</v>
      </c>
      <c r="CS69" s="555">
        <f>CS54+CS55-CR54-CR55-CS70</f>
        <v>1067</v>
      </c>
      <c r="CT69" s="555">
        <f t="shared" si="210"/>
        <v>2061</v>
      </c>
      <c r="CU69" s="555">
        <f t="shared" si="210"/>
        <v>77</v>
      </c>
      <c r="CV69" s="555">
        <f t="shared" si="210"/>
        <v>473.02553841767985</v>
      </c>
      <c r="CW69" s="555">
        <f t="shared" ref="CW69:DC69" si="211">CW54+CW55-CV54-CV55-CW70</f>
        <v>354.00753251669448</v>
      </c>
      <c r="CX69" s="555">
        <f t="shared" si="211"/>
        <v>379.82319129474581</v>
      </c>
      <c r="CY69" s="555">
        <f t="shared" si="211"/>
        <v>393.59264264481226</v>
      </c>
      <c r="CZ69" s="555">
        <f t="shared" si="211"/>
        <v>408.57421980480922</v>
      </c>
      <c r="DA69" s="555">
        <f t="shared" si="211"/>
        <v>427.5106044383374</v>
      </c>
      <c r="DB69" s="555">
        <f t="shared" si="211"/>
        <v>448.97207018395602</v>
      </c>
      <c r="DC69" s="555">
        <f t="shared" si="211"/>
        <v>473.27816309047648</v>
      </c>
      <c r="DD69" s="556"/>
      <c r="DE69" s="24"/>
      <c r="DF69" s="24"/>
      <c r="DG69" s="24"/>
      <c r="DH69" s="24"/>
      <c r="DI69" s="24"/>
      <c r="DJ69" s="24"/>
      <c r="DK69" s="24"/>
      <c r="DL69" s="24"/>
      <c r="DM69" s="24"/>
      <c r="DN69" s="24"/>
      <c r="DO69" s="24"/>
      <c r="DP69" s="24"/>
      <c r="DQ69" s="24"/>
      <c r="DR69" s="24"/>
    </row>
    <row r="70" spans="1:122" hidden="1" outlineLevel="1">
      <c r="A70" s="3"/>
      <c r="B70" s="8"/>
      <c r="C70" s="3" t="s">
        <v>862</v>
      </c>
      <c r="D70" s="3"/>
      <c r="E70" s="9"/>
      <c r="F70" s="555"/>
      <c r="G70" s="555"/>
      <c r="H70" s="555"/>
      <c r="I70" s="556"/>
      <c r="J70" s="555"/>
      <c r="K70" s="555"/>
      <c r="L70" s="555"/>
      <c r="M70" s="556"/>
      <c r="N70" s="836">
        <f>+CF!N45</f>
        <v>0</v>
      </c>
      <c r="O70" s="555">
        <f>+CF!O45</f>
        <v>0</v>
      </c>
      <c r="P70" s="555">
        <f>+CF!P45</f>
        <v>0</v>
      </c>
      <c r="Q70" s="556">
        <f>+CF!Q45</f>
        <v>0</v>
      </c>
      <c r="R70" s="836">
        <f>+CF!R45</f>
        <v>0</v>
      </c>
      <c r="S70" s="555">
        <f>+CF!S45</f>
        <v>0</v>
      </c>
      <c r="T70" s="555">
        <f>+CF!T45</f>
        <v>0</v>
      </c>
      <c r="U70" s="556">
        <f>+CF!U45</f>
        <v>-16</v>
      </c>
      <c r="V70" s="836">
        <f>+CF!V45</f>
        <v>-15</v>
      </c>
      <c r="W70" s="555">
        <f>+CF!W45</f>
        <v>-8.3000000000000007</v>
      </c>
      <c r="X70" s="555">
        <f>+CF!X45</f>
        <v>0</v>
      </c>
      <c r="Y70" s="556">
        <f>+CF!Y45</f>
        <v>-21.7</v>
      </c>
      <c r="Z70" s="836">
        <f>+CF!Z45</f>
        <v>-14.2</v>
      </c>
      <c r="AA70" s="555">
        <f>+CF!AA45</f>
        <v>-12.100000000000001</v>
      </c>
      <c r="AB70" s="555">
        <f>+CF!AB45</f>
        <v>-17.499999999999996</v>
      </c>
      <c r="AC70" s="556">
        <f>+CF!AC45</f>
        <v>-9.7000000000000028</v>
      </c>
      <c r="AD70" s="836">
        <f>+CF!AD45</f>
        <v>0</v>
      </c>
      <c r="AE70" s="555">
        <f>+CF!AE45</f>
        <v>0</v>
      </c>
      <c r="AF70" s="555">
        <f>+CF!AF45</f>
        <v>-29</v>
      </c>
      <c r="AG70" s="556">
        <f>+CF!AG45</f>
        <v>-44</v>
      </c>
      <c r="AH70" s="836">
        <f>+CF!AH45</f>
        <v>-16</v>
      </c>
      <c r="AI70" s="555">
        <f>+CF!AI45</f>
        <v>0</v>
      </c>
      <c r="AJ70" s="555">
        <f>+CF!AJ45</f>
        <v>-44</v>
      </c>
      <c r="AK70" s="556">
        <f>+CF!AK45</f>
        <v>0</v>
      </c>
      <c r="AL70" s="555">
        <f>+CF!AL45</f>
        <v>-36</v>
      </c>
      <c r="AM70" s="555">
        <f>+CF!AM45</f>
        <v>0</v>
      </c>
      <c r="AN70" s="555">
        <f>+CF!AN45</f>
        <v>0</v>
      </c>
      <c r="AO70" s="556">
        <f>+CF!AO45</f>
        <v>0</v>
      </c>
      <c r="AP70" s="555">
        <f>+CF!AP45</f>
        <v>0</v>
      </c>
      <c r="AQ70" s="555">
        <f>+CF!AQ45</f>
        <v>0</v>
      </c>
      <c r="AR70" s="555">
        <f>+CF!AR45</f>
        <v>0</v>
      </c>
      <c r="AS70" s="556">
        <f>+CF!AS45</f>
        <v>0</v>
      </c>
      <c r="AT70" s="555">
        <f>+CF!AT45</f>
        <v>-50</v>
      </c>
      <c r="AU70" s="555">
        <f>+CF!AU45</f>
        <v>0</v>
      </c>
      <c r="AV70" s="555">
        <f>+CF!AV45</f>
        <v>0</v>
      </c>
      <c r="AW70" s="555">
        <f>+CF!AW45</f>
        <v>0</v>
      </c>
      <c r="AX70" s="836">
        <f>+CF!AX45</f>
        <v>0</v>
      </c>
      <c r="AY70" s="555">
        <f>+CF!AY45</f>
        <v>0</v>
      </c>
      <c r="AZ70" s="555">
        <f>+CF!AZ45</f>
        <v>0</v>
      </c>
      <c r="BA70" s="556">
        <f>+CF!BA45</f>
        <v>-604</v>
      </c>
      <c r="BB70" s="836">
        <f>+CF!BB45</f>
        <v>-218</v>
      </c>
      <c r="BC70" s="555">
        <f>+CF!BC45</f>
        <v>-146</v>
      </c>
      <c r="BD70" s="555">
        <f>+CF!BD45</f>
        <v>-243</v>
      </c>
      <c r="BE70" s="556">
        <f>+CF!BE45</f>
        <v>-235</v>
      </c>
      <c r="BF70" s="836">
        <f>+CF!BF45</f>
        <v>-150</v>
      </c>
      <c r="BG70" s="555">
        <f>+CF!BG45</f>
        <v>-150</v>
      </c>
      <c r="BH70" s="555">
        <f>+CF!BH45</f>
        <v>-244</v>
      </c>
      <c r="BI70" s="556">
        <f>+CF!BI45</f>
        <v>-272</v>
      </c>
      <c r="BJ70" s="836">
        <f>+CF!BJ45</f>
        <v>-223</v>
      </c>
      <c r="BK70" s="555">
        <f>+CF!BK45</f>
        <v>-309</v>
      </c>
      <c r="BL70" s="555">
        <f>+CF!BL45</f>
        <v>-240</v>
      </c>
      <c r="BM70" s="556">
        <f>+CF!BM45</f>
        <v>-198</v>
      </c>
      <c r="BN70" s="836">
        <f>+CF!BN45</f>
        <v>-60</v>
      </c>
      <c r="BO70" s="555">
        <f>+CF!BO45</f>
        <v>0</v>
      </c>
      <c r="BP70" s="555">
        <f>+CF!BP45</f>
        <v>0</v>
      </c>
      <c r="BQ70" s="556">
        <f>+CF!BQ45</f>
        <v>0</v>
      </c>
      <c r="BR70" s="836">
        <f>+CF!BR45</f>
        <v>0</v>
      </c>
      <c r="BS70" s="555">
        <f>+CF!BS45</f>
        <v>0</v>
      </c>
      <c r="BT70" s="555">
        <f>+CF!BT45</f>
        <v>0</v>
      </c>
      <c r="BU70" s="556">
        <f>+CF!BU45</f>
        <v>0</v>
      </c>
      <c r="BV70" s="836">
        <f>+CF!BV45</f>
        <v>0</v>
      </c>
      <c r="BW70" s="555">
        <f>+CF!BW45</f>
        <v>0</v>
      </c>
      <c r="BX70" s="555">
        <f>+CF!BX45</f>
        <v>0</v>
      </c>
      <c r="BY70" s="556">
        <f>+CF!BY45</f>
        <v>0</v>
      </c>
      <c r="BZ70" s="836">
        <f>+CF!BZ45</f>
        <v>0</v>
      </c>
      <c r="CA70" s="555">
        <f>+CF!CA45</f>
        <v>0</v>
      </c>
      <c r="CB70" s="555">
        <f>+CF!CB45</f>
        <v>0</v>
      </c>
      <c r="CC70" s="556">
        <f>+CF!CC45</f>
        <v>0</v>
      </c>
      <c r="CD70" s="9"/>
      <c r="CE70" s="555"/>
      <c r="CF70" s="555"/>
      <c r="CG70" s="555">
        <f>+CF!CG45</f>
        <v>0</v>
      </c>
      <c r="CH70" s="555">
        <f>+CF!CH45</f>
        <v>-16</v>
      </c>
      <c r="CI70" s="555">
        <f>+CF!CI45</f>
        <v>-45</v>
      </c>
      <c r="CJ70" s="555">
        <f>+CF!CJ45</f>
        <v>-53.5</v>
      </c>
      <c r="CK70" s="555">
        <f>+CF!CK45</f>
        <v>-73</v>
      </c>
      <c r="CL70" s="555">
        <f>+CF!CL45</f>
        <v>-60</v>
      </c>
      <c r="CM70" s="555">
        <f>+CF!CM45</f>
        <v>-36</v>
      </c>
      <c r="CN70" s="555">
        <f>+CF!CN45</f>
        <v>0</v>
      </c>
      <c r="CO70" s="555">
        <f>+CF!CO45</f>
        <v>-50</v>
      </c>
      <c r="CP70" s="555">
        <f>+CF!CP45</f>
        <v>-604</v>
      </c>
      <c r="CQ70" s="555">
        <f>+CF!CQ45</f>
        <v>-842</v>
      </c>
      <c r="CR70" s="836">
        <f>+CF!CR45</f>
        <v>-816</v>
      </c>
      <c r="CS70" s="555">
        <f>+CF!CS45</f>
        <v>-970</v>
      </c>
      <c r="CT70" s="555">
        <f>+CF!CT45</f>
        <v>-60</v>
      </c>
      <c r="CU70" s="555">
        <f>+CF!CU45</f>
        <v>0</v>
      </c>
      <c r="CV70" s="555">
        <f>+CF!CV45</f>
        <v>0</v>
      </c>
      <c r="CW70" s="555">
        <f>+CF!CW45</f>
        <v>0</v>
      </c>
      <c r="CX70" s="555">
        <f>+CF!CX45</f>
        <v>0</v>
      </c>
      <c r="CY70" s="555">
        <f>+CF!CY45</f>
        <v>0</v>
      </c>
      <c r="CZ70" s="555">
        <f>+CF!CZ45</f>
        <v>0</v>
      </c>
      <c r="DA70" s="555">
        <f>+CF!DA45</f>
        <v>0</v>
      </c>
      <c r="DB70" s="555">
        <f>+CF!DB45</f>
        <v>0</v>
      </c>
      <c r="DC70" s="555">
        <f>+CF!DC45</f>
        <v>0</v>
      </c>
      <c r="DD70" s="556"/>
      <c r="DE70" s="24"/>
      <c r="DF70" s="24"/>
      <c r="DG70" s="24"/>
      <c r="DH70" s="24"/>
      <c r="DI70" s="24"/>
      <c r="DJ70" s="24"/>
      <c r="DK70" s="24"/>
      <c r="DL70" s="24"/>
      <c r="DM70" s="24"/>
      <c r="DN70" s="24"/>
      <c r="DO70" s="24"/>
      <c r="DP70" s="24"/>
      <c r="DQ70" s="24"/>
      <c r="DR70" s="24"/>
    </row>
    <row r="71" spans="1:122" hidden="1" outlineLevel="1">
      <c r="A71" s="3"/>
      <c r="B71" s="8"/>
      <c r="C71" s="3" t="s">
        <v>676</v>
      </c>
      <c r="D71" s="3"/>
      <c r="E71" s="9"/>
      <c r="F71" s="555"/>
      <c r="G71" s="555"/>
      <c r="H71" s="555"/>
      <c r="I71" s="556"/>
      <c r="J71" s="555"/>
      <c r="K71" s="555"/>
      <c r="L71" s="555"/>
      <c r="M71" s="556"/>
      <c r="N71" s="836">
        <f t="shared" ref="N71:BA71" si="212">N60-SUM(N66:N70)</f>
        <v>30.041721262958461</v>
      </c>
      <c r="O71" s="555">
        <f t="shared" si="212"/>
        <v>52.015598108235395</v>
      </c>
      <c r="P71" s="555">
        <f t="shared" si="212"/>
        <v>-1.197534776115674</v>
      </c>
      <c r="Q71" s="556">
        <f t="shared" si="212"/>
        <v>-0.36036561653361332</v>
      </c>
      <c r="R71" s="836">
        <f t="shared" si="212"/>
        <v>-2.4883450320999145E-2</v>
      </c>
      <c r="S71" s="555">
        <f t="shared" si="212"/>
        <v>-0.30000000000006821</v>
      </c>
      <c r="T71" s="555">
        <f t="shared" si="212"/>
        <v>2.1090232267435454</v>
      </c>
      <c r="U71" s="556">
        <f t="shared" si="212"/>
        <v>0.79981525704261003</v>
      </c>
      <c r="V71" s="836">
        <f t="shared" si="212"/>
        <v>17.399999999999807</v>
      </c>
      <c r="W71" s="555">
        <f t="shared" si="212"/>
        <v>23.174918912029057</v>
      </c>
      <c r="X71" s="555">
        <f t="shared" si="212"/>
        <v>11.704462891526077</v>
      </c>
      <c r="Y71" s="556">
        <f t="shared" si="212"/>
        <v>10.332942885720286</v>
      </c>
      <c r="Z71" s="836">
        <f t="shared" si="212"/>
        <v>10.695047538587801</v>
      </c>
      <c r="AA71" s="555">
        <f t="shared" si="212"/>
        <v>26.532573736273207</v>
      </c>
      <c r="AB71" s="555">
        <f t="shared" si="212"/>
        <v>-0.16998165864220027</v>
      </c>
      <c r="AC71" s="556">
        <f t="shared" si="212"/>
        <v>-4.5206339822659629</v>
      </c>
      <c r="AD71" s="836">
        <f t="shared" si="212"/>
        <v>5.3011665638784962</v>
      </c>
      <c r="AE71" s="555">
        <f t="shared" si="212"/>
        <v>2.0299885046431427</v>
      </c>
      <c r="AF71" s="555">
        <f t="shared" si="212"/>
        <v>6.9702265753539905</v>
      </c>
      <c r="AG71" s="556">
        <f t="shared" si="212"/>
        <v>-8.7077743125046254</v>
      </c>
      <c r="AH71" s="836">
        <f t="shared" si="212"/>
        <v>15.011427486957018</v>
      </c>
      <c r="AI71" s="555">
        <f t="shared" si="212"/>
        <v>24.696391512323316</v>
      </c>
      <c r="AJ71" s="555">
        <f t="shared" si="212"/>
        <v>-30.60684184863976</v>
      </c>
      <c r="AK71" s="556">
        <f t="shared" si="212"/>
        <v>35.935080274821303</v>
      </c>
      <c r="AL71" s="555">
        <f t="shared" si="212"/>
        <v>-31.989760370781369</v>
      </c>
      <c r="AM71" s="555">
        <f t="shared" si="212"/>
        <v>28.212274743650141</v>
      </c>
      <c r="AN71" s="555">
        <f t="shared" si="212"/>
        <v>9.1079930649084417</v>
      </c>
      <c r="AO71" s="556">
        <f t="shared" si="212"/>
        <v>15.813428056157591</v>
      </c>
      <c r="AP71" s="555">
        <f t="shared" si="212"/>
        <v>-0.94885115999977643</v>
      </c>
      <c r="AQ71" s="555">
        <f t="shared" si="212"/>
        <v>-0.94007525000006353</v>
      </c>
      <c r="AR71" s="555">
        <f t="shared" si="212"/>
        <v>0.16074850000040897</v>
      </c>
      <c r="AS71" s="556">
        <f t="shared" si="212"/>
        <v>-2.7653396984887877</v>
      </c>
      <c r="AT71" s="555">
        <f t="shared" si="212"/>
        <v>-48.971328842999355</v>
      </c>
      <c r="AU71" s="555">
        <f t="shared" si="212"/>
        <v>38.417832275000364</v>
      </c>
      <c r="AV71" s="555">
        <f t="shared" si="212"/>
        <v>-5.3121782699236064E-2</v>
      </c>
      <c r="AW71" s="555">
        <f t="shared" si="212"/>
        <v>-1.3139337471875479</v>
      </c>
      <c r="AX71" s="836">
        <f t="shared" si="212"/>
        <v>-0.4346140648040091</v>
      </c>
      <c r="AY71" s="555">
        <f t="shared" si="212"/>
        <v>-0.37867133650070173</v>
      </c>
      <c r="AZ71" s="555">
        <f t="shared" si="212"/>
        <v>-0.17196134369078209</v>
      </c>
      <c r="BA71" s="556">
        <f t="shared" si="212"/>
        <v>-554.10029102005683</v>
      </c>
      <c r="BB71" s="836">
        <f t="shared" ref="BB71:BH71" si="213">BB60-SUM(BB66:BB70)</f>
        <v>-180.89999999999964</v>
      </c>
      <c r="BC71" s="555">
        <f t="shared" si="213"/>
        <v>-119.05550000000039</v>
      </c>
      <c r="BD71" s="555">
        <f t="shared" si="213"/>
        <v>-234.72000000000116</v>
      </c>
      <c r="BE71" s="556">
        <f>BE60-SUM(BE66:BE70)</f>
        <v>-166.23799999999937</v>
      </c>
      <c r="BF71" s="836">
        <f>BF60-SUM(BF66:BF70)</f>
        <v>-168.07020000000011</v>
      </c>
      <c r="BG71" s="555">
        <f t="shared" si="213"/>
        <v>-130.82400000000052</v>
      </c>
      <c r="BH71" s="555">
        <f t="shared" si="213"/>
        <v>-283.00799999999981</v>
      </c>
      <c r="BI71" s="556">
        <f t="shared" ref="BI71:BP71" si="214">BI60-SUM(BI66:BI70)</f>
        <v>-276.30999999999949</v>
      </c>
      <c r="BJ71" s="836">
        <f t="shared" si="214"/>
        <v>-234.19399999999951</v>
      </c>
      <c r="BK71" s="555">
        <f t="shared" si="214"/>
        <v>-342.90400000000045</v>
      </c>
      <c r="BL71" s="555">
        <f t="shared" si="214"/>
        <v>-310.89600000000064</v>
      </c>
      <c r="BM71" s="556">
        <f t="shared" si="214"/>
        <v>-262.48250000000007</v>
      </c>
      <c r="BN71" s="836">
        <f t="shared" si="214"/>
        <v>-121.22500000000036</v>
      </c>
      <c r="BO71" s="555">
        <f t="shared" si="214"/>
        <v>-70.212499999999636</v>
      </c>
      <c r="BP71" s="555">
        <f t="shared" si="214"/>
        <v>-89.260000000000218</v>
      </c>
      <c r="BQ71" s="556">
        <f>BQ60-SUM(BQ66:BQ70)</f>
        <v>-142.82999999999993</v>
      </c>
      <c r="BR71" s="836">
        <f t="shared" ref="BR71:BY71" si="215">BR60-SUM(BR66:BR70)</f>
        <v>-78.556000000000495</v>
      </c>
      <c r="BS71" s="555">
        <f>BS60-SUM(BS66:BS70)</f>
        <v>-47.852999999999156</v>
      </c>
      <c r="BT71" s="555">
        <f>BT60-SUM(BT66:BT70)</f>
        <v>46.923999999999069</v>
      </c>
      <c r="BU71" s="556">
        <f>BU60-SUM(BU66:BU70)</f>
        <v>39.923000000000684</v>
      </c>
      <c r="BV71" s="836">
        <f t="shared" si="215"/>
        <v>-147</v>
      </c>
      <c r="BW71" s="555">
        <f t="shared" si="215"/>
        <v>-148</v>
      </c>
      <c r="BX71" s="555">
        <f t="shared" si="215"/>
        <v>-150.36343349999879</v>
      </c>
      <c r="BY71" s="556">
        <f t="shared" si="215"/>
        <v>-150.72231683400241</v>
      </c>
      <c r="BZ71" s="836">
        <f>BZ60-SUM(BZ66:BZ70)</f>
        <v>-150.72231683400059</v>
      </c>
      <c r="CA71" s="555">
        <f>CA60-SUM(CA66:CA70)</f>
        <v>-150.97231683400059</v>
      </c>
      <c r="CB71" s="555">
        <f>CB60-SUM(CB66:CB70)</f>
        <v>-151.22231683400241</v>
      </c>
      <c r="CC71" s="556">
        <f>CC60-SUM(CC66:CC70)</f>
        <v>-153.147217808606</v>
      </c>
      <c r="CD71" s="9"/>
      <c r="CE71" s="555"/>
      <c r="CF71" s="555"/>
      <c r="CG71" s="555">
        <f t="shared" ref="CG71:CT71" si="216">CG60-SUM(CG66:CG70)</f>
        <v>80.499418978544043</v>
      </c>
      <c r="CH71" s="555">
        <f t="shared" si="216"/>
        <v>-13.416044966534344</v>
      </c>
      <c r="CI71" s="555">
        <f t="shared" si="216"/>
        <v>17.612324689275397</v>
      </c>
      <c r="CJ71" s="555">
        <f t="shared" si="216"/>
        <v>-20.962994366047496</v>
      </c>
      <c r="CK71" s="555">
        <f t="shared" si="216"/>
        <v>-67.406392668628769</v>
      </c>
      <c r="CL71" s="555">
        <f t="shared" si="216"/>
        <v>29.036057425461877</v>
      </c>
      <c r="CM71" s="555">
        <f t="shared" si="216"/>
        <v>21.143935493933895</v>
      </c>
      <c r="CN71" s="555">
        <f t="shared" si="216"/>
        <v>-4.4935176084882187</v>
      </c>
      <c r="CO71" s="555">
        <f t="shared" si="216"/>
        <v>-11.920552097886684</v>
      </c>
      <c r="CP71" s="555">
        <f t="shared" si="216"/>
        <v>-555.08553776505141</v>
      </c>
      <c r="CQ71" s="555">
        <f>CQ60-SUM(CQ66:CQ70)</f>
        <v>-700.91350000000057</v>
      </c>
      <c r="CR71" s="836">
        <f>CR60-SUM(CR66:CR70)</f>
        <v>-858.21219999999994</v>
      </c>
      <c r="CS71" s="555">
        <f>CS60-SUM(CS66:CS70)</f>
        <v>-1150.4765000000007</v>
      </c>
      <c r="CT71" s="555">
        <f t="shared" si="216"/>
        <v>-423.52750000000015</v>
      </c>
      <c r="CU71" s="555">
        <f t="shared" ref="CU71:DA71" si="217">CU60-SUM(CU66:CU70)</f>
        <v>-39.561999999999898</v>
      </c>
      <c r="CV71" s="555">
        <f t="shared" si="217"/>
        <v>-596.0857503340012</v>
      </c>
      <c r="CW71" s="555">
        <f t="shared" si="217"/>
        <v>-606.06416831060596</v>
      </c>
      <c r="CX71" s="555">
        <f t="shared" si="217"/>
        <v>-625.03104737316607</v>
      </c>
      <c r="CY71" s="555">
        <f t="shared" si="217"/>
        <v>-638.80140689180553</v>
      </c>
      <c r="CZ71" s="555">
        <f t="shared" si="217"/>
        <v>-653.67244876268524</v>
      </c>
      <c r="DA71" s="555">
        <f t="shared" si="217"/>
        <v>-669.47362873780003</v>
      </c>
      <c r="DB71" s="555">
        <f>DB60-SUM(DB66:DB70)</f>
        <v>-685.22787166857233</v>
      </c>
      <c r="DC71" s="555">
        <f>DC60-SUM(DC66:DC70)</f>
        <v>-701.00712830664634</v>
      </c>
      <c r="DD71" s="556"/>
      <c r="DE71" s="24"/>
      <c r="DF71" s="24"/>
      <c r="DG71" s="24"/>
      <c r="DH71" s="24"/>
      <c r="DI71" s="24"/>
      <c r="DJ71" s="24"/>
      <c r="DK71" s="24"/>
      <c r="DL71" s="24"/>
      <c r="DM71" s="24"/>
      <c r="DN71" s="24"/>
      <c r="DO71" s="24"/>
      <c r="DP71" s="24"/>
      <c r="DQ71" s="24"/>
      <c r="DR71" s="24"/>
    </row>
    <row r="72" spans="1:122" hidden="1" outlineLevel="1">
      <c r="A72" s="4"/>
      <c r="B72" s="70"/>
      <c r="C72" s="4" t="s">
        <v>587</v>
      </c>
      <c r="D72" s="4"/>
      <c r="E72" s="109"/>
      <c r="F72" s="49"/>
      <c r="G72" s="49"/>
      <c r="H72" s="49"/>
      <c r="I72" s="50"/>
      <c r="J72" s="49"/>
      <c r="K72" s="49"/>
      <c r="L72" s="49"/>
      <c r="M72" s="50">
        <f>M60</f>
        <v>102.86199999999994</v>
      </c>
      <c r="N72" s="49">
        <f t="shared" ref="N72:V72" si="218">SUM(N66:N71)</f>
        <v>127.85100000000006</v>
      </c>
      <c r="O72" s="49">
        <f t="shared" si="218"/>
        <v>209.97000000000008</v>
      </c>
      <c r="P72" s="49">
        <f t="shared" si="218"/>
        <v>276.084</v>
      </c>
      <c r="Q72" s="50">
        <f t="shared" si="218"/>
        <v>327.39999999999998</v>
      </c>
      <c r="R72" s="49">
        <f t="shared" si="218"/>
        <v>344.30000000000007</v>
      </c>
      <c r="S72" s="49">
        <f t="shared" si="218"/>
        <v>416.9</v>
      </c>
      <c r="T72" s="49">
        <f t="shared" si="218"/>
        <v>470.9</v>
      </c>
      <c r="U72" s="50">
        <f t="shared" si="218"/>
        <v>487.60000000000019</v>
      </c>
      <c r="V72" s="49">
        <f t="shared" si="218"/>
        <v>507.50000000000006</v>
      </c>
      <c r="W72" s="49">
        <f t="shared" ref="W72:AS72" si="219">SUM(W66:W71)</f>
        <v>568.30000000000007</v>
      </c>
      <c r="X72" s="49">
        <f t="shared" si="219"/>
        <v>662.8</v>
      </c>
      <c r="Y72" s="50">
        <f t="shared" si="219"/>
        <v>702.1</v>
      </c>
      <c r="Z72" s="49">
        <f t="shared" si="219"/>
        <v>776.69999999999993</v>
      </c>
      <c r="AA72" s="49">
        <f t="shared" si="219"/>
        <v>894.00000000000011</v>
      </c>
      <c r="AB72" s="49">
        <f t="shared" si="219"/>
        <v>1028</v>
      </c>
      <c r="AC72" s="50">
        <f t="shared" si="219"/>
        <v>1157.2</v>
      </c>
      <c r="AD72" s="49">
        <f t="shared" si="219"/>
        <v>1272</v>
      </c>
      <c r="AE72" s="49">
        <f>SUM(AE66:AE71)</f>
        <v>1425</v>
      </c>
      <c r="AF72" s="49">
        <f t="shared" si="219"/>
        <v>1536</v>
      </c>
      <c r="AG72" s="50">
        <f t="shared" si="219"/>
        <v>1716</v>
      </c>
      <c r="AH72" s="49">
        <f t="shared" si="219"/>
        <v>1787</v>
      </c>
      <c r="AI72" s="49">
        <f t="shared" si="219"/>
        <v>2127</v>
      </c>
      <c r="AJ72" s="49">
        <f>SUM(AJ66:AJ71)</f>
        <v>2417</v>
      </c>
      <c r="AK72" s="50">
        <f t="shared" si="219"/>
        <v>2696</v>
      </c>
      <c r="AL72" s="49">
        <f t="shared" si="219"/>
        <v>2887</v>
      </c>
      <c r="AM72" s="49">
        <f t="shared" si="219"/>
        <v>2921</v>
      </c>
      <c r="AN72" s="49">
        <f t="shared" si="219"/>
        <v>2992</v>
      </c>
      <c r="AO72" s="50">
        <f t="shared" si="219"/>
        <v>3192</v>
      </c>
      <c r="AP72" s="49">
        <f t="shared" si="219"/>
        <v>3523</v>
      </c>
      <c r="AQ72" s="49">
        <f t="shared" si="219"/>
        <v>3991</v>
      </c>
      <c r="AR72" s="49">
        <f t="shared" si="219"/>
        <v>4431</v>
      </c>
      <c r="AS72" s="50">
        <f t="shared" si="219"/>
        <v>4709</v>
      </c>
      <c r="AT72" s="49">
        <f t="shared" ref="AT72:BA72" si="220">SUM(AT66:AT71)</f>
        <v>4911</v>
      </c>
      <c r="AU72" s="49">
        <f t="shared" si="220"/>
        <v>5159</v>
      </c>
      <c r="AV72" s="49">
        <f t="shared" si="220"/>
        <v>5316</v>
      </c>
      <c r="AW72" s="49">
        <f t="shared" si="220"/>
        <v>5488</v>
      </c>
      <c r="AX72" s="48">
        <f t="shared" si="220"/>
        <v>5723</v>
      </c>
      <c r="AY72" s="49">
        <f t="shared" si="220"/>
        <v>5923</v>
      </c>
      <c r="AZ72" s="49">
        <f t="shared" si="220"/>
        <v>7416</v>
      </c>
      <c r="BA72" s="50">
        <f t="shared" si="220"/>
        <v>7669</v>
      </c>
      <c r="BB72" s="48">
        <f t="shared" ref="BB72:BH72" si="221">SUM(BB66:BB71)</f>
        <v>8037</v>
      </c>
      <c r="BC72" s="49">
        <f t="shared" si="221"/>
        <v>8247</v>
      </c>
      <c r="BD72" s="49">
        <f t="shared" si="221"/>
        <v>8423</v>
      </c>
      <c r="BE72" s="50">
        <f>SUM(BE66:BE71)</f>
        <v>7893</v>
      </c>
      <c r="BF72" s="48">
        <f>SUM(BF66:BF71)</f>
        <v>8253</v>
      </c>
      <c r="BG72" s="49">
        <f t="shared" si="221"/>
        <v>8579</v>
      </c>
      <c r="BH72" s="49">
        <f t="shared" si="221"/>
        <v>8768</v>
      </c>
      <c r="BI72" s="50">
        <f t="shared" ref="BI72:BP72" si="222">SUM(BI66:BI71)</f>
        <v>8842</v>
      </c>
      <c r="BJ72" s="48">
        <f t="shared" si="222"/>
        <v>8963</v>
      </c>
      <c r="BK72" s="49">
        <f t="shared" si="222"/>
        <v>9082</v>
      </c>
      <c r="BL72" s="49">
        <f t="shared" si="222"/>
        <v>9226</v>
      </c>
      <c r="BM72" s="50">
        <f t="shared" si="222"/>
        <v>9219</v>
      </c>
      <c r="BN72" s="48">
        <f t="shared" si="222"/>
        <v>9336</v>
      </c>
      <c r="BO72" s="49">
        <f t="shared" si="222"/>
        <v>9557</v>
      </c>
      <c r="BP72" s="49">
        <f t="shared" si="222"/>
        <v>9609</v>
      </c>
      <c r="BQ72" s="50">
        <f>SUM(BQ66:BQ71)</f>
        <v>11145</v>
      </c>
      <c r="BR72" s="48">
        <f t="shared" ref="BR72:BY72" si="223">SUM(BR66:BR71)</f>
        <v>10775</v>
      </c>
      <c r="BS72" s="49">
        <f>SUM(BS66:BS71)</f>
        <v>10732</v>
      </c>
      <c r="BT72" s="49">
        <f>SUM(BT66:BT71)</f>
        <v>11031</v>
      </c>
      <c r="BU72" s="50">
        <f>SUM(BU66:BU71)</f>
        <v>11418</v>
      </c>
      <c r="BV72" s="48">
        <f t="shared" si="223"/>
        <v>12059</v>
      </c>
      <c r="BW72" s="49">
        <f t="shared" si="223"/>
        <v>11272</v>
      </c>
      <c r="BX72" s="49">
        <f t="shared" si="223"/>
        <v>11783.55803675768</v>
      </c>
      <c r="BY72" s="50">
        <f t="shared" si="223"/>
        <v>12207.540065126523</v>
      </c>
      <c r="BZ72" s="48">
        <f>SUM(BZ66:BZ71)</f>
        <v>12789.083581556406</v>
      </c>
      <c r="CA72" s="49">
        <f>SUM(CA66:CA71)</f>
        <v>13292.516389843202</v>
      </c>
      <c r="CB72" s="49">
        <f>SUM(CB66:CB71)</f>
        <v>13625.461795129948</v>
      </c>
      <c r="CC72" s="50">
        <f>SUM(CC66:CC71)</f>
        <v>13900.829650857127</v>
      </c>
      <c r="CD72" s="109"/>
      <c r="CE72" s="49"/>
      <c r="CF72" s="49">
        <f>CF60</f>
        <v>102.86199999999994</v>
      </c>
      <c r="CG72" s="49">
        <f t="shared" ref="CG72:CM72" si="224">SUM(CG66:CG71)</f>
        <v>327.39999999999998</v>
      </c>
      <c r="CH72" s="49">
        <f t="shared" si="224"/>
        <v>487.60000000000019</v>
      </c>
      <c r="CI72" s="49">
        <f t="shared" si="224"/>
        <v>702.1</v>
      </c>
      <c r="CJ72" s="49">
        <f t="shared" si="224"/>
        <v>1157.2</v>
      </c>
      <c r="CK72" s="49">
        <f t="shared" si="224"/>
        <v>1716</v>
      </c>
      <c r="CL72" s="49">
        <f t="shared" si="224"/>
        <v>2696</v>
      </c>
      <c r="CM72" s="49">
        <f t="shared" si="224"/>
        <v>3192</v>
      </c>
      <c r="CN72" s="49">
        <f t="shared" ref="CN72:CU72" si="225">SUM(CN66:CN71)</f>
        <v>4709</v>
      </c>
      <c r="CO72" s="49">
        <f t="shared" si="225"/>
        <v>5488</v>
      </c>
      <c r="CP72" s="49">
        <f t="shared" si="225"/>
        <v>7669</v>
      </c>
      <c r="CQ72" s="49">
        <f t="shared" si="225"/>
        <v>7893</v>
      </c>
      <c r="CR72" s="48">
        <f t="shared" si="225"/>
        <v>8842</v>
      </c>
      <c r="CS72" s="49">
        <f t="shared" si="225"/>
        <v>9219</v>
      </c>
      <c r="CT72" s="49">
        <f t="shared" si="225"/>
        <v>11145</v>
      </c>
      <c r="CU72" s="49">
        <f t="shared" si="225"/>
        <v>11418</v>
      </c>
      <c r="CV72" s="49">
        <f t="shared" ref="CV72:DA72" si="226">SUM(CV66:CV71)</f>
        <v>12207.540065126523</v>
      </c>
      <c r="CW72" s="49">
        <f t="shared" si="226"/>
        <v>13900.829650857127</v>
      </c>
      <c r="CX72" s="49">
        <f t="shared" si="226"/>
        <v>15930.823888843355</v>
      </c>
      <c r="CY72" s="49">
        <f t="shared" si="226"/>
        <v>18106.91148793199</v>
      </c>
      <c r="CZ72" s="49">
        <f t="shared" si="226"/>
        <v>20510.423681249369</v>
      </c>
      <c r="DA72" s="49">
        <f t="shared" si="226"/>
        <v>22938.794694998938</v>
      </c>
      <c r="DB72" s="49">
        <f>SUM(DB66:DB71)</f>
        <v>25583.852078883039</v>
      </c>
      <c r="DC72" s="49">
        <f>SUM(DC66:DC71)</f>
        <v>28473.859664722469</v>
      </c>
      <c r="DD72" s="50"/>
      <c r="DE72" s="31"/>
      <c r="DF72" s="31"/>
      <c r="DG72" s="31"/>
      <c r="DH72" s="31"/>
      <c r="DI72" s="31"/>
      <c r="DJ72" s="31"/>
      <c r="DK72" s="31"/>
      <c r="DL72" s="31"/>
      <c r="DM72" s="31"/>
      <c r="DN72" s="31"/>
      <c r="DO72" s="31"/>
      <c r="DP72" s="31"/>
      <c r="DQ72" s="31"/>
      <c r="DR72" s="31"/>
    </row>
    <row r="73" spans="1:122" hidden="1" outlineLevel="1">
      <c r="A73" s="558"/>
      <c r="B73" s="557" t="s">
        <v>295</v>
      </c>
      <c r="C73" s="558"/>
      <c r="D73" s="558"/>
      <c r="E73" s="709"/>
      <c r="F73" s="312"/>
      <c r="G73" s="312"/>
      <c r="H73" s="312"/>
      <c r="I73" s="559"/>
      <c r="J73" s="312"/>
      <c r="K73" s="312"/>
      <c r="L73" s="312"/>
      <c r="M73" s="559">
        <f t="shared" ref="M73:BA73" si="227">M60-M72</f>
        <v>0</v>
      </c>
      <c r="N73" s="312">
        <f t="shared" si="227"/>
        <v>0</v>
      </c>
      <c r="O73" s="312">
        <f t="shared" si="227"/>
        <v>0</v>
      </c>
      <c r="P73" s="312">
        <f t="shared" si="227"/>
        <v>0</v>
      </c>
      <c r="Q73" s="559">
        <f t="shared" si="227"/>
        <v>0</v>
      </c>
      <c r="R73" s="312">
        <f t="shared" si="227"/>
        <v>0</v>
      </c>
      <c r="S73" s="312">
        <f t="shared" si="227"/>
        <v>0</v>
      </c>
      <c r="T73" s="312">
        <f t="shared" si="227"/>
        <v>0</v>
      </c>
      <c r="U73" s="559">
        <f t="shared" si="227"/>
        <v>0</v>
      </c>
      <c r="V73" s="312">
        <f t="shared" si="227"/>
        <v>0</v>
      </c>
      <c r="W73" s="312">
        <f t="shared" si="227"/>
        <v>0</v>
      </c>
      <c r="X73" s="312">
        <f t="shared" si="227"/>
        <v>0</v>
      </c>
      <c r="Y73" s="559">
        <f t="shared" si="227"/>
        <v>0</v>
      </c>
      <c r="Z73" s="312">
        <f t="shared" si="227"/>
        <v>0</v>
      </c>
      <c r="AA73" s="312">
        <f t="shared" si="227"/>
        <v>0</v>
      </c>
      <c r="AB73" s="312">
        <f t="shared" si="227"/>
        <v>0</v>
      </c>
      <c r="AC73" s="559">
        <f t="shared" si="227"/>
        <v>0</v>
      </c>
      <c r="AD73" s="312">
        <f t="shared" si="227"/>
        <v>0</v>
      </c>
      <c r="AE73" s="312">
        <f t="shared" si="227"/>
        <v>0</v>
      </c>
      <c r="AF73" s="312">
        <f t="shared" si="227"/>
        <v>0</v>
      </c>
      <c r="AG73" s="559">
        <f t="shared" si="227"/>
        <v>0</v>
      </c>
      <c r="AH73" s="312">
        <f t="shared" si="227"/>
        <v>0</v>
      </c>
      <c r="AI73" s="312">
        <f t="shared" si="227"/>
        <v>0</v>
      </c>
      <c r="AJ73" s="312">
        <f t="shared" si="227"/>
        <v>0</v>
      </c>
      <c r="AK73" s="559">
        <f t="shared" si="227"/>
        <v>0</v>
      </c>
      <c r="AL73" s="312">
        <f t="shared" si="227"/>
        <v>0</v>
      </c>
      <c r="AM73" s="312">
        <f t="shared" si="227"/>
        <v>0</v>
      </c>
      <c r="AN73" s="312">
        <f t="shared" si="227"/>
        <v>0</v>
      </c>
      <c r="AO73" s="559">
        <f t="shared" si="227"/>
        <v>0</v>
      </c>
      <c r="AP73" s="312">
        <f t="shared" si="227"/>
        <v>0</v>
      </c>
      <c r="AQ73" s="312">
        <f t="shared" si="227"/>
        <v>0</v>
      </c>
      <c r="AR73" s="312">
        <f t="shared" si="227"/>
        <v>0</v>
      </c>
      <c r="AS73" s="559">
        <f t="shared" si="227"/>
        <v>0</v>
      </c>
      <c r="AT73" s="312">
        <f t="shared" si="227"/>
        <v>0</v>
      </c>
      <c r="AU73" s="312">
        <f t="shared" si="227"/>
        <v>0</v>
      </c>
      <c r="AV73" s="312">
        <f t="shared" si="227"/>
        <v>0</v>
      </c>
      <c r="AW73" s="312">
        <f t="shared" si="227"/>
        <v>0</v>
      </c>
      <c r="AX73" s="967">
        <f t="shared" si="227"/>
        <v>0</v>
      </c>
      <c r="AY73" s="312">
        <f t="shared" si="227"/>
        <v>0</v>
      </c>
      <c r="AZ73" s="312">
        <f t="shared" si="227"/>
        <v>0</v>
      </c>
      <c r="BA73" s="559">
        <f t="shared" si="227"/>
        <v>0</v>
      </c>
      <c r="BB73" s="967">
        <f t="shared" ref="BB73:BH73" si="228">BB60-BB72</f>
        <v>0</v>
      </c>
      <c r="BC73" s="312">
        <f t="shared" si="228"/>
        <v>0</v>
      </c>
      <c r="BD73" s="312">
        <f t="shared" si="228"/>
        <v>0</v>
      </c>
      <c r="BE73" s="559">
        <f t="shared" si="228"/>
        <v>0</v>
      </c>
      <c r="BF73" s="967">
        <f t="shared" si="228"/>
        <v>0</v>
      </c>
      <c r="BG73" s="312">
        <f t="shared" si="228"/>
        <v>0</v>
      </c>
      <c r="BH73" s="312">
        <f t="shared" si="228"/>
        <v>0</v>
      </c>
      <c r="BI73" s="559">
        <f>BI60-BI72</f>
        <v>0</v>
      </c>
      <c r="BJ73" s="967">
        <f t="shared" ref="BJ73:BO73" si="229">BJ60-BJ72</f>
        <v>0</v>
      </c>
      <c r="BK73" s="312">
        <f t="shared" si="229"/>
        <v>0</v>
      </c>
      <c r="BL73" s="312">
        <f t="shared" si="229"/>
        <v>0</v>
      </c>
      <c r="BM73" s="559">
        <f>BM60-BM72</f>
        <v>0</v>
      </c>
      <c r="BN73" s="967">
        <f>BN60-BN72</f>
        <v>0</v>
      </c>
      <c r="BO73" s="312">
        <f t="shared" si="229"/>
        <v>0</v>
      </c>
      <c r="BP73" s="312">
        <f>BP60-BP72</f>
        <v>0</v>
      </c>
      <c r="BQ73" s="559">
        <f>BQ60-BQ72</f>
        <v>0</v>
      </c>
      <c r="BR73" s="967">
        <f t="shared" ref="BR73:BY73" si="230">BR60-BR72</f>
        <v>0</v>
      </c>
      <c r="BS73" s="312">
        <f t="shared" si="230"/>
        <v>0</v>
      </c>
      <c r="BT73" s="312">
        <f>BT60-BT72</f>
        <v>0</v>
      </c>
      <c r="BU73" s="559">
        <f>BU60-BU72</f>
        <v>0</v>
      </c>
      <c r="BV73" s="967">
        <f t="shared" si="230"/>
        <v>0</v>
      </c>
      <c r="BW73" s="312">
        <f t="shared" si="230"/>
        <v>0</v>
      </c>
      <c r="BX73" s="312">
        <f t="shared" si="230"/>
        <v>0</v>
      </c>
      <c r="BY73" s="559">
        <f t="shared" si="230"/>
        <v>0</v>
      </c>
      <c r="BZ73" s="967">
        <f>BZ60-BZ72</f>
        <v>0</v>
      </c>
      <c r="CA73" s="312">
        <f>CA60-CA72</f>
        <v>0</v>
      </c>
      <c r="CB73" s="312">
        <f>CB60-CB72</f>
        <v>0</v>
      </c>
      <c r="CC73" s="559">
        <f>CC60-CC72</f>
        <v>0</v>
      </c>
      <c r="CD73" s="709"/>
      <c r="CE73" s="312"/>
      <c r="CF73" s="312">
        <f t="shared" ref="CF73:CT73" si="231">CF60-CF72</f>
        <v>0</v>
      </c>
      <c r="CG73" s="312">
        <f t="shared" si="231"/>
        <v>0</v>
      </c>
      <c r="CH73" s="312">
        <f t="shared" si="231"/>
        <v>0</v>
      </c>
      <c r="CI73" s="312">
        <f t="shared" si="231"/>
        <v>0</v>
      </c>
      <c r="CJ73" s="312">
        <f t="shared" si="231"/>
        <v>0</v>
      </c>
      <c r="CK73" s="312">
        <f t="shared" si="231"/>
        <v>0</v>
      </c>
      <c r="CL73" s="312">
        <f t="shared" si="231"/>
        <v>0</v>
      </c>
      <c r="CM73" s="312">
        <f t="shared" si="231"/>
        <v>0</v>
      </c>
      <c r="CN73" s="312">
        <f t="shared" si="231"/>
        <v>0</v>
      </c>
      <c r="CO73" s="312">
        <f t="shared" si="231"/>
        <v>0</v>
      </c>
      <c r="CP73" s="312">
        <f t="shared" si="231"/>
        <v>0</v>
      </c>
      <c r="CQ73" s="312">
        <f>CQ60-CQ72</f>
        <v>0</v>
      </c>
      <c r="CR73" s="967">
        <f>CR60-CR72</f>
        <v>0</v>
      </c>
      <c r="CS73" s="312">
        <f t="shared" si="231"/>
        <v>0</v>
      </c>
      <c r="CT73" s="312">
        <f t="shared" si="231"/>
        <v>0</v>
      </c>
      <c r="CU73" s="312">
        <f t="shared" ref="CU73:DA73" si="232">CU60-CU72</f>
        <v>0</v>
      </c>
      <c r="CV73" s="312">
        <f t="shared" si="232"/>
        <v>0</v>
      </c>
      <c r="CW73" s="312">
        <f t="shared" si="232"/>
        <v>0</v>
      </c>
      <c r="CX73" s="312">
        <f t="shared" si="232"/>
        <v>0</v>
      </c>
      <c r="CY73" s="312">
        <f t="shared" si="232"/>
        <v>0</v>
      </c>
      <c r="CZ73" s="312">
        <f t="shared" si="232"/>
        <v>0</v>
      </c>
      <c r="DA73" s="312">
        <f t="shared" si="232"/>
        <v>0</v>
      </c>
      <c r="DB73" s="312">
        <f>DB60-DB72</f>
        <v>0</v>
      </c>
      <c r="DC73" s="312">
        <f>DC60-DC72</f>
        <v>0</v>
      </c>
      <c r="DD73" s="559"/>
      <c r="DE73" s="135"/>
      <c r="DF73" s="135"/>
      <c r="DG73" s="135"/>
      <c r="DH73" s="135"/>
      <c r="DI73" s="135"/>
      <c r="DJ73" s="135"/>
      <c r="DK73" s="135"/>
      <c r="DL73" s="135"/>
      <c r="DM73" s="135"/>
      <c r="DN73" s="135"/>
      <c r="DO73" s="135"/>
      <c r="DP73" s="135"/>
      <c r="DQ73" s="135"/>
      <c r="DR73" s="135"/>
    </row>
    <row r="74" spans="1:122" hidden="1" outlineLevel="1">
      <c r="A74" s="3"/>
      <c r="B74" s="326" t="s">
        <v>651</v>
      </c>
      <c r="C74" s="5"/>
      <c r="D74" s="5"/>
      <c r="E74" s="313"/>
      <c r="F74" s="564">
        <v>0</v>
      </c>
      <c r="G74" s="563">
        <v>0</v>
      </c>
      <c r="H74" s="563">
        <v>0</v>
      </c>
      <c r="I74" s="565">
        <v>0</v>
      </c>
      <c r="J74" s="564">
        <v>0</v>
      </c>
      <c r="K74" s="563">
        <v>0</v>
      </c>
      <c r="L74" s="563">
        <v>0</v>
      </c>
      <c r="M74" s="565">
        <v>0</v>
      </c>
      <c r="N74" s="564">
        <v>0</v>
      </c>
      <c r="O74" s="563">
        <v>0</v>
      </c>
      <c r="P74" s="563">
        <v>0</v>
      </c>
      <c r="Q74" s="565">
        <v>0</v>
      </c>
      <c r="R74" s="564">
        <v>0</v>
      </c>
      <c r="S74" s="563">
        <v>0</v>
      </c>
      <c r="T74" s="563">
        <v>0</v>
      </c>
      <c r="U74" s="565">
        <v>0</v>
      </c>
      <c r="V74" s="563">
        <v>0</v>
      </c>
      <c r="W74" s="563">
        <v>0</v>
      </c>
      <c r="X74" s="563">
        <v>0</v>
      </c>
      <c r="Y74" s="565">
        <v>0</v>
      </c>
      <c r="Z74" s="564">
        <v>0</v>
      </c>
      <c r="AA74" s="563">
        <v>0</v>
      </c>
      <c r="AB74" s="563">
        <v>0</v>
      </c>
      <c r="AC74" s="565">
        <v>0</v>
      </c>
      <c r="AD74" s="564">
        <v>0</v>
      </c>
      <c r="AE74" s="563">
        <v>0</v>
      </c>
      <c r="AF74" s="563">
        <v>0</v>
      </c>
      <c r="AG74" s="565">
        <v>0</v>
      </c>
      <c r="AH74" s="564">
        <v>0</v>
      </c>
      <c r="AI74" s="563">
        <v>0</v>
      </c>
      <c r="AJ74" s="563">
        <v>0</v>
      </c>
      <c r="AK74" s="565">
        <v>0</v>
      </c>
      <c r="AL74" s="564">
        <v>0</v>
      </c>
      <c r="AM74" s="563">
        <v>0</v>
      </c>
      <c r="AN74" s="563">
        <v>0</v>
      </c>
      <c r="AO74" s="565">
        <v>0</v>
      </c>
      <c r="AP74" s="790">
        <v>0</v>
      </c>
      <c r="AQ74" s="791">
        <v>0</v>
      </c>
      <c r="AR74" s="791">
        <v>0</v>
      </c>
      <c r="AS74" s="792">
        <v>0</v>
      </c>
      <c r="AT74" s="790">
        <v>0</v>
      </c>
      <c r="AU74" s="791">
        <v>0</v>
      </c>
      <c r="AV74" s="791">
        <v>0</v>
      </c>
      <c r="AW74" s="791">
        <v>0</v>
      </c>
      <c r="AX74" s="790">
        <v>0</v>
      </c>
      <c r="AY74" s="791">
        <v>0</v>
      </c>
      <c r="AZ74" s="791">
        <v>0</v>
      </c>
      <c r="BA74" s="792">
        <v>0</v>
      </c>
      <c r="BB74" s="790">
        <v>0</v>
      </c>
      <c r="BC74" s="791">
        <v>0</v>
      </c>
      <c r="BD74" s="791">
        <v>0</v>
      </c>
      <c r="BE74" s="792">
        <v>0</v>
      </c>
      <c r="BF74" s="790">
        <v>0</v>
      </c>
      <c r="BG74" s="791">
        <v>0</v>
      </c>
      <c r="BH74" s="791">
        <v>0</v>
      </c>
      <c r="BI74" s="792">
        <v>0</v>
      </c>
      <c r="BJ74" s="790">
        <v>0</v>
      </c>
      <c r="BK74" s="791">
        <v>0</v>
      </c>
      <c r="BL74" s="791">
        <v>0</v>
      </c>
      <c r="BM74" s="792">
        <v>0</v>
      </c>
      <c r="BN74" s="790">
        <v>0</v>
      </c>
      <c r="BO74" s="1404">
        <v>0</v>
      </c>
      <c r="BP74" s="1404">
        <v>0</v>
      </c>
      <c r="BQ74" s="792">
        <v>0</v>
      </c>
      <c r="BR74" s="1412">
        <v>0</v>
      </c>
      <c r="BS74" s="1404">
        <v>0</v>
      </c>
      <c r="BT74" s="1404">
        <v>0</v>
      </c>
      <c r="BU74" s="792">
        <v>0</v>
      </c>
      <c r="BV74" s="1412">
        <v>0</v>
      </c>
      <c r="BW74" s="1404">
        <v>0</v>
      </c>
      <c r="BX74" s="1404">
        <v>0</v>
      </c>
      <c r="BY74" s="1403">
        <v>0</v>
      </c>
      <c r="BZ74" s="1412">
        <v>0</v>
      </c>
      <c r="CA74" s="1404">
        <v>0</v>
      </c>
      <c r="CB74" s="1404">
        <v>0</v>
      </c>
      <c r="CC74" s="1403">
        <v>0</v>
      </c>
      <c r="CD74" s="1407"/>
      <c r="CE74" s="563">
        <f>SUM(F74:I74)</f>
        <v>0</v>
      </c>
      <c r="CF74" s="563">
        <f>SUM(J74:M74)</f>
        <v>0</v>
      </c>
      <c r="CG74" s="563">
        <f>SUM(N74:Q74)</f>
        <v>0</v>
      </c>
      <c r="CH74" s="563">
        <f>SUM(R74:U74)</f>
        <v>0</v>
      </c>
      <c r="CI74" s="563">
        <f>SUM(V74:Y74)</f>
        <v>0</v>
      </c>
      <c r="CJ74" s="563">
        <f>SUM(Z74:AC74)</f>
        <v>0</v>
      </c>
      <c r="CK74" s="563">
        <f>SUM(AD74:AG74)</f>
        <v>0</v>
      </c>
      <c r="CL74" s="563">
        <f>SUM(AH74:AK74)</f>
        <v>0</v>
      </c>
      <c r="CM74" s="563">
        <f>SUM(AL74:AO74)</f>
        <v>0</v>
      </c>
      <c r="CN74" s="563">
        <f>SUM(AP74:AS74)</f>
        <v>0</v>
      </c>
      <c r="CO74" s="563">
        <f>SUM(AT74:AW74)</f>
        <v>0</v>
      </c>
      <c r="CP74" s="563">
        <f>SUM(AX74:BA74)</f>
        <v>0</v>
      </c>
      <c r="CQ74" s="563">
        <f>SUM(BB74:BE74)</f>
        <v>0</v>
      </c>
      <c r="CR74" s="564">
        <f>SUM(BF74:BI74)</f>
        <v>0</v>
      </c>
      <c r="CS74" s="563">
        <f>SUM(BG74:BJ74)</f>
        <v>0</v>
      </c>
      <c r="CT74" s="563">
        <f>SUM(BH74:BK74)</f>
        <v>0</v>
      </c>
      <c r="CU74" s="563">
        <f>SUM(BR74:BU74)</f>
        <v>0</v>
      </c>
      <c r="CV74" s="563">
        <v>0</v>
      </c>
      <c r="CW74" s="563">
        <v>0</v>
      </c>
      <c r="CX74" s="563">
        <v>0</v>
      </c>
      <c r="CY74" s="563">
        <v>0</v>
      </c>
      <c r="CZ74" s="563">
        <v>0</v>
      </c>
      <c r="DA74" s="563">
        <v>0</v>
      </c>
      <c r="DB74" s="563">
        <v>0</v>
      </c>
      <c r="DC74" s="563">
        <v>0</v>
      </c>
      <c r="DD74" s="565"/>
      <c r="DE74" s="24"/>
      <c r="DF74" s="24"/>
      <c r="DG74" s="24"/>
      <c r="DH74" s="24"/>
      <c r="DI74" s="24"/>
      <c r="DJ74" s="24"/>
      <c r="DK74" s="24"/>
      <c r="DL74" s="24"/>
      <c r="DM74" s="24"/>
      <c r="DN74" s="24"/>
      <c r="DO74" s="24"/>
      <c r="DP74" s="24"/>
      <c r="DQ74" s="24"/>
      <c r="DR74" s="24"/>
    </row>
    <row r="75" spans="1:122" collapsed="1">
      <c r="A75" s="52"/>
      <c r="B75" s="424"/>
      <c r="C75" s="424"/>
      <c r="D75" s="424"/>
      <c r="E75" s="451"/>
      <c r="F75" s="455"/>
      <c r="G75" s="424"/>
      <c r="H75" s="424"/>
      <c r="I75" s="451"/>
      <c r="J75" s="455"/>
      <c r="K75" s="424"/>
      <c r="L75" s="424"/>
      <c r="M75" s="451"/>
      <c r="N75" s="455"/>
      <c r="O75" s="424"/>
      <c r="P75" s="424"/>
      <c r="Q75" s="451"/>
      <c r="R75" s="455"/>
      <c r="S75" s="424"/>
      <c r="T75" s="424"/>
      <c r="U75" s="451"/>
      <c r="V75" s="424"/>
      <c r="W75" s="424"/>
      <c r="X75" s="442"/>
      <c r="Y75" s="442"/>
      <c r="Z75" s="424"/>
      <c r="AA75" s="424"/>
      <c r="AB75" s="424"/>
      <c r="AC75" s="424"/>
      <c r="AD75" s="424"/>
      <c r="AE75" s="424"/>
      <c r="AF75" s="424"/>
      <c r="AG75" s="424"/>
      <c r="AH75" s="424"/>
      <c r="AI75" s="424"/>
      <c r="AJ75" s="424"/>
      <c r="AK75" s="424"/>
      <c r="AL75" s="424"/>
      <c r="AM75" s="424"/>
      <c r="AN75" s="424"/>
      <c r="AO75" s="424"/>
      <c r="AP75" s="424"/>
      <c r="AQ75" s="424"/>
      <c r="AR75" s="424"/>
      <c r="AS75" s="424"/>
      <c r="AT75" s="424"/>
      <c r="AU75" s="424"/>
      <c r="AV75" s="424"/>
      <c r="AW75" s="424"/>
      <c r="AX75" s="455"/>
      <c r="AY75" s="424"/>
      <c r="AZ75" s="424"/>
      <c r="BA75" s="424"/>
      <c r="BB75" s="455"/>
      <c r="BC75" s="424"/>
      <c r="BD75" s="424"/>
      <c r="BE75" s="424"/>
      <c r="BF75" s="455"/>
      <c r="BG75" s="424"/>
      <c r="BH75" s="424"/>
      <c r="BI75" s="424"/>
      <c r="BJ75" s="455"/>
      <c r="BK75" s="424"/>
      <c r="BL75" s="424"/>
      <c r="BM75" s="424"/>
      <c r="BN75" s="455"/>
      <c r="BO75" s="424"/>
      <c r="BP75" s="424"/>
      <c r="BQ75" s="424"/>
      <c r="BR75" s="455"/>
      <c r="BS75" s="424"/>
      <c r="BT75" s="424"/>
      <c r="BU75" s="424"/>
      <c r="BV75" s="455"/>
      <c r="BW75" s="424"/>
      <c r="BX75" s="424"/>
      <c r="BY75" s="424"/>
      <c r="BZ75" s="455"/>
      <c r="CA75" s="424"/>
      <c r="CB75" s="424"/>
      <c r="CC75" s="424"/>
      <c r="CD75" s="96"/>
      <c r="CE75" s="424"/>
      <c r="CF75" s="424"/>
      <c r="CG75" s="424"/>
      <c r="CH75" s="424"/>
      <c r="CI75" s="424"/>
      <c r="CJ75" s="424"/>
      <c r="CK75" s="424"/>
      <c r="CL75" s="424"/>
      <c r="CM75" s="424"/>
      <c r="CN75" s="424"/>
      <c r="CO75" s="424"/>
      <c r="CP75" s="424"/>
      <c r="CQ75" s="424"/>
      <c r="CR75" s="424"/>
      <c r="CS75" s="424"/>
      <c r="CT75" s="424"/>
      <c r="CU75" s="424"/>
      <c r="CV75" s="424"/>
      <c r="CW75" s="424"/>
      <c r="CX75" s="424"/>
      <c r="CY75" s="424"/>
      <c r="CZ75" s="424"/>
      <c r="DA75" s="424"/>
      <c r="DB75" s="424"/>
      <c r="DC75" s="424"/>
      <c r="DD75" s="451"/>
      <c r="DE75" s="24"/>
      <c r="DF75" s="24"/>
      <c r="DG75" s="24"/>
      <c r="DH75" s="24"/>
      <c r="DI75" s="24"/>
      <c r="DJ75" s="24"/>
      <c r="DK75" s="24"/>
      <c r="DL75" s="24"/>
      <c r="DM75" s="24"/>
      <c r="DN75" s="24"/>
      <c r="DO75" s="24"/>
      <c r="DP75" s="24"/>
      <c r="DQ75" s="24"/>
      <c r="DR75" s="24"/>
    </row>
    <row r="76" spans="1:122">
      <c r="A76" s="3" t="s">
        <v>25</v>
      </c>
      <c r="B76" s="416" t="s">
        <v>598</v>
      </c>
      <c r="C76" s="430"/>
      <c r="D76" s="430"/>
      <c r="E76" s="421"/>
      <c r="F76" s="416"/>
      <c r="G76" s="445"/>
      <c r="H76" s="445"/>
      <c r="I76" s="421"/>
      <c r="J76" s="416"/>
      <c r="K76" s="445"/>
      <c r="L76" s="445"/>
      <c r="M76" s="421"/>
      <c r="N76" s="416"/>
      <c r="O76" s="445"/>
      <c r="P76" s="445"/>
      <c r="Q76" s="421"/>
      <c r="R76" s="416"/>
      <c r="S76" s="445"/>
      <c r="T76" s="445"/>
      <c r="U76" s="421"/>
      <c r="V76" s="419"/>
      <c r="W76" s="419"/>
      <c r="X76" s="419"/>
      <c r="Y76" s="420"/>
      <c r="Z76" s="418"/>
      <c r="AA76" s="419"/>
      <c r="AB76" s="419"/>
      <c r="AC76" s="420"/>
      <c r="AD76" s="418"/>
      <c r="AE76" s="419"/>
      <c r="AF76" s="419"/>
      <c r="AG76" s="420"/>
      <c r="AH76" s="418"/>
      <c r="AI76" s="419"/>
      <c r="AJ76" s="419"/>
      <c r="AK76" s="420"/>
      <c r="AL76" s="418"/>
      <c r="AM76" s="419"/>
      <c r="AN76" s="419"/>
      <c r="AO76" s="420"/>
      <c r="AP76" s="418"/>
      <c r="AQ76" s="419"/>
      <c r="AR76" s="419"/>
      <c r="AS76" s="420"/>
      <c r="AT76" s="418"/>
      <c r="AU76" s="419"/>
      <c r="AV76" s="419"/>
      <c r="AW76" s="419"/>
      <c r="AX76" s="418"/>
      <c r="AY76" s="419"/>
      <c r="AZ76" s="419"/>
      <c r="BA76" s="420"/>
      <c r="BB76" s="418"/>
      <c r="BC76" s="419"/>
      <c r="BD76" s="419"/>
      <c r="BE76" s="420"/>
      <c r="BF76" s="418"/>
      <c r="BG76" s="419"/>
      <c r="BH76" s="419"/>
      <c r="BI76" s="420"/>
      <c r="BJ76" s="418"/>
      <c r="BK76" s="419"/>
      <c r="BL76" s="419"/>
      <c r="BM76" s="420"/>
      <c r="BN76" s="418"/>
      <c r="BO76" s="515"/>
      <c r="BP76" s="515"/>
      <c r="BQ76" s="516"/>
      <c r="BR76" s="517"/>
      <c r="BS76" s="515"/>
      <c r="BT76" s="515"/>
      <c r="BU76" s="516"/>
      <c r="BV76" s="517"/>
      <c r="BW76" s="515"/>
      <c r="BX76" s="515"/>
      <c r="BY76" s="516"/>
      <c r="BZ76" s="517"/>
      <c r="CA76" s="515"/>
      <c r="CB76" s="515"/>
      <c r="CC76" s="516"/>
      <c r="CD76" s="12"/>
      <c r="CE76" s="417"/>
      <c r="CF76" s="417"/>
      <c r="CG76" s="417"/>
      <c r="CH76" s="417"/>
      <c r="CI76" s="417"/>
      <c r="CJ76" s="417"/>
      <c r="CK76" s="417"/>
      <c r="CL76" s="417"/>
      <c r="CM76" s="162"/>
      <c r="CN76" s="417"/>
      <c r="CO76" s="162"/>
      <c r="CP76" s="162"/>
      <c r="CQ76" s="162"/>
      <c r="CR76" s="1577"/>
      <c r="CS76" s="417"/>
      <c r="CT76" s="417"/>
      <c r="CU76" s="162"/>
      <c r="CV76" s="162"/>
      <c r="CW76" s="162"/>
      <c r="CX76" s="162"/>
      <c r="CY76" s="162"/>
      <c r="CZ76" s="162"/>
      <c r="DA76" s="162"/>
      <c r="DB76" s="162"/>
      <c r="DC76" s="162"/>
      <c r="DD76" s="1550"/>
      <c r="DE76" s="24"/>
      <c r="DF76" s="24"/>
      <c r="DG76" s="30"/>
      <c r="DH76" s="30"/>
      <c r="DI76" s="24"/>
      <c r="DJ76" s="24"/>
      <c r="DK76" s="24"/>
      <c r="DL76" s="24"/>
      <c r="DM76" s="24"/>
      <c r="DN76" s="24"/>
      <c r="DO76" s="24"/>
      <c r="DP76" s="24"/>
      <c r="DQ76" s="24"/>
      <c r="DR76" s="24"/>
    </row>
    <row r="77" spans="1:122" ht="4.5" hidden="1" customHeight="1" outlineLevel="1">
      <c r="A77" s="3"/>
      <c r="B77" s="76"/>
      <c r="C77" s="264"/>
      <c r="D77" s="264"/>
      <c r="E77" s="97"/>
      <c r="F77" s="76"/>
      <c r="G77" s="96"/>
      <c r="H77" s="96"/>
      <c r="I77" s="97"/>
      <c r="J77" s="76"/>
      <c r="K77" s="96"/>
      <c r="L77" s="96"/>
      <c r="M77" s="97"/>
      <c r="N77" s="76"/>
      <c r="O77" s="96"/>
      <c r="P77" s="96"/>
      <c r="Q77" s="97"/>
      <c r="R77" s="76"/>
      <c r="S77" s="96"/>
      <c r="T77" s="96"/>
      <c r="U77" s="97"/>
      <c r="V77" s="96"/>
      <c r="W77" s="96"/>
      <c r="X77" s="96"/>
      <c r="Y77" s="97"/>
      <c r="Z77" s="96"/>
      <c r="AA77" s="96"/>
      <c r="AB77" s="96"/>
      <c r="AC77" s="97"/>
      <c r="AD77" s="76"/>
      <c r="AE77" s="96"/>
      <c r="AF77" s="63"/>
      <c r="AG77" s="64"/>
      <c r="AH77" s="76"/>
      <c r="AI77" s="63"/>
      <c r="AJ77" s="63"/>
      <c r="AK77" s="63"/>
      <c r="AL77" s="329"/>
      <c r="AM77" s="63"/>
      <c r="AN77" s="63"/>
      <c r="AO77" s="64"/>
      <c r="AP77" s="329"/>
      <c r="AQ77" s="63"/>
      <c r="AR77" s="63"/>
      <c r="AS77" s="64"/>
      <c r="AT77" s="329"/>
      <c r="AU77" s="63"/>
      <c r="AV77" s="63"/>
      <c r="AW77" s="63"/>
      <c r="AX77" s="329"/>
      <c r="AY77" s="63"/>
      <c r="AZ77" s="63"/>
      <c r="BA77" s="64"/>
      <c r="BB77" s="329"/>
      <c r="BC77" s="63"/>
      <c r="BD77" s="63"/>
      <c r="BE77" s="64"/>
      <c r="BF77" s="329"/>
      <c r="BG77" s="63"/>
      <c r="BH77" s="63"/>
      <c r="BI77" s="64"/>
      <c r="BJ77" s="329"/>
      <c r="BK77" s="63"/>
      <c r="BL77" s="63"/>
      <c r="BM77" s="64"/>
      <c r="BN77" s="329"/>
      <c r="BQ77" s="64"/>
      <c r="BR77" s="329"/>
      <c r="BU77" s="64"/>
      <c r="BV77" s="329"/>
      <c r="BY77" s="64"/>
      <c r="BZ77" s="329"/>
      <c r="CC77" s="64"/>
      <c r="CD77" s="12"/>
      <c r="CE77" s="96"/>
      <c r="CF77" s="96"/>
      <c r="CG77" s="96"/>
      <c r="CH77" s="96"/>
      <c r="CI77" s="96"/>
      <c r="CJ77" s="96"/>
      <c r="CK77" s="96"/>
      <c r="CL77" s="96"/>
      <c r="CM77" s="96"/>
      <c r="CN77" s="96"/>
      <c r="CO77" s="96"/>
      <c r="CP77" s="96"/>
      <c r="CQ77" s="96"/>
      <c r="CR77" s="76"/>
      <c r="CS77" s="96"/>
      <c r="CT77" s="96"/>
      <c r="CU77" s="96"/>
      <c r="CV77" s="96"/>
      <c r="CW77" s="96"/>
      <c r="CX77" s="96"/>
      <c r="CY77" s="96"/>
      <c r="CZ77" s="96"/>
      <c r="DA77" s="96"/>
      <c r="DB77" s="96"/>
      <c r="DC77" s="96"/>
      <c r="DD77" s="97"/>
      <c r="DE77" s="24"/>
      <c r="DF77" s="24"/>
      <c r="DG77" s="24"/>
      <c r="DH77" s="24"/>
      <c r="DI77" s="24"/>
      <c r="DJ77" s="24"/>
      <c r="DK77" s="24"/>
      <c r="DL77" s="24"/>
      <c r="DM77" s="24"/>
      <c r="DN77" s="24"/>
      <c r="DO77" s="24"/>
      <c r="DP77" s="24"/>
      <c r="DQ77" s="24"/>
      <c r="DR77" s="24"/>
    </row>
    <row r="78" spans="1:122" hidden="1" outlineLevel="1">
      <c r="A78" s="3"/>
      <c r="B78" s="209" t="s">
        <v>59</v>
      </c>
      <c r="C78" s="201"/>
      <c r="D78" s="201"/>
      <c r="E78" s="202"/>
      <c r="F78" s="201"/>
      <c r="G78" s="201"/>
      <c r="H78" s="201"/>
      <c r="I78" s="202"/>
      <c r="J78" s="201"/>
      <c r="K78" s="201"/>
      <c r="L78" s="201"/>
      <c r="M78" s="202"/>
      <c r="N78" s="201"/>
      <c r="O78" s="201"/>
      <c r="P78" s="201"/>
      <c r="Q78" s="202"/>
      <c r="R78" s="201"/>
      <c r="S78" s="201"/>
      <c r="T78" s="201"/>
      <c r="U78" s="202"/>
      <c r="V78" s="3"/>
      <c r="W78" s="3"/>
      <c r="X78" s="3"/>
      <c r="Y78" s="9"/>
      <c r="Z78" s="3"/>
      <c r="AA78" s="3"/>
      <c r="AB78" s="3"/>
      <c r="AC78" s="9"/>
      <c r="AD78" s="3"/>
      <c r="AE78" s="3"/>
      <c r="AF78" s="3"/>
      <c r="AG78" s="9"/>
      <c r="AH78" s="3"/>
      <c r="AI78" s="3"/>
      <c r="AJ78" s="3"/>
      <c r="AK78" s="3"/>
      <c r="AL78" s="8"/>
      <c r="AM78" s="3"/>
      <c r="AN78" s="3"/>
      <c r="AO78" s="9"/>
      <c r="AP78" s="3"/>
      <c r="AQ78" s="3"/>
      <c r="AR78" s="3"/>
      <c r="AS78" s="9"/>
      <c r="AT78" s="3"/>
      <c r="AU78" s="3"/>
      <c r="AV78" s="3"/>
      <c r="AW78" s="3"/>
      <c r="AX78" s="8"/>
      <c r="AY78" s="3"/>
      <c r="AZ78" s="3"/>
      <c r="BA78" s="9"/>
      <c r="BB78" s="8"/>
      <c r="BC78" s="3"/>
      <c r="BD78" s="3"/>
      <c r="BE78" s="9"/>
      <c r="BF78" s="8"/>
      <c r="BG78" s="3"/>
      <c r="BH78" s="3"/>
      <c r="BI78" s="9"/>
      <c r="BJ78" s="8"/>
      <c r="BK78" s="3"/>
      <c r="BL78" s="3"/>
      <c r="BM78" s="9"/>
      <c r="BN78" s="8"/>
      <c r="BO78" s="3"/>
      <c r="BP78" s="3"/>
      <c r="BQ78" s="9"/>
      <c r="BR78" s="8"/>
      <c r="BS78" s="3"/>
      <c r="BT78" s="3"/>
      <c r="BU78" s="9"/>
      <c r="BV78" s="8"/>
      <c r="BW78" s="3"/>
      <c r="BX78" s="3"/>
      <c r="BY78" s="9"/>
      <c r="BZ78" s="8"/>
      <c r="CA78" s="3"/>
      <c r="CB78" s="3"/>
      <c r="CC78" s="9"/>
      <c r="CD78" s="9"/>
      <c r="CE78" s="3"/>
      <c r="CF78" s="3"/>
      <c r="CG78" s="3"/>
      <c r="CH78" s="3"/>
      <c r="CI78" s="3"/>
      <c r="CJ78" s="3"/>
      <c r="CK78" s="3"/>
      <c r="CL78" s="3"/>
      <c r="CM78" s="3"/>
      <c r="CN78" s="3"/>
      <c r="CO78" s="3"/>
      <c r="CP78" s="3"/>
      <c r="CQ78" s="3"/>
      <c r="CR78" s="8"/>
      <c r="CS78" s="3"/>
      <c r="CT78" s="3"/>
      <c r="CU78" s="3"/>
      <c r="CV78" s="3"/>
      <c r="CW78" s="3"/>
      <c r="CX78" s="3"/>
      <c r="CY78" s="3"/>
      <c r="CZ78" s="3"/>
      <c r="DA78" s="3"/>
      <c r="DB78" s="3"/>
      <c r="DC78" s="3"/>
      <c r="DD78" s="9"/>
      <c r="DE78" s="24"/>
      <c r="DF78" s="24"/>
      <c r="DG78" s="24"/>
      <c r="DH78" s="24"/>
      <c r="DI78" s="24"/>
      <c r="DJ78" s="24"/>
      <c r="DK78" s="24"/>
      <c r="DL78" s="24"/>
      <c r="DM78" s="24"/>
      <c r="DN78" s="24"/>
      <c r="DO78" s="24"/>
      <c r="DP78" s="24"/>
      <c r="DQ78" s="24"/>
      <c r="DR78" s="24"/>
    </row>
    <row r="79" spans="1:122" hidden="1" outlineLevel="1">
      <c r="A79" s="3"/>
      <c r="B79" s="270"/>
      <c r="C79" s="264" t="s">
        <v>61</v>
      </c>
      <c r="D79" s="264"/>
      <c r="E79" s="265"/>
      <c r="F79" s="562"/>
      <c r="G79" s="562"/>
      <c r="H79" s="562"/>
      <c r="I79" s="568"/>
      <c r="J79" s="562"/>
      <c r="K79" s="562"/>
      <c r="L79" s="562"/>
      <c r="M79" s="568"/>
      <c r="N79" s="562">
        <f t="shared" ref="N79:AI79" si="233">M83</f>
        <v>367.44299999999993</v>
      </c>
      <c r="O79" s="562">
        <f t="shared" si="233"/>
        <v>373.10911322544638</v>
      </c>
      <c r="P79" s="562">
        <f t="shared" si="233"/>
        <v>387.43159846540181</v>
      </c>
      <c r="Q79" s="568">
        <f t="shared" si="233"/>
        <v>400.39394313616077</v>
      </c>
      <c r="R79" s="562">
        <f t="shared" si="233"/>
        <v>420.2</v>
      </c>
      <c r="S79" s="562">
        <f t="shared" si="233"/>
        <v>735.43603603603606</v>
      </c>
      <c r="T79" s="562">
        <f t="shared" si="233"/>
        <v>812.52432432432443</v>
      </c>
      <c r="U79" s="568">
        <f t="shared" si="233"/>
        <v>823.88108108108111</v>
      </c>
      <c r="V79" s="562">
        <f t="shared" si="233"/>
        <v>648.5</v>
      </c>
      <c r="W79" s="562">
        <f t="shared" si="233"/>
        <v>717.67018565708054</v>
      </c>
      <c r="X79" s="562">
        <f t="shared" si="233"/>
        <v>779.28594830724444</v>
      </c>
      <c r="Y79" s="568">
        <f t="shared" si="233"/>
        <v>819.65489625045495</v>
      </c>
      <c r="Z79" s="562">
        <f t="shared" si="233"/>
        <v>845.1</v>
      </c>
      <c r="AA79" s="562">
        <f t="shared" si="233"/>
        <v>899.60261224489773</v>
      </c>
      <c r="AB79" s="562">
        <f t="shared" si="233"/>
        <v>942.16686224489797</v>
      </c>
      <c r="AC79" s="568">
        <f t="shared" si="233"/>
        <v>1034.8311122448979</v>
      </c>
      <c r="AD79" s="562">
        <f t="shared" si="233"/>
        <v>1143</v>
      </c>
      <c r="AE79" s="562">
        <f t="shared" si="233"/>
        <v>1237</v>
      </c>
      <c r="AF79" s="562">
        <f t="shared" si="233"/>
        <v>1325</v>
      </c>
      <c r="AG79" s="568">
        <f t="shared" si="233"/>
        <v>1415</v>
      </c>
      <c r="AH79" s="562">
        <f>AG83</f>
        <v>1517</v>
      </c>
      <c r="AI79" s="562">
        <f t="shared" si="233"/>
        <v>2370</v>
      </c>
      <c r="AJ79" s="562">
        <f t="shared" ref="AJ79:BI79" si="234">AI83</f>
        <v>2525</v>
      </c>
      <c r="AK79" s="568">
        <f t="shared" si="234"/>
        <v>2605</v>
      </c>
      <c r="AL79" s="562">
        <f t="shared" si="234"/>
        <v>2814</v>
      </c>
      <c r="AM79" s="562">
        <f t="shared" si="234"/>
        <v>2937</v>
      </c>
      <c r="AN79" s="562">
        <f t="shared" si="234"/>
        <v>3005</v>
      </c>
      <c r="AO79" s="568">
        <f t="shared" si="234"/>
        <v>3074</v>
      </c>
      <c r="AP79" s="562">
        <f t="shared" si="234"/>
        <v>3175</v>
      </c>
      <c r="AQ79" s="562">
        <f t="shared" si="234"/>
        <v>3337</v>
      </c>
      <c r="AR79" s="562">
        <f t="shared" si="234"/>
        <v>3534</v>
      </c>
      <c r="AS79" s="562">
        <f t="shared" si="234"/>
        <v>3723</v>
      </c>
      <c r="AT79" s="958">
        <f t="shared" si="234"/>
        <v>4223</v>
      </c>
      <c r="AU79" s="562">
        <f t="shared" si="234"/>
        <v>4459</v>
      </c>
      <c r="AV79" s="562">
        <f t="shared" si="234"/>
        <v>4642</v>
      </c>
      <c r="AW79" s="568">
        <f t="shared" si="234"/>
        <v>4765</v>
      </c>
      <c r="AX79" s="562">
        <f t="shared" si="234"/>
        <v>4837</v>
      </c>
      <c r="AY79" s="562">
        <f t="shared" si="234"/>
        <v>4980</v>
      </c>
      <c r="AZ79" s="562">
        <f t="shared" si="234"/>
        <v>5002</v>
      </c>
      <c r="BA79" s="568">
        <f t="shared" si="234"/>
        <v>7270</v>
      </c>
      <c r="BB79" s="562">
        <f t="shared" si="234"/>
        <v>7173</v>
      </c>
      <c r="BC79" s="562">
        <f t="shared" si="234"/>
        <v>7446</v>
      </c>
      <c r="BD79" s="562">
        <f t="shared" si="234"/>
        <v>7490</v>
      </c>
      <c r="BE79" s="568">
        <f t="shared" si="234"/>
        <v>7561</v>
      </c>
      <c r="BF79" s="562">
        <f>BE83</f>
        <v>7616</v>
      </c>
      <c r="BG79" s="562">
        <f>BF83</f>
        <v>7764</v>
      </c>
      <c r="BH79" s="562">
        <f t="shared" si="234"/>
        <v>7879</v>
      </c>
      <c r="BI79" s="568">
        <f t="shared" si="234"/>
        <v>7991</v>
      </c>
      <c r="BJ79" s="562">
        <f t="shared" ref="BJ79:BW79" si="235">BI83</f>
        <v>8123</v>
      </c>
      <c r="BK79" s="562">
        <f t="shared" si="235"/>
        <v>8283</v>
      </c>
      <c r="BL79" s="562">
        <f t="shared" si="235"/>
        <v>8353</v>
      </c>
      <c r="BM79" s="568">
        <f t="shared" si="235"/>
        <v>8520</v>
      </c>
      <c r="BN79" s="562">
        <f t="shared" si="235"/>
        <v>8604</v>
      </c>
      <c r="BO79" s="562">
        <f t="shared" si="235"/>
        <v>8755</v>
      </c>
      <c r="BP79" s="562">
        <f t="shared" si="235"/>
        <v>8904</v>
      </c>
      <c r="BQ79" s="568">
        <f t="shared" si="235"/>
        <v>9037</v>
      </c>
      <c r="BR79" s="562">
        <f t="shared" si="235"/>
        <v>9632</v>
      </c>
      <c r="BS79" s="562">
        <f t="shared" si="235"/>
        <v>9844</v>
      </c>
      <c r="BT79" s="562">
        <f t="shared" si="235"/>
        <v>10033</v>
      </c>
      <c r="BU79" s="568">
        <f t="shared" si="235"/>
        <v>10330</v>
      </c>
      <c r="BV79" s="562">
        <f t="shared" si="235"/>
        <v>9526</v>
      </c>
      <c r="BW79" s="562">
        <f t="shared" si="235"/>
        <v>9812</v>
      </c>
      <c r="BX79" s="562">
        <f t="shared" ref="BX79:CC79" si="236">BW83</f>
        <v>10441</v>
      </c>
      <c r="BY79" s="568">
        <f t="shared" si="236"/>
        <v>10599.061042500001</v>
      </c>
      <c r="BZ79" s="958">
        <f t="shared" si="236"/>
        <v>10943.042532048201</v>
      </c>
      <c r="CA79" s="562">
        <f t="shared" si="236"/>
        <v>11272.625769204022</v>
      </c>
      <c r="CB79" s="562">
        <f t="shared" si="236"/>
        <v>11596.982755972789</v>
      </c>
      <c r="CC79" s="568">
        <f t="shared" si="236"/>
        <v>11875.016428281479</v>
      </c>
      <c r="CD79" s="9"/>
      <c r="CE79" s="323"/>
      <c r="CF79" s="323"/>
      <c r="CG79" s="323">
        <f t="shared" ref="CG79:CM79" si="237">CF83</f>
        <v>367.44299999999993</v>
      </c>
      <c r="CH79" s="323">
        <f t="shared" si="237"/>
        <v>420.19999999999993</v>
      </c>
      <c r="CI79" s="323">
        <f t="shared" si="237"/>
        <v>648.5</v>
      </c>
      <c r="CJ79" s="323">
        <f t="shared" si="237"/>
        <v>845.1</v>
      </c>
      <c r="CK79" s="323">
        <f t="shared" si="237"/>
        <v>1143</v>
      </c>
      <c r="CL79" s="323">
        <f t="shared" si="237"/>
        <v>1517</v>
      </c>
      <c r="CM79" s="323">
        <f t="shared" si="237"/>
        <v>2814</v>
      </c>
      <c r="CN79" s="323">
        <f t="shared" ref="CN79:CW79" si="238">CM83</f>
        <v>3175</v>
      </c>
      <c r="CO79" s="323">
        <f t="shared" si="238"/>
        <v>4223</v>
      </c>
      <c r="CP79" s="323">
        <f t="shared" si="238"/>
        <v>4837</v>
      </c>
      <c r="CQ79" s="323">
        <f t="shared" si="238"/>
        <v>7173</v>
      </c>
      <c r="CR79" s="327">
        <f t="shared" si="238"/>
        <v>7616</v>
      </c>
      <c r="CS79" s="323">
        <f t="shared" si="238"/>
        <v>8123</v>
      </c>
      <c r="CT79" s="323">
        <f t="shared" si="238"/>
        <v>8604</v>
      </c>
      <c r="CU79" s="323">
        <f t="shared" si="238"/>
        <v>9632</v>
      </c>
      <c r="CV79" s="323">
        <f t="shared" si="238"/>
        <v>9526</v>
      </c>
      <c r="CW79" s="323">
        <f t="shared" si="238"/>
        <v>10943.042532048203</v>
      </c>
      <c r="CX79" s="323">
        <f t="shared" ref="CX79:DC79" si="239">CW83</f>
        <v>12138.184531353269</v>
      </c>
      <c r="CY79" s="323">
        <f t="shared" si="239"/>
        <v>13468.870144168113</v>
      </c>
      <c r="CZ79" s="323">
        <f t="shared" si="239"/>
        <v>14847.796125733028</v>
      </c>
      <c r="DA79" s="323">
        <f t="shared" si="239"/>
        <v>16389.317767970326</v>
      </c>
      <c r="DB79" s="323">
        <f t="shared" si="239"/>
        <v>18002.285050493636</v>
      </c>
      <c r="DC79" s="323">
        <f t="shared" si="239"/>
        <v>19696.224925797789</v>
      </c>
      <c r="DD79" s="325"/>
      <c r="DE79" s="24"/>
      <c r="DF79" s="24"/>
      <c r="DG79" s="24"/>
      <c r="DH79" s="24"/>
      <c r="DI79" s="24"/>
      <c r="DJ79" s="24"/>
      <c r="DK79" s="24"/>
      <c r="DL79" s="24"/>
      <c r="DM79" s="24"/>
      <c r="DN79" s="24"/>
      <c r="DO79" s="24"/>
      <c r="DP79" s="24"/>
      <c r="DQ79" s="24"/>
      <c r="DR79" s="24"/>
    </row>
    <row r="80" spans="1:122" hidden="1" outlineLevel="1">
      <c r="A80" s="3"/>
      <c r="B80" s="8"/>
      <c r="C80" s="264"/>
      <c r="D80" s="201" t="s">
        <v>30</v>
      </c>
      <c r="E80" s="265"/>
      <c r="F80" s="483"/>
      <c r="G80" s="483"/>
      <c r="H80" s="483"/>
      <c r="I80" s="484"/>
      <c r="J80" s="483"/>
      <c r="K80" s="483"/>
      <c r="L80" s="483"/>
      <c r="M80" s="871"/>
      <c r="N80" s="873">
        <f>-CF!N32</f>
        <v>12.362</v>
      </c>
      <c r="O80" s="872">
        <f>-CF!O32</f>
        <v>15.424999999999999</v>
      </c>
      <c r="P80" s="872">
        <f>-CF!P32</f>
        <v>15.785000000000004</v>
      </c>
      <c r="Q80" s="871">
        <f>-CF!Q32</f>
        <v>18.327999999999996</v>
      </c>
      <c r="R80" s="873">
        <f>-CF!R32</f>
        <v>19.899999999999999</v>
      </c>
      <c r="S80" s="872">
        <f>-CF!S32</f>
        <v>44.199999999999996</v>
      </c>
      <c r="T80" s="872">
        <f>-CF!T32</f>
        <v>26.400000000000006</v>
      </c>
      <c r="U80" s="871">
        <f>-CF!U32</f>
        <v>41.199999999999989</v>
      </c>
      <c r="V80" s="873">
        <f>-CF!V32</f>
        <v>50.7</v>
      </c>
      <c r="W80" s="872">
        <f>-CF!W32</f>
        <v>54.8</v>
      </c>
      <c r="X80" s="872">
        <f>-CF!X32</f>
        <v>47.5</v>
      </c>
      <c r="Y80" s="871">
        <f>-CF!Y32</f>
        <v>80.400000000000006</v>
      </c>
      <c r="Z80" s="873">
        <f>-CF!Z32</f>
        <v>50.2</v>
      </c>
      <c r="AA80" s="872">
        <f>-CF!AA32</f>
        <v>52</v>
      </c>
      <c r="AB80" s="872">
        <f>-CF!AB32</f>
        <v>103.89999999999999</v>
      </c>
      <c r="AC80" s="871">
        <f>-CF!AC32</f>
        <v>95.799999999999983</v>
      </c>
      <c r="AD80" s="873">
        <f>-CF!AD32</f>
        <v>72</v>
      </c>
      <c r="AE80" s="872">
        <f>-CF!AE32</f>
        <v>97</v>
      </c>
      <c r="AF80" s="872">
        <f>-CF!AF32</f>
        <v>69</v>
      </c>
      <c r="AG80" s="871">
        <f>-CF!AG32</f>
        <v>86</v>
      </c>
      <c r="AH80" s="873">
        <f>-CF!AH32</f>
        <v>163</v>
      </c>
      <c r="AI80" s="487">
        <f>-CF!AI32</f>
        <v>169</v>
      </c>
      <c r="AJ80" s="483">
        <f>-CF!AJ32</f>
        <v>137</v>
      </c>
      <c r="AK80" s="484">
        <f>-CF!AK32</f>
        <v>146</v>
      </c>
      <c r="AL80" s="483">
        <f>-CF!AL32</f>
        <v>162</v>
      </c>
      <c r="AM80" s="483">
        <f>-CF!AM32</f>
        <v>140</v>
      </c>
      <c r="AN80" s="483">
        <f>-CF!AN32</f>
        <v>106</v>
      </c>
      <c r="AO80" s="484">
        <f>-CF!AO32</f>
        <v>111</v>
      </c>
      <c r="AP80" s="483">
        <f>-CF!AP32</f>
        <v>176</v>
      </c>
      <c r="AQ80" s="483">
        <f>-CF!AQ32</f>
        <v>199</v>
      </c>
      <c r="AR80" s="483">
        <f>-CF!AR32</f>
        <v>177</v>
      </c>
      <c r="AS80" s="483">
        <f>-CF!AS32</f>
        <v>185</v>
      </c>
      <c r="AT80" s="874">
        <f>-CF!AT32</f>
        <v>200</v>
      </c>
      <c r="AU80" s="483">
        <f>-CF!AU32</f>
        <v>250</v>
      </c>
      <c r="AV80" s="483">
        <f>-CF!AV32</f>
        <v>175</v>
      </c>
      <c r="AW80" s="484">
        <f>-CF!AW32</f>
        <v>153</v>
      </c>
      <c r="AX80" s="483">
        <f>-CF!AX32</f>
        <v>134</v>
      </c>
      <c r="AY80" s="483">
        <f>-CF!AY32</f>
        <v>119</v>
      </c>
      <c r="AZ80" s="483">
        <f>-CF!AZ32</f>
        <v>140</v>
      </c>
      <c r="BA80" s="484">
        <f>-CF!BA32</f>
        <v>324</v>
      </c>
      <c r="BB80" s="483">
        <f>-CF!BB32</f>
        <v>382</v>
      </c>
      <c r="BC80" s="483">
        <f>-CF!BC32</f>
        <v>246</v>
      </c>
      <c r="BD80" s="483">
        <f>-CF!BD32</f>
        <v>188</v>
      </c>
      <c r="BE80" s="484">
        <f>-CF!BE32</f>
        <v>136</v>
      </c>
      <c r="BF80" s="483">
        <f>-CF!BF32</f>
        <v>136</v>
      </c>
      <c r="BG80" s="483">
        <f>-CF!BG32</f>
        <v>170</v>
      </c>
      <c r="BH80" s="483">
        <f>-CF!BH32</f>
        <v>161</v>
      </c>
      <c r="BI80" s="484">
        <f>-CF!BI32</f>
        <v>161</v>
      </c>
      <c r="BJ80" s="483">
        <f>-CF!BJ32</f>
        <v>160</v>
      </c>
      <c r="BK80" s="483">
        <f>-CF!BK32</f>
        <v>146</v>
      </c>
      <c r="BL80" s="483">
        <f>-CF!BL32</f>
        <v>150</v>
      </c>
      <c r="BM80" s="484">
        <f>-CF!BM32</f>
        <v>156</v>
      </c>
      <c r="BN80" s="483">
        <f>-CF!BN32</f>
        <v>151</v>
      </c>
      <c r="BO80" s="483">
        <f>-CF!BO32</f>
        <v>149</v>
      </c>
      <c r="BP80" s="483">
        <f>-CF!BP32</f>
        <v>133</v>
      </c>
      <c r="BQ80" s="484">
        <f>-CF!BQ32</f>
        <v>241</v>
      </c>
      <c r="BR80" s="483">
        <f>-CF!BR32</f>
        <v>211</v>
      </c>
      <c r="BS80" s="483">
        <f>-CF!BS32</f>
        <v>189</v>
      </c>
      <c r="BT80" s="483">
        <f>-CF!BT32</f>
        <v>277</v>
      </c>
      <c r="BU80" s="484">
        <f>-CF!BU32</f>
        <v>178</v>
      </c>
      <c r="BV80" s="483">
        <f>-CF!BV32</f>
        <v>286</v>
      </c>
      <c r="BW80" s="483">
        <f>-CF!BW32</f>
        <v>629</v>
      </c>
      <c r="BX80" s="483">
        <f>-CF!BX32</f>
        <v>343.63690549999995</v>
      </c>
      <c r="BY80" s="484">
        <f>-CF!BY32</f>
        <v>343.98148954819999</v>
      </c>
      <c r="BZ80" s="874">
        <f>-CF!BZ32</f>
        <v>329.583237155821</v>
      </c>
      <c r="CA80" s="483">
        <f>-CF!CA32</f>
        <v>324.35698676876706</v>
      </c>
      <c r="CB80" s="483">
        <f>-CF!CB32</f>
        <v>278.03367230868963</v>
      </c>
      <c r="CC80" s="484">
        <f>-CF!CC32</f>
        <v>263.16810307178815</v>
      </c>
      <c r="CD80" s="484"/>
      <c r="CE80" s="323"/>
      <c r="CF80" s="323"/>
      <c r="CG80" s="29">
        <f>SUM(N80:Q80)</f>
        <v>61.9</v>
      </c>
      <c r="CH80" s="29">
        <f>SUM(R80:U80)</f>
        <v>131.69999999999999</v>
      </c>
      <c r="CI80" s="29">
        <f>SUM(V80:Y80)</f>
        <v>233.4</v>
      </c>
      <c r="CJ80" s="29">
        <f>SUM(Z80:AC80)</f>
        <v>301.89999999999998</v>
      </c>
      <c r="CK80" s="29">
        <f>SUM(AD80:AG80)</f>
        <v>324</v>
      </c>
      <c r="CL80" s="323">
        <f>SUM(AH80:AK80)</f>
        <v>615</v>
      </c>
      <c r="CM80" s="323">
        <f>SUM(AL80:AO80)</f>
        <v>519</v>
      </c>
      <c r="CN80" s="323">
        <f>SUM(AP80:AS80)</f>
        <v>737</v>
      </c>
      <c r="CO80" s="323">
        <f>SUM(AT80:AW80)</f>
        <v>778</v>
      </c>
      <c r="CP80" s="323">
        <f>SUM(AX80:BA80)</f>
        <v>717</v>
      </c>
      <c r="CQ80" s="323">
        <f>SUM(BB80:BE80)</f>
        <v>952</v>
      </c>
      <c r="CR80" s="327">
        <f>SUM(BF80:BI80)</f>
        <v>628</v>
      </c>
      <c r="CS80" s="323">
        <f>SUM(BJ80:BM80)</f>
        <v>612</v>
      </c>
      <c r="CT80" s="323">
        <f>SUM(BN80:BQ80)</f>
        <v>674</v>
      </c>
      <c r="CU80" s="483">
        <f>SUM(BR80:BU80)</f>
        <v>855</v>
      </c>
      <c r="CV80" s="483">
        <f>SUM(BV80:BY80)</f>
        <v>1602.6183950482</v>
      </c>
      <c r="CW80" s="483">
        <f>SUM(BZ80:CC80)</f>
        <v>1195.1419993050658</v>
      </c>
      <c r="CX80" s="483">
        <f>-CF!CX32</f>
        <v>1330.6856128148449</v>
      </c>
      <c r="CY80" s="483">
        <f>-CF!CY32</f>
        <v>1378.9259815649145</v>
      </c>
      <c r="CZ80" s="483">
        <f>-CF!CZ32</f>
        <v>1541.521642237298</v>
      </c>
      <c r="DA80" s="483">
        <f>-CF!DA32</f>
        <v>1612.9672825233101</v>
      </c>
      <c r="DB80" s="483">
        <f>-CF!DB32</f>
        <v>1693.9398753041544</v>
      </c>
      <c r="DC80" s="483">
        <f>-CF!DC32</f>
        <v>1785.6450452278245</v>
      </c>
      <c r="DD80" s="484"/>
      <c r="DE80" s="24"/>
      <c r="DF80" s="24"/>
      <c r="DG80" s="24"/>
      <c r="DH80" s="24"/>
      <c r="DI80" s="24"/>
      <c r="DJ80" s="24"/>
      <c r="DK80" s="24"/>
      <c r="DL80" s="24"/>
      <c r="DM80" s="24"/>
      <c r="DN80" s="24"/>
      <c r="DO80" s="24"/>
      <c r="DP80" s="24"/>
      <c r="DQ80" s="24"/>
      <c r="DR80" s="24"/>
    </row>
    <row r="81" spans="1:122" hidden="1" outlineLevel="1">
      <c r="A81" s="3"/>
      <c r="B81" s="8"/>
      <c r="C81" s="264"/>
      <c r="D81" s="201" t="s">
        <v>31</v>
      </c>
      <c r="E81" s="265"/>
      <c r="F81" s="483"/>
      <c r="G81" s="483"/>
      <c r="H81" s="483"/>
      <c r="I81" s="484"/>
      <c r="J81" s="483"/>
      <c r="K81" s="483"/>
      <c r="L81" s="483"/>
      <c r="M81" s="483"/>
      <c r="N81" s="874">
        <f>CF!N33</f>
        <v>0</v>
      </c>
      <c r="O81" s="483">
        <f>CF!O33</f>
        <v>0</v>
      </c>
      <c r="P81" s="483">
        <f>CF!P33</f>
        <v>0</v>
      </c>
      <c r="Q81" s="484">
        <f>CF!Q33</f>
        <v>0</v>
      </c>
      <c r="R81" s="874">
        <f>CF!R33</f>
        <v>0</v>
      </c>
      <c r="S81" s="483">
        <f>CF!S33</f>
        <v>0</v>
      </c>
      <c r="T81" s="483">
        <f>CF!T33</f>
        <v>0</v>
      </c>
      <c r="U81" s="484">
        <f>CF!U33</f>
        <v>0</v>
      </c>
      <c r="V81" s="874">
        <f>CF!V33</f>
        <v>0</v>
      </c>
      <c r="W81" s="483">
        <f>CF!W33</f>
        <v>0</v>
      </c>
      <c r="X81" s="483">
        <f>CF!X33</f>
        <v>0</v>
      </c>
      <c r="Y81" s="484">
        <f>CF!Y33</f>
        <v>0</v>
      </c>
      <c r="Z81" s="874">
        <f>CF!Z33</f>
        <v>0</v>
      </c>
      <c r="AA81" s="483">
        <f>CF!AA33</f>
        <v>0</v>
      </c>
      <c r="AB81" s="483">
        <f>CF!AB33</f>
        <v>0</v>
      </c>
      <c r="AC81" s="484">
        <f>CF!AC33</f>
        <v>0</v>
      </c>
      <c r="AD81" s="874">
        <f>CF!AD33</f>
        <v>0</v>
      </c>
      <c r="AE81" s="483">
        <f>CF!AE33</f>
        <v>0</v>
      </c>
      <c r="AF81" s="483">
        <f>CF!AF33</f>
        <v>0</v>
      </c>
      <c r="AG81" s="484">
        <f>CF!AG33</f>
        <v>0</v>
      </c>
      <c r="AH81" s="483">
        <f>CF!AH33</f>
        <v>0</v>
      </c>
      <c r="AI81" s="483">
        <f>CF!AI33</f>
        <v>0</v>
      </c>
      <c r="AJ81" s="483">
        <f>CF!AJ33</f>
        <v>0</v>
      </c>
      <c r="AK81" s="484">
        <f>CF!AK33</f>
        <v>0</v>
      </c>
      <c r="AL81" s="483">
        <f>CF!AL33</f>
        <v>0</v>
      </c>
      <c r="AM81" s="483">
        <f>CF!AM33</f>
        <v>0</v>
      </c>
      <c r="AN81" s="483">
        <f>CF!AN33</f>
        <v>0</v>
      </c>
      <c r="AO81" s="484">
        <f>CF!AO33</f>
        <v>29</v>
      </c>
      <c r="AP81" s="483">
        <f>CF!AP33</f>
        <v>0</v>
      </c>
      <c r="AQ81" s="483">
        <f>CF!AQ33</f>
        <v>0</v>
      </c>
      <c r="AR81" s="483">
        <f>CF!AR33</f>
        <v>0</v>
      </c>
      <c r="AS81" s="483">
        <f>CF!AS33</f>
        <v>0</v>
      </c>
      <c r="AT81" s="874">
        <f>CF!AT33</f>
        <v>0</v>
      </c>
      <c r="AU81" s="483">
        <f>CF!AU33</f>
        <v>0</v>
      </c>
      <c r="AV81" s="483">
        <f>CF!AV33</f>
        <v>0</v>
      </c>
      <c r="AW81" s="484">
        <f>CF!AW33</f>
        <v>0</v>
      </c>
      <c r="AX81" s="483">
        <f>CF!AX33</f>
        <v>0</v>
      </c>
      <c r="AY81" s="483">
        <f>CF!AY33</f>
        <v>0</v>
      </c>
      <c r="AZ81" s="483">
        <f>CF!AZ33</f>
        <v>0</v>
      </c>
      <c r="BA81" s="484">
        <f>CF!BA33</f>
        <v>76</v>
      </c>
      <c r="BB81" s="483">
        <f>CF!BB33</f>
        <v>0</v>
      </c>
      <c r="BC81" s="483">
        <f>CF!BC33</f>
        <v>0</v>
      </c>
      <c r="BD81" s="483">
        <f>CF!BD33</f>
        <v>0</v>
      </c>
      <c r="BE81" s="484">
        <f>CF!BE33</f>
        <v>0</v>
      </c>
      <c r="BF81" s="483">
        <f>CF!BF33</f>
        <v>0</v>
      </c>
      <c r="BG81" s="483">
        <f>CF!BG33</f>
        <v>0</v>
      </c>
      <c r="BH81" s="483">
        <f>CF!BH33</f>
        <v>0</v>
      </c>
      <c r="BI81" s="484">
        <f>CF!BI33</f>
        <v>0</v>
      </c>
      <c r="BJ81" s="483">
        <f>CF!BJ33</f>
        <v>0</v>
      </c>
      <c r="BK81" s="483">
        <f>CF!BK33</f>
        <v>7</v>
      </c>
      <c r="BL81" s="483">
        <f>CF!BL33</f>
        <v>0</v>
      </c>
      <c r="BM81" s="484">
        <f>CF!BM33</f>
        <v>0</v>
      </c>
      <c r="BN81" s="483">
        <f>CF!BN33</f>
        <v>0</v>
      </c>
      <c r="BO81" s="483">
        <f>CF!BO33</f>
        <v>0</v>
      </c>
      <c r="BP81" s="483">
        <f>CF!BP33</f>
        <v>0</v>
      </c>
      <c r="BQ81" s="484">
        <f>CF!BQ33</f>
        <v>0</v>
      </c>
      <c r="BR81" s="483">
        <f>CF!BR33</f>
        <v>1</v>
      </c>
      <c r="BS81" s="483">
        <f>CF!BS33</f>
        <v>0</v>
      </c>
      <c r="BT81" s="483">
        <f>CF!BT33</f>
        <v>20</v>
      </c>
      <c r="BU81" s="484">
        <f>CF!BU33</f>
        <v>0</v>
      </c>
      <c r="BV81" s="483">
        <f>CF!BV33</f>
        <v>0</v>
      </c>
      <c r="BW81" s="483">
        <f>CF!BW33</f>
        <v>0</v>
      </c>
      <c r="BX81" s="483"/>
      <c r="BY81" s="484">
        <f t="shared" ref="BY81:CC81" si="240">BY79*BY85</f>
        <v>0</v>
      </c>
      <c r="BZ81" s="874">
        <f t="shared" si="240"/>
        <v>0</v>
      </c>
      <c r="CA81" s="483">
        <f t="shared" si="240"/>
        <v>0</v>
      </c>
      <c r="CB81" s="483">
        <f t="shared" si="240"/>
        <v>0</v>
      </c>
      <c r="CC81" s="484">
        <f t="shared" si="240"/>
        <v>0</v>
      </c>
      <c r="CD81" s="9"/>
      <c r="CE81" s="29"/>
      <c r="CF81" s="29"/>
      <c r="CG81" s="29">
        <f>SUM(N81:Q81)</f>
        <v>0</v>
      </c>
      <c r="CH81" s="29">
        <f>SUM(R81:U81)</f>
        <v>0</v>
      </c>
      <c r="CI81" s="29">
        <f>SUM(V81:Y81)</f>
        <v>0</v>
      </c>
      <c r="CJ81" s="29">
        <f>SUM(Z81:AC81)</f>
        <v>0</v>
      </c>
      <c r="CK81" s="29">
        <f>SUM(AD81:AG81)</f>
        <v>0</v>
      </c>
      <c r="CL81" s="323">
        <f>SUM(AH81:AK81)</f>
        <v>0</v>
      </c>
      <c r="CM81" s="323">
        <f>SUM(AL81:AO81)</f>
        <v>29</v>
      </c>
      <c r="CN81" s="323">
        <f>SUM(AP81:AS81)</f>
        <v>0</v>
      </c>
      <c r="CO81" s="323">
        <f>SUM(AT81:AW81)</f>
        <v>0</v>
      </c>
      <c r="CP81" s="323">
        <f>SUM(AX81:BA81)</f>
        <v>76</v>
      </c>
      <c r="CQ81" s="323">
        <f>SUM(BB81:BE81)</f>
        <v>0</v>
      </c>
      <c r="CR81" s="327">
        <f>SUM(BF81:BI81)</f>
        <v>0</v>
      </c>
      <c r="CS81" s="323">
        <f>SUM(BJ81:BM81)</f>
        <v>7</v>
      </c>
      <c r="CT81" s="323">
        <f>SUM(BN81:BQ81)</f>
        <v>0</v>
      </c>
      <c r="CU81" s="483">
        <f>SUM(BR81:BU81)</f>
        <v>21</v>
      </c>
      <c r="CV81" s="483">
        <f>SUM(BV81:BY81)</f>
        <v>0</v>
      </c>
      <c r="CW81" s="483">
        <f>SUM(BZ81:CC81)</f>
        <v>0</v>
      </c>
      <c r="CX81" s="483">
        <f t="shared" ref="CX81:DC81" si="241">CX79*CX85</f>
        <v>0</v>
      </c>
      <c r="CY81" s="483">
        <f t="shared" si="241"/>
        <v>0</v>
      </c>
      <c r="CZ81" s="483">
        <f t="shared" si="241"/>
        <v>0</v>
      </c>
      <c r="DA81" s="483">
        <f t="shared" si="241"/>
        <v>0</v>
      </c>
      <c r="DB81" s="483">
        <f t="shared" si="241"/>
        <v>0</v>
      </c>
      <c r="DC81" s="483">
        <f t="shared" si="241"/>
        <v>0</v>
      </c>
      <c r="DD81" s="484"/>
      <c r="DE81" s="24"/>
      <c r="DF81" s="24"/>
      <c r="DG81" s="24"/>
      <c r="DH81" s="24"/>
      <c r="DI81" s="24"/>
      <c r="DJ81" s="24"/>
      <c r="DK81" s="24"/>
      <c r="DL81" s="24"/>
      <c r="DM81" s="24"/>
      <c r="DN81" s="24"/>
      <c r="DO81" s="24"/>
      <c r="DP81" s="24"/>
      <c r="DQ81" s="24"/>
      <c r="DR81" s="24"/>
    </row>
    <row r="82" spans="1:122" hidden="1" outlineLevel="1">
      <c r="A82" s="3"/>
      <c r="B82" s="8"/>
      <c r="C82" s="196"/>
      <c r="D82" s="201" t="s">
        <v>32</v>
      </c>
      <c r="E82" s="265"/>
      <c r="F82" s="562"/>
      <c r="G82" s="562"/>
      <c r="H82" s="562"/>
      <c r="I82" s="568"/>
      <c r="J82" s="562"/>
      <c r="K82" s="562"/>
      <c r="L82" s="562"/>
      <c r="M82" s="568"/>
      <c r="N82" s="562">
        <f t="shared" ref="N82:AC82" si="242">N83-SUM(N79:N81)</f>
        <v>-6.6958867745535713</v>
      </c>
      <c r="O82" s="562">
        <f t="shared" si="242"/>
        <v>-1.1025147600445848</v>
      </c>
      <c r="P82" s="562">
        <f t="shared" si="242"/>
        <v>-2.8226553292410586</v>
      </c>
      <c r="Q82" s="568">
        <f t="shared" si="242"/>
        <v>1.4780568638392424</v>
      </c>
      <c r="R82" s="562">
        <f t="shared" si="242"/>
        <v>295.33603603603609</v>
      </c>
      <c r="S82" s="562">
        <f t="shared" si="242"/>
        <v>32.888288288288322</v>
      </c>
      <c r="T82" s="562">
        <f t="shared" si="242"/>
        <v>-15.043243243243296</v>
      </c>
      <c r="U82" s="568">
        <f t="shared" si="242"/>
        <v>-216.58108108108104</v>
      </c>
      <c r="V82" s="562">
        <f t="shared" si="242"/>
        <v>18.470185657080492</v>
      </c>
      <c r="W82" s="562">
        <f t="shared" si="242"/>
        <v>6.815762650163947</v>
      </c>
      <c r="X82" s="562">
        <f t="shared" si="242"/>
        <v>-7.1310520567894855</v>
      </c>
      <c r="Y82" s="568">
        <f t="shared" si="242"/>
        <v>-54.954896250454908</v>
      </c>
      <c r="Z82" s="562">
        <f t="shared" si="242"/>
        <v>4.3026122448976594</v>
      </c>
      <c r="AA82" s="562">
        <f t="shared" si="242"/>
        <v>-9.4357499999997572</v>
      </c>
      <c r="AB82" s="562">
        <f t="shared" si="242"/>
        <v>-11.235750000000053</v>
      </c>
      <c r="AC82" s="568">
        <f t="shared" si="242"/>
        <v>12.368887755102151</v>
      </c>
      <c r="AD82" s="641">
        <f t="shared" ref="AD82:AT82" si="243">AD83-SUM(AD79:AD81)</f>
        <v>22</v>
      </c>
      <c r="AE82" s="641">
        <f t="shared" si="243"/>
        <v>-9</v>
      </c>
      <c r="AF82" s="641">
        <f t="shared" si="243"/>
        <v>21</v>
      </c>
      <c r="AG82" s="568">
        <f t="shared" si="243"/>
        <v>16</v>
      </c>
      <c r="AH82" s="641">
        <f t="shared" si="243"/>
        <v>690</v>
      </c>
      <c r="AI82" s="641">
        <f t="shared" si="243"/>
        <v>-14</v>
      </c>
      <c r="AJ82" s="641">
        <f t="shared" si="243"/>
        <v>-57</v>
      </c>
      <c r="AK82" s="643">
        <f t="shared" si="243"/>
        <v>63</v>
      </c>
      <c r="AL82" s="641">
        <f t="shared" si="243"/>
        <v>-39</v>
      </c>
      <c r="AM82" s="641">
        <f t="shared" si="243"/>
        <v>-72</v>
      </c>
      <c r="AN82" s="641">
        <f t="shared" si="243"/>
        <v>-37</v>
      </c>
      <c r="AO82" s="643">
        <f t="shared" si="243"/>
        <v>-39</v>
      </c>
      <c r="AP82" s="641">
        <f t="shared" si="243"/>
        <v>-14</v>
      </c>
      <c r="AQ82" s="641">
        <f t="shared" si="243"/>
        <v>-2</v>
      </c>
      <c r="AR82" s="641">
        <f t="shared" si="243"/>
        <v>12</v>
      </c>
      <c r="AS82" s="641">
        <f t="shared" si="243"/>
        <v>315</v>
      </c>
      <c r="AT82" s="1102">
        <f t="shared" si="243"/>
        <v>36</v>
      </c>
      <c r="AU82" s="641">
        <f t="shared" ref="AU82:BE82" si="244">AU83-SUM(AU79:AU81)</f>
        <v>-67</v>
      </c>
      <c r="AV82" s="641">
        <f t="shared" si="244"/>
        <v>-52</v>
      </c>
      <c r="AW82" s="643">
        <f t="shared" si="244"/>
        <v>-81</v>
      </c>
      <c r="AX82" s="641">
        <f t="shared" si="244"/>
        <v>9</v>
      </c>
      <c r="AY82" s="641">
        <f t="shared" si="244"/>
        <v>-97</v>
      </c>
      <c r="AZ82" s="641">
        <f t="shared" si="244"/>
        <v>2128</v>
      </c>
      <c r="BA82" s="643">
        <f t="shared" si="244"/>
        <v>-497</v>
      </c>
      <c r="BB82" s="641">
        <f t="shared" si="244"/>
        <v>-109</v>
      </c>
      <c r="BC82" s="641">
        <f t="shared" si="244"/>
        <v>-202</v>
      </c>
      <c r="BD82" s="641">
        <f t="shared" si="244"/>
        <v>-117</v>
      </c>
      <c r="BE82" s="643">
        <f t="shared" si="244"/>
        <v>-81</v>
      </c>
      <c r="BF82" s="641">
        <f>BF83-SUM(BF79:BF81)</f>
        <v>12</v>
      </c>
      <c r="BG82" s="641">
        <f>BG83-SUM(BG79:BG81)</f>
        <v>-55</v>
      </c>
      <c r="BH82" s="641">
        <f>BH83-SUM(BH79:BH81)</f>
        <v>-49</v>
      </c>
      <c r="BI82" s="643">
        <f>BI83-SUM(BI79:BI81)</f>
        <v>-29</v>
      </c>
      <c r="BJ82" s="1472">
        <v>0</v>
      </c>
      <c r="BK82" s="641">
        <f>BK83-SUM(BK79:BK81)</f>
        <v>-83</v>
      </c>
      <c r="BL82" s="641">
        <f>BL83-SUM(BL79:BL81)</f>
        <v>17</v>
      </c>
      <c r="BM82" s="643">
        <f>BM83-SUM(BM79:BM81)</f>
        <v>-72</v>
      </c>
      <c r="BN82" s="1472">
        <v>0</v>
      </c>
      <c r="BO82" s="1586">
        <v>0</v>
      </c>
      <c r="BP82" s="1586">
        <v>0</v>
      </c>
      <c r="BQ82" s="643">
        <f>BQ83-SUM(BQ79:BQ81)</f>
        <v>354</v>
      </c>
      <c r="BR82" s="1472">
        <v>0</v>
      </c>
      <c r="BS82" s="1586">
        <v>0</v>
      </c>
      <c r="BT82" s="1586">
        <v>0</v>
      </c>
      <c r="BU82" s="643">
        <f>BU83-SUM(BU79:BU81)</f>
        <v>-982</v>
      </c>
      <c r="BV82" s="1472">
        <v>0</v>
      </c>
      <c r="BW82" s="1586">
        <v>0</v>
      </c>
      <c r="BX82" s="2272">
        <v>-185.57586299999821</v>
      </c>
      <c r="BY82" s="1416">
        <v>0</v>
      </c>
      <c r="BZ82" s="956">
        <v>0</v>
      </c>
      <c r="CA82" s="876">
        <v>0</v>
      </c>
      <c r="CB82" s="876">
        <v>0</v>
      </c>
      <c r="CC82" s="1416">
        <v>0</v>
      </c>
      <c r="CD82" s="9"/>
      <c r="CE82" s="323"/>
      <c r="CF82" s="323"/>
      <c r="CG82" s="29">
        <f>SUM(N82:Q82)</f>
        <v>-9.1429999999999723</v>
      </c>
      <c r="CH82" s="29">
        <f>SUM(R82:U82)</f>
        <v>96.60000000000008</v>
      </c>
      <c r="CI82" s="29">
        <f>SUM(V82:Y82)</f>
        <v>-36.799999999999955</v>
      </c>
      <c r="CJ82" s="29">
        <f>SUM(Z82:AC82)</f>
        <v>-4</v>
      </c>
      <c r="CK82" s="29">
        <f>SUM(AD82:AG82)</f>
        <v>50</v>
      </c>
      <c r="CL82" s="323">
        <f>SUM(AH82:AK82)</f>
        <v>682</v>
      </c>
      <c r="CM82" s="323">
        <f>SUM(AL82:AO82)</f>
        <v>-187</v>
      </c>
      <c r="CN82" s="323">
        <f>SUM(AP82:AS82)</f>
        <v>311</v>
      </c>
      <c r="CO82" s="323">
        <f>SUM(AT82:AW82)</f>
        <v>-164</v>
      </c>
      <c r="CP82" s="323">
        <f>SUM(AX82:BA82)</f>
        <v>1543</v>
      </c>
      <c r="CQ82" s="323">
        <f>SUM(BB82:BE82)</f>
        <v>-509</v>
      </c>
      <c r="CR82" s="327">
        <f>SUM(BF82:BI82)</f>
        <v>-121</v>
      </c>
      <c r="CS82" s="323">
        <f>SUM(BJ82:BM82)</f>
        <v>-138</v>
      </c>
      <c r="CT82" s="323">
        <f>SUM(BN82:BQ82)</f>
        <v>354</v>
      </c>
      <c r="CU82" s="562">
        <f>SUM(BR82:BU82)</f>
        <v>-982</v>
      </c>
      <c r="CV82" s="483">
        <f>SUM(BV82:BY82)</f>
        <v>-185.57586299999821</v>
      </c>
      <c r="CW82" s="483">
        <f>SUM(BZ82:CC82)</f>
        <v>0</v>
      </c>
      <c r="CX82" s="876">
        <v>0</v>
      </c>
      <c r="CY82" s="876">
        <v>0</v>
      </c>
      <c r="CZ82" s="876">
        <v>0</v>
      </c>
      <c r="DA82" s="876">
        <v>0</v>
      </c>
      <c r="DB82" s="876">
        <v>0</v>
      </c>
      <c r="DC82" s="876">
        <v>0</v>
      </c>
      <c r="DD82" s="1416"/>
      <c r="DE82" s="24"/>
      <c r="DF82" s="24"/>
      <c r="DG82" s="24"/>
      <c r="DH82" s="24"/>
      <c r="DI82" s="24"/>
      <c r="DJ82" s="24"/>
      <c r="DK82" s="24"/>
      <c r="DL82" s="24"/>
      <c r="DM82" s="24"/>
      <c r="DN82" s="24"/>
      <c r="DO82" s="24"/>
      <c r="DP82" s="24"/>
      <c r="DQ82" s="24"/>
      <c r="DR82" s="24"/>
    </row>
    <row r="83" spans="1:122" hidden="1" outlineLevel="1">
      <c r="A83" s="3"/>
      <c r="B83" s="269"/>
      <c r="C83" s="4" t="s">
        <v>60</v>
      </c>
      <c r="D83" s="188"/>
      <c r="E83" s="267"/>
      <c r="F83" s="561"/>
      <c r="G83" s="561"/>
      <c r="H83" s="561"/>
      <c r="I83" s="566"/>
      <c r="J83" s="561"/>
      <c r="K83" s="561"/>
      <c r="L83" s="561"/>
      <c r="M83" s="566">
        <f>M24</f>
        <v>367.44299999999993</v>
      </c>
      <c r="N83" s="561">
        <f t="shared" ref="N83:AG83" si="245">N24</f>
        <v>373.10911322544638</v>
      </c>
      <c r="O83" s="561">
        <f t="shared" si="245"/>
        <v>387.43159846540181</v>
      </c>
      <c r="P83" s="561">
        <f t="shared" si="245"/>
        <v>400.39394313616077</v>
      </c>
      <c r="Q83" s="566">
        <f t="shared" si="245"/>
        <v>420.2</v>
      </c>
      <c r="R83" s="561">
        <f t="shared" si="245"/>
        <v>735.43603603603606</v>
      </c>
      <c r="S83" s="561">
        <f t="shared" si="245"/>
        <v>812.52432432432443</v>
      </c>
      <c r="T83" s="561">
        <f t="shared" si="245"/>
        <v>823.88108108108111</v>
      </c>
      <c r="U83" s="566">
        <f t="shared" si="245"/>
        <v>648.5</v>
      </c>
      <c r="V83" s="561">
        <f t="shared" si="245"/>
        <v>717.67018565708054</v>
      </c>
      <c r="W83" s="561">
        <f t="shared" si="245"/>
        <v>779.28594830724444</v>
      </c>
      <c r="X83" s="561">
        <f t="shared" si="245"/>
        <v>819.65489625045495</v>
      </c>
      <c r="Y83" s="566">
        <f t="shared" si="245"/>
        <v>845.1</v>
      </c>
      <c r="Z83" s="561">
        <f t="shared" si="245"/>
        <v>899.60261224489773</v>
      </c>
      <c r="AA83" s="561">
        <f t="shared" si="245"/>
        <v>942.16686224489797</v>
      </c>
      <c r="AB83" s="561">
        <f t="shared" si="245"/>
        <v>1034.8311122448979</v>
      </c>
      <c r="AC83" s="566">
        <f t="shared" si="245"/>
        <v>1143</v>
      </c>
      <c r="AD83" s="561">
        <f>AD24</f>
        <v>1237</v>
      </c>
      <c r="AE83" s="561">
        <f>AE24</f>
        <v>1325</v>
      </c>
      <c r="AF83" s="561">
        <f>AF24</f>
        <v>1415</v>
      </c>
      <c r="AG83" s="566">
        <f t="shared" si="245"/>
        <v>1517</v>
      </c>
      <c r="AH83" s="561">
        <f t="shared" ref="AH83:AM83" si="246">AH24</f>
        <v>2370</v>
      </c>
      <c r="AI83" s="561">
        <f t="shared" si="246"/>
        <v>2525</v>
      </c>
      <c r="AJ83" s="561">
        <f t="shared" si="246"/>
        <v>2605</v>
      </c>
      <c r="AK83" s="566">
        <f t="shared" si="246"/>
        <v>2814</v>
      </c>
      <c r="AL83" s="561">
        <f t="shared" si="246"/>
        <v>2937</v>
      </c>
      <c r="AM83" s="561">
        <f t="shared" si="246"/>
        <v>3005</v>
      </c>
      <c r="AN83" s="561">
        <f t="shared" ref="AN83:AS83" si="247">AN24</f>
        <v>3074</v>
      </c>
      <c r="AO83" s="566">
        <f t="shared" si="247"/>
        <v>3175</v>
      </c>
      <c r="AP83" s="561">
        <f t="shared" si="247"/>
        <v>3337</v>
      </c>
      <c r="AQ83" s="561">
        <f t="shared" si="247"/>
        <v>3534</v>
      </c>
      <c r="AR83" s="561">
        <f t="shared" si="247"/>
        <v>3723</v>
      </c>
      <c r="AS83" s="561">
        <f t="shared" si="247"/>
        <v>4223</v>
      </c>
      <c r="AT83" s="957">
        <f t="shared" ref="AT83:AY83" si="248">AT24</f>
        <v>4459</v>
      </c>
      <c r="AU83" s="561">
        <f t="shared" si="248"/>
        <v>4642</v>
      </c>
      <c r="AV83" s="561">
        <f t="shared" si="248"/>
        <v>4765</v>
      </c>
      <c r="AW83" s="566">
        <f t="shared" si="248"/>
        <v>4837</v>
      </c>
      <c r="AX83" s="561">
        <f t="shared" si="248"/>
        <v>4980</v>
      </c>
      <c r="AY83" s="561">
        <f t="shared" si="248"/>
        <v>5002</v>
      </c>
      <c r="AZ83" s="561">
        <f t="shared" ref="AZ83:BE83" si="249">AZ24</f>
        <v>7270</v>
      </c>
      <c r="BA83" s="566">
        <f t="shared" si="249"/>
        <v>7173</v>
      </c>
      <c r="BB83" s="561">
        <f t="shared" si="249"/>
        <v>7446</v>
      </c>
      <c r="BC83" s="561">
        <f t="shared" si="249"/>
        <v>7490</v>
      </c>
      <c r="BD83" s="561">
        <f t="shared" si="249"/>
        <v>7561</v>
      </c>
      <c r="BE83" s="566">
        <f t="shared" si="249"/>
        <v>7616</v>
      </c>
      <c r="BF83" s="561">
        <f>BF24</f>
        <v>7764</v>
      </c>
      <c r="BG83" s="561">
        <f>BG24</f>
        <v>7879</v>
      </c>
      <c r="BH83" s="561">
        <f>BH24</f>
        <v>7991</v>
      </c>
      <c r="BI83" s="566">
        <f>BI24</f>
        <v>8123</v>
      </c>
      <c r="BJ83" s="957">
        <f>SUM(BJ79:BJ82)</f>
        <v>8283</v>
      </c>
      <c r="BK83" s="561">
        <f>BK24</f>
        <v>8353</v>
      </c>
      <c r="BL83" s="561">
        <f>BL24</f>
        <v>8520</v>
      </c>
      <c r="BM83" s="566">
        <f>BM24</f>
        <v>8604</v>
      </c>
      <c r="BN83" s="957">
        <f>SUM(BN79:BN82)</f>
        <v>8755</v>
      </c>
      <c r="BO83" s="561">
        <f>SUM(BO79:BO82)</f>
        <v>8904</v>
      </c>
      <c r="BP83" s="561">
        <f>SUM(BP79:BP82)</f>
        <v>9037</v>
      </c>
      <c r="BQ83" s="566">
        <f>BQ24</f>
        <v>9632</v>
      </c>
      <c r="BR83" s="957">
        <f t="shared" ref="BR83:BY83" si="250">SUM(BR79:BR82)</f>
        <v>9844</v>
      </c>
      <c r="BS83" s="561">
        <f t="shared" si="250"/>
        <v>10033</v>
      </c>
      <c r="BT83" s="561">
        <f>SUM(BT79:BT82)</f>
        <v>10330</v>
      </c>
      <c r="BU83" s="566">
        <f>BU24</f>
        <v>9526</v>
      </c>
      <c r="BV83" s="957">
        <f>SUM(BV79:BV82)</f>
        <v>9812</v>
      </c>
      <c r="BW83" s="561">
        <f t="shared" ref="BW83" si="251">SUM(BW79:BW82)</f>
        <v>10441</v>
      </c>
      <c r="BX83" s="561">
        <f t="shared" si="250"/>
        <v>10599.061042500001</v>
      </c>
      <c r="BY83" s="566">
        <f t="shared" si="250"/>
        <v>10943.042532048201</v>
      </c>
      <c r="BZ83" s="957">
        <f>SUM(BZ79:BZ82)</f>
        <v>11272.625769204022</v>
      </c>
      <c r="CA83" s="561">
        <f>SUM(CA79:CA82)</f>
        <v>11596.982755972789</v>
      </c>
      <c r="CB83" s="561">
        <f>SUM(CB79:CB82)</f>
        <v>11875.016428281479</v>
      </c>
      <c r="CC83" s="566">
        <f>SUM(CC79:CC82)</f>
        <v>12138.184531353267</v>
      </c>
      <c r="CD83" s="109"/>
      <c r="CE83" s="324"/>
      <c r="CF83" s="324">
        <f>CF24</f>
        <v>367.44299999999993</v>
      </c>
      <c r="CG83" s="324">
        <f t="shared" ref="CG83:CN83" si="252">SUM(CG79:CG82)</f>
        <v>420.19999999999993</v>
      </c>
      <c r="CH83" s="324">
        <f t="shared" si="252"/>
        <v>648.5</v>
      </c>
      <c r="CI83" s="324">
        <f t="shared" si="252"/>
        <v>845.1</v>
      </c>
      <c r="CJ83" s="324">
        <f t="shared" si="252"/>
        <v>1143</v>
      </c>
      <c r="CK83" s="324">
        <f t="shared" si="252"/>
        <v>1517</v>
      </c>
      <c r="CL83" s="324">
        <f t="shared" si="252"/>
        <v>2814</v>
      </c>
      <c r="CM83" s="324">
        <f t="shared" si="252"/>
        <v>3175</v>
      </c>
      <c r="CN83" s="324">
        <f t="shared" si="252"/>
        <v>4223</v>
      </c>
      <c r="CO83" s="561">
        <f t="shared" ref="CO83:CT83" si="253">SUM(CO79:CO82)</f>
        <v>4837</v>
      </c>
      <c r="CP83" s="561">
        <f t="shared" si="253"/>
        <v>7173</v>
      </c>
      <c r="CQ83" s="561">
        <f t="shared" si="253"/>
        <v>7616</v>
      </c>
      <c r="CR83" s="957">
        <f t="shared" si="253"/>
        <v>8123</v>
      </c>
      <c r="CS83" s="561">
        <f t="shared" si="253"/>
        <v>8604</v>
      </c>
      <c r="CT83" s="561">
        <f t="shared" si="253"/>
        <v>9632</v>
      </c>
      <c r="CU83" s="561">
        <f t="shared" ref="CU83:DA83" si="254">SUM(CU79:CU82)</f>
        <v>9526</v>
      </c>
      <c r="CV83" s="561">
        <f t="shared" si="254"/>
        <v>10943.042532048203</v>
      </c>
      <c r="CW83" s="561">
        <f>SUM(CW79:CW82)</f>
        <v>12138.184531353269</v>
      </c>
      <c r="CX83" s="561">
        <f t="shared" si="254"/>
        <v>13468.870144168113</v>
      </c>
      <c r="CY83" s="561">
        <f t="shared" si="254"/>
        <v>14847.796125733028</v>
      </c>
      <c r="CZ83" s="561">
        <f t="shared" si="254"/>
        <v>16389.317767970326</v>
      </c>
      <c r="DA83" s="561">
        <f t="shared" si="254"/>
        <v>18002.285050493636</v>
      </c>
      <c r="DB83" s="561">
        <f>SUM(DB79:DB82)</f>
        <v>19696.224925797789</v>
      </c>
      <c r="DC83" s="561">
        <f>SUM(DC79:DC82)</f>
        <v>21481.869971025615</v>
      </c>
      <c r="DD83" s="566"/>
      <c r="DE83" s="24"/>
      <c r="DF83" s="24"/>
      <c r="DG83" s="24"/>
      <c r="DH83" s="24"/>
      <c r="DI83" s="24"/>
      <c r="DJ83" s="24"/>
      <c r="DK83" s="24"/>
      <c r="DL83" s="24"/>
      <c r="DM83" s="24"/>
      <c r="DN83" s="24"/>
      <c r="DO83" s="24"/>
      <c r="DP83" s="24"/>
      <c r="DQ83" s="24"/>
      <c r="DR83" s="24"/>
    </row>
    <row r="84" spans="1:122" hidden="1" outlineLevel="1">
      <c r="A84" s="3"/>
      <c r="B84" s="269"/>
      <c r="C84" s="3" t="s">
        <v>58</v>
      </c>
      <c r="D84" s="201"/>
      <c r="E84" s="265"/>
      <c r="F84" s="562"/>
      <c r="G84" s="562"/>
      <c r="H84" s="562"/>
      <c r="I84" s="568"/>
      <c r="J84" s="562"/>
      <c r="K84" s="562"/>
      <c r="L84" s="562"/>
      <c r="M84" s="568"/>
      <c r="N84" s="562">
        <f t="shared" ref="N84:U84" si="255">AVERAGE(N79,N83)</f>
        <v>370.27605661272315</v>
      </c>
      <c r="O84" s="562">
        <f t="shared" si="255"/>
        <v>380.27035584542409</v>
      </c>
      <c r="P84" s="562">
        <f t="shared" si="255"/>
        <v>393.91277080078129</v>
      </c>
      <c r="Q84" s="568">
        <f t="shared" si="255"/>
        <v>410.29697156808038</v>
      </c>
      <c r="R84" s="562">
        <f t="shared" si="255"/>
        <v>577.81801801801805</v>
      </c>
      <c r="S84" s="562">
        <f t="shared" si="255"/>
        <v>773.98018018018024</v>
      </c>
      <c r="T84" s="562">
        <f t="shared" si="255"/>
        <v>818.20270270270271</v>
      </c>
      <c r="U84" s="568">
        <f t="shared" si="255"/>
        <v>736.1905405405405</v>
      </c>
      <c r="V84" s="562">
        <f t="shared" ref="V84:AH84" si="256">AVERAGE(V79,V83)</f>
        <v>683.08509282854027</v>
      </c>
      <c r="W84" s="562">
        <f t="shared" si="256"/>
        <v>748.47806698216255</v>
      </c>
      <c r="X84" s="562">
        <f t="shared" si="256"/>
        <v>799.4704222788497</v>
      </c>
      <c r="Y84" s="568">
        <f t="shared" si="256"/>
        <v>832.37744812522749</v>
      </c>
      <c r="Z84" s="562">
        <f t="shared" si="256"/>
        <v>872.35130612244893</v>
      </c>
      <c r="AA84" s="562">
        <f t="shared" si="256"/>
        <v>920.88473724489791</v>
      </c>
      <c r="AB84" s="562">
        <f t="shared" si="256"/>
        <v>988.49898724489799</v>
      </c>
      <c r="AC84" s="568">
        <f t="shared" si="256"/>
        <v>1088.9155561224488</v>
      </c>
      <c r="AD84" s="562">
        <f t="shared" si="256"/>
        <v>1190</v>
      </c>
      <c r="AE84" s="562">
        <f t="shared" si="256"/>
        <v>1281</v>
      </c>
      <c r="AF84" s="562">
        <f t="shared" si="256"/>
        <v>1370</v>
      </c>
      <c r="AG84" s="568">
        <f t="shared" si="256"/>
        <v>1466</v>
      </c>
      <c r="AH84" s="562">
        <f t="shared" si="256"/>
        <v>1943.5</v>
      </c>
      <c r="AI84" s="641">
        <f t="shared" ref="AI84:BE84" si="257">AVERAGE(AI79,AI83)</f>
        <v>2447.5</v>
      </c>
      <c r="AJ84" s="562">
        <f t="shared" si="257"/>
        <v>2565</v>
      </c>
      <c r="AK84" s="568">
        <f t="shared" si="257"/>
        <v>2709.5</v>
      </c>
      <c r="AL84" s="562">
        <f t="shared" si="257"/>
        <v>2875.5</v>
      </c>
      <c r="AM84" s="562">
        <f t="shared" si="257"/>
        <v>2971</v>
      </c>
      <c r="AN84" s="562">
        <f t="shared" si="257"/>
        <v>3039.5</v>
      </c>
      <c r="AO84" s="568">
        <f t="shared" si="257"/>
        <v>3124.5</v>
      </c>
      <c r="AP84" s="562">
        <f t="shared" si="257"/>
        <v>3256</v>
      </c>
      <c r="AQ84" s="562">
        <f t="shared" si="257"/>
        <v>3435.5</v>
      </c>
      <c r="AR84" s="562">
        <f t="shared" si="257"/>
        <v>3628.5</v>
      </c>
      <c r="AS84" s="562">
        <f t="shared" si="257"/>
        <v>3973</v>
      </c>
      <c r="AT84" s="958">
        <f t="shared" si="257"/>
        <v>4341</v>
      </c>
      <c r="AU84" s="562">
        <f t="shared" si="257"/>
        <v>4550.5</v>
      </c>
      <c r="AV84" s="562">
        <f t="shared" si="257"/>
        <v>4703.5</v>
      </c>
      <c r="AW84" s="568">
        <f t="shared" si="257"/>
        <v>4801</v>
      </c>
      <c r="AX84" s="562">
        <f t="shared" si="257"/>
        <v>4908.5</v>
      </c>
      <c r="AY84" s="562">
        <f t="shared" si="257"/>
        <v>4991</v>
      </c>
      <c r="AZ84" s="562">
        <f t="shared" si="257"/>
        <v>6136</v>
      </c>
      <c r="BA84" s="568">
        <f t="shared" si="257"/>
        <v>7221.5</v>
      </c>
      <c r="BB84" s="562">
        <f t="shared" si="257"/>
        <v>7309.5</v>
      </c>
      <c r="BC84" s="562">
        <f t="shared" si="257"/>
        <v>7468</v>
      </c>
      <c r="BD84" s="562">
        <f t="shared" si="257"/>
        <v>7525.5</v>
      </c>
      <c r="BE84" s="568">
        <f t="shared" si="257"/>
        <v>7588.5</v>
      </c>
      <c r="BF84" s="562">
        <f>AVERAGE(BF79,BF83)</f>
        <v>7690</v>
      </c>
      <c r="BG84" s="562">
        <f>AVERAGE(BG79,BG83)</f>
        <v>7821.5</v>
      </c>
      <c r="BH84" s="562">
        <f>AVERAGE(BH79,BH83)</f>
        <v>7935</v>
      </c>
      <c r="BI84" s="568">
        <f>AVERAGE(BI79,BI83)</f>
        <v>8057</v>
      </c>
      <c r="BJ84" s="562">
        <f t="shared" ref="BJ84:BO84" si="258">AVERAGE(BJ79,BJ83)</f>
        <v>8203</v>
      </c>
      <c r="BK84" s="562">
        <f t="shared" si="258"/>
        <v>8318</v>
      </c>
      <c r="BL84" s="562">
        <f t="shared" si="258"/>
        <v>8436.5</v>
      </c>
      <c r="BM84" s="568">
        <f t="shared" si="258"/>
        <v>8562</v>
      </c>
      <c r="BN84" s="562">
        <f t="shared" si="258"/>
        <v>8679.5</v>
      </c>
      <c r="BO84" s="562">
        <f t="shared" si="258"/>
        <v>8829.5</v>
      </c>
      <c r="BP84" s="562">
        <f t="shared" ref="BP84:BU84" si="259">AVERAGE(BP79,BP83)</f>
        <v>8970.5</v>
      </c>
      <c r="BQ84" s="568">
        <f t="shared" si="259"/>
        <v>9334.5</v>
      </c>
      <c r="BR84" s="562">
        <f t="shared" si="259"/>
        <v>9738</v>
      </c>
      <c r="BS84" s="562">
        <f t="shared" si="259"/>
        <v>9938.5</v>
      </c>
      <c r="BT84" s="562">
        <f t="shared" si="259"/>
        <v>10181.5</v>
      </c>
      <c r="BU84" s="568">
        <f t="shared" si="259"/>
        <v>9928</v>
      </c>
      <c r="BV84" s="562">
        <f>AVERAGE(BV79,BV83)</f>
        <v>9669</v>
      </c>
      <c r="BW84" s="562">
        <f t="shared" ref="BW84" si="260">AVERAGE(BW79,BW83)</f>
        <v>10126.5</v>
      </c>
      <c r="BX84" s="562">
        <f t="shared" ref="BX84:CC84" si="261">AVERAGE(BX79,BX83)</f>
        <v>10520.030521250001</v>
      </c>
      <c r="BY84" s="568">
        <f t="shared" si="261"/>
        <v>10771.0517872741</v>
      </c>
      <c r="BZ84" s="958">
        <f t="shared" si="261"/>
        <v>11107.834150626111</v>
      </c>
      <c r="CA84" s="562">
        <f t="shared" si="261"/>
        <v>11434.804262588405</v>
      </c>
      <c r="CB84" s="562">
        <f t="shared" si="261"/>
        <v>11735.999592127133</v>
      </c>
      <c r="CC84" s="568">
        <f t="shared" si="261"/>
        <v>12006.600479817373</v>
      </c>
      <c r="CD84" s="9"/>
      <c r="CE84" s="324"/>
      <c r="CF84" s="324"/>
      <c r="CG84" s="324">
        <f t="shared" ref="CG84:CM84" si="262">AVERAGE(CG79,CG83)</f>
        <v>393.8214999999999</v>
      </c>
      <c r="CH84" s="324">
        <f t="shared" si="262"/>
        <v>534.34999999999991</v>
      </c>
      <c r="CI84" s="324">
        <f t="shared" si="262"/>
        <v>746.8</v>
      </c>
      <c r="CJ84" s="324">
        <f t="shared" si="262"/>
        <v>994.05</v>
      </c>
      <c r="CK84" s="324">
        <f t="shared" si="262"/>
        <v>1330</v>
      </c>
      <c r="CL84" s="324">
        <f t="shared" si="262"/>
        <v>2165.5</v>
      </c>
      <c r="CM84" s="324">
        <f t="shared" si="262"/>
        <v>2994.5</v>
      </c>
      <c r="CN84" s="324">
        <f t="shared" ref="CN84:CT84" si="263">AVERAGE(CN79,CN83)</f>
        <v>3699</v>
      </c>
      <c r="CO84" s="324">
        <f t="shared" si="263"/>
        <v>4530</v>
      </c>
      <c r="CP84" s="324">
        <f t="shared" si="263"/>
        <v>6005</v>
      </c>
      <c r="CQ84" s="324">
        <f t="shared" si="263"/>
        <v>7394.5</v>
      </c>
      <c r="CR84" s="327">
        <f t="shared" si="263"/>
        <v>7869.5</v>
      </c>
      <c r="CS84" s="323">
        <f t="shared" si="263"/>
        <v>8363.5</v>
      </c>
      <c r="CT84" s="323">
        <f t="shared" si="263"/>
        <v>9118</v>
      </c>
      <c r="CU84" s="323">
        <f t="shared" ref="CU84:DA84" si="264">AVERAGE(CU79,CU83)</f>
        <v>9579</v>
      </c>
      <c r="CV84" s="323">
        <f t="shared" si="264"/>
        <v>10234.521266024101</v>
      </c>
      <c r="CW84" s="323">
        <f>AVERAGE(CW79,CW83)</f>
        <v>11540.613531700736</v>
      </c>
      <c r="CX84" s="323">
        <f t="shared" si="264"/>
        <v>12803.52733776069</v>
      </c>
      <c r="CY84" s="323">
        <f t="shared" si="264"/>
        <v>14158.333134950572</v>
      </c>
      <c r="CZ84" s="323">
        <f t="shared" si="264"/>
        <v>15618.556946851677</v>
      </c>
      <c r="DA84" s="323">
        <f t="shared" si="264"/>
        <v>17195.801409231979</v>
      </c>
      <c r="DB84" s="323">
        <f>AVERAGE(DB79,DB83)</f>
        <v>18849.254988145713</v>
      </c>
      <c r="DC84" s="323">
        <f>AVERAGE(DC79,DC83)</f>
        <v>20589.0474484117</v>
      </c>
      <c r="DD84" s="566"/>
      <c r="DE84" s="24"/>
      <c r="DF84" s="24"/>
      <c r="DG84" s="24"/>
      <c r="DH84" s="24"/>
      <c r="DI84" s="24"/>
      <c r="DJ84" s="24"/>
      <c r="DK84" s="24"/>
      <c r="DL84" s="24"/>
      <c r="DM84" s="24"/>
      <c r="DN84" s="24"/>
      <c r="DO84" s="24"/>
      <c r="DP84" s="24"/>
      <c r="DQ84" s="24"/>
      <c r="DR84" s="24"/>
    </row>
    <row r="85" spans="1:122" hidden="1" outlineLevel="1">
      <c r="A85" s="3"/>
      <c r="B85" s="270"/>
      <c r="C85" s="201" t="s">
        <v>62</v>
      </c>
      <c r="D85" s="201"/>
      <c r="E85" s="265"/>
      <c r="F85" s="567"/>
      <c r="G85" s="567"/>
      <c r="H85" s="567"/>
      <c r="I85" s="569"/>
      <c r="J85" s="567"/>
      <c r="K85" s="567"/>
      <c r="L85" s="567"/>
      <c r="M85" s="569"/>
      <c r="N85" s="875">
        <f>-N81/N79</f>
        <v>0</v>
      </c>
      <c r="O85" s="567">
        <f t="shared" ref="O85:AJ85" si="265">-O81/O79</f>
        <v>0</v>
      </c>
      <c r="P85" s="567">
        <f t="shared" si="265"/>
        <v>0</v>
      </c>
      <c r="Q85" s="569">
        <f t="shared" si="265"/>
        <v>0</v>
      </c>
      <c r="R85" s="875">
        <f>-R81/R79</f>
        <v>0</v>
      </c>
      <c r="S85" s="567">
        <f t="shared" si="265"/>
        <v>0</v>
      </c>
      <c r="T85" s="567">
        <f t="shared" si="265"/>
        <v>0</v>
      </c>
      <c r="U85" s="569">
        <f t="shared" si="265"/>
        <v>0</v>
      </c>
      <c r="V85" s="875">
        <f>-V81/V79</f>
        <v>0</v>
      </c>
      <c r="W85" s="567">
        <f t="shared" si="265"/>
        <v>0</v>
      </c>
      <c r="X85" s="567">
        <f t="shared" si="265"/>
        <v>0</v>
      </c>
      <c r="Y85" s="569">
        <f t="shared" si="265"/>
        <v>0</v>
      </c>
      <c r="Z85" s="875">
        <f>-Z81/Z79</f>
        <v>0</v>
      </c>
      <c r="AA85" s="567">
        <f t="shared" si="265"/>
        <v>0</v>
      </c>
      <c r="AB85" s="567">
        <f t="shared" si="265"/>
        <v>0</v>
      </c>
      <c r="AC85" s="569">
        <f t="shared" si="265"/>
        <v>0</v>
      </c>
      <c r="AD85" s="875">
        <f>-AD81/AD79</f>
        <v>0</v>
      </c>
      <c r="AE85" s="567">
        <f t="shared" si="265"/>
        <v>0</v>
      </c>
      <c r="AF85" s="567">
        <f t="shared" si="265"/>
        <v>0</v>
      </c>
      <c r="AG85" s="569">
        <f t="shared" si="265"/>
        <v>0</v>
      </c>
      <c r="AH85" s="875">
        <f>-AH81/AH79</f>
        <v>0</v>
      </c>
      <c r="AI85" s="567">
        <f t="shared" si="265"/>
        <v>0</v>
      </c>
      <c r="AJ85" s="567">
        <f t="shared" si="265"/>
        <v>0</v>
      </c>
      <c r="AK85" s="569">
        <f t="shared" ref="AK85:AP85" si="266">-AK81/AK79</f>
        <v>0</v>
      </c>
      <c r="AL85" s="567">
        <f t="shared" si="266"/>
        <v>0</v>
      </c>
      <c r="AM85" s="567">
        <f t="shared" si="266"/>
        <v>0</v>
      </c>
      <c r="AN85" s="567">
        <f t="shared" si="266"/>
        <v>0</v>
      </c>
      <c r="AO85" s="569">
        <f t="shared" si="266"/>
        <v>-9.433962264150943E-3</v>
      </c>
      <c r="AP85" s="567">
        <f t="shared" si="266"/>
        <v>0</v>
      </c>
      <c r="AQ85" s="567">
        <f t="shared" ref="AQ85:AV85" si="267">-AQ81/AQ79</f>
        <v>0</v>
      </c>
      <c r="AR85" s="567">
        <f t="shared" si="267"/>
        <v>0</v>
      </c>
      <c r="AS85" s="567">
        <f t="shared" si="267"/>
        <v>0</v>
      </c>
      <c r="AT85" s="875">
        <f t="shared" si="267"/>
        <v>0</v>
      </c>
      <c r="AU85" s="567">
        <f t="shared" si="267"/>
        <v>0</v>
      </c>
      <c r="AV85" s="567">
        <f t="shared" si="267"/>
        <v>0</v>
      </c>
      <c r="AW85" s="569">
        <f t="shared" ref="AW85:BB85" si="268">-AW81/AW79</f>
        <v>0</v>
      </c>
      <c r="AX85" s="567">
        <f t="shared" si="268"/>
        <v>0</v>
      </c>
      <c r="AY85" s="567">
        <f t="shared" si="268"/>
        <v>0</v>
      </c>
      <c r="AZ85" s="567">
        <f t="shared" si="268"/>
        <v>0</v>
      </c>
      <c r="BA85" s="569">
        <f t="shared" si="268"/>
        <v>-1.0453920220082531E-2</v>
      </c>
      <c r="BB85" s="567">
        <f t="shared" si="268"/>
        <v>0</v>
      </c>
      <c r="BC85" s="567">
        <f t="shared" ref="BC85:BH85" si="269">-BC81/BC79</f>
        <v>0</v>
      </c>
      <c r="BD85" s="567">
        <f t="shared" si="269"/>
        <v>0</v>
      </c>
      <c r="BE85" s="569">
        <f t="shared" si="269"/>
        <v>0</v>
      </c>
      <c r="BF85" s="567">
        <f>-BF81/BF79</f>
        <v>0</v>
      </c>
      <c r="BG85" s="567">
        <f t="shared" si="269"/>
        <v>0</v>
      </c>
      <c r="BH85" s="567">
        <f t="shared" si="269"/>
        <v>0</v>
      </c>
      <c r="BI85" s="569">
        <f t="shared" ref="BI85:BN85" si="270">-BI81/BI79</f>
        <v>0</v>
      </c>
      <c r="BJ85" s="567">
        <f t="shared" si="270"/>
        <v>0</v>
      </c>
      <c r="BK85" s="567">
        <f t="shared" si="270"/>
        <v>-8.4510443076180129E-4</v>
      </c>
      <c r="BL85" s="567">
        <f t="shared" si="270"/>
        <v>0</v>
      </c>
      <c r="BM85" s="569">
        <f t="shared" si="270"/>
        <v>0</v>
      </c>
      <c r="BN85" s="567">
        <f t="shared" si="270"/>
        <v>0</v>
      </c>
      <c r="BO85" s="567">
        <f t="shared" ref="BO85:BT85" si="271">-BO81/BO79</f>
        <v>0</v>
      </c>
      <c r="BP85" s="567">
        <f t="shared" si="271"/>
        <v>0</v>
      </c>
      <c r="BQ85" s="569">
        <f t="shared" si="271"/>
        <v>0</v>
      </c>
      <c r="BR85" s="567">
        <f t="shared" si="271"/>
        <v>-1.0382059800664452E-4</v>
      </c>
      <c r="BS85" s="567">
        <f t="shared" si="271"/>
        <v>0</v>
      </c>
      <c r="BT85" s="567">
        <f t="shared" si="271"/>
        <v>-1.9934217083624039E-3</v>
      </c>
      <c r="BU85" s="569">
        <f>-BU81/BU79</f>
        <v>0</v>
      </c>
      <c r="BV85" s="567">
        <f>-BV81/BV79</f>
        <v>0</v>
      </c>
      <c r="BW85" s="567">
        <f t="shared" ref="BW85" si="272">-BW81/BW79</f>
        <v>0</v>
      </c>
      <c r="BX85" s="793">
        <v>0</v>
      </c>
      <c r="BY85" s="1417">
        <v>0</v>
      </c>
      <c r="BZ85" s="959">
        <v>0</v>
      </c>
      <c r="CA85" s="793">
        <v>0</v>
      </c>
      <c r="CB85" s="793">
        <v>0</v>
      </c>
      <c r="CC85" s="1417">
        <v>0</v>
      </c>
      <c r="CD85" s="9"/>
      <c r="CE85" s="19"/>
      <c r="CF85" s="19"/>
      <c r="CG85" s="19">
        <f>CG81/CG79</f>
        <v>0</v>
      </c>
      <c r="CH85" s="19">
        <f t="shared" ref="CH85:CM85" si="273">CH81/CH79</f>
        <v>0</v>
      </c>
      <c r="CI85" s="19">
        <f t="shared" si="273"/>
        <v>0</v>
      </c>
      <c r="CJ85" s="19">
        <f t="shared" si="273"/>
        <v>0</v>
      </c>
      <c r="CK85" s="19">
        <f t="shared" si="273"/>
        <v>0</v>
      </c>
      <c r="CL85" s="19">
        <f t="shared" si="273"/>
        <v>0</v>
      </c>
      <c r="CM85" s="19">
        <f t="shared" si="273"/>
        <v>1.0305614783226724E-2</v>
      </c>
      <c r="CN85" s="19">
        <f t="shared" ref="CN85:CS85" si="274">CN81/CN79</f>
        <v>0</v>
      </c>
      <c r="CO85" s="19">
        <f t="shared" si="274"/>
        <v>0</v>
      </c>
      <c r="CP85" s="19">
        <f t="shared" si="274"/>
        <v>1.5712218317138722E-2</v>
      </c>
      <c r="CQ85" s="19">
        <f t="shared" si="274"/>
        <v>0</v>
      </c>
      <c r="CR85" s="26">
        <f t="shared" si="274"/>
        <v>0</v>
      </c>
      <c r="CS85" s="19">
        <f t="shared" si="274"/>
        <v>8.6175058475932537E-4</v>
      </c>
      <c r="CT85" s="19">
        <f>CT81/CT79</f>
        <v>0</v>
      </c>
      <c r="CU85" s="19">
        <f>CU81/CU79</f>
        <v>2.1802325581395349E-3</v>
      </c>
      <c r="CV85" s="19">
        <f>CV81/CV79</f>
        <v>0</v>
      </c>
      <c r="CW85" s="19">
        <f>CW81/CW79</f>
        <v>0</v>
      </c>
      <c r="CX85" s="251">
        <v>0</v>
      </c>
      <c r="CY85" s="251">
        <v>0</v>
      </c>
      <c r="CZ85" s="251">
        <v>0</v>
      </c>
      <c r="DA85" s="251">
        <v>0</v>
      </c>
      <c r="DB85" s="251">
        <v>0</v>
      </c>
      <c r="DC85" s="251">
        <v>0</v>
      </c>
      <c r="DD85" s="566"/>
      <c r="DE85" s="24"/>
      <c r="DF85" s="24"/>
      <c r="DG85" s="24"/>
      <c r="DH85" s="24"/>
      <c r="DI85" s="24"/>
      <c r="DJ85" s="24"/>
      <c r="DK85" s="24"/>
      <c r="DL85" s="24"/>
      <c r="DM85" s="24"/>
      <c r="DN85" s="24"/>
      <c r="DO85" s="24"/>
      <c r="DP85" s="24"/>
      <c r="DQ85" s="24"/>
      <c r="DR85" s="24"/>
    </row>
    <row r="86" spans="1:122" hidden="1" outlineLevel="1">
      <c r="A86" s="3"/>
      <c r="B86" s="270"/>
      <c r="C86" s="201"/>
      <c r="D86" s="201"/>
      <c r="E86" s="265"/>
      <c r="F86" s="264"/>
      <c r="G86" s="264"/>
      <c r="H86" s="264"/>
      <c r="I86" s="265"/>
      <c r="J86" s="264"/>
      <c r="K86" s="264"/>
      <c r="L86" s="264"/>
      <c r="M86" s="265"/>
      <c r="N86" s="264"/>
      <c r="O86" s="264"/>
      <c r="P86" s="264"/>
      <c r="Q86" s="265"/>
      <c r="R86" s="264"/>
      <c r="S86" s="264"/>
      <c r="T86" s="264"/>
      <c r="U86" s="265"/>
      <c r="V86" s="96"/>
      <c r="W86" s="96"/>
      <c r="X86" s="96"/>
      <c r="Y86" s="97"/>
      <c r="Z86" s="96"/>
      <c r="AA86" s="96"/>
      <c r="AB86" s="96"/>
      <c r="AC86" s="97"/>
      <c r="AD86" s="96"/>
      <c r="AE86" s="96"/>
      <c r="AF86" s="96"/>
      <c r="AG86" s="97"/>
      <c r="AH86" s="96"/>
      <c r="AI86" s="35"/>
      <c r="AJ86" s="35"/>
      <c r="AK86" s="66"/>
      <c r="AL86" s="35"/>
      <c r="AM86" s="35"/>
      <c r="AN86" s="35"/>
      <c r="AO86" s="66"/>
      <c r="AP86" s="35"/>
      <c r="AQ86" s="35"/>
      <c r="AR86" s="35"/>
      <c r="AS86" s="35"/>
      <c r="AT86" s="34"/>
      <c r="AU86" s="35"/>
      <c r="AV86" s="35"/>
      <c r="AW86" s="66"/>
      <c r="AX86" s="35"/>
      <c r="AY86" s="35"/>
      <c r="AZ86" s="35"/>
      <c r="BA86" s="66"/>
      <c r="BB86" s="35"/>
      <c r="BC86" s="35"/>
      <c r="BD86" s="35"/>
      <c r="BE86" s="66"/>
      <c r="BF86" s="35"/>
      <c r="BG86" s="35"/>
      <c r="BH86" s="35"/>
      <c r="BI86" s="66"/>
      <c r="BJ86" s="34"/>
      <c r="BK86" s="35"/>
      <c r="BL86" s="35"/>
      <c r="BM86" s="66"/>
      <c r="BN86" s="34"/>
      <c r="BO86" s="35"/>
      <c r="BP86" s="35"/>
      <c r="BQ86" s="66"/>
      <c r="BR86" s="34"/>
      <c r="BS86" s="35"/>
      <c r="BT86" s="35"/>
      <c r="BU86" s="66"/>
      <c r="BV86" s="34"/>
      <c r="BW86" s="35"/>
      <c r="BX86" s="35"/>
      <c r="BY86" s="66"/>
      <c r="BZ86" s="34"/>
      <c r="CA86" s="35"/>
      <c r="CB86" s="35"/>
      <c r="CC86" s="66"/>
      <c r="CD86" s="9"/>
      <c r="CE86" s="96"/>
      <c r="CF86" s="96"/>
      <c r="CG86" s="96"/>
      <c r="CH86" s="96"/>
      <c r="CI86" s="96"/>
      <c r="CJ86" s="96"/>
      <c r="CK86" s="96"/>
      <c r="CL86" s="96"/>
      <c r="CM86" s="96"/>
      <c r="CN86" s="96"/>
      <c r="CO86" s="96"/>
      <c r="CP86" s="96"/>
      <c r="CQ86" s="96"/>
      <c r="CR86" s="76"/>
      <c r="CS86" s="96"/>
      <c r="CT86" s="324"/>
      <c r="CU86" s="324"/>
      <c r="CV86" s="324"/>
      <c r="CW86" s="96"/>
      <c r="CX86" s="96"/>
      <c r="CY86" s="96"/>
      <c r="CZ86" s="96"/>
      <c r="DA86" s="96"/>
      <c r="DB86" s="96"/>
      <c r="DC86" s="96"/>
      <c r="DD86" s="566"/>
      <c r="DE86" s="24"/>
      <c r="DF86" s="24"/>
      <c r="DG86" s="24"/>
      <c r="DH86" s="24"/>
      <c r="DI86" s="24"/>
      <c r="DJ86" s="24"/>
      <c r="DK86" s="24"/>
      <c r="DL86" s="24"/>
      <c r="DM86" s="24"/>
      <c r="DN86" s="24"/>
      <c r="DO86" s="24"/>
      <c r="DP86" s="24"/>
      <c r="DQ86" s="24"/>
      <c r="DR86" s="24"/>
    </row>
    <row r="87" spans="1:122" hidden="1" outlineLevel="1">
      <c r="A87" s="3"/>
      <c r="B87" s="209" t="s">
        <v>63</v>
      </c>
      <c r="C87" s="201"/>
      <c r="D87" s="201"/>
      <c r="E87" s="202"/>
      <c r="F87" s="201"/>
      <c r="G87" s="201"/>
      <c r="H87" s="201"/>
      <c r="I87" s="202"/>
      <c r="J87" s="201"/>
      <c r="K87" s="201"/>
      <c r="L87" s="201"/>
      <c r="M87" s="202"/>
      <c r="N87" s="201"/>
      <c r="O87" s="201"/>
      <c r="P87" s="201"/>
      <c r="Q87" s="202"/>
      <c r="R87" s="201"/>
      <c r="S87" s="201"/>
      <c r="T87" s="201"/>
      <c r="U87" s="202"/>
      <c r="V87" s="3"/>
      <c r="W87" s="290"/>
      <c r="X87" s="290"/>
      <c r="Y87" s="291"/>
      <c r="Z87" s="290"/>
      <c r="AA87" s="290"/>
      <c r="AB87" s="290"/>
      <c r="AC87" s="291"/>
      <c r="AD87" s="290"/>
      <c r="AE87" s="290"/>
      <c r="AF87" s="290"/>
      <c r="AG87" s="291"/>
      <c r="AH87" s="290"/>
      <c r="AI87" s="290"/>
      <c r="AJ87" s="290"/>
      <c r="AK87" s="291"/>
      <c r="AL87" s="290"/>
      <c r="AM87" s="290"/>
      <c r="AN87" s="290"/>
      <c r="AO87" s="291"/>
      <c r="AP87" s="290"/>
      <c r="AQ87" s="290"/>
      <c r="AR87" s="290"/>
      <c r="AS87" s="290"/>
      <c r="AT87" s="960"/>
      <c r="AU87" s="290"/>
      <c r="AV87" s="290"/>
      <c r="AW87" s="291"/>
      <c r="AX87" s="290"/>
      <c r="AY87" s="290"/>
      <c r="AZ87" s="290"/>
      <c r="BA87" s="291"/>
      <c r="BB87" s="290"/>
      <c r="BC87" s="290"/>
      <c r="BD87" s="290"/>
      <c r="BE87" s="291"/>
      <c r="BF87" s="290"/>
      <c r="BG87" s="290"/>
      <c r="BH87" s="290"/>
      <c r="BI87" s="291"/>
      <c r="BJ87" s="960"/>
      <c r="BK87" s="290"/>
      <c r="BL87" s="290"/>
      <c r="BM87" s="291"/>
      <c r="BN87" s="960"/>
      <c r="BO87" s="290"/>
      <c r="BP87" s="290"/>
      <c r="BQ87" s="291"/>
      <c r="BR87" s="960"/>
      <c r="BS87" s="290"/>
      <c r="BT87" s="290"/>
      <c r="BU87" s="291"/>
      <c r="BV87" s="960"/>
      <c r="BW87" s="290"/>
      <c r="BX87" s="290"/>
      <c r="BY87" s="291"/>
      <c r="BZ87" s="960"/>
      <c r="CA87" s="290"/>
      <c r="CB87" s="290"/>
      <c r="CC87" s="291"/>
      <c r="CD87" s="9"/>
      <c r="CE87" s="290"/>
      <c r="CF87" s="290"/>
      <c r="CG87" s="290"/>
      <c r="CH87" s="290"/>
      <c r="CI87" s="128"/>
      <c r="CJ87" s="128"/>
      <c r="CK87" s="128"/>
      <c r="CL87" s="128"/>
      <c r="CM87" s="128"/>
      <c r="CN87" s="128"/>
      <c r="CO87" s="936"/>
      <c r="CP87" s="936"/>
      <c r="CQ87" s="936"/>
      <c r="CR87" s="1578"/>
      <c r="CS87" s="936"/>
      <c r="CT87" s="936"/>
      <c r="CU87" s="936"/>
      <c r="CV87" s="936"/>
      <c r="CW87" s="936"/>
      <c r="CX87" s="936"/>
      <c r="CY87" s="936"/>
      <c r="CZ87" s="936"/>
      <c r="DA87" s="936"/>
      <c r="DB87" s="936"/>
      <c r="DC87" s="936"/>
      <c r="DD87" s="1441"/>
      <c r="DE87" s="24"/>
      <c r="DF87" s="24"/>
      <c r="DG87" s="24"/>
      <c r="DH87" s="24"/>
      <c r="DI87" s="24"/>
      <c r="DJ87" s="24"/>
      <c r="DK87" s="24"/>
      <c r="DL87" s="24"/>
      <c r="DM87" s="24"/>
      <c r="DN87" s="24"/>
      <c r="DO87" s="24"/>
      <c r="DP87" s="24"/>
      <c r="DQ87" s="24"/>
      <c r="DR87" s="24"/>
    </row>
    <row r="88" spans="1:122" hidden="1" outlineLevel="1">
      <c r="A88" s="3"/>
      <c r="B88" s="270"/>
      <c r="C88" s="264" t="s">
        <v>61</v>
      </c>
      <c r="D88" s="264"/>
      <c r="E88" s="265"/>
      <c r="F88" s="562"/>
      <c r="G88" s="562"/>
      <c r="H88" s="562"/>
      <c r="I88" s="568"/>
      <c r="J88" s="562"/>
      <c r="K88" s="562"/>
      <c r="L88" s="562"/>
      <c r="M88" s="568">
        <f t="shared" ref="M88:AH88" si="275">L91</f>
        <v>0</v>
      </c>
      <c r="N88" s="562">
        <f t="shared" si="275"/>
        <v>-259.92299999999994</v>
      </c>
      <c r="O88" s="562">
        <f t="shared" si="275"/>
        <v>-263.93111322544638</v>
      </c>
      <c r="P88" s="562">
        <f t="shared" si="275"/>
        <v>-274.06259846540183</v>
      </c>
      <c r="Q88" s="568">
        <f t="shared" si="275"/>
        <v>-283.23194313616079</v>
      </c>
      <c r="R88" s="562">
        <f t="shared" si="275"/>
        <v>-298.10000000000002</v>
      </c>
      <c r="S88" s="562">
        <f t="shared" si="275"/>
        <v>-521.73603603603601</v>
      </c>
      <c r="T88" s="562">
        <f t="shared" si="275"/>
        <v>-576.4243243243244</v>
      </c>
      <c r="U88" s="568">
        <f t="shared" si="275"/>
        <v>-584.48108108108113</v>
      </c>
      <c r="V88" s="562">
        <f t="shared" si="275"/>
        <v>-373.8</v>
      </c>
      <c r="W88" s="562">
        <f t="shared" si="275"/>
        <v>-413.67018565708054</v>
      </c>
      <c r="X88" s="562">
        <f t="shared" si="275"/>
        <v>-449.18594830724442</v>
      </c>
      <c r="Y88" s="568">
        <f t="shared" si="275"/>
        <v>-472.45489625045496</v>
      </c>
      <c r="Z88" s="562">
        <f t="shared" si="275"/>
        <v>-450.1</v>
      </c>
      <c r="AA88" s="562">
        <f>Z91</f>
        <v>-481.802612244898</v>
      </c>
      <c r="AB88" s="562">
        <f>AA91</f>
        <v>-508.46686224489804</v>
      </c>
      <c r="AC88" s="568">
        <f>AB91</f>
        <v>-538.43111224489803</v>
      </c>
      <c r="AD88" s="562">
        <f t="shared" si="275"/>
        <v>-594</v>
      </c>
      <c r="AE88" s="562">
        <f t="shared" si="275"/>
        <v>-639</v>
      </c>
      <c r="AF88" s="562">
        <f t="shared" si="275"/>
        <v>-688</v>
      </c>
      <c r="AG88" s="568">
        <f t="shared" si="275"/>
        <v>-743</v>
      </c>
      <c r="AH88" s="562">
        <f t="shared" si="275"/>
        <v>-776</v>
      </c>
      <c r="AI88" s="562">
        <f t="shared" ref="AI88:BW88" si="276">AH91</f>
        <v>-854</v>
      </c>
      <c r="AJ88" s="323">
        <f t="shared" si="276"/>
        <v>-965</v>
      </c>
      <c r="AK88" s="568">
        <f t="shared" si="276"/>
        <v>-1076</v>
      </c>
      <c r="AL88" s="323">
        <f t="shared" si="276"/>
        <v>-1146</v>
      </c>
      <c r="AM88" s="323">
        <f t="shared" si="276"/>
        <v>-1263</v>
      </c>
      <c r="AN88" s="323">
        <f t="shared" si="276"/>
        <v>-1385</v>
      </c>
      <c r="AO88" s="568">
        <f t="shared" si="276"/>
        <v>-1504</v>
      </c>
      <c r="AP88" s="323">
        <f t="shared" si="276"/>
        <v>-1591</v>
      </c>
      <c r="AQ88" s="323">
        <f t="shared" si="276"/>
        <v>-1712</v>
      </c>
      <c r="AR88" s="323">
        <f t="shared" si="276"/>
        <v>-1838</v>
      </c>
      <c r="AS88" s="562">
        <f t="shared" si="276"/>
        <v>-1967</v>
      </c>
      <c r="AT88" s="327">
        <f t="shared" si="276"/>
        <v>-2064</v>
      </c>
      <c r="AU88" s="323">
        <f t="shared" si="276"/>
        <v>-2214</v>
      </c>
      <c r="AV88" s="323">
        <f t="shared" si="276"/>
        <v>-2365</v>
      </c>
      <c r="AW88" s="325">
        <f t="shared" si="276"/>
        <v>-2516</v>
      </c>
      <c r="AX88" s="323">
        <f t="shared" si="276"/>
        <v>-2613</v>
      </c>
      <c r="AY88" s="323">
        <f t="shared" si="276"/>
        <v>-2771</v>
      </c>
      <c r="AZ88" s="323">
        <f t="shared" si="276"/>
        <v>-2911</v>
      </c>
      <c r="BA88" s="325">
        <f t="shared" si="276"/>
        <v>-3099</v>
      </c>
      <c r="BB88" s="323">
        <f t="shared" si="276"/>
        <v>-3106</v>
      </c>
      <c r="BC88" s="323">
        <f t="shared" si="276"/>
        <v>-3419</v>
      </c>
      <c r="BD88" s="323">
        <f t="shared" si="276"/>
        <v>-3728</v>
      </c>
      <c r="BE88" s="325">
        <f t="shared" si="276"/>
        <v>-4037</v>
      </c>
      <c r="BF88" s="323">
        <f t="shared" si="276"/>
        <v>-4339</v>
      </c>
      <c r="BG88" s="323">
        <f t="shared" si="276"/>
        <v>-4126</v>
      </c>
      <c r="BH88" s="323">
        <f t="shared" si="276"/>
        <v>-4370</v>
      </c>
      <c r="BI88" s="325">
        <f t="shared" si="276"/>
        <v>-4585</v>
      </c>
      <c r="BJ88" s="323">
        <f t="shared" si="276"/>
        <v>-4893</v>
      </c>
      <c r="BK88" s="323">
        <f t="shared" si="276"/>
        <v>-5042</v>
      </c>
      <c r="BL88" s="323">
        <f t="shared" si="276"/>
        <v>-5254</v>
      </c>
      <c r="BM88" s="325">
        <f t="shared" si="276"/>
        <v>-5469</v>
      </c>
      <c r="BN88" s="323">
        <f t="shared" si="276"/>
        <v>-5719</v>
      </c>
      <c r="BO88" s="323">
        <f t="shared" si="276"/>
        <v>-5745</v>
      </c>
      <c r="BP88" s="323">
        <f t="shared" si="276"/>
        <v>-5915</v>
      </c>
      <c r="BQ88" s="325">
        <f t="shared" si="276"/>
        <v>-6091</v>
      </c>
      <c r="BR88" s="323">
        <f t="shared" si="276"/>
        <v>-6511</v>
      </c>
      <c r="BS88" s="323">
        <f t="shared" si="276"/>
        <v>-6228</v>
      </c>
      <c r="BT88" s="323">
        <f t="shared" si="276"/>
        <v>-6356</v>
      </c>
      <c r="BU88" s="325">
        <f t="shared" si="276"/>
        <v>-6445</v>
      </c>
      <c r="BV88" s="323">
        <f t="shared" si="276"/>
        <v>-6991</v>
      </c>
      <c r="BW88" s="323">
        <f t="shared" si="276"/>
        <v>-7207.424137</v>
      </c>
      <c r="BX88" s="323">
        <f t="shared" ref="BX88:CC88" si="277">BW91</f>
        <v>-7201.424137</v>
      </c>
      <c r="BY88" s="325">
        <f t="shared" si="277"/>
        <v>-7577.1395127589285</v>
      </c>
      <c r="BZ88" s="327">
        <f t="shared" si="277"/>
        <v>-7961.8199337330034</v>
      </c>
      <c r="CA88" s="323">
        <f t="shared" si="277"/>
        <v>-8358.5282962553647</v>
      </c>
      <c r="CB88" s="323">
        <f t="shared" si="277"/>
        <v>-8766.9141627763784</v>
      </c>
      <c r="CC88" s="325">
        <f t="shared" si="277"/>
        <v>-9186.0570053523479</v>
      </c>
      <c r="CD88" s="9"/>
      <c r="CE88" s="323"/>
      <c r="CF88" s="323"/>
      <c r="CG88" s="323">
        <f t="shared" ref="CG88:CM88" si="278">CF91</f>
        <v>-259.92299999999994</v>
      </c>
      <c r="CH88" s="323">
        <f t="shared" si="278"/>
        <v>-298.10000000000002</v>
      </c>
      <c r="CI88" s="323">
        <f t="shared" si="278"/>
        <v>-373.8</v>
      </c>
      <c r="CJ88" s="323">
        <f t="shared" si="278"/>
        <v>-450.1</v>
      </c>
      <c r="CK88" s="323">
        <f t="shared" si="278"/>
        <v>-594</v>
      </c>
      <c r="CL88" s="323">
        <f t="shared" si="278"/>
        <v>-776</v>
      </c>
      <c r="CM88" s="323">
        <f t="shared" si="278"/>
        <v>-1146</v>
      </c>
      <c r="CN88" s="323">
        <f t="shared" ref="CN88:CT88" si="279">CM91</f>
        <v>-1591</v>
      </c>
      <c r="CO88" s="794">
        <f t="shared" si="279"/>
        <v>-2064</v>
      </c>
      <c r="CP88" s="794">
        <f t="shared" si="279"/>
        <v>-2613</v>
      </c>
      <c r="CQ88" s="794">
        <f t="shared" si="279"/>
        <v>-3106</v>
      </c>
      <c r="CR88" s="961">
        <f t="shared" si="279"/>
        <v>-3916</v>
      </c>
      <c r="CS88" s="794">
        <f t="shared" si="279"/>
        <v>-4830</v>
      </c>
      <c r="CT88" s="794">
        <f t="shared" si="279"/>
        <v>-5639</v>
      </c>
      <c r="CU88" s="794">
        <f t="shared" ref="CU88:DC88" si="280">CT91</f>
        <v>-6129</v>
      </c>
      <c r="CV88" s="794">
        <f t="shared" si="280"/>
        <v>-6493</v>
      </c>
      <c r="CW88" s="794">
        <f t="shared" si="280"/>
        <v>-7961.8199337330034</v>
      </c>
      <c r="CX88" s="794">
        <f t="shared" si="280"/>
        <v>-9619.8214735538422</v>
      </c>
      <c r="CY88" s="794">
        <f t="shared" si="280"/>
        <v>-11448.896807519655</v>
      </c>
      <c r="CZ88" s="794">
        <f t="shared" si="280"/>
        <v>-12864.730121014712</v>
      </c>
      <c r="DA88" s="794">
        <f t="shared" si="280"/>
        <v>-14426.58581569988</v>
      </c>
      <c r="DB88" s="794">
        <f t="shared" si="280"/>
        <v>-15859.569266469212</v>
      </c>
      <c r="DC88" s="794">
        <f t="shared" si="280"/>
        <v>-17430.340515481355</v>
      </c>
      <c r="DD88" s="1441"/>
      <c r="DE88" s="24"/>
      <c r="DF88" s="24"/>
      <c r="DG88" s="24"/>
      <c r="DH88" s="24"/>
      <c r="DI88" s="24"/>
      <c r="DJ88" s="24"/>
      <c r="DK88" s="24"/>
      <c r="DL88" s="24"/>
      <c r="DM88" s="24"/>
      <c r="DN88" s="24"/>
      <c r="DO88" s="24"/>
      <c r="DP88" s="24"/>
      <c r="DQ88" s="24"/>
      <c r="DR88" s="24"/>
    </row>
    <row r="89" spans="1:122" hidden="1" outlineLevel="1">
      <c r="A89" s="3"/>
      <c r="B89" s="8"/>
      <c r="C89" s="264"/>
      <c r="D89" s="201" t="s">
        <v>887</v>
      </c>
      <c r="E89" s="265"/>
      <c r="F89" s="483">
        <f>-CF!F15</f>
        <v>-13.76</v>
      </c>
      <c r="G89" s="483">
        <f>-CF!G15</f>
        <v>-12.929</v>
      </c>
      <c r="H89" s="483">
        <f>-CF!H15</f>
        <v>-12.841999999999999</v>
      </c>
      <c r="I89" s="484">
        <f>-CF!I15</f>
        <v>-12.374000000000002</v>
      </c>
      <c r="J89" s="483">
        <f>-CF!J15</f>
        <v>-11.26</v>
      </c>
      <c r="K89" s="483">
        <f>-CF!K15</f>
        <v>-11.349000000000002</v>
      </c>
      <c r="L89" s="483">
        <f>-CF!L15</f>
        <v>-11.714999999999996</v>
      </c>
      <c r="M89" s="483">
        <f>-CF!M15</f>
        <v>-11.469999999999999</v>
      </c>
      <c r="N89" s="874">
        <f>-CF!N15</f>
        <v>-11.634</v>
      </c>
      <c r="O89" s="483">
        <f>-CF!O15</f>
        <v>-11.802</v>
      </c>
      <c r="P89" s="483">
        <f>-CF!P15</f>
        <v>-12.862000000000002</v>
      </c>
      <c r="Q89" s="484">
        <f>-CF!Q15</f>
        <v>-14.101999999999997</v>
      </c>
      <c r="R89" s="874">
        <f>-CF!R15</f>
        <v>-21.4</v>
      </c>
      <c r="S89" s="483">
        <f>-CF!S15</f>
        <v>-25.800000000000004</v>
      </c>
      <c r="T89" s="483">
        <f>-CF!T15</f>
        <v>-26.799999999999997</v>
      </c>
      <c r="U89" s="484">
        <f>-CF!U15</f>
        <v>-27.700000000000003</v>
      </c>
      <c r="V89" s="874">
        <f>-CF!V15</f>
        <v>-29</v>
      </c>
      <c r="W89" s="483">
        <f>-CF!W15</f>
        <v>-32.5</v>
      </c>
      <c r="X89" s="483">
        <f>-CF!X15</f>
        <v>-35.700000000000003</v>
      </c>
      <c r="Y89" s="484">
        <f>-CF!Y15</f>
        <v>-37.600000000000009</v>
      </c>
      <c r="Z89" s="874">
        <f>-CF!Z15</f>
        <v>-35.6</v>
      </c>
      <c r="AA89" s="483">
        <f>-CF!AA15</f>
        <v>-38.6</v>
      </c>
      <c r="AB89" s="483">
        <f>-CF!AB15</f>
        <v>-41.899999999999991</v>
      </c>
      <c r="AC89" s="484">
        <f>-CF!AC15</f>
        <v>-43.700000000000017</v>
      </c>
      <c r="AD89" s="874">
        <f>-CF!AD15</f>
        <v>-45</v>
      </c>
      <c r="AE89" s="483">
        <f>-CF!AE15</f>
        <v>-49</v>
      </c>
      <c r="AF89" s="483">
        <f>-CF!AF15</f>
        <v>-55</v>
      </c>
      <c r="AG89" s="484">
        <f>-CF!AG15</f>
        <v>-61</v>
      </c>
      <c r="AH89" s="874">
        <f>-CF!AH15</f>
        <v>-78</v>
      </c>
      <c r="AI89" s="483">
        <f>-CF!AI15</f>
        <v>-111</v>
      </c>
      <c r="AJ89" s="483">
        <f>-CF!AJ15</f>
        <v>-111</v>
      </c>
      <c r="AK89" s="484">
        <f>-CF!AK15</f>
        <v>-113</v>
      </c>
      <c r="AL89" s="483">
        <f>-CF!AL15</f>
        <v>-117</v>
      </c>
      <c r="AM89" s="483">
        <f>-CF!AM15</f>
        <v>-122</v>
      </c>
      <c r="AN89" s="483">
        <f>-CF!AN15</f>
        <v>-119</v>
      </c>
      <c r="AO89" s="484">
        <f>-CF!AO15</f>
        <v>-121</v>
      </c>
      <c r="AP89" s="483">
        <f>-CF!AP15</f>
        <v>-121</v>
      </c>
      <c r="AQ89" s="483">
        <f>-CF!AQ15</f>
        <v>-126</v>
      </c>
      <c r="AR89" s="483">
        <f>-CF!AR15</f>
        <v>-129</v>
      </c>
      <c r="AS89" s="483">
        <f>-CF!AS15</f>
        <v>-134</v>
      </c>
      <c r="AT89" s="874">
        <f>-CF!AT15</f>
        <v>-150</v>
      </c>
      <c r="AU89" s="483">
        <f>-CF!AU15</f>
        <v>-151</v>
      </c>
      <c r="AV89" s="483">
        <f>-CF!AV15</f>
        <v>-151</v>
      </c>
      <c r="AW89" s="484">
        <f>-CF!AW15</f>
        <v>-150</v>
      </c>
      <c r="AX89" s="483">
        <f>-CF!AX15</f>
        <v>-158</v>
      </c>
      <c r="AY89" s="483">
        <f>-CF!AY15</f>
        <v>-140</v>
      </c>
      <c r="AZ89" s="483">
        <f>-CF!AZ15</f>
        <v>-188</v>
      </c>
      <c r="BA89" s="484">
        <f>-CF!BA15</f>
        <v>-339</v>
      </c>
      <c r="BB89" s="483">
        <f>-CF!BB15</f>
        <v>-313</v>
      </c>
      <c r="BC89" s="483">
        <f>-CF!BC15</f>
        <v>-309</v>
      </c>
      <c r="BD89" s="483">
        <f>-CF!BD15</f>
        <v>-309</v>
      </c>
      <c r="BE89" s="484">
        <f>-CF!BE15</f>
        <v>-302</v>
      </c>
      <c r="BF89" s="483">
        <f>-CF!BF15</f>
        <v>-312</v>
      </c>
      <c r="BG89" s="483">
        <f>-CF!BG15</f>
        <v>-317</v>
      </c>
      <c r="BH89" s="483">
        <f>-CF!BH15</f>
        <v>-307</v>
      </c>
      <c r="BI89" s="484">
        <f>-CF!BI15</f>
        <v>-308</v>
      </c>
      <c r="BJ89" s="483">
        <f>-CF!BJ15</f>
        <v>-289</v>
      </c>
      <c r="BK89" s="483">
        <f>-CF!BK15</f>
        <v>-290</v>
      </c>
      <c r="BL89" s="483">
        <f>-CF!BL15</f>
        <v>-285</v>
      </c>
      <c r="BM89" s="484">
        <f>-CF!BM15</f>
        <v>-250</v>
      </c>
      <c r="BN89" s="483">
        <f>-CF!BN15</f>
        <v>-236</v>
      </c>
      <c r="BO89" s="483">
        <f>-CF!BO15</f>
        <v>-252</v>
      </c>
      <c r="BP89" s="483">
        <f>-CF!BP15</f>
        <v>-246</v>
      </c>
      <c r="BQ89" s="484">
        <f>-CF!BQ15</f>
        <v>-420</v>
      </c>
      <c r="BR89" s="483">
        <f>-CF!BR15</f>
        <v>-508</v>
      </c>
      <c r="BS89" s="483">
        <f>-CF!BS15</f>
        <v>-514</v>
      </c>
      <c r="BT89" s="483">
        <f>-CF!BT15</f>
        <v>-560</v>
      </c>
      <c r="BU89" s="484">
        <f>-CF!BU15</f>
        <v>-546</v>
      </c>
      <c r="BV89" s="483">
        <f>-CF!BV15</f>
        <v>-533</v>
      </c>
      <c r="BW89" s="483">
        <f>-CF!BW15</f>
        <v>-535</v>
      </c>
      <c r="BX89" s="323">
        <f t="shared" ref="BX89:CC89" si="281">-BX84/BX97/4</f>
        <v>-375.71537575892859</v>
      </c>
      <c r="BY89" s="325">
        <f t="shared" si="281"/>
        <v>-384.68042097407499</v>
      </c>
      <c r="BZ89" s="327">
        <f t="shared" si="281"/>
        <v>-396.70836252236114</v>
      </c>
      <c r="CA89" s="323">
        <f t="shared" si="281"/>
        <v>-408.38586652101446</v>
      </c>
      <c r="CB89" s="323">
        <f t="shared" si="281"/>
        <v>-419.14284257596904</v>
      </c>
      <c r="CC89" s="325">
        <f t="shared" si="281"/>
        <v>-433.76446820149471</v>
      </c>
      <c r="CD89" s="9"/>
      <c r="CE89" s="323"/>
      <c r="CF89" s="323"/>
      <c r="CG89" s="323">
        <f>CF!CG15</f>
        <v>50.4</v>
      </c>
      <c r="CH89" s="323">
        <f>CF!CH15</f>
        <v>101.7</v>
      </c>
      <c r="CI89" s="323">
        <f>CF!CI15</f>
        <v>134.80000000000001</v>
      </c>
      <c r="CJ89" s="323">
        <f>CF!CJ15</f>
        <v>159.80000000000001</v>
      </c>
      <c r="CK89" s="323">
        <f>CF!CK15</f>
        <v>210</v>
      </c>
      <c r="CL89" s="323">
        <f>SUM(AH89:AK89)</f>
        <v>-413</v>
      </c>
      <c r="CM89" s="323">
        <f>SUM(AL89:AO89)</f>
        <v>-479</v>
      </c>
      <c r="CN89" s="323">
        <f>SUM(AP89:AS89)</f>
        <v>-510</v>
      </c>
      <c r="CO89" s="323">
        <f>SUM(AT89:AW89)</f>
        <v>-602</v>
      </c>
      <c r="CP89" s="323">
        <f>SUM(AX89:BA89)</f>
        <v>-825</v>
      </c>
      <c r="CQ89" s="323">
        <f>SUM(BB89:BE89)</f>
        <v>-1233</v>
      </c>
      <c r="CR89" s="327">
        <f>SUM(BF89:BI89)</f>
        <v>-1244</v>
      </c>
      <c r="CS89" s="323">
        <f>SUM(BJ89:BM89)</f>
        <v>-1114</v>
      </c>
      <c r="CT89" s="323">
        <f>SUM(BN89:BQ89)</f>
        <v>-1154</v>
      </c>
      <c r="CU89" s="323">
        <f>SUM(BR89:BU89)</f>
        <v>-2128</v>
      </c>
      <c r="CV89" s="323">
        <f>SUM(BV89:BY89)</f>
        <v>-1828.3957967330034</v>
      </c>
      <c r="CW89" s="323">
        <f>SUM(BZ89:CC89)</f>
        <v>-1658.0015398208395</v>
      </c>
      <c r="CX89" s="794">
        <f t="shared" ref="CX89:DC89" si="282">-CX84/CX97</f>
        <v>-1829.0753339658129</v>
      </c>
      <c r="CY89" s="794">
        <f t="shared" si="282"/>
        <v>-1415.8333134950572</v>
      </c>
      <c r="CZ89" s="794">
        <f t="shared" si="282"/>
        <v>-1561.8556946851677</v>
      </c>
      <c r="DA89" s="794">
        <f t="shared" si="282"/>
        <v>-1432.9834507693315</v>
      </c>
      <c r="DB89" s="794">
        <f t="shared" si="282"/>
        <v>-1570.7712490121428</v>
      </c>
      <c r="DC89" s="794">
        <f t="shared" si="282"/>
        <v>-1715.7539540343084</v>
      </c>
      <c r="DD89" s="1441"/>
      <c r="DE89" s="24"/>
      <c r="DF89" s="24"/>
      <c r="DG89" s="24"/>
      <c r="DH89" s="24"/>
      <c r="DI89" s="24"/>
      <c r="DJ89" s="24"/>
      <c r="DK89" s="24"/>
      <c r="DL89" s="24"/>
      <c r="DM89" s="24"/>
      <c r="DN89" s="24"/>
      <c r="DO89" s="24"/>
      <c r="DP89" s="24"/>
      <c r="DQ89" s="24"/>
      <c r="DR89" s="24"/>
    </row>
    <row r="90" spans="1:122" hidden="1" outlineLevel="1">
      <c r="A90" s="3"/>
      <c r="B90" s="8"/>
      <c r="C90" s="264"/>
      <c r="D90" s="201" t="s">
        <v>31</v>
      </c>
      <c r="E90" s="265"/>
      <c r="F90" s="483"/>
      <c r="G90" s="483"/>
      <c r="H90" s="483"/>
      <c r="I90" s="484"/>
      <c r="J90" s="483"/>
      <c r="K90" s="483"/>
      <c r="L90" s="483"/>
      <c r="M90" s="484">
        <f>$CF$90/4</f>
        <v>0</v>
      </c>
      <c r="N90" s="874">
        <f t="shared" ref="N90:Z90" si="283">N91-SUM(N88:N89)</f>
        <v>7.6258867745535781</v>
      </c>
      <c r="O90" s="483">
        <f t="shared" si="283"/>
        <v>1.6705147600445684</v>
      </c>
      <c r="P90" s="483">
        <f t="shared" si="283"/>
        <v>3.6926553292410631</v>
      </c>
      <c r="Q90" s="484">
        <f t="shared" si="283"/>
        <v>-0.76605686383925331</v>
      </c>
      <c r="R90" s="874">
        <f t="shared" si="283"/>
        <v>-202.23603603603601</v>
      </c>
      <c r="S90" s="483">
        <f t="shared" si="283"/>
        <v>-28.888288288288436</v>
      </c>
      <c r="T90" s="483">
        <f t="shared" si="283"/>
        <v>18.743243243243228</v>
      </c>
      <c r="U90" s="484">
        <f t="shared" si="283"/>
        <v>238.38108108108116</v>
      </c>
      <c r="V90" s="874">
        <f t="shared" si="283"/>
        <v>-10.870185657080526</v>
      </c>
      <c r="W90" s="483">
        <f t="shared" si="283"/>
        <v>-3.0157626501638788</v>
      </c>
      <c r="X90" s="483">
        <f t="shared" si="283"/>
        <v>12.43105205678944</v>
      </c>
      <c r="Y90" s="484">
        <f t="shared" si="283"/>
        <v>59.954896250454965</v>
      </c>
      <c r="Z90" s="874">
        <f t="shared" si="283"/>
        <v>3.897387755102045</v>
      </c>
      <c r="AA90" s="483">
        <f>AA91-SUM(AA88:AA89)</f>
        <v>11.935749999999985</v>
      </c>
      <c r="AB90" s="483">
        <f>AB91-SUM(AB88:AB89)</f>
        <v>11.935749999999985</v>
      </c>
      <c r="AC90" s="484">
        <f>AC91-SUM(AC88:AC89)</f>
        <v>-11.868887755101923</v>
      </c>
      <c r="AD90" s="794">
        <f>AD88*AD92</f>
        <v>0</v>
      </c>
      <c r="AE90" s="794">
        <f>AE88*AE92</f>
        <v>0</v>
      </c>
      <c r="AF90" s="794">
        <f>AF88*AF92</f>
        <v>0</v>
      </c>
      <c r="AG90" s="484">
        <f>AG91-SUM(AG88:AG89)</f>
        <v>28</v>
      </c>
      <c r="AH90" s="794">
        <f>AH88*AH92</f>
        <v>0</v>
      </c>
      <c r="AI90" s="794">
        <f>AI88*AI92</f>
        <v>0</v>
      </c>
      <c r="AJ90" s="794">
        <f>AJ88*AJ92</f>
        <v>0</v>
      </c>
      <c r="AK90" s="484">
        <f>AK91-SUM(AK88:AK89)</f>
        <v>43</v>
      </c>
      <c r="AL90" s="794">
        <f>AL88*AL92</f>
        <v>0</v>
      </c>
      <c r="AM90" s="794">
        <f>AM88*AM92</f>
        <v>0</v>
      </c>
      <c r="AN90" s="794">
        <f>AN88*AN92</f>
        <v>0</v>
      </c>
      <c r="AO90" s="484">
        <f>AO91-SUM(AO88:AO89)</f>
        <v>34</v>
      </c>
      <c r="AP90" s="794">
        <f>AP88*AP92</f>
        <v>0</v>
      </c>
      <c r="AQ90" s="794">
        <f>AQ88*AQ92</f>
        <v>0</v>
      </c>
      <c r="AR90" s="794">
        <f>AR88*AR92</f>
        <v>0</v>
      </c>
      <c r="AS90" s="483">
        <f>AS91-SUM(AS88:AS89)</f>
        <v>37</v>
      </c>
      <c r="AT90" s="961">
        <f>AT88*AT92</f>
        <v>0</v>
      </c>
      <c r="AU90" s="794">
        <f>AU88*AU92</f>
        <v>0</v>
      </c>
      <c r="AV90" s="794">
        <f>AV88*AV92</f>
        <v>0</v>
      </c>
      <c r="AW90" s="878">
        <f>AW91-SUM(AW88:AW89)</f>
        <v>53</v>
      </c>
      <c r="AX90" s="794">
        <f>AX88*AX92</f>
        <v>0</v>
      </c>
      <c r="AY90" s="794">
        <f>AY88*AY92</f>
        <v>0</v>
      </c>
      <c r="AZ90" s="794">
        <f>AZ88*AZ92</f>
        <v>0</v>
      </c>
      <c r="BA90" s="878">
        <f>BA91-SUM(BA88:BA89)</f>
        <v>332</v>
      </c>
      <c r="BB90" s="794">
        <f>BB88*BB92</f>
        <v>0</v>
      </c>
      <c r="BC90" s="794">
        <f>BC88*BC92</f>
        <v>0</v>
      </c>
      <c r="BD90" s="794">
        <f>BD88*BD92</f>
        <v>0</v>
      </c>
      <c r="BE90" s="878">
        <f>BE88*BE92</f>
        <v>0</v>
      </c>
      <c r="BF90" s="483">
        <f>BF91-SUM(BF88:BF89)</f>
        <v>525</v>
      </c>
      <c r="BG90" s="483">
        <f>BG91-SUM(BG88:BG89)</f>
        <v>73</v>
      </c>
      <c r="BH90" s="483">
        <f>BH91-SUM(BH88:BH89)</f>
        <v>92</v>
      </c>
      <c r="BI90" s="878">
        <f>BI88*BI92</f>
        <v>0</v>
      </c>
      <c r="BJ90" s="483">
        <f>BJ91-SUM(BJ88:BJ89)</f>
        <v>140</v>
      </c>
      <c r="BK90" s="483">
        <f>BK91-SUM(BK88:BK89)</f>
        <v>78</v>
      </c>
      <c r="BL90" s="483">
        <f>BL91-SUM(BL88:BL89)</f>
        <v>70</v>
      </c>
      <c r="BM90" s="878">
        <f>BM88*BM92</f>
        <v>0</v>
      </c>
      <c r="BN90" s="483">
        <f>BN91-SUM(BN88:BN89)</f>
        <v>210</v>
      </c>
      <c r="BO90" s="483">
        <f>BO91-SUM(BO88:BO89)</f>
        <v>82</v>
      </c>
      <c r="BP90" s="483">
        <f>BP91-SUM(BP88:BP89)</f>
        <v>70</v>
      </c>
      <c r="BQ90" s="1448">
        <v>0</v>
      </c>
      <c r="BR90" s="483">
        <f>BR91-SUM(BR88:BR89)</f>
        <v>791</v>
      </c>
      <c r="BS90" s="483">
        <f>BS91-SUM(BS88:BS89)</f>
        <v>386</v>
      </c>
      <c r="BT90" s="483">
        <f>BT91-SUM(BT88:BT89)</f>
        <v>471</v>
      </c>
      <c r="BU90" s="1448">
        <v>0</v>
      </c>
      <c r="BV90" s="483">
        <f>BV91-SUM(BV88:BV89)</f>
        <v>316.57586300000003</v>
      </c>
      <c r="BW90" s="483">
        <f>BW91-SUM(BW88:BW89)</f>
        <v>541</v>
      </c>
      <c r="BX90" s="1382">
        <v>0</v>
      </c>
      <c r="BY90" s="1448">
        <v>0</v>
      </c>
      <c r="BZ90" s="1382">
        <v>0</v>
      </c>
      <c r="CA90" s="46">
        <v>0</v>
      </c>
      <c r="CB90" s="1382">
        <v>0</v>
      </c>
      <c r="CC90" s="1448">
        <v>0</v>
      </c>
      <c r="CD90" s="9"/>
      <c r="CE90" s="323"/>
      <c r="CF90" s="323"/>
      <c r="CG90" s="323">
        <f t="shared" ref="CG90:CL90" si="284">CG91-SUM(CG88:CG89)</f>
        <v>-88.577000000000083</v>
      </c>
      <c r="CH90" s="323">
        <f t="shared" si="284"/>
        <v>-177.39999999999998</v>
      </c>
      <c r="CI90" s="323">
        <f t="shared" si="284"/>
        <v>-211.10000000000002</v>
      </c>
      <c r="CJ90" s="323">
        <f t="shared" si="284"/>
        <v>-303.7</v>
      </c>
      <c r="CK90" s="323">
        <f t="shared" si="284"/>
        <v>-392</v>
      </c>
      <c r="CL90" s="323">
        <f t="shared" si="284"/>
        <v>43</v>
      </c>
      <c r="CM90" s="323">
        <f>SUM(AL90:AO90)</f>
        <v>34</v>
      </c>
      <c r="CN90" s="323">
        <f>SUM(AP90:AS90)</f>
        <v>37</v>
      </c>
      <c r="CO90" s="323">
        <f>SUM(AT90:AW90)</f>
        <v>53</v>
      </c>
      <c r="CP90" s="323">
        <f>SUM(AX90:BA90)</f>
        <v>332</v>
      </c>
      <c r="CQ90" s="323">
        <f>SUM(BB90:BE90)</f>
        <v>0</v>
      </c>
      <c r="CR90" s="327">
        <f>SUM(BF90:BI90)</f>
        <v>690</v>
      </c>
      <c r="CS90" s="323">
        <f>SUM(BJ90:BM90)</f>
        <v>288</v>
      </c>
      <c r="CT90" s="323">
        <f>SUM(BN90:BQ90)</f>
        <v>362</v>
      </c>
      <c r="CU90" s="323">
        <f>SUM(BR90:BU90)</f>
        <v>1648</v>
      </c>
      <c r="CV90" s="323">
        <f>SUM(BV90:BY90)</f>
        <v>857.57586300000003</v>
      </c>
      <c r="CW90" s="323">
        <f>SUM(BZ90:CC90)</f>
        <v>0</v>
      </c>
      <c r="CX90" s="46">
        <v>0</v>
      </c>
      <c r="CY90" s="46">
        <v>0</v>
      </c>
      <c r="CZ90" s="46">
        <v>0</v>
      </c>
      <c r="DA90" s="46">
        <v>0</v>
      </c>
      <c r="DB90" s="46">
        <v>0</v>
      </c>
      <c r="DC90" s="46">
        <v>0</v>
      </c>
      <c r="DD90" s="1441"/>
      <c r="DE90" s="24"/>
      <c r="DF90" s="24"/>
      <c r="DG90" s="24"/>
      <c r="DH90" s="24"/>
      <c r="DI90" s="24"/>
      <c r="DJ90" s="24"/>
      <c r="DK90" s="24"/>
      <c r="DL90" s="24"/>
      <c r="DM90" s="24"/>
      <c r="DN90" s="24"/>
      <c r="DO90" s="24"/>
      <c r="DP90" s="24"/>
      <c r="DQ90" s="24"/>
      <c r="DR90" s="24"/>
    </row>
    <row r="91" spans="1:122" hidden="1" outlineLevel="1">
      <c r="A91" s="3"/>
      <c r="B91" s="270"/>
      <c r="C91" s="188" t="s">
        <v>60</v>
      </c>
      <c r="D91" s="188"/>
      <c r="E91" s="267"/>
      <c r="F91" s="570"/>
      <c r="G91" s="570"/>
      <c r="H91" s="570"/>
      <c r="I91" s="571"/>
      <c r="J91" s="570"/>
      <c r="K91" s="570"/>
      <c r="L91" s="570"/>
      <c r="M91" s="571">
        <f t="shared" ref="M91:Z91" si="285">M29</f>
        <v>-259.92299999999994</v>
      </c>
      <c r="N91" s="877">
        <f t="shared" si="285"/>
        <v>-263.93111322544638</v>
      </c>
      <c r="O91" s="570">
        <f t="shared" si="285"/>
        <v>-274.06259846540183</v>
      </c>
      <c r="P91" s="570">
        <f t="shared" si="285"/>
        <v>-283.23194313616079</v>
      </c>
      <c r="Q91" s="571">
        <f t="shared" si="285"/>
        <v>-298.10000000000002</v>
      </c>
      <c r="R91" s="877">
        <f t="shared" si="285"/>
        <v>-521.73603603603601</v>
      </c>
      <c r="S91" s="570">
        <f t="shared" si="285"/>
        <v>-576.4243243243244</v>
      </c>
      <c r="T91" s="570">
        <f t="shared" si="285"/>
        <v>-584.48108108108113</v>
      </c>
      <c r="U91" s="571">
        <f t="shared" si="285"/>
        <v>-373.8</v>
      </c>
      <c r="V91" s="877">
        <f t="shared" si="285"/>
        <v>-413.67018565708054</v>
      </c>
      <c r="W91" s="570">
        <f t="shared" si="285"/>
        <v>-449.18594830724442</v>
      </c>
      <c r="X91" s="570">
        <f t="shared" si="285"/>
        <v>-472.45489625045496</v>
      </c>
      <c r="Y91" s="571">
        <f t="shared" si="285"/>
        <v>-450.1</v>
      </c>
      <c r="Z91" s="877">
        <f t="shared" si="285"/>
        <v>-481.802612244898</v>
      </c>
      <c r="AA91" s="570">
        <f>AA29</f>
        <v>-508.46686224489804</v>
      </c>
      <c r="AB91" s="570">
        <f>AB29</f>
        <v>-538.43111224489803</v>
      </c>
      <c r="AC91" s="571">
        <f>AC29</f>
        <v>-594</v>
      </c>
      <c r="AD91" s="324">
        <f>SUM(AD88:AD90)</f>
        <v>-639</v>
      </c>
      <c r="AE91" s="324">
        <f>SUM(AE88:AE90)</f>
        <v>-688</v>
      </c>
      <c r="AF91" s="324">
        <f>SUM(AF88:AF90)</f>
        <v>-743</v>
      </c>
      <c r="AG91" s="571">
        <f>AG29</f>
        <v>-776</v>
      </c>
      <c r="AH91" s="324">
        <f>SUM(AH88:AH90)</f>
        <v>-854</v>
      </c>
      <c r="AI91" s="324">
        <f>SUM(AI88:AI90)</f>
        <v>-965</v>
      </c>
      <c r="AJ91" s="324">
        <f>SUM(AJ88:AJ90)</f>
        <v>-1076</v>
      </c>
      <c r="AK91" s="571">
        <f>AK29</f>
        <v>-1146</v>
      </c>
      <c r="AL91" s="324">
        <f>SUM(AL88:AL90)</f>
        <v>-1263</v>
      </c>
      <c r="AM91" s="324">
        <f>SUM(AM88:AM90)</f>
        <v>-1385</v>
      </c>
      <c r="AN91" s="324">
        <f>SUM(AN88:AN90)</f>
        <v>-1504</v>
      </c>
      <c r="AO91" s="571">
        <f>AO29</f>
        <v>-1591</v>
      </c>
      <c r="AP91" s="324">
        <f>SUM(AP88:AP90)</f>
        <v>-1712</v>
      </c>
      <c r="AQ91" s="324">
        <f>SUM(AQ88:AQ90)</f>
        <v>-1838</v>
      </c>
      <c r="AR91" s="324">
        <f>SUM(AR88:AR90)</f>
        <v>-1967</v>
      </c>
      <c r="AS91" s="570">
        <f>AS29</f>
        <v>-2064</v>
      </c>
      <c r="AT91" s="962">
        <f t="shared" ref="AT91:BE91" si="286">SUM(AT88:AT90)</f>
        <v>-2214</v>
      </c>
      <c r="AU91" s="324">
        <f t="shared" si="286"/>
        <v>-2365</v>
      </c>
      <c r="AV91" s="324">
        <f t="shared" si="286"/>
        <v>-2516</v>
      </c>
      <c r="AW91" s="1222">
        <f>AW29</f>
        <v>-2613</v>
      </c>
      <c r="AX91" s="324">
        <f t="shared" si="286"/>
        <v>-2771</v>
      </c>
      <c r="AY91" s="324">
        <f t="shared" si="286"/>
        <v>-2911</v>
      </c>
      <c r="AZ91" s="324">
        <f t="shared" si="286"/>
        <v>-3099</v>
      </c>
      <c r="BA91" s="1222">
        <f>BA29</f>
        <v>-3106</v>
      </c>
      <c r="BB91" s="324">
        <f t="shared" si="286"/>
        <v>-3419</v>
      </c>
      <c r="BC91" s="324">
        <f t="shared" si="286"/>
        <v>-3728</v>
      </c>
      <c r="BD91" s="324">
        <f t="shared" si="286"/>
        <v>-4037</v>
      </c>
      <c r="BE91" s="1222">
        <f t="shared" si="286"/>
        <v>-4339</v>
      </c>
      <c r="BF91" s="570">
        <f>BF29</f>
        <v>-4126</v>
      </c>
      <c r="BG91" s="570">
        <f>BG29</f>
        <v>-4370</v>
      </c>
      <c r="BH91" s="570">
        <f>BH29</f>
        <v>-4585</v>
      </c>
      <c r="BI91" s="1222">
        <f>SUM(BI88:BI90)</f>
        <v>-4893</v>
      </c>
      <c r="BJ91" s="570">
        <f>BJ29</f>
        <v>-5042</v>
      </c>
      <c r="BK91" s="570">
        <f>BK29</f>
        <v>-5254</v>
      </c>
      <c r="BL91" s="570">
        <f>BL29</f>
        <v>-5469</v>
      </c>
      <c r="BM91" s="1222">
        <f>SUM(BM88:BM90)</f>
        <v>-5719</v>
      </c>
      <c r="BN91" s="570">
        <f>BN29</f>
        <v>-5745</v>
      </c>
      <c r="BO91" s="570">
        <f>BO29</f>
        <v>-5915</v>
      </c>
      <c r="BP91" s="570">
        <f>BP29</f>
        <v>-6091</v>
      </c>
      <c r="BQ91" s="1222">
        <f>SUM(BQ88:BQ90)</f>
        <v>-6511</v>
      </c>
      <c r="BR91" s="570">
        <f>BR29</f>
        <v>-6228</v>
      </c>
      <c r="BS91" s="570">
        <f>BS29</f>
        <v>-6356</v>
      </c>
      <c r="BT91" s="570">
        <f>BT29</f>
        <v>-6445</v>
      </c>
      <c r="BU91" s="1222">
        <f>SUM(BU88:BU90)</f>
        <v>-6991</v>
      </c>
      <c r="BV91" s="570">
        <f>BV29</f>
        <v>-7207.424137</v>
      </c>
      <c r="BW91" s="570">
        <f>BW29</f>
        <v>-7201.424137</v>
      </c>
      <c r="BX91" s="324">
        <f t="shared" ref="BX91:CC91" si="287">SUM(BX88:BX90)</f>
        <v>-7577.1395127589285</v>
      </c>
      <c r="BY91" s="1222">
        <f t="shared" si="287"/>
        <v>-7961.8199337330034</v>
      </c>
      <c r="BZ91" s="962">
        <f t="shared" si="287"/>
        <v>-8358.5282962553647</v>
      </c>
      <c r="CA91" s="324">
        <f t="shared" si="287"/>
        <v>-8766.9141627763784</v>
      </c>
      <c r="CB91" s="324">
        <f t="shared" si="287"/>
        <v>-9186.0570053523479</v>
      </c>
      <c r="CC91" s="1222">
        <f t="shared" si="287"/>
        <v>-9619.8214735538422</v>
      </c>
      <c r="CD91" s="109"/>
      <c r="CE91" s="324"/>
      <c r="CF91" s="324">
        <f t="shared" ref="CF91:CK91" si="288">CF29</f>
        <v>-259.92299999999994</v>
      </c>
      <c r="CG91" s="324">
        <f t="shared" si="288"/>
        <v>-298.10000000000002</v>
      </c>
      <c r="CH91" s="324">
        <f t="shared" si="288"/>
        <v>-373.8</v>
      </c>
      <c r="CI91" s="324">
        <f t="shared" si="288"/>
        <v>-450.1</v>
      </c>
      <c r="CJ91" s="324">
        <f t="shared" si="288"/>
        <v>-594</v>
      </c>
      <c r="CK91" s="324">
        <f t="shared" si="288"/>
        <v>-776</v>
      </c>
      <c r="CL91" s="324">
        <f t="shared" ref="CL91:CR91" si="289">CL29</f>
        <v>-1146</v>
      </c>
      <c r="CM91" s="324">
        <f t="shared" si="289"/>
        <v>-1591</v>
      </c>
      <c r="CN91" s="324">
        <f t="shared" si="289"/>
        <v>-2064</v>
      </c>
      <c r="CO91" s="324">
        <f t="shared" si="289"/>
        <v>-2613</v>
      </c>
      <c r="CP91" s="324">
        <f t="shared" si="289"/>
        <v>-3106</v>
      </c>
      <c r="CQ91" s="324">
        <f t="shared" si="289"/>
        <v>-3916</v>
      </c>
      <c r="CR91" s="962">
        <f t="shared" si="289"/>
        <v>-4830</v>
      </c>
      <c r="CS91" s="324">
        <f>CS29</f>
        <v>-5639</v>
      </c>
      <c r="CT91" s="324">
        <f>CT29</f>
        <v>-6129</v>
      </c>
      <c r="CU91" s="324">
        <f>CU29</f>
        <v>-6493</v>
      </c>
      <c r="CV91" s="324">
        <f>CV29</f>
        <v>-7961.8199337330034</v>
      </c>
      <c r="CW91" s="324">
        <f>CW29</f>
        <v>-9619.8214735538422</v>
      </c>
      <c r="CX91" s="1545">
        <f t="shared" ref="CX91:DC91" si="290">SUM(CX88:CX90)</f>
        <v>-11448.896807519655</v>
      </c>
      <c r="CY91" s="1545">
        <f t="shared" si="290"/>
        <v>-12864.730121014712</v>
      </c>
      <c r="CZ91" s="1545">
        <f t="shared" si="290"/>
        <v>-14426.58581569988</v>
      </c>
      <c r="DA91" s="1545">
        <f t="shared" si="290"/>
        <v>-15859.569266469212</v>
      </c>
      <c r="DB91" s="1545">
        <f t="shared" si="290"/>
        <v>-17430.340515481355</v>
      </c>
      <c r="DC91" s="1545">
        <f t="shared" si="290"/>
        <v>-19146.094469515665</v>
      </c>
      <c r="DD91" s="1441"/>
      <c r="DE91" s="24"/>
      <c r="DF91" s="24"/>
      <c r="DG91" s="24"/>
      <c r="DH91" s="24"/>
      <c r="DI91" s="24"/>
      <c r="DJ91" s="24"/>
      <c r="DK91" s="24"/>
      <c r="DL91" s="24"/>
      <c r="DM91" s="24"/>
      <c r="DN91" s="24"/>
      <c r="DO91" s="24"/>
      <c r="DP91" s="24"/>
      <c r="DQ91" s="24"/>
      <c r="DR91" s="24"/>
    </row>
    <row r="92" spans="1:122" hidden="1" outlineLevel="1">
      <c r="A92" s="3"/>
      <c r="B92" s="270"/>
      <c r="C92" s="201" t="s">
        <v>87</v>
      </c>
      <c r="D92" s="201"/>
      <c r="E92" s="265"/>
      <c r="F92" s="478"/>
      <c r="G92" s="478"/>
      <c r="H92" s="478"/>
      <c r="I92" s="479"/>
      <c r="J92" s="478"/>
      <c r="K92" s="478"/>
      <c r="L92" s="478"/>
      <c r="M92" s="479"/>
      <c r="N92" s="478">
        <f>N90/N88</f>
        <v>-2.9339022612672138E-2</v>
      </c>
      <c r="O92" s="478">
        <f>O90/O88</f>
        <v>-6.3293589741260908E-3</v>
      </c>
      <c r="P92" s="478">
        <f>P90/P88</f>
        <v>-1.3473766029797133E-2</v>
      </c>
      <c r="Q92" s="479">
        <f>Q90/Q88</f>
        <v>2.7046979777665104E-3</v>
      </c>
      <c r="R92" s="478">
        <f t="shared" ref="R92:Z92" si="291">R90/R88</f>
        <v>0.67841675959757131</v>
      </c>
      <c r="S92" s="478">
        <f t="shared" si="291"/>
        <v>5.5369547612182067E-2</v>
      </c>
      <c r="T92" s="478">
        <f t="shared" si="291"/>
        <v>-3.2516398861574355E-2</v>
      </c>
      <c r="U92" s="479">
        <f t="shared" si="291"/>
        <v>-0.40785080783138672</v>
      </c>
      <c r="V92" s="478">
        <f t="shared" si="291"/>
        <v>2.9080218451258764E-2</v>
      </c>
      <c r="W92" s="478">
        <f t="shared" si="291"/>
        <v>7.2902586522487515E-3</v>
      </c>
      <c r="X92" s="478">
        <f t="shared" si="291"/>
        <v>-2.7674623624438417E-2</v>
      </c>
      <c r="Y92" s="479">
        <f t="shared" si="291"/>
        <v>-0.12690078296632157</v>
      </c>
      <c r="Z92" s="478">
        <f t="shared" si="291"/>
        <v>-8.6589374696779495E-3</v>
      </c>
      <c r="AA92" s="478">
        <f>AA90/AA88</f>
        <v>-2.4773111844261026E-2</v>
      </c>
      <c r="AB92" s="478">
        <f>AB90/AB88</f>
        <v>-2.347399778877084E-2</v>
      </c>
      <c r="AC92" s="479">
        <f>AC90/AC88</f>
        <v>2.2043465700963286E-2</v>
      </c>
      <c r="AD92" s="730">
        <v>0</v>
      </c>
      <c r="AE92" s="730">
        <v>0</v>
      </c>
      <c r="AF92" s="730">
        <v>0</v>
      </c>
      <c r="AG92" s="479">
        <f>AG90/AG88</f>
        <v>-3.7685060565275909E-2</v>
      </c>
      <c r="AH92" s="730">
        <v>0</v>
      </c>
      <c r="AI92" s="730">
        <v>0</v>
      </c>
      <c r="AJ92" s="730">
        <v>0</v>
      </c>
      <c r="AK92" s="479">
        <f>AK90/AK88</f>
        <v>-3.9962825278810406E-2</v>
      </c>
      <c r="AL92" s="730">
        <v>0</v>
      </c>
      <c r="AM92" s="730">
        <v>0</v>
      </c>
      <c r="AN92" s="730">
        <v>0</v>
      </c>
      <c r="AO92" s="479">
        <f>AO90/AO88</f>
        <v>-2.2606382978723406E-2</v>
      </c>
      <c r="AP92" s="730">
        <v>0</v>
      </c>
      <c r="AQ92" s="730">
        <v>0</v>
      </c>
      <c r="AR92" s="730">
        <v>0</v>
      </c>
      <c r="AS92" s="478">
        <f>AS90/AS88</f>
        <v>-1.8810371123538384E-2</v>
      </c>
      <c r="AT92" s="1178">
        <v>0</v>
      </c>
      <c r="AU92" s="730">
        <v>0</v>
      </c>
      <c r="AV92" s="730">
        <v>0</v>
      </c>
      <c r="AW92" s="27">
        <f>AW90/AW88</f>
        <v>-2.1065182829888712E-2</v>
      </c>
      <c r="AX92" s="730">
        <v>0</v>
      </c>
      <c r="AY92" s="730">
        <v>0</v>
      </c>
      <c r="AZ92" s="730">
        <v>0</v>
      </c>
      <c r="BA92" s="27">
        <f>BA90/BA88</f>
        <v>-0.10713133268796386</v>
      </c>
      <c r="BB92" s="730">
        <v>0</v>
      </c>
      <c r="BC92" s="730">
        <v>0</v>
      </c>
      <c r="BD92" s="730">
        <v>0</v>
      </c>
      <c r="BE92" s="1352">
        <v>0</v>
      </c>
      <c r="BF92" s="730"/>
      <c r="BG92" s="730"/>
      <c r="BH92" s="730"/>
      <c r="BI92" s="1352"/>
      <c r="BJ92" s="1178"/>
      <c r="BK92" s="730"/>
      <c r="BL92" s="730"/>
      <c r="BM92" s="1352"/>
      <c r="BN92" s="1178"/>
      <c r="BO92" s="730"/>
      <c r="BP92" s="730"/>
      <c r="BQ92" s="1352"/>
      <c r="BR92" s="1178"/>
      <c r="BS92" s="730"/>
      <c r="BT92" s="730"/>
      <c r="BU92" s="1352"/>
      <c r="BV92" s="1178"/>
      <c r="BW92" s="730"/>
      <c r="BX92" s="96"/>
      <c r="BY92" s="97"/>
      <c r="BZ92" s="76"/>
      <c r="CA92" s="96"/>
      <c r="CB92" s="96"/>
      <c r="CC92" s="97"/>
      <c r="CD92" s="9"/>
      <c r="CE92" s="80"/>
      <c r="CF92" s="80"/>
      <c r="CG92" s="80">
        <f t="shared" ref="CG92:CP92" si="292">CG90/CG88</f>
        <v>0.34078169303986222</v>
      </c>
      <c r="CH92" s="80">
        <f t="shared" si="292"/>
        <v>0.59510231465951013</v>
      </c>
      <c r="CI92" s="80">
        <f t="shared" si="292"/>
        <v>0.56474050294275013</v>
      </c>
      <c r="CJ92" s="80">
        <f t="shared" si="292"/>
        <v>0.6747389469006887</v>
      </c>
      <c r="CK92" s="80">
        <f t="shared" si="292"/>
        <v>0.65993265993265993</v>
      </c>
      <c r="CL92" s="80">
        <f t="shared" si="292"/>
        <v>-5.5412371134020616E-2</v>
      </c>
      <c r="CM92" s="80">
        <f t="shared" si="292"/>
        <v>-2.9668411867364748E-2</v>
      </c>
      <c r="CN92" s="80">
        <f t="shared" si="292"/>
        <v>-2.3255813953488372E-2</v>
      </c>
      <c r="CO92" s="80">
        <f>CO90/CO88</f>
        <v>-2.5678294573643411E-2</v>
      </c>
      <c r="CP92" s="80">
        <f t="shared" si="292"/>
        <v>-0.12705702257941065</v>
      </c>
      <c r="CQ92" s="80">
        <f t="shared" ref="CQ92:DA92" si="293">CQ90/CQ88</f>
        <v>0</v>
      </c>
      <c r="CR92" s="1579">
        <f t="shared" si="293"/>
        <v>-0.17620020429009192</v>
      </c>
      <c r="CS92" s="80">
        <f t="shared" si="293"/>
        <v>-5.9627329192546583E-2</v>
      </c>
      <c r="CT92" s="80">
        <f t="shared" si="293"/>
        <v>-6.4195779393509483E-2</v>
      </c>
      <c r="CU92" s="80">
        <f t="shared" si="293"/>
        <v>-0.26888562571381952</v>
      </c>
      <c r="CV92" s="80">
        <f t="shared" si="293"/>
        <v>-0.13207698490682274</v>
      </c>
      <c r="CW92" s="80">
        <f>CW90/CW88</f>
        <v>0</v>
      </c>
      <c r="CX92" s="80">
        <f t="shared" si="293"/>
        <v>0</v>
      </c>
      <c r="CY92" s="80">
        <f t="shared" si="293"/>
        <v>0</v>
      </c>
      <c r="CZ92" s="80">
        <f t="shared" si="293"/>
        <v>0</v>
      </c>
      <c r="DA92" s="80">
        <f t="shared" si="293"/>
        <v>0</v>
      </c>
      <c r="DB92" s="80">
        <f>DB90/DB88</f>
        <v>0</v>
      </c>
      <c r="DC92" s="80">
        <f>DC90/DC88</f>
        <v>0</v>
      </c>
      <c r="DD92" s="1441"/>
      <c r="DE92" s="24"/>
      <c r="DF92" s="24"/>
      <c r="DG92" s="24"/>
      <c r="DH92" s="24"/>
      <c r="DI92" s="24"/>
      <c r="DJ92" s="24"/>
      <c r="DK92" s="24"/>
      <c r="DL92" s="24"/>
      <c r="DM92" s="24"/>
      <c r="DN92" s="24"/>
      <c r="DO92" s="24"/>
      <c r="DP92" s="24"/>
      <c r="DQ92" s="24"/>
      <c r="DR92" s="24"/>
    </row>
    <row r="93" spans="1:122" hidden="1" outlineLevel="1">
      <c r="A93" s="3"/>
      <c r="B93" s="270"/>
      <c r="C93" s="201"/>
      <c r="D93" s="201"/>
      <c r="E93" s="265"/>
      <c r="F93" s="264"/>
      <c r="G93" s="264"/>
      <c r="H93" s="264"/>
      <c r="I93" s="265"/>
      <c r="J93" s="264"/>
      <c r="K93" s="264"/>
      <c r="L93" s="264"/>
      <c r="M93" s="265"/>
      <c r="N93" s="264"/>
      <c r="O93" s="264"/>
      <c r="P93" s="264"/>
      <c r="Q93" s="265"/>
      <c r="R93" s="264"/>
      <c r="S93" s="264"/>
      <c r="T93" s="264"/>
      <c r="U93" s="265"/>
      <c r="V93" s="96"/>
      <c r="W93" s="96"/>
      <c r="X93" s="96"/>
      <c r="Y93" s="97"/>
      <c r="Z93" s="96"/>
      <c r="AA93" s="96"/>
      <c r="AB93" s="96"/>
      <c r="AC93" s="97"/>
      <c r="AD93" s="96"/>
      <c r="AE93" s="96"/>
      <c r="AF93" s="96"/>
      <c r="AG93" s="97"/>
      <c r="AH93" s="96"/>
      <c r="AI93" s="96"/>
      <c r="AJ93" s="96"/>
      <c r="AK93" s="97"/>
      <c r="AL93" s="96"/>
      <c r="AM93" s="96"/>
      <c r="AN93" s="96"/>
      <c r="AO93" s="97"/>
      <c r="AP93" s="96"/>
      <c r="AQ93" s="96"/>
      <c r="AR93" s="96"/>
      <c r="AS93" s="96"/>
      <c r="AT93" s="76"/>
      <c r="AU93" s="96"/>
      <c r="AV93" s="96"/>
      <c r="AW93" s="97"/>
      <c r="AX93" s="96"/>
      <c r="AY93" s="96"/>
      <c r="AZ93" s="96"/>
      <c r="BA93" s="97"/>
      <c r="BB93" s="96"/>
      <c r="BC93" s="96"/>
      <c r="BD93" s="96"/>
      <c r="BE93" s="97"/>
      <c r="BF93" s="96"/>
      <c r="BG93" s="96"/>
      <c r="BH93" s="96"/>
      <c r="BI93" s="97"/>
      <c r="BJ93" s="76"/>
      <c r="BK93" s="96"/>
      <c r="BL93" s="96"/>
      <c r="BM93" s="97"/>
      <c r="BN93" s="76"/>
      <c r="BO93" s="96"/>
      <c r="BP93" s="96"/>
      <c r="BQ93" s="97"/>
      <c r="BR93" s="76"/>
      <c r="BS93" s="96"/>
      <c r="BT93" s="96"/>
      <c r="BU93" s="97"/>
      <c r="BV93" s="76"/>
      <c r="BW93" s="96"/>
      <c r="BX93" s="96"/>
      <c r="BY93" s="97"/>
      <c r="BZ93" s="76"/>
      <c r="CA93" s="96"/>
      <c r="CB93" s="96"/>
      <c r="CC93" s="97"/>
      <c r="CD93" s="9"/>
      <c r="CE93" s="96"/>
      <c r="CF93" s="96"/>
      <c r="CG93" s="96"/>
      <c r="CH93" s="96"/>
      <c r="CI93" s="96"/>
      <c r="CJ93" s="96"/>
      <c r="CK93" s="96"/>
      <c r="CL93" s="96"/>
      <c r="CM93" s="96"/>
      <c r="CN93" s="96"/>
      <c r="CO93" s="96"/>
      <c r="CP93" s="96"/>
      <c r="CQ93" s="96"/>
      <c r="CR93" s="76"/>
      <c r="CS93" s="96"/>
      <c r="CT93" s="96"/>
      <c r="CU93" s="96"/>
      <c r="CV93" s="96"/>
      <c r="CW93" s="96"/>
      <c r="CX93" s="96"/>
      <c r="CY93" s="96"/>
      <c r="CZ93" s="96"/>
      <c r="DA93" s="96"/>
      <c r="DB93" s="96"/>
      <c r="DC93" s="96"/>
      <c r="DD93" s="1441"/>
      <c r="DE93" s="24"/>
      <c r="DF93" s="24"/>
      <c r="DG93" s="24"/>
      <c r="DH93" s="24"/>
      <c r="DI93" s="24"/>
      <c r="DJ93" s="24"/>
      <c r="DK93" s="24"/>
      <c r="DL93" s="24"/>
      <c r="DM93" s="24"/>
      <c r="DN93" s="24"/>
      <c r="DO93" s="24"/>
      <c r="DP93" s="24"/>
      <c r="DQ93" s="24"/>
      <c r="DR93" s="24"/>
    </row>
    <row r="94" spans="1:122" hidden="1" outlineLevel="1">
      <c r="A94" s="3"/>
      <c r="B94" s="209" t="s">
        <v>56</v>
      </c>
      <c r="C94" s="201"/>
      <c r="D94" s="201"/>
      <c r="E94" s="202"/>
      <c r="F94" s="494"/>
      <c r="G94" s="494"/>
      <c r="H94" s="494"/>
      <c r="I94" s="549"/>
      <c r="J94" s="494"/>
      <c r="K94" s="494"/>
      <c r="L94" s="494"/>
      <c r="M94" s="549">
        <f t="shared" ref="M94:AR94" si="294">M83+M91</f>
        <v>107.51999999999998</v>
      </c>
      <c r="N94" s="494">
        <f t="shared" si="294"/>
        <v>109.178</v>
      </c>
      <c r="O94" s="494">
        <f t="shared" si="294"/>
        <v>113.36899999999997</v>
      </c>
      <c r="P94" s="494">
        <f t="shared" si="294"/>
        <v>117.16199999999998</v>
      </c>
      <c r="Q94" s="549">
        <f t="shared" si="294"/>
        <v>122.09999999999997</v>
      </c>
      <c r="R94" s="494">
        <f t="shared" si="294"/>
        <v>213.70000000000005</v>
      </c>
      <c r="S94" s="494">
        <f t="shared" si="294"/>
        <v>236.10000000000002</v>
      </c>
      <c r="T94" s="494">
        <f t="shared" si="294"/>
        <v>239.39999999999998</v>
      </c>
      <c r="U94" s="549">
        <f t="shared" si="294"/>
        <v>274.7</v>
      </c>
      <c r="V94" s="494">
        <f t="shared" si="294"/>
        <v>304</v>
      </c>
      <c r="W94" s="494">
        <f t="shared" si="294"/>
        <v>330.1</v>
      </c>
      <c r="X94" s="494">
        <f t="shared" si="294"/>
        <v>347.2</v>
      </c>
      <c r="Y94" s="549">
        <f t="shared" si="294"/>
        <v>395</v>
      </c>
      <c r="Z94" s="494">
        <f t="shared" si="294"/>
        <v>417.79999999999973</v>
      </c>
      <c r="AA94" s="494">
        <f t="shared" si="294"/>
        <v>433.69999999999993</v>
      </c>
      <c r="AB94" s="494">
        <f t="shared" si="294"/>
        <v>496.39999999999986</v>
      </c>
      <c r="AC94" s="549">
        <f t="shared" si="294"/>
        <v>549</v>
      </c>
      <c r="AD94" s="494">
        <f t="shared" si="294"/>
        <v>598</v>
      </c>
      <c r="AE94" s="494">
        <f t="shared" si="294"/>
        <v>637</v>
      </c>
      <c r="AF94" s="494">
        <f t="shared" si="294"/>
        <v>672</v>
      </c>
      <c r="AG94" s="549">
        <f t="shared" si="294"/>
        <v>741</v>
      </c>
      <c r="AH94" s="494">
        <f t="shared" si="294"/>
        <v>1516</v>
      </c>
      <c r="AI94" s="290">
        <f t="shared" si="294"/>
        <v>1560</v>
      </c>
      <c r="AJ94" s="290">
        <f t="shared" si="294"/>
        <v>1529</v>
      </c>
      <c r="AK94" s="290">
        <f t="shared" si="294"/>
        <v>1668</v>
      </c>
      <c r="AL94" s="960">
        <f t="shared" si="294"/>
        <v>1674</v>
      </c>
      <c r="AM94" s="290">
        <f t="shared" si="294"/>
        <v>1620</v>
      </c>
      <c r="AN94" s="290">
        <f t="shared" si="294"/>
        <v>1570</v>
      </c>
      <c r="AO94" s="291">
        <f t="shared" si="294"/>
        <v>1584</v>
      </c>
      <c r="AP94" s="290">
        <f t="shared" si="294"/>
        <v>1625</v>
      </c>
      <c r="AQ94" s="290">
        <f t="shared" si="294"/>
        <v>1696</v>
      </c>
      <c r="AR94" s="290">
        <f t="shared" si="294"/>
        <v>1756</v>
      </c>
      <c r="AS94" s="290">
        <f t="shared" ref="AS94:BY94" si="295">AS83+AS91</f>
        <v>2159</v>
      </c>
      <c r="AT94" s="960">
        <f t="shared" si="295"/>
        <v>2245</v>
      </c>
      <c r="AU94" s="290">
        <f t="shared" si="295"/>
        <v>2277</v>
      </c>
      <c r="AV94" s="290">
        <f t="shared" si="295"/>
        <v>2249</v>
      </c>
      <c r="AW94" s="290">
        <f t="shared" si="295"/>
        <v>2224</v>
      </c>
      <c r="AX94" s="960">
        <f t="shared" si="295"/>
        <v>2209</v>
      </c>
      <c r="AY94" s="290">
        <f t="shared" si="295"/>
        <v>2091</v>
      </c>
      <c r="AZ94" s="290">
        <f t="shared" si="295"/>
        <v>4171</v>
      </c>
      <c r="BA94" s="290">
        <f t="shared" si="295"/>
        <v>4067</v>
      </c>
      <c r="BB94" s="960">
        <f t="shared" si="295"/>
        <v>4027</v>
      </c>
      <c r="BC94" s="290">
        <f t="shared" si="295"/>
        <v>3762</v>
      </c>
      <c r="BD94" s="290">
        <f t="shared" si="295"/>
        <v>3524</v>
      </c>
      <c r="BE94" s="291">
        <f t="shared" si="295"/>
        <v>3277</v>
      </c>
      <c r="BF94" s="960">
        <f t="shared" si="295"/>
        <v>3638</v>
      </c>
      <c r="BG94" s="290">
        <f t="shared" si="295"/>
        <v>3509</v>
      </c>
      <c r="BH94" s="290">
        <f t="shared" si="295"/>
        <v>3406</v>
      </c>
      <c r="BI94" s="291">
        <f t="shared" si="295"/>
        <v>3230</v>
      </c>
      <c r="BJ94" s="960">
        <f t="shared" si="295"/>
        <v>3241</v>
      </c>
      <c r="BK94" s="290">
        <f t="shared" si="295"/>
        <v>3099</v>
      </c>
      <c r="BL94" s="290">
        <f t="shared" si="295"/>
        <v>3051</v>
      </c>
      <c r="BM94" s="291">
        <f t="shared" si="295"/>
        <v>2885</v>
      </c>
      <c r="BN94" s="960">
        <f t="shared" si="295"/>
        <v>3010</v>
      </c>
      <c r="BO94" s="290">
        <f t="shared" si="295"/>
        <v>2989</v>
      </c>
      <c r="BP94" s="290">
        <f t="shared" si="295"/>
        <v>2946</v>
      </c>
      <c r="BQ94" s="291">
        <f t="shared" si="295"/>
        <v>3121</v>
      </c>
      <c r="BR94" s="1663">
        <f t="shared" ref="BR94:BW94" si="296">BR83+BR91</f>
        <v>3616</v>
      </c>
      <c r="BS94" s="1620">
        <f t="shared" si="296"/>
        <v>3677</v>
      </c>
      <c r="BT94" s="1620">
        <f t="shared" si="296"/>
        <v>3885</v>
      </c>
      <c r="BU94" s="291">
        <f t="shared" si="296"/>
        <v>2535</v>
      </c>
      <c r="BV94" s="1663">
        <f t="shared" si="296"/>
        <v>2604.575863</v>
      </c>
      <c r="BW94" s="1620">
        <f t="shared" si="296"/>
        <v>3239.575863</v>
      </c>
      <c r="BX94" s="290">
        <f t="shared" si="295"/>
        <v>3021.9215297410728</v>
      </c>
      <c r="BY94" s="291">
        <f t="shared" si="295"/>
        <v>2981.2225983151975</v>
      </c>
      <c r="BZ94" s="960">
        <f>BZ83+BZ91</f>
        <v>2914.097472948657</v>
      </c>
      <c r="CA94" s="290">
        <f>CA83+CA91</f>
        <v>2830.0685931964108</v>
      </c>
      <c r="CB94" s="290">
        <f>CB83+CB91</f>
        <v>2688.9594229291306</v>
      </c>
      <c r="CC94" s="291">
        <f>CC83+CC91</f>
        <v>2518.3630577994245</v>
      </c>
      <c r="CD94" s="9"/>
      <c r="CE94" s="290"/>
      <c r="CF94" s="290">
        <f t="shared" ref="CF94:DA94" si="297">CF83+CF91</f>
        <v>107.51999999999998</v>
      </c>
      <c r="CG94" s="290">
        <f t="shared" si="297"/>
        <v>122.09999999999991</v>
      </c>
      <c r="CH94" s="290">
        <f t="shared" si="297"/>
        <v>274.7</v>
      </c>
      <c r="CI94" s="290">
        <f t="shared" si="297"/>
        <v>395</v>
      </c>
      <c r="CJ94" s="290">
        <f t="shared" si="297"/>
        <v>549</v>
      </c>
      <c r="CK94" s="290">
        <f t="shared" si="297"/>
        <v>741</v>
      </c>
      <c r="CL94" s="290">
        <f t="shared" si="297"/>
        <v>1668</v>
      </c>
      <c r="CM94" s="290">
        <f t="shared" si="297"/>
        <v>1584</v>
      </c>
      <c r="CN94" s="290">
        <f t="shared" si="297"/>
        <v>2159</v>
      </c>
      <c r="CO94" s="290">
        <f t="shared" si="297"/>
        <v>2224</v>
      </c>
      <c r="CP94" s="290">
        <f t="shared" si="297"/>
        <v>4067</v>
      </c>
      <c r="CQ94" s="290">
        <f t="shared" si="297"/>
        <v>3700</v>
      </c>
      <c r="CR94" s="960">
        <f t="shared" si="297"/>
        <v>3293</v>
      </c>
      <c r="CS94" s="290">
        <f t="shared" si="297"/>
        <v>2965</v>
      </c>
      <c r="CT94" s="290">
        <f t="shared" si="297"/>
        <v>3503</v>
      </c>
      <c r="CU94" s="290">
        <f t="shared" si="297"/>
        <v>3033</v>
      </c>
      <c r="CV94" s="290">
        <f t="shared" si="297"/>
        <v>2981.2225983151993</v>
      </c>
      <c r="CW94" s="290">
        <f>CW83+CW91</f>
        <v>2518.3630577994263</v>
      </c>
      <c r="CX94" s="290">
        <f t="shared" si="297"/>
        <v>2019.9733366484579</v>
      </c>
      <c r="CY94" s="290">
        <f t="shared" si="297"/>
        <v>1983.0660047183155</v>
      </c>
      <c r="CZ94" s="290">
        <f t="shared" si="297"/>
        <v>1962.7319522704456</v>
      </c>
      <c r="DA94" s="290">
        <f t="shared" si="297"/>
        <v>2142.7157840244236</v>
      </c>
      <c r="DB94" s="290">
        <f>DB83+DB91</f>
        <v>2265.8844103164338</v>
      </c>
      <c r="DC94" s="290">
        <f>DC83+DC91</f>
        <v>2335.7755015099501</v>
      </c>
      <c r="DD94" s="291"/>
      <c r="DE94" s="24"/>
      <c r="DF94" s="24"/>
      <c r="DG94" s="24"/>
      <c r="DH94" s="24"/>
      <c r="DI94" s="24"/>
      <c r="DJ94" s="24"/>
      <c r="DK94" s="24"/>
      <c r="DL94" s="24"/>
      <c r="DM94" s="24"/>
      <c r="DN94" s="24"/>
      <c r="DO94" s="24"/>
      <c r="DP94" s="24"/>
      <c r="DQ94" s="24"/>
      <c r="DR94" s="24"/>
    </row>
    <row r="95" spans="1:122" ht="4.5" hidden="1" customHeight="1" outlineLevel="1">
      <c r="A95" s="3"/>
      <c r="B95" s="224"/>
      <c r="C95" s="264"/>
      <c r="D95" s="264"/>
      <c r="E95" s="265"/>
      <c r="F95" s="264"/>
      <c r="G95" s="264"/>
      <c r="H95" s="264"/>
      <c r="I95" s="265"/>
      <c r="J95" s="264"/>
      <c r="K95" s="264"/>
      <c r="L95" s="264"/>
      <c r="M95" s="265"/>
      <c r="N95" s="264"/>
      <c r="O95" s="264"/>
      <c r="P95" s="264"/>
      <c r="Q95" s="265"/>
      <c r="R95" s="264"/>
      <c r="S95" s="264"/>
      <c r="T95" s="264"/>
      <c r="U95" s="265"/>
      <c r="V95" s="264"/>
      <c r="W95" s="264"/>
      <c r="X95" s="264"/>
      <c r="Y95" s="265"/>
      <c r="Z95" s="264"/>
      <c r="AA95" s="264"/>
      <c r="AB95" s="264"/>
      <c r="AC95" s="265"/>
      <c r="AD95" s="264"/>
      <c r="AE95" s="264"/>
      <c r="AF95" s="264"/>
      <c r="AG95" s="265"/>
      <c r="AH95" s="264"/>
      <c r="AI95" s="94"/>
      <c r="AJ95" s="94"/>
      <c r="AK95" s="94"/>
      <c r="AL95" s="93"/>
      <c r="AM95" s="94"/>
      <c r="AN95" s="94"/>
      <c r="AO95" s="95"/>
      <c r="AP95" s="94"/>
      <c r="AQ95" s="94"/>
      <c r="AR95" s="94"/>
      <c r="AS95" s="94"/>
      <c r="AT95" s="93"/>
      <c r="AU95" s="94"/>
      <c r="AV95" s="94"/>
      <c r="AW95" s="94"/>
      <c r="AX95" s="93"/>
      <c r="AY95" s="94"/>
      <c r="AZ95" s="94"/>
      <c r="BA95" s="94"/>
      <c r="BB95" s="93"/>
      <c r="BC95" s="94"/>
      <c r="BD95" s="94"/>
      <c r="BE95" s="95"/>
      <c r="BF95" s="93"/>
      <c r="BG95" s="94"/>
      <c r="BH95" s="94"/>
      <c r="BI95" s="95"/>
      <c r="BJ95" s="93"/>
      <c r="BK95" s="94"/>
      <c r="BL95" s="94"/>
      <c r="BM95" s="95"/>
      <c r="BN95" s="93"/>
      <c r="BO95" s="94"/>
      <c r="BP95" s="94"/>
      <c r="BQ95" s="95"/>
      <c r="BR95" s="2166"/>
      <c r="BS95" s="118"/>
      <c r="BT95" s="118"/>
      <c r="BU95" s="95"/>
      <c r="BV95" s="2166"/>
      <c r="BW95" s="118"/>
      <c r="BX95" s="94"/>
      <c r="BY95" s="95"/>
      <c r="BZ95" s="93"/>
      <c r="CA95" s="94"/>
      <c r="CB95" s="94"/>
      <c r="CC95" s="95"/>
      <c r="CD95" s="9"/>
      <c r="CE95" s="94"/>
      <c r="CF95" s="94"/>
      <c r="CG95" s="94"/>
      <c r="CH95" s="94"/>
      <c r="CI95" s="94"/>
      <c r="CJ95" s="94"/>
      <c r="CK95" s="94"/>
      <c r="CL95" s="94"/>
      <c r="CM95" s="94"/>
      <c r="CN95" s="94"/>
      <c r="CO95" s="94"/>
      <c r="CP95" s="94"/>
      <c r="CQ95" s="94"/>
      <c r="CR95" s="93"/>
      <c r="CS95" s="94"/>
      <c r="CT95" s="94"/>
      <c r="CU95" s="94"/>
      <c r="CV95" s="94"/>
      <c r="CW95" s="94"/>
      <c r="CX95" s="94"/>
      <c r="CY95" s="94"/>
      <c r="CZ95" s="94"/>
      <c r="DA95" s="94"/>
      <c r="DB95" s="94"/>
      <c r="DC95" s="94"/>
      <c r="DD95" s="291"/>
      <c r="DE95" s="24"/>
      <c r="DF95" s="24"/>
      <c r="DG95" s="24"/>
      <c r="DH95" s="24"/>
      <c r="DI95" s="24"/>
      <c r="DJ95" s="24"/>
      <c r="DK95" s="24"/>
      <c r="DL95" s="24"/>
      <c r="DM95" s="24"/>
      <c r="DN95" s="24"/>
      <c r="DO95" s="24"/>
      <c r="DP95" s="24"/>
      <c r="DQ95" s="24"/>
      <c r="DR95" s="24"/>
    </row>
    <row r="96" spans="1:122" hidden="1" outlineLevel="1">
      <c r="A96" s="3"/>
      <c r="B96" s="209" t="s">
        <v>887</v>
      </c>
      <c r="C96" s="201"/>
      <c r="D96" s="201"/>
      <c r="E96" s="265"/>
      <c r="F96" s="264"/>
      <c r="G96" s="264"/>
      <c r="H96" s="264"/>
      <c r="I96" s="265"/>
      <c r="J96" s="264"/>
      <c r="K96" s="264"/>
      <c r="L96" s="264"/>
      <c r="M96" s="265"/>
      <c r="N96" s="264"/>
      <c r="O96" s="264"/>
      <c r="P96" s="264"/>
      <c r="Q96" s="265"/>
      <c r="R96" s="264"/>
      <c r="S96" s="264"/>
      <c r="T96" s="264"/>
      <c r="U96" s="265"/>
      <c r="V96" s="264"/>
      <c r="W96" s="264"/>
      <c r="X96" s="264"/>
      <c r="Y96" s="265"/>
      <c r="Z96" s="264"/>
      <c r="AA96" s="264"/>
      <c r="AB96" s="264"/>
      <c r="AC96" s="265"/>
      <c r="AD96" s="264"/>
      <c r="AE96" s="264"/>
      <c r="AF96" s="264"/>
      <c r="AG96" s="265"/>
      <c r="AH96" s="264"/>
      <c r="AI96" s="96"/>
      <c r="AJ96" s="96"/>
      <c r="AK96" s="96"/>
      <c r="AL96" s="76"/>
      <c r="AM96" s="96"/>
      <c r="AN96" s="96"/>
      <c r="AO96" s="97"/>
      <c r="AP96" s="96"/>
      <c r="AQ96" s="96"/>
      <c r="AR96" s="96"/>
      <c r="AS96" s="96"/>
      <c r="AT96" s="76"/>
      <c r="AU96" s="96"/>
      <c r="AV96" s="96"/>
      <c r="AW96" s="96"/>
      <c r="AX96" s="76"/>
      <c r="AY96" s="96"/>
      <c r="AZ96" s="96"/>
      <c r="BA96" s="96"/>
      <c r="BB96" s="76"/>
      <c r="BC96" s="96"/>
      <c r="BD96" s="96"/>
      <c r="BE96" s="97"/>
      <c r="BF96" s="76"/>
      <c r="BG96" s="96"/>
      <c r="BH96" s="96"/>
      <c r="BI96" s="97"/>
      <c r="BJ96" s="76"/>
      <c r="BK96" s="96"/>
      <c r="BL96" s="96"/>
      <c r="BM96" s="97"/>
      <c r="BN96" s="76"/>
      <c r="BO96" s="96"/>
      <c r="BP96" s="96"/>
      <c r="BQ96" s="97"/>
      <c r="BR96" s="23"/>
      <c r="BS96" s="24"/>
      <c r="BT96" s="24"/>
      <c r="BU96" s="97"/>
      <c r="BV96" s="23"/>
      <c r="BW96" s="24"/>
      <c r="BX96" s="96"/>
      <c r="BY96" s="97"/>
      <c r="BZ96" s="76"/>
      <c r="CA96" s="96"/>
      <c r="CB96" s="96"/>
      <c r="CC96" s="97"/>
      <c r="CD96" s="9"/>
      <c r="CE96" s="96"/>
      <c r="CF96" s="96"/>
      <c r="CG96" s="96"/>
      <c r="CH96" s="96"/>
      <c r="CI96" s="96"/>
      <c r="CJ96" s="96"/>
      <c r="CK96" s="96"/>
      <c r="CL96" s="96"/>
      <c r="CM96" s="96"/>
      <c r="CN96" s="96"/>
      <c r="CO96" s="96"/>
      <c r="CP96" s="96"/>
      <c r="CQ96" s="96"/>
      <c r="CR96" s="76"/>
      <c r="CS96" s="96"/>
      <c r="CT96" s="96"/>
      <c r="CU96" s="96"/>
      <c r="CV96" s="96"/>
      <c r="CW96" s="96"/>
      <c r="CX96" s="96"/>
      <c r="CY96" s="96"/>
      <c r="CZ96" s="96"/>
      <c r="DA96" s="96"/>
      <c r="DB96" s="96"/>
      <c r="DC96" s="96"/>
      <c r="DD96" s="291"/>
      <c r="DE96" s="24"/>
      <c r="DF96" s="24"/>
      <c r="DG96" s="24"/>
      <c r="DH96" s="24"/>
      <c r="DI96" s="24"/>
      <c r="DJ96" s="24"/>
      <c r="DK96" s="24"/>
      <c r="DL96" s="24"/>
      <c r="DM96" s="24"/>
      <c r="DN96" s="24"/>
      <c r="DO96" s="24"/>
      <c r="DP96" s="24"/>
      <c r="DQ96" s="24"/>
      <c r="DR96" s="24"/>
    </row>
    <row r="97" spans="1:122" hidden="1" outlineLevel="1">
      <c r="A97" s="3"/>
      <c r="B97" s="207"/>
      <c r="C97" s="201" t="s">
        <v>86</v>
      </c>
      <c r="D97" s="201"/>
      <c r="E97" s="265"/>
      <c r="F97" s="572"/>
      <c r="G97" s="572"/>
      <c r="H97" s="572"/>
      <c r="I97" s="573"/>
      <c r="J97" s="572"/>
      <c r="K97" s="572"/>
      <c r="L97" s="572"/>
      <c r="M97" s="573"/>
      <c r="N97" s="572">
        <f t="shared" ref="N97:AS97" si="298">-N84/N89/4</f>
        <v>7.9567658718566943</v>
      </c>
      <c r="O97" s="572">
        <f t="shared" si="298"/>
        <v>8.0552100458698543</v>
      </c>
      <c r="P97" s="572">
        <f t="shared" si="298"/>
        <v>7.6565225237284489</v>
      </c>
      <c r="Q97" s="573">
        <f t="shared" si="298"/>
        <v>7.2737372636519728</v>
      </c>
      <c r="R97" s="572">
        <f t="shared" si="298"/>
        <v>6.7502104908646974</v>
      </c>
      <c r="S97" s="572">
        <f t="shared" si="298"/>
        <v>7.4998079474823651</v>
      </c>
      <c r="T97" s="572">
        <f t="shared" si="298"/>
        <v>7.632487898346108</v>
      </c>
      <c r="U97" s="573">
        <f t="shared" si="298"/>
        <v>6.6443189579471156</v>
      </c>
      <c r="V97" s="572">
        <f t="shared" si="298"/>
        <v>5.8886645933494854</v>
      </c>
      <c r="W97" s="572">
        <f t="shared" si="298"/>
        <v>5.7575235921704815</v>
      </c>
      <c r="X97" s="572">
        <f t="shared" si="298"/>
        <v>5.598532368899507</v>
      </c>
      <c r="Y97" s="573">
        <f t="shared" si="298"/>
        <v>5.5344245221092239</v>
      </c>
      <c r="Z97" s="572">
        <f t="shared" si="298"/>
        <v>6.1260625429947257</v>
      </c>
      <c r="AA97" s="572">
        <f t="shared" si="298"/>
        <v>5.9642793863011523</v>
      </c>
      <c r="AB97" s="572">
        <f t="shared" si="298"/>
        <v>5.8979653176903231</v>
      </c>
      <c r="AC97" s="573">
        <f t="shared" si="298"/>
        <v>6.2294940281604596</v>
      </c>
      <c r="AD97" s="572">
        <f t="shared" si="298"/>
        <v>6.6111111111111107</v>
      </c>
      <c r="AE97" s="572">
        <f t="shared" si="298"/>
        <v>6.5357142857142856</v>
      </c>
      <c r="AF97" s="572">
        <f t="shared" si="298"/>
        <v>6.2272727272727275</v>
      </c>
      <c r="AG97" s="573">
        <f t="shared" si="298"/>
        <v>6.0081967213114753</v>
      </c>
      <c r="AH97" s="572">
        <f t="shared" si="298"/>
        <v>6.229166666666667</v>
      </c>
      <c r="AI97" s="572">
        <f t="shared" si="298"/>
        <v>5.5123873873873874</v>
      </c>
      <c r="AJ97" s="572">
        <f t="shared" si="298"/>
        <v>5.7770270270270272</v>
      </c>
      <c r="AK97" s="573">
        <f t="shared" si="298"/>
        <v>5.9944690265486722</v>
      </c>
      <c r="AL97" s="572">
        <f t="shared" si="298"/>
        <v>6.1442307692307692</v>
      </c>
      <c r="AM97" s="572">
        <f t="shared" si="298"/>
        <v>6.0881147540983607</v>
      </c>
      <c r="AN97" s="572">
        <f t="shared" si="298"/>
        <v>6.3855042016806722</v>
      </c>
      <c r="AO97" s="573">
        <f t="shared" si="298"/>
        <v>6.455578512396694</v>
      </c>
      <c r="AP97" s="572">
        <f t="shared" si="298"/>
        <v>6.7272727272727275</v>
      </c>
      <c r="AQ97" s="572">
        <f t="shared" si="298"/>
        <v>6.816468253968254</v>
      </c>
      <c r="AR97" s="572">
        <f t="shared" si="298"/>
        <v>7.0319767441860463</v>
      </c>
      <c r="AS97" s="572">
        <f t="shared" si="298"/>
        <v>7.4123134328358207</v>
      </c>
      <c r="AT97" s="1177">
        <f t="shared" ref="AT97:BQ97" si="299">-AT84/AT89/4</f>
        <v>7.2350000000000003</v>
      </c>
      <c r="AU97" s="572">
        <f t="shared" si="299"/>
        <v>7.5339403973509933</v>
      </c>
      <c r="AV97" s="572">
        <f t="shared" si="299"/>
        <v>7.7872516556291389</v>
      </c>
      <c r="AW97" s="572">
        <f t="shared" si="299"/>
        <v>8.0016666666666669</v>
      </c>
      <c r="AX97" s="1177">
        <f t="shared" si="299"/>
        <v>7.7666139240506329</v>
      </c>
      <c r="AY97" s="572">
        <f t="shared" si="299"/>
        <v>8.9124999999999996</v>
      </c>
      <c r="AZ97" s="572">
        <f t="shared" si="299"/>
        <v>8.1595744680851059</v>
      </c>
      <c r="BA97" s="572">
        <f t="shared" si="299"/>
        <v>5.3255899705014746</v>
      </c>
      <c r="BB97" s="1177">
        <f t="shared" si="299"/>
        <v>5.8382587859424921</v>
      </c>
      <c r="BC97" s="572">
        <f t="shared" si="299"/>
        <v>6.0420711974110031</v>
      </c>
      <c r="BD97" s="572">
        <f t="shared" si="299"/>
        <v>6.0885922330097086</v>
      </c>
      <c r="BE97" s="573">
        <f t="shared" si="299"/>
        <v>6.2818708609271523</v>
      </c>
      <c r="BF97" s="1177">
        <f t="shared" si="299"/>
        <v>6.1618589743589745</v>
      </c>
      <c r="BG97" s="572">
        <f t="shared" si="299"/>
        <v>6.1683753943217665</v>
      </c>
      <c r="BH97" s="572">
        <f t="shared" si="299"/>
        <v>6.4617263843648205</v>
      </c>
      <c r="BI97" s="573">
        <f t="shared" si="299"/>
        <v>6.5397727272727275</v>
      </c>
      <c r="BJ97" s="1177">
        <f t="shared" si="299"/>
        <v>7.0960207612456747</v>
      </c>
      <c r="BK97" s="572">
        <f t="shared" si="299"/>
        <v>7.1706896551724135</v>
      </c>
      <c r="BL97" s="572">
        <f t="shared" si="299"/>
        <v>7.4004385964912283</v>
      </c>
      <c r="BM97" s="573">
        <f t="shared" si="299"/>
        <v>8.5619999999999994</v>
      </c>
      <c r="BN97" s="1177">
        <f t="shared" si="299"/>
        <v>9.1943855932203391</v>
      </c>
      <c r="BO97" s="572">
        <f t="shared" si="299"/>
        <v>8.7594246031746028</v>
      </c>
      <c r="BP97" s="572">
        <f t="shared" si="299"/>
        <v>9.1163617886178869</v>
      </c>
      <c r="BQ97" s="573">
        <f t="shared" si="299"/>
        <v>5.5562500000000004</v>
      </c>
      <c r="BR97" s="2167">
        <f t="shared" ref="BR97:BW97" si="300">-BR84/BR89/4</f>
        <v>4.7923228346456694</v>
      </c>
      <c r="BS97" s="2168">
        <f t="shared" si="300"/>
        <v>4.8339007782101167</v>
      </c>
      <c r="BT97" s="2168">
        <f t="shared" si="300"/>
        <v>4.5453124999999996</v>
      </c>
      <c r="BU97" s="573">
        <f t="shared" si="300"/>
        <v>4.5457875457875456</v>
      </c>
      <c r="BV97" s="2167">
        <f t="shared" si="300"/>
        <v>4.5351782363977486</v>
      </c>
      <c r="BW97" s="2168">
        <f t="shared" si="300"/>
        <v>4.7320093457943928</v>
      </c>
      <c r="BX97" s="1490">
        <v>7</v>
      </c>
      <c r="BY97" s="1442">
        <v>7</v>
      </c>
      <c r="BZ97" s="1490">
        <v>7</v>
      </c>
      <c r="CA97" s="1490">
        <v>7</v>
      </c>
      <c r="CB97" s="1490">
        <v>7</v>
      </c>
      <c r="CC97" s="1442">
        <v>6.92</v>
      </c>
      <c r="CD97" s="1408"/>
      <c r="CE97" s="572"/>
      <c r="CF97" s="572"/>
      <c r="CG97" s="572">
        <f t="shared" ref="CG97:CV97" si="301">-CG84/CG89</f>
        <v>-7.8139186507936493</v>
      </c>
      <c r="CH97" s="572">
        <f t="shared" si="301"/>
        <v>-5.2541789577187794</v>
      </c>
      <c r="CI97" s="572">
        <f t="shared" si="301"/>
        <v>-5.5400593471810078</v>
      </c>
      <c r="CJ97" s="572">
        <f t="shared" si="301"/>
        <v>-6.2205882352941169</v>
      </c>
      <c r="CK97" s="572">
        <f t="shared" si="301"/>
        <v>-6.333333333333333</v>
      </c>
      <c r="CL97" s="572">
        <f t="shared" si="301"/>
        <v>5.2433414043583539</v>
      </c>
      <c r="CM97" s="572">
        <f t="shared" si="301"/>
        <v>6.2515657620041756</v>
      </c>
      <c r="CN97" s="572">
        <f t="shared" si="301"/>
        <v>7.2529411764705882</v>
      </c>
      <c r="CO97" s="572">
        <f t="shared" si="301"/>
        <v>7.5249169435215943</v>
      </c>
      <c r="CP97" s="572">
        <f t="shared" si="301"/>
        <v>7.2787878787878784</v>
      </c>
      <c r="CQ97" s="572">
        <f t="shared" si="301"/>
        <v>5.9971613949716138</v>
      </c>
      <c r="CR97" s="1177">
        <f t="shared" si="301"/>
        <v>6.32596463022508</v>
      </c>
      <c r="CS97" s="572">
        <f t="shared" si="301"/>
        <v>7.5076301615798924</v>
      </c>
      <c r="CT97" s="572">
        <f t="shared" si="301"/>
        <v>7.9012131715771234</v>
      </c>
      <c r="CU97" s="572">
        <f t="shared" si="301"/>
        <v>4.5014097744360901</v>
      </c>
      <c r="CV97" s="572">
        <f t="shared" si="301"/>
        <v>5.5975414537220276</v>
      </c>
      <c r="CW97" s="572">
        <f>-CW84/CW89</f>
        <v>6.9605565824430968</v>
      </c>
      <c r="CX97" s="1490">
        <v>7</v>
      </c>
      <c r="CY97" s="1490">
        <v>10</v>
      </c>
      <c r="CZ97" s="1490">
        <f>CY97</f>
        <v>10</v>
      </c>
      <c r="DA97" s="1490">
        <v>12</v>
      </c>
      <c r="DB97" s="1490">
        <v>12</v>
      </c>
      <c r="DC97" s="1490">
        <v>12</v>
      </c>
      <c r="DD97" s="291"/>
      <c r="DE97" s="24"/>
      <c r="DF97" s="24"/>
      <c r="DG97" s="24"/>
      <c r="DH97" s="24"/>
      <c r="DI97" s="24"/>
      <c r="DJ97" s="24"/>
      <c r="DK97" s="24"/>
      <c r="DL97" s="24"/>
      <c r="DM97" s="24"/>
      <c r="DN97" s="24"/>
      <c r="DO97" s="24"/>
      <c r="DP97" s="24"/>
      <c r="DQ97" s="24"/>
      <c r="DR97" s="24"/>
    </row>
    <row r="98" spans="1:122" hidden="1" outlineLevel="1">
      <c r="A98" s="3"/>
      <c r="B98" s="207"/>
      <c r="C98" s="201" t="s">
        <v>85</v>
      </c>
      <c r="D98" s="201"/>
      <c r="E98" s="265"/>
      <c r="F98" s="438"/>
      <c r="G98" s="438"/>
      <c r="H98" s="438"/>
      <c r="I98" s="439"/>
      <c r="J98" s="438"/>
      <c r="K98" s="438"/>
      <c r="L98" s="438"/>
      <c r="M98" s="439"/>
      <c r="N98" s="438">
        <f t="shared" ref="N98:AC98" si="302">-N89/N80</f>
        <v>0.94110985277463199</v>
      </c>
      <c r="O98" s="438">
        <f t="shared" si="302"/>
        <v>0.76512155591572129</v>
      </c>
      <c r="P98" s="438">
        <f t="shared" si="302"/>
        <v>0.81482420019005375</v>
      </c>
      <c r="Q98" s="439">
        <f t="shared" si="302"/>
        <v>0.7694238323876037</v>
      </c>
      <c r="R98" s="438">
        <f t="shared" si="302"/>
        <v>1.0753768844221105</v>
      </c>
      <c r="S98" s="438">
        <f t="shared" si="302"/>
        <v>0.58371040723981915</v>
      </c>
      <c r="T98" s="438">
        <f t="shared" si="302"/>
        <v>1.0151515151515149</v>
      </c>
      <c r="U98" s="439">
        <f t="shared" si="302"/>
        <v>0.6723300970873789</v>
      </c>
      <c r="V98" s="438">
        <f t="shared" si="302"/>
        <v>0.57199211045364884</v>
      </c>
      <c r="W98" s="438">
        <f t="shared" si="302"/>
        <v>0.59306569343065696</v>
      </c>
      <c r="X98" s="438">
        <f t="shared" si="302"/>
        <v>0.75157894736842112</v>
      </c>
      <c r="Y98" s="439">
        <f t="shared" si="302"/>
        <v>0.46766169154228865</v>
      </c>
      <c r="Z98" s="438">
        <f t="shared" si="302"/>
        <v>0.70916334661354585</v>
      </c>
      <c r="AA98" s="438">
        <f t="shared" si="302"/>
        <v>0.74230769230769234</v>
      </c>
      <c r="AB98" s="438">
        <f t="shared" si="302"/>
        <v>0.40327237728585175</v>
      </c>
      <c r="AC98" s="439">
        <f t="shared" si="302"/>
        <v>0.45615866388309001</v>
      </c>
      <c r="AD98" s="574">
        <f>IF(ISERROR(-AD89/AD80),"NM",(-AD89/AD80))</f>
        <v>0.625</v>
      </c>
      <c r="AE98" s="574">
        <f>IF(ISERROR(-AE89/AE80),"NM",(-AE89/AE80))</f>
        <v>0.50515463917525771</v>
      </c>
      <c r="AF98" s="438">
        <f t="shared" ref="AF98:BY98" si="303">-AF89/AF80</f>
        <v>0.79710144927536231</v>
      </c>
      <c r="AG98" s="439">
        <f t="shared" si="303"/>
        <v>0.70930232558139539</v>
      </c>
      <c r="AH98" s="574">
        <f t="shared" si="303"/>
        <v>0.4785276073619632</v>
      </c>
      <c r="AI98" s="335">
        <f t="shared" si="303"/>
        <v>0.65680473372781067</v>
      </c>
      <c r="AJ98" s="335">
        <f t="shared" si="303"/>
        <v>0.81021897810218979</v>
      </c>
      <c r="AK98" s="335">
        <f t="shared" si="303"/>
        <v>0.77397260273972601</v>
      </c>
      <c r="AL98" s="339">
        <f t="shared" si="303"/>
        <v>0.72222222222222221</v>
      </c>
      <c r="AM98" s="335">
        <f t="shared" si="303"/>
        <v>0.87142857142857144</v>
      </c>
      <c r="AN98" s="335">
        <f t="shared" si="303"/>
        <v>1.1226415094339623</v>
      </c>
      <c r="AO98" s="336">
        <f t="shared" si="303"/>
        <v>1.0900900900900901</v>
      </c>
      <c r="AP98" s="339">
        <f t="shared" si="303"/>
        <v>0.6875</v>
      </c>
      <c r="AQ98" s="335">
        <f t="shared" si="303"/>
        <v>0.63316582914572861</v>
      </c>
      <c r="AR98" s="335">
        <f t="shared" si="303"/>
        <v>0.72881355932203384</v>
      </c>
      <c r="AS98" s="335">
        <f t="shared" si="303"/>
        <v>0.72432432432432436</v>
      </c>
      <c r="AT98" s="339">
        <f t="shared" si="303"/>
        <v>0.75</v>
      </c>
      <c r="AU98" s="335">
        <f t="shared" si="303"/>
        <v>0.60399999999999998</v>
      </c>
      <c r="AV98" s="335">
        <f t="shared" si="303"/>
        <v>0.86285714285714288</v>
      </c>
      <c r="AW98" s="335">
        <f t="shared" si="303"/>
        <v>0.98039215686274506</v>
      </c>
      <c r="AX98" s="339">
        <f t="shared" si="303"/>
        <v>1.1791044776119404</v>
      </c>
      <c r="AY98" s="335">
        <f t="shared" si="303"/>
        <v>1.1764705882352942</v>
      </c>
      <c r="AZ98" s="335">
        <f t="shared" si="303"/>
        <v>1.3428571428571427</v>
      </c>
      <c r="BA98" s="335">
        <f t="shared" si="303"/>
        <v>1.0462962962962963</v>
      </c>
      <c r="BB98" s="339">
        <f t="shared" si="303"/>
        <v>0.81937172774869105</v>
      </c>
      <c r="BC98" s="335">
        <f t="shared" si="303"/>
        <v>1.2560975609756098</v>
      </c>
      <c r="BD98" s="335">
        <f t="shared" si="303"/>
        <v>1.6436170212765957</v>
      </c>
      <c r="BE98" s="336">
        <f t="shared" si="303"/>
        <v>2.2205882352941178</v>
      </c>
      <c r="BF98" s="339">
        <f t="shared" si="303"/>
        <v>2.2941176470588234</v>
      </c>
      <c r="BG98" s="335">
        <f t="shared" si="303"/>
        <v>1.8647058823529412</v>
      </c>
      <c r="BH98" s="335">
        <f t="shared" si="303"/>
        <v>1.9068322981366459</v>
      </c>
      <c r="BI98" s="336">
        <f t="shared" si="303"/>
        <v>1.9130434782608696</v>
      </c>
      <c r="BJ98" s="339">
        <f t="shared" si="303"/>
        <v>1.8062499999999999</v>
      </c>
      <c r="BK98" s="335">
        <f t="shared" si="303"/>
        <v>1.9863013698630136</v>
      </c>
      <c r="BL98" s="335">
        <f t="shared" si="303"/>
        <v>1.9</v>
      </c>
      <c r="BM98" s="336">
        <f t="shared" si="303"/>
        <v>1.6025641025641026</v>
      </c>
      <c r="BN98" s="339">
        <f t="shared" si="303"/>
        <v>1.5629139072847682</v>
      </c>
      <c r="BO98" s="335">
        <f t="shared" si="303"/>
        <v>1.6912751677852349</v>
      </c>
      <c r="BP98" s="335">
        <f t="shared" si="303"/>
        <v>1.8496240601503759</v>
      </c>
      <c r="BQ98" s="336">
        <f t="shared" si="303"/>
        <v>1.7427385892116183</v>
      </c>
      <c r="BR98" s="349">
        <f t="shared" ref="BR98:BW98" si="304">-BR89/BR80</f>
        <v>2.4075829383886256</v>
      </c>
      <c r="BS98" s="333">
        <f t="shared" si="304"/>
        <v>2.7195767195767195</v>
      </c>
      <c r="BT98" s="333">
        <f t="shared" si="304"/>
        <v>2.0216606498194944</v>
      </c>
      <c r="BU98" s="336">
        <f t="shared" si="304"/>
        <v>3.0674157303370788</v>
      </c>
      <c r="BV98" s="349">
        <f t="shared" si="304"/>
        <v>1.8636363636363635</v>
      </c>
      <c r="BW98" s="333">
        <f t="shared" si="304"/>
        <v>0.85055643879173293</v>
      </c>
      <c r="BX98" s="335">
        <f t="shared" si="303"/>
        <v>1.0933498985280807</v>
      </c>
      <c r="BY98" s="336">
        <f t="shared" si="303"/>
        <v>1.1183172137527828</v>
      </c>
      <c r="BZ98" s="339">
        <f>-BZ89/BZ80</f>
        <v>1.2036666850711362</v>
      </c>
      <c r="CA98" s="335">
        <f>-CA89/CA80</f>
        <v>1.2590629558787685</v>
      </c>
      <c r="CB98" s="335">
        <f>-CB89/CB80</f>
        <v>1.5075254701905729</v>
      </c>
      <c r="CC98" s="336">
        <f>-CC89/CC80</f>
        <v>1.6482410411385249</v>
      </c>
      <c r="CD98" s="338"/>
      <c r="CE98" s="438"/>
      <c r="CF98" s="438"/>
      <c r="CG98" s="438">
        <f t="shared" ref="CG98:DA98" si="305">-CG89/CG80</f>
        <v>-0.81421647819063003</v>
      </c>
      <c r="CH98" s="438">
        <f t="shared" si="305"/>
        <v>-0.77220956719817779</v>
      </c>
      <c r="CI98" s="438">
        <f t="shared" si="305"/>
        <v>-0.57754927163667524</v>
      </c>
      <c r="CJ98" s="438">
        <f t="shared" si="305"/>
        <v>-0.52931434249751586</v>
      </c>
      <c r="CK98" s="438">
        <f t="shared" si="305"/>
        <v>-0.64814814814814814</v>
      </c>
      <c r="CL98" s="438">
        <f t="shared" si="305"/>
        <v>0.67154471544715444</v>
      </c>
      <c r="CM98" s="438">
        <f t="shared" si="305"/>
        <v>0.92292870905587665</v>
      </c>
      <c r="CN98" s="438">
        <f t="shared" si="305"/>
        <v>0.69199457259158748</v>
      </c>
      <c r="CO98" s="438">
        <f t="shared" si="305"/>
        <v>0.77377892030848328</v>
      </c>
      <c r="CP98" s="438">
        <f t="shared" si="305"/>
        <v>1.1506276150627615</v>
      </c>
      <c r="CQ98" s="438">
        <f t="shared" si="305"/>
        <v>1.2951680672268908</v>
      </c>
      <c r="CR98" s="964">
        <f t="shared" si="305"/>
        <v>1.9808917197452229</v>
      </c>
      <c r="CS98" s="438">
        <f t="shared" si="305"/>
        <v>1.8202614379084967</v>
      </c>
      <c r="CT98" s="438">
        <f t="shared" si="305"/>
        <v>1.7121661721068249</v>
      </c>
      <c r="CU98" s="438">
        <f t="shared" si="305"/>
        <v>2.4888888888888889</v>
      </c>
      <c r="CV98" s="438">
        <f t="shared" si="305"/>
        <v>1.1408803258357789</v>
      </c>
      <c r="CW98" s="438">
        <f>-CW89/CW80</f>
        <v>1.3872841392779358</v>
      </c>
      <c r="CX98" s="438">
        <f t="shared" si="305"/>
        <v>1.3745360409335958</v>
      </c>
      <c r="CY98" s="438">
        <f t="shared" si="305"/>
        <v>1.0267652741507252</v>
      </c>
      <c r="CZ98" s="438">
        <f t="shared" si="305"/>
        <v>1.0131908965081786</v>
      </c>
      <c r="DA98" s="438">
        <f t="shared" si="305"/>
        <v>0.88841445595076562</v>
      </c>
      <c r="DB98" s="438">
        <f>-DB89/DB80</f>
        <v>0.92728866703731372</v>
      </c>
      <c r="DC98" s="438">
        <f>-DC89/DC80</f>
        <v>0.96085947127045124</v>
      </c>
      <c r="DD98" s="291"/>
      <c r="DE98" s="24"/>
      <c r="DF98" s="24"/>
      <c r="DG98" s="24"/>
      <c r="DH98" s="24"/>
      <c r="DI98" s="24"/>
      <c r="DJ98" s="24"/>
      <c r="DK98" s="24"/>
      <c r="DL98" s="24"/>
      <c r="DM98" s="24"/>
      <c r="DN98" s="24"/>
      <c r="DO98" s="24"/>
      <c r="DP98" s="24"/>
      <c r="DQ98" s="24"/>
      <c r="DR98" s="24"/>
    </row>
    <row r="99" spans="1:122" hidden="1" outlineLevel="1">
      <c r="A99" s="3"/>
      <c r="B99" s="269"/>
      <c r="C99" s="201"/>
      <c r="D99" s="201"/>
      <c r="E99" s="265"/>
      <c r="F99" s="264"/>
      <c r="G99" s="264"/>
      <c r="H99" s="264"/>
      <c r="I99" s="265"/>
      <c r="J99" s="264"/>
      <c r="K99" s="264"/>
      <c r="L99" s="264"/>
      <c r="M99" s="265"/>
      <c r="N99" s="264"/>
      <c r="O99" s="264"/>
      <c r="P99" s="264"/>
      <c r="Q99" s="265"/>
      <c r="R99" s="264"/>
      <c r="S99" s="264"/>
      <c r="T99" s="264"/>
      <c r="U99" s="265"/>
      <c r="V99" s="264"/>
      <c r="W99" s="264"/>
      <c r="X99" s="264"/>
      <c r="Y99" s="265"/>
      <c r="Z99" s="264"/>
      <c r="AA99" s="264"/>
      <c r="AB99" s="264"/>
      <c r="AC99" s="265"/>
      <c r="AD99" s="264"/>
      <c r="AE99" s="264"/>
      <c r="AF99" s="264"/>
      <c r="AG99" s="265"/>
      <c r="AH99" s="264"/>
      <c r="AI99" s="96"/>
      <c r="AJ99" s="96"/>
      <c r="AK99" s="96"/>
      <c r="AL99" s="76"/>
      <c r="AM99" s="96"/>
      <c r="AN99" s="96"/>
      <c r="AO99" s="97"/>
      <c r="AP99" s="96"/>
      <c r="AQ99" s="96"/>
      <c r="AR99" s="96"/>
      <c r="AS99" s="96"/>
      <c r="AT99" s="76"/>
      <c r="AU99" s="96"/>
      <c r="AV99" s="96"/>
      <c r="AW99" s="96"/>
      <c r="AX99" s="76"/>
      <c r="AY99" s="96"/>
      <c r="AZ99" s="96"/>
      <c r="BA99" s="97"/>
      <c r="BB99" s="76"/>
      <c r="BC99" s="96"/>
      <c r="BD99" s="96"/>
      <c r="BE99" s="97"/>
      <c r="BF99" s="76"/>
      <c r="BG99" s="96"/>
      <c r="BH99" s="96"/>
      <c r="BI99" s="97"/>
      <c r="BJ99" s="76"/>
      <c r="BK99" s="96"/>
      <c r="BL99" s="96"/>
      <c r="BM99" s="97"/>
      <c r="BN99" s="76"/>
      <c r="BO99" s="96"/>
      <c r="BP99" s="96"/>
      <c r="BQ99" s="97"/>
      <c r="BR99" s="23"/>
      <c r="BS99" s="24"/>
      <c r="BT99" s="24"/>
      <c r="BU99" s="97"/>
      <c r="BV99" s="76"/>
      <c r="BW99" s="24"/>
      <c r="BX99" s="96"/>
      <c r="BY99" s="97"/>
      <c r="BZ99" s="76"/>
      <c r="CA99" s="96"/>
      <c r="CB99" s="96"/>
      <c r="CC99" s="97"/>
      <c r="CD99" s="9"/>
      <c r="CE99" s="96"/>
      <c r="CF99" s="96"/>
      <c r="CG99" s="96"/>
      <c r="CH99" s="96"/>
      <c r="CI99" s="96"/>
      <c r="CJ99" s="96"/>
      <c r="CK99" s="96"/>
      <c r="CL99" s="96"/>
      <c r="CM99" s="96"/>
      <c r="CN99" s="96"/>
      <c r="CO99" s="96"/>
      <c r="CP99" s="96"/>
      <c r="CQ99" s="96"/>
      <c r="CR99" s="76"/>
      <c r="CS99" s="96"/>
      <c r="CT99" s="96"/>
      <c r="CU99" s="96"/>
      <c r="CV99" s="96"/>
      <c r="CW99" s="96"/>
      <c r="CX99" s="96"/>
      <c r="CY99" s="96"/>
      <c r="CZ99" s="96"/>
      <c r="DA99" s="96"/>
      <c r="DB99" s="96"/>
      <c r="DC99" s="96"/>
      <c r="DD99" s="97"/>
      <c r="DE99" s="24"/>
      <c r="DF99" s="24"/>
      <c r="DG99" s="24"/>
      <c r="DH99" s="24"/>
      <c r="DI99" s="24"/>
      <c r="DJ99" s="24"/>
      <c r="DK99" s="24"/>
      <c r="DL99" s="24"/>
      <c r="DM99" s="24"/>
      <c r="DN99" s="24"/>
      <c r="DO99" s="24"/>
      <c r="DP99" s="24"/>
      <c r="DQ99" s="24"/>
      <c r="DR99" s="24"/>
    </row>
    <row r="100" spans="1:122" hidden="1" outlineLevel="1">
      <c r="A100" s="3"/>
      <c r="B100" s="209" t="s">
        <v>57</v>
      </c>
      <c r="C100" s="201"/>
      <c r="D100" s="201"/>
      <c r="E100" s="265"/>
      <c r="F100" s="264"/>
      <c r="G100" s="264"/>
      <c r="H100" s="264"/>
      <c r="I100" s="265"/>
      <c r="J100" s="264"/>
      <c r="K100" s="264"/>
      <c r="L100" s="264"/>
      <c r="M100" s="265"/>
      <c r="N100" s="264"/>
      <c r="O100" s="264"/>
      <c r="P100" s="264"/>
      <c r="Q100" s="265"/>
      <c r="R100" s="264"/>
      <c r="S100" s="264"/>
      <c r="T100" s="264"/>
      <c r="U100" s="265"/>
      <c r="V100" s="264"/>
      <c r="W100" s="264"/>
      <c r="X100" s="264"/>
      <c r="Y100" s="265"/>
      <c r="Z100" s="264"/>
      <c r="AA100" s="264"/>
      <c r="AB100" s="264"/>
      <c r="AC100" s="265"/>
      <c r="AD100" s="264"/>
      <c r="AE100" s="264"/>
      <c r="AF100" s="264"/>
      <c r="AG100" s="265"/>
      <c r="AH100" s="264"/>
      <c r="AI100" s="457"/>
      <c r="AJ100" s="314"/>
      <c r="AK100" s="314"/>
      <c r="AL100" s="963"/>
      <c r="AM100" s="314"/>
      <c r="AN100" s="314"/>
      <c r="AO100" s="328"/>
      <c r="AP100" s="314"/>
      <c r="AQ100" s="314"/>
      <c r="AR100" s="314"/>
      <c r="AS100" s="314"/>
      <c r="AT100" s="963"/>
      <c r="AU100" s="314"/>
      <c r="AV100" s="314"/>
      <c r="AW100" s="314"/>
      <c r="AX100" s="963"/>
      <c r="AY100" s="314"/>
      <c r="AZ100" s="314"/>
      <c r="BA100" s="328"/>
      <c r="BB100" s="963"/>
      <c r="BC100" s="314"/>
      <c r="BD100" s="314"/>
      <c r="BE100" s="328"/>
      <c r="BF100" s="963"/>
      <c r="BG100" s="314"/>
      <c r="BH100" s="314"/>
      <c r="BI100" s="328"/>
      <c r="BJ100" s="963"/>
      <c r="BK100" s="314"/>
      <c r="BL100" s="314"/>
      <c r="BM100" s="328"/>
      <c r="BN100" s="963"/>
      <c r="BO100" s="314"/>
      <c r="BP100" s="314"/>
      <c r="BQ100" s="328"/>
      <c r="BR100" s="2169"/>
      <c r="BS100" s="2170"/>
      <c r="BT100" s="2170"/>
      <c r="BU100" s="328"/>
      <c r="BV100" s="963"/>
      <c r="BW100" s="2170"/>
      <c r="BX100" s="314"/>
      <c r="BY100" s="328"/>
      <c r="BZ100" s="963"/>
      <c r="CA100" s="314"/>
      <c r="CB100" s="314"/>
      <c r="CC100" s="328"/>
      <c r="CD100" s="9"/>
      <c r="CE100" s="323"/>
      <c r="CF100" s="323"/>
      <c r="CG100" s="323"/>
      <c r="CH100" s="323"/>
      <c r="CI100" s="323"/>
      <c r="CJ100" s="323"/>
      <c r="CK100" s="323"/>
      <c r="CL100" s="323"/>
      <c r="CM100" s="323"/>
      <c r="CN100" s="323"/>
      <c r="CO100" s="323"/>
      <c r="CP100" s="323"/>
      <c r="CQ100" s="323"/>
      <c r="CR100" s="327"/>
      <c r="CS100" s="323"/>
      <c r="CT100" s="323"/>
      <c r="CU100" s="323"/>
      <c r="CV100" s="323"/>
      <c r="CW100" s="323"/>
      <c r="CX100" s="323"/>
      <c r="CY100" s="323"/>
      <c r="CZ100" s="323"/>
      <c r="DA100" s="323"/>
      <c r="DB100" s="323"/>
      <c r="DC100" s="323"/>
      <c r="DD100" s="325"/>
      <c r="DE100" s="24"/>
      <c r="DF100" s="24"/>
      <c r="DG100" s="24"/>
      <c r="DH100" s="24"/>
      <c r="DI100" s="24"/>
      <c r="DJ100" s="24"/>
      <c r="DK100" s="24"/>
      <c r="DL100" s="24"/>
      <c r="DM100" s="24"/>
      <c r="DN100" s="24"/>
      <c r="DO100" s="24"/>
      <c r="DP100" s="24"/>
      <c r="DQ100" s="24"/>
      <c r="DR100" s="24"/>
    </row>
    <row r="101" spans="1:122" hidden="1" outlineLevel="1">
      <c r="A101" s="3"/>
      <c r="B101" s="207"/>
      <c r="C101" s="201" t="s">
        <v>83</v>
      </c>
      <c r="D101" s="201"/>
      <c r="E101" s="265"/>
      <c r="F101" s="438"/>
      <c r="G101" s="438"/>
      <c r="H101" s="438"/>
      <c r="I101" s="439"/>
      <c r="J101" s="478"/>
      <c r="K101" s="478"/>
      <c r="L101" s="478"/>
      <c r="M101" s="479"/>
      <c r="N101" s="478">
        <f>N80/IS!N11</f>
        <v>2.1207416747223658E-2</v>
      </c>
      <c r="O101" s="478">
        <f>O80/IS!O11</f>
        <v>2.0580705399931672E-2</v>
      </c>
      <c r="P101" s="478">
        <f>P80/IS!P11</f>
        <v>2.236347156224169E-2</v>
      </c>
      <c r="Q101" s="479">
        <f>Q80/IS!Q11</f>
        <v>2.6942545885790717E-2</v>
      </c>
      <c r="R101" s="478">
        <f>R80/IS!R11</f>
        <v>2.786237284798293E-2</v>
      </c>
      <c r="S101" s="478">
        <f>S80/IS!S11</f>
        <v>5.2945747989757722E-2</v>
      </c>
      <c r="T101" s="478">
        <f>T80/IS!T11</f>
        <v>3.5252127237197568E-2</v>
      </c>
      <c r="U101" s="479">
        <f>U80/IS!U11</f>
        <v>5.5021849871657258E-2</v>
      </c>
      <c r="V101" s="478">
        <f>V80/IS!V11</f>
        <v>6.1560766077690871E-2</v>
      </c>
      <c r="W101" s="478">
        <f>W80/IS!W11</f>
        <v>5.7386700889210003E-2</v>
      </c>
      <c r="X101" s="478">
        <f>X80/IS!X11</f>
        <v>5.1636297909768869E-2</v>
      </c>
      <c r="Y101" s="479">
        <f>Y80/IS!Y11</f>
        <v>8.5498528890117484E-2</v>
      </c>
      <c r="Z101" s="478">
        <f>Z80/IS!Z11</f>
        <v>4.9707648108516536E-2</v>
      </c>
      <c r="AA101" s="478">
        <f>AA80/IS!AA11</f>
        <v>4.6550457722973108E-2</v>
      </c>
      <c r="AB101" s="478">
        <f>AB80/IS!AB11</f>
        <v>9.2047097006714151E-2</v>
      </c>
      <c r="AC101" s="479">
        <f>AC80/IS!AC11</f>
        <v>8.8252583139350124E-2</v>
      </c>
      <c r="AD101" s="478">
        <f>AD80/IS!AD11</f>
        <v>5.6962077887581099E-2</v>
      </c>
      <c r="AE101" s="478">
        <f>AE80/IS!AE11</f>
        <v>6.7928597392897985E-2</v>
      </c>
      <c r="AF101" s="478">
        <f>AF80/IS!AF11</f>
        <v>4.8935136903112679E-2</v>
      </c>
      <c r="AG101" s="479">
        <f>AG80/IS!AG11</f>
        <v>6.2924936563897582E-2</v>
      </c>
      <c r="AH101" s="478">
        <f>AH80/IS!AH11</f>
        <v>9.2299578002391705E-2</v>
      </c>
      <c r="AI101" s="478">
        <f>AI80/IS!AI11</f>
        <v>7.6675161434882663E-2</v>
      </c>
      <c r="AJ101" s="478">
        <f>AJ80/IS!AJ11</f>
        <v>6.4897327349958386E-2</v>
      </c>
      <c r="AK101" s="478">
        <f>AK80/IS!AK11</f>
        <v>7.3254011224146057E-2</v>
      </c>
      <c r="AL101" s="1153">
        <f>AL80/IS!AL11</f>
        <v>7.6814028708948684E-2</v>
      </c>
      <c r="AM101" s="478">
        <f>AM80/IS!AM11</f>
        <v>7.680543272273295E-2</v>
      </c>
      <c r="AN101" s="478">
        <f>AN80/IS!AN11</f>
        <v>6.6587431520611987E-2</v>
      </c>
      <c r="AO101" s="479">
        <f>AO80/IS!AO11</f>
        <v>5.7567043363495024E-2</v>
      </c>
      <c r="AP101" s="1153">
        <f>AP80/IS!AP11</f>
        <v>7.9710144927536225E-2</v>
      </c>
      <c r="AQ101" s="478">
        <f>AQ80/IS!AQ11</f>
        <v>7.5983199694539899E-2</v>
      </c>
      <c r="AR101" s="478">
        <f>AR80/IS!AR11</f>
        <v>6.7020068156001519E-2</v>
      </c>
      <c r="AS101" s="478">
        <f>AS80/IS!AS11</f>
        <v>7.7665827036104113E-2</v>
      </c>
      <c r="AT101" s="1153">
        <f>AT80/IS!AT11</f>
        <v>8.1732733959950954E-2</v>
      </c>
      <c r="AU101" s="478">
        <f>AU80/IS!AU11</f>
        <v>0.10101010101010101</v>
      </c>
      <c r="AV101" s="478">
        <f>AV80/IS!AV11</f>
        <v>7.7708703374777977E-2</v>
      </c>
      <c r="AW101" s="478">
        <f>AW80/IS!AW11</f>
        <v>6.3670411985018729E-2</v>
      </c>
      <c r="AX101" s="1153">
        <f>AX80/IS!AX11</f>
        <v>4.9740163325909428E-2</v>
      </c>
      <c r="AY101" s="478">
        <f>AY80/IS!AY11</f>
        <v>5.9649122807017542E-2</v>
      </c>
      <c r="AZ101" s="478">
        <f>AZ80/IS!AZ11</f>
        <v>4.6128500823723231E-2</v>
      </c>
      <c r="BA101" s="478">
        <f>BA80/IS!BA11</f>
        <v>6.8153134202776605E-2</v>
      </c>
      <c r="BB101" s="1153">
        <f>BB80/IS!BB11</f>
        <v>9.4671623296158608E-2</v>
      </c>
      <c r="BC101" s="478">
        <f>BC80/IS!BC11</f>
        <v>6.4330543933054388E-2</v>
      </c>
      <c r="BD101" s="478">
        <f>BD80/IS!BD11</f>
        <v>4.9946865037194477E-2</v>
      </c>
      <c r="BE101" s="479">
        <f>BE80/IS!BE11</f>
        <v>3.6480686695278972E-2</v>
      </c>
      <c r="BF101" s="1153">
        <f>BF80/IS!BF11</f>
        <v>3.5751840168243953E-2</v>
      </c>
      <c r="BG101" s="478">
        <f>BG80/IS!BG11</f>
        <v>4.2799597180261835E-2</v>
      </c>
      <c r="BH101" s="478">
        <f>BH80/IS!BH11</f>
        <v>4.3478260869565216E-2</v>
      </c>
      <c r="BI101" s="479">
        <f>BI80/IS!BI11</f>
        <v>4.4097507532182965E-2</v>
      </c>
      <c r="BJ101" s="1153">
        <f>BJ80/IS!BJ11</f>
        <v>4.0578239918843517E-2</v>
      </c>
      <c r="BK101" s="478">
        <f>BK80/IS!BK11</f>
        <v>3.755144032921811E-2</v>
      </c>
      <c r="BL101" s="478">
        <f>BL80/IS!BL11</f>
        <v>4.2253521126760563E-2</v>
      </c>
      <c r="BM101" s="479">
        <f>BM80/IS!BM11</f>
        <v>4.8887496082732684E-2</v>
      </c>
      <c r="BN101" s="1153">
        <f>BN80/IS!BN11</f>
        <v>4.494047619047619E-2</v>
      </c>
      <c r="BO101" s="478">
        <f>BO80/IS!BO11</f>
        <v>4.492010853180585E-2</v>
      </c>
      <c r="BP101" s="478">
        <f>BP80/IS!BP11</f>
        <v>4.7129695251594612E-2</v>
      </c>
      <c r="BQ101" s="479">
        <f>BQ80/IS!BQ11</f>
        <v>6.8955650929899859E-2</v>
      </c>
      <c r="BR101" s="1181">
        <f>BR80/IS!BR11</f>
        <v>4.4760288502333476E-2</v>
      </c>
      <c r="BS101" s="1180">
        <f>BS80/IS!BS11</f>
        <v>3.8666121112929622E-2</v>
      </c>
      <c r="BT101" s="1180">
        <f>BT80/IS!BT11</f>
        <v>5.9582705958270595E-2</v>
      </c>
      <c r="BU101" s="479">
        <f>BU80/IS!BU11</f>
        <v>3.6761668731928952E-2</v>
      </c>
      <c r="BV101" s="1181">
        <f>BV80/IS!BV11</f>
        <v>5.5201698513800426E-2</v>
      </c>
      <c r="BW101" s="1180">
        <f>BW80/IS!BW11</f>
        <v>0.11787856071964017</v>
      </c>
      <c r="BX101" s="1110">
        <v>7.0000000000000007E-2</v>
      </c>
      <c r="BY101" s="1203">
        <v>7.0000000000000007E-2</v>
      </c>
      <c r="BZ101" s="1110">
        <v>6.5000000000000002E-2</v>
      </c>
      <c r="CA101" s="1110">
        <v>6.5000000000000002E-2</v>
      </c>
      <c r="CB101" s="1110">
        <v>0.06</v>
      </c>
      <c r="CC101" s="1203">
        <v>0.06</v>
      </c>
      <c r="CD101" s="22"/>
      <c r="CE101" s="478"/>
      <c r="CF101" s="478"/>
      <c r="CG101" s="478">
        <f>CG80/IS!CG11</f>
        <v>2.2769921762012299E-2</v>
      </c>
      <c r="CH101" s="478">
        <f>CH80/IS!CH11</f>
        <v>4.3226727898575526E-2</v>
      </c>
      <c r="CI101" s="478">
        <f>CI80/IS!CI11</f>
        <v>6.4142656415679233E-2</v>
      </c>
      <c r="CJ101" s="478">
        <f>CJ80/IS!CJ11</f>
        <v>6.9541974395883444E-2</v>
      </c>
      <c r="CK101" s="478">
        <f>CK80/IS!CK11</f>
        <v>5.9246186709594757E-2</v>
      </c>
      <c r="CL101" s="478">
        <f>CL80/IS!CL11</f>
        <v>7.6168688300145518E-2</v>
      </c>
      <c r="CM101" s="478">
        <f>CM80/IS!CM11</f>
        <v>6.9647077923585876E-2</v>
      </c>
      <c r="CN101" s="478">
        <f>CN80/IS!CN11</f>
        <v>7.4822335025380715E-2</v>
      </c>
      <c r="CO101" s="478">
        <f>CO80/IS!CO11</f>
        <v>8.1236295290800883E-2</v>
      </c>
      <c r="CP101" s="478">
        <f>CP80/IS!CP11</f>
        <v>5.7461131591601218E-2</v>
      </c>
      <c r="CQ101" s="478">
        <f>CQ80/IS!CQ11</f>
        <v>6.2015503875968991E-2</v>
      </c>
      <c r="CR101" s="1153">
        <f>CR80/IS!CR11</f>
        <v>4.1506939854593521E-2</v>
      </c>
      <c r="CS101" s="478">
        <f>CS80/IS!CS11</f>
        <v>4.1998353005764481E-2</v>
      </c>
      <c r="CT101" s="478">
        <f>CT80/IS!CT11</f>
        <v>5.1870093889487455E-2</v>
      </c>
      <c r="CU101" s="478">
        <f>CU80/IS!CU11</f>
        <v>4.4780809720840101E-2</v>
      </c>
      <c r="CV101" s="478">
        <f>CV80/IS!CV11</f>
        <v>7.879100028032654E-2</v>
      </c>
      <c r="CW101" s="478">
        <f>CW80/IS!CW11</f>
        <v>6.2636340916863542E-2</v>
      </c>
      <c r="CX101" s="1110">
        <v>6.5000000000000002E-2</v>
      </c>
      <c r="CY101" s="1110">
        <v>6.5000000000000002E-2</v>
      </c>
      <c r="CZ101" s="1110">
        <v>7.0000000000000007E-2</v>
      </c>
      <c r="DA101" s="1110">
        <v>7.0000000000000007E-2</v>
      </c>
      <c r="DB101" s="1110">
        <v>7.0000000000000007E-2</v>
      </c>
      <c r="DC101" s="1110">
        <v>7.0000000000000007E-2</v>
      </c>
      <c r="DD101" s="325"/>
      <c r="DE101" s="24"/>
      <c r="DF101" s="24"/>
      <c r="DG101" s="24"/>
      <c r="DH101" s="24"/>
      <c r="DI101" s="24"/>
      <c r="DJ101" s="24"/>
      <c r="DK101" s="24"/>
      <c r="DL101" s="24"/>
      <c r="DM101" s="24"/>
      <c r="DN101" s="24"/>
      <c r="DO101" s="24"/>
      <c r="DP101" s="24"/>
      <c r="DQ101" s="24"/>
      <c r="DR101" s="24"/>
    </row>
    <row r="102" spans="1:122" hidden="1" outlineLevel="1">
      <c r="A102" s="3"/>
      <c r="B102" s="207"/>
      <c r="C102" s="201" t="s">
        <v>84</v>
      </c>
      <c r="D102" s="201"/>
      <c r="E102" s="265"/>
      <c r="F102" s="438"/>
      <c r="G102" s="438"/>
      <c r="H102" s="438"/>
      <c r="I102" s="439"/>
      <c r="J102" s="438"/>
      <c r="K102" s="438"/>
      <c r="L102" s="438"/>
      <c r="M102" s="439"/>
      <c r="N102" s="438">
        <f t="shared" ref="N102:AH102" si="306">N80/N94</f>
        <v>0.11322793969481032</v>
      </c>
      <c r="O102" s="438">
        <f t="shared" si="306"/>
        <v>0.1360601222556431</v>
      </c>
      <c r="P102" s="438">
        <f t="shared" si="306"/>
        <v>0.13472798347587106</v>
      </c>
      <c r="Q102" s="439">
        <f t="shared" si="306"/>
        <v>0.1501064701064701</v>
      </c>
      <c r="R102" s="438">
        <f t="shared" si="306"/>
        <v>9.3121197941038819E-2</v>
      </c>
      <c r="S102" s="438">
        <f t="shared" si="306"/>
        <v>0.18720880982634475</v>
      </c>
      <c r="T102" s="438">
        <f t="shared" si="306"/>
        <v>0.11027568922305768</v>
      </c>
      <c r="U102" s="439">
        <f t="shared" si="306"/>
        <v>0.14998179832544592</v>
      </c>
      <c r="V102" s="438">
        <f t="shared" si="306"/>
        <v>0.16677631578947369</v>
      </c>
      <c r="W102" s="438">
        <f t="shared" si="306"/>
        <v>0.16601029990911842</v>
      </c>
      <c r="X102" s="438">
        <f t="shared" si="306"/>
        <v>0.13680875576036866</v>
      </c>
      <c r="Y102" s="439">
        <f t="shared" si="306"/>
        <v>0.20354430379746838</v>
      </c>
      <c r="Z102" s="438">
        <f t="shared" si="306"/>
        <v>0.12015318334131171</v>
      </c>
      <c r="AA102" s="438">
        <f t="shared" si="306"/>
        <v>0.11989854738298365</v>
      </c>
      <c r="AB102" s="438">
        <f t="shared" si="306"/>
        <v>0.20930701047542308</v>
      </c>
      <c r="AC102" s="439">
        <f t="shared" si="306"/>
        <v>0.17449908925318758</v>
      </c>
      <c r="AD102" s="438">
        <f t="shared" si="306"/>
        <v>0.12040133779264214</v>
      </c>
      <c r="AE102" s="438">
        <f t="shared" si="306"/>
        <v>0.15227629513343799</v>
      </c>
      <c r="AF102" s="438">
        <f t="shared" si="306"/>
        <v>0.10267857142857142</v>
      </c>
      <c r="AG102" s="439">
        <f t="shared" si="306"/>
        <v>0.11605937921727395</v>
      </c>
      <c r="AH102" s="438">
        <f t="shared" si="306"/>
        <v>0.10751978891820581</v>
      </c>
      <c r="AI102" s="335">
        <f t="shared" ref="AI102:BY102" si="307">AI80/AH94</f>
        <v>0.11147757255936676</v>
      </c>
      <c r="AJ102" s="335">
        <f t="shared" si="307"/>
        <v>8.7820512820512814E-2</v>
      </c>
      <c r="AK102" s="335">
        <f t="shared" si="307"/>
        <v>9.5487246566383258E-2</v>
      </c>
      <c r="AL102" s="339">
        <f t="shared" si="307"/>
        <v>9.7122302158273388E-2</v>
      </c>
      <c r="AM102" s="335">
        <f t="shared" si="307"/>
        <v>8.3632019115890077E-2</v>
      </c>
      <c r="AN102" s="335">
        <f t="shared" si="307"/>
        <v>6.5432098765432101E-2</v>
      </c>
      <c r="AO102" s="336">
        <f t="shared" si="307"/>
        <v>7.0700636942675157E-2</v>
      </c>
      <c r="AP102" s="339">
        <f t="shared" si="307"/>
        <v>0.1111111111111111</v>
      </c>
      <c r="AQ102" s="335">
        <f t="shared" si="307"/>
        <v>0.12246153846153846</v>
      </c>
      <c r="AR102" s="335">
        <f t="shared" si="307"/>
        <v>0.10436320754716981</v>
      </c>
      <c r="AS102" s="335">
        <f t="shared" si="307"/>
        <v>0.10535307517084283</v>
      </c>
      <c r="AT102" s="339">
        <f t="shared" si="307"/>
        <v>9.2635479388605835E-2</v>
      </c>
      <c r="AU102" s="335">
        <f t="shared" si="307"/>
        <v>0.111358574610245</v>
      </c>
      <c r="AV102" s="335">
        <f t="shared" si="307"/>
        <v>7.6855511638120336E-2</v>
      </c>
      <c r="AW102" s="335">
        <f t="shared" si="307"/>
        <v>6.8030235660293467E-2</v>
      </c>
      <c r="AX102" s="339">
        <f t="shared" si="307"/>
        <v>6.0251798561151079E-2</v>
      </c>
      <c r="AY102" s="335">
        <f t="shared" si="307"/>
        <v>5.3870529651425983E-2</v>
      </c>
      <c r="AZ102" s="335">
        <f t="shared" si="307"/>
        <v>6.6953610712577716E-2</v>
      </c>
      <c r="BA102" s="335">
        <f t="shared" si="307"/>
        <v>7.7679213617837445E-2</v>
      </c>
      <c r="BB102" s="339">
        <f t="shared" si="307"/>
        <v>9.3926727317432998E-2</v>
      </c>
      <c r="BC102" s="335">
        <f t="shared" si="307"/>
        <v>6.1087658306431585E-2</v>
      </c>
      <c r="BD102" s="335">
        <f t="shared" si="307"/>
        <v>4.9973418394471024E-2</v>
      </c>
      <c r="BE102" s="336">
        <f t="shared" si="307"/>
        <v>3.8592508513053347E-2</v>
      </c>
      <c r="BF102" s="339">
        <f t="shared" si="307"/>
        <v>4.1501373207201708E-2</v>
      </c>
      <c r="BG102" s="335">
        <f t="shared" si="307"/>
        <v>4.6728971962616821E-2</v>
      </c>
      <c r="BH102" s="335">
        <f t="shared" si="307"/>
        <v>4.5882017668851527E-2</v>
      </c>
      <c r="BI102" s="336">
        <f t="shared" si="307"/>
        <v>4.7269524368761008E-2</v>
      </c>
      <c r="BJ102" s="339">
        <f t="shared" si="307"/>
        <v>4.9535603715170282E-2</v>
      </c>
      <c r="BK102" s="335">
        <f t="shared" si="307"/>
        <v>4.5047824745448939E-2</v>
      </c>
      <c r="BL102" s="335">
        <f t="shared" si="307"/>
        <v>4.8402710551790899E-2</v>
      </c>
      <c r="BM102" s="336">
        <f t="shared" si="307"/>
        <v>5.1130776794493606E-2</v>
      </c>
      <c r="BN102" s="339">
        <f t="shared" si="307"/>
        <v>5.2339688041594452E-2</v>
      </c>
      <c r="BO102" s="335">
        <f t="shared" si="307"/>
        <v>4.9501661129568109E-2</v>
      </c>
      <c r="BP102" s="335">
        <f t="shared" si="307"/>
        <v>4.449648711943794E-2</v>
      </c>
      <c r="BQ102" s="336">
        <f t="shared" si="307"/>
        <v>8.1805838424983027E-2</v>
      </c>
      <c r="BR102" s="349">
        <f t="shared" si="307"/>
        <v>6.7606536366549189E-2</v>
      </c>
      <c r="BS102" s="333">
        <f>BS80/BR94</f>
        <v>5.2267699115044246E-2</v>
      </c>
      <c r="BT102" s="333">
        <f>BT80/BS94</f>
        <v>7.5333152026108241E-2</v>
      </c>
      <c r="BU102" s="336">
        <f t="shared" si="307"/>
        <v>4.5817245817245819E-2</v>
      </c>
      <c r="BV102" s="349">
        <f t="shared" si="307"/>
        <v>0.11282051282051282</v>
      </c>
      <c r="BW102" s="333">
        <f>BW80/BV94</f>
        <v>0.24149805307475508</v>
      </c>
      <c r="BX102" s="335">
        <f t="shared" si="307"/>
        <v>0.10607465916287448</v>
      </c>
      <c r="BY102" s="336">
        <f t="shared" si="307"/>
        <v>0.1138287298868655</v>
      </c>
      <c r="BZ102" s="339">
        <f>BZ80/BY94</f>
        <v>0.11055304536537494</v>
      </c>
      <c r="CA102" s="335">
        <f>CA80/BZ94</f>
        <v>0.11130615560383551</v>
      </c>
      <c r="CB102" s="335">
        <f>CB80/CA94</f>
        <v>9.8242732694568902E-2</v>
      </c>
      <c r="CC102" s="336">
        <f>CC80/CB94</f>
        <v>9.7869867736834246E-2</v>
      </c>
      <c r="CD102" s="9"/>
      <c r="CE102" s="438"/>
      <c r="CF102" s="438"/>
      <c r="CG102" s="438">
        <f t="shared" ref="CG102:CU102" si="308">CG80/CG94</f>
        <v>0.50696150696150732</v>
      </c>
      <c r="CH102" s="438">
        <f t="shared" si="308"/>
        <v>0.47943210775391332</v>
      </c>
      <c r="CI102" s="438">
        <f t="shared" si="308"/>
        <v>0.59088607594936715</v>
      </c>
      <c r="CJ102" s="438">
        <f t="shared" si="308"/>
        <v>0.54990892531876134</v>
      </c>
      <c r="CK102" s="438">
        <f t="shared" si="308"/>
        <v>0.43724696356275305</v>
      </c>
      <c r="CL102" s="438">
        <f t="shared" si="308"/>
        <v>0.36870503597122301</v>
      </c>
      <c r="CM102" s="438">
        <f t="shared" si="308"/>
        <v>0.32765151515151514</v>
      </c>
      <c r="CN102" s="438">
        <f t="shared" si="308"/>
        <v>0.34136174154701249</v>
      </c>
      <c r="CO102" s="438">
        <f t="shared" si="308"/>
        <v>0.34982014388489208</v>
      </c>
      <c r="CP102" s="438">
        <f t="shared" si="308"/>
        <v>0.17629702483403001</v>
      </c>
      <c r="CQ102" s="438">
        <f t="shared" si="308"/>
        <v>0.25729729729729728</v>
      </c>
      <c r="CR102" s="964">
        <f t="shared" si="308"/>
        <v>0.19070756149407836</v>
      </c>
      <c r="CS102" s="438">
        <f t="shared" si="308"/>
        <v>0.20640809443507588</v>
      </c>
      <c r="CT102" s="438">
        <f t="shared" si="308"/>
        <v>0.19240650870682272</v>
      </c>
      <c r="CU102" s="438">
        <f t="shared" si="308"/>
        <v>0.28189910979228489</v>
      </c>
      <c r="CV102" s="438">
        <f t="shared" ref="CV102:DC102" si="309">CV80/CU94</f>
        <v>0.52839379988400925</v>
      </c>
      <c r="CW102" s="438">
        <f t="shared" si="309"/>
        <v>0.40088988993323926</v>
      </c>
      <c r="CX102" s="438">
        <f t="shared" si="309"/>
        <v>0.52839308005796948</v>
      </c>
      <c r="CY102" s="438">
        <f t="shared" si="309"/>
        <v>0.68264563524032951</v>
      </c>
      <c r="CZ102" s="438">
        <f t="shared" si="309"/>
        <v>0.77734257890032432</v>
      </c>
      <c r="DA102" s="438">
        <f t="shared" si="309"/>
        <v>0.82179702666860066</v>
      </c>
      <c r="DB102" s="438">
        <f t="shared" si="309"/>
        <v>0.79055742620358938</v>
      </c>
      <c r="DC102" s="438">
        <f t="shared" si="309"/>
        <v>0.78805654741163822</v>
      </c>
      <c r="DD102" s="325"/>
      <c r="DE102" s="24"/>
      <c r="DF102" s="24"/>
      <c r="DG102" s="24"/>
      <c r="DH102" s="24"/>
      <c r="DI102" s="24"/>
      <c r="DJ102" s="24"/>
      <c r="DK102" s="24"/>
      <c r="DL102" s="24"/>
      <c r="DM102" s="24"/>
      <c r="DN102" s="24"/>
      <c r="DO102" s="24"/>
      <c r="DP102" s="24"/>
      <c r="DQ102" s="24"/>
      <c r="DR102" s="24"/>
    </row>
    <row r="103" spans="1:122" hidden="1" outlineLevel="1">
      <c r="A103" s="3"/>
      <c r="B103" s="207"/>
      <c r="C103" s="201" t="s">
        <v>647</v>
      </c>
      <c r="D103" s="201"/>
      <c r="E103" s="265"/>
      <c r="F103" s="438"/>
      <c r="G103" s="438"/>
      <c r="H103" s="438"/>
      <c r="I103" s="439"/>
      <c r="J103" s="438"/>
      <c r="K103" s="438"/>
      <c r="L103" s="438"/>
      <c r="M103" s="439"/>
      <c r="N103" s="438"/>
      <c r="O103" s="438"/>
      <c r="P103" s="438"/>
      <c r="Q103" s="439"/>
      <c r="R103" s="438">
        <f t="shared" ref="R103:AC103" si="310">R80/N80-1</f>
        <v>0.60977188157256101</v>
      </c>
      <c r="S103" s="438">
        <f t="shared" si="310"/>
        <v>1.8654781199351702</v>
      </c>
      <c r="T103" s="438">
        <f t="shared" si="310"/>
        <v>0.67247386759581884</v>
      </c>
      <c r="U103" s="439">
        <f t="shared" si="310"/>
        <v>1.247926669576604</v>
      </c>
      <c r="V103" s="438">
        <f t="shared" si="310"/>
        <v>1.5477386934673372</v>
      </c>
      <c r="W103" s="438">
        <f t="shared" si="310"/>
        <v>0.23981900452488691</v>
      </c>
      <c r="X103" s="438">
        <f t="shared" si="310"/>
        <v>0.79924242424242387</v>
      </c>
      <c r="Y103" s="439">
        <f t="shared" si="310"/>
        <v>0.95145631067961234</v>
      </c>
      <c r="Z103" s="438">
        <f t="shared" si="310"/>
        <v>-9.8619329388560661E-3</v>
      </c>
      <c r="AA103" s="438">
        <f t="shared" si="310"/>
        <v>-5.1094890510948843E-2</v>
      </c>
      <c r="AB103" s="438">
        <f t="shared" si="310"/>
        <v>1.1873684210526312</v>
      </c>
      <c r="AC103" s="439">
        <f t="shared" si="310"/>
        <v>0.19154228855721356</v>
      </c>
      <c r="AD103" s="574">
        <f>IF(AD80=0,"NM",(AD80/Z80-1))</f>
        <v>0.43426294820717115</v>
      </c>
      <c r="AE103" s="574">
        <f>IF(AE80=0,"NM",(AE80/AA80-1))</f>
        <v>0.86538461538461542</v>
      </c>
      <c r="AF103" s="438">
        <f>AF80/AB80-1</f>
        <v>-0.33589990375360923</v>
      </c>
      <c r="AG103" s="439">
        <f>AG80/AC80-1</f>
        <v>-0.10229645093945705</v>
      </c>
      <c r="AH103" s="438">
        <f>AH80/AD80-1</f>
        <v>1.2638888888888888</v>
      </c>
      <c r="AI103" s="574">
        <f>IF(OR(AI80=0, AE80=0),"NM",(AI80/AE80-1))</f>
        <v>0.74226804123711343</v>
      </c>
      <c r="AJ103" s="574">
        <f>IF(OR(AJ80=0, AF80=0),"NM",(AJ80/AF80-1))</f>
        <v>0.98550724637681153</v>
      </c>
      <c r="AK103" s="438">
        <f t="shared" ref="AK103:BY103" si="311">AK80/AG80-1</f>
        <v>0.69767441860465107</v>
      </c>
      <c r="AL103" s="964">
        <f t="shared" si="311"/>
        <v>-6.1349693251533388E-3</v>
      </c>
      <c r="AM103" s="438">
        <f t="shared" si="311"/>
        <v>-0.17159763313609466</v>
      </c>
      <c r="AN103" s="438">
        <f t="shared" si="311"/>
        <v>-0.22627737226277367</v>
      </c>
      <c r="AO103" s="439">
        <f t="shared" si="311"/>
        <v>-0.23972602739726023</v>
      </c>
      <c r="AP103" s="964">
        <f t="shared" si="311"/>
        <v>8.6419753086419693E-2</v>
      </c>
      <c r="AQ103" s="438">
        <f t="shared" si="311"/>
        <v>0.42142857142857149</v>
      </c>
      <c r="AR103" s="438">
        <f t="shared" si="311"/>
        <v>0.66981132075471694</v>
      </c>
      <c r="AS103" s="438">
        <f t="shared" si="311"/>
        <v>0.66666666666666674</v>
      </c>
      <c r="AT103" s="964">
        <f t="shared" si="311"/>
        <v>0.13636363636363646</v>
      </c>
      <c r="AU103" s="438">
        <f t="shared" si="311"/>
        <v>0.25628140703517599</v>
      </c>
      <c r="AV103" s="438">
        <f t="shared" si="311"/>
        <v>-1.1299435028248594E-2</v>
      </c>
      <c r="AW103" s="438">
        <f t="shared" si="311"/>
        <v>-0.17297297297297298</v>
      </c>
      <c r="AX103" s="964">
        <f t="shared" si="311"/>
        <v>-0.32999999999999996</v>
      </c>
      <c r="AY103" s="438">
        <f t="shared" si="311"/>
        <v>-0.52400000000000002</v>
      </c>
      <c r="AZ103" s="438">
        <f t="shared" si="311"/>
        <v>-0.19999999999999996</v>
      </c>
      <c r="BA103" s="438">
        <f t="shared" si="311"/>
        <v>1.1176470588235294</v>
      </c>
      <c r="BB103" s="964">
        <f t="shared" si="311"/>
        <v>1.8507462686567164</v>
      </c>
      <c r="BC103" s="438">
        <f t="shared" si="311"/>
        <v>1.0672268907563027</v>
      </c>
      <c r="BD103" s="438">
        <f t="shared" si="311"/>
        <v>0.34285714285714275</v>
      </c>
      <c r="BE103" s="438">
        <f t="shared" si="311"/>
        <v>-0.58024691358024694</v>
      </c>
      <c r="BF103" s="964">
        <f t="shared" si="311"/>
        <v>-0.64397905759162311</v>
      </c>
      <c r="BG103" s="438">
        <f t="shared" si="311"/>
        <v>-0.30894308943089432</v>
      </c>
      <c r="BH103" s="438">
        <f t="shared" si="311"/>
        <v>-0.1436170212765957</v>
      </c>
      <c r="BI103" s="438">
        <f t="shared" si="311"/>
        <v>0.18382352941176472</v>
      </c>
      <c r="BJ103" s="964">
        <f t="shared" si="311"/>
        <v>0.17647058823529416</v>
      </c>
      <c r="BK103" s="438">
        <f t="shared" si="311"/>
        <v>-0.14117647058823535</v>
      </c>
      <c r="BL103" s="438">
        <f t="shared" si="311"/>
        <v>-6.8322981366459645E-2</v>
      </c>
      <c r="BM103" s="438">
        <f t="shared" si="311"/>
        <v>-3.105590062111796E-2</v>
      </c>
      <c r="BN103" s="964">
        <f t="shared" si="311"/>
        <v>-5.6250000000000022E-2</v>
      </c>
      <c r="BO103" s="438">
        <f t="shared" si="311"/>
        <v>2.0547945205479534E-2</v>
      </c>
      <c r="BP103" s="438">
        <f t="shared" si="311"/>
        <v>-0.11333333333333329</v>
      </c>
      <c r="BQ103" s="438">
        <f t="shared" si="311"/>
        <v>0.54487179487179493</v>
      </c>
      <c r="BR103" s="353">
        <f t="shared" si="311"/>
        <v>0.39735099337748347</v>
      </c>
      <c r="BS103" s="578">
        <f>BS80/BO80-1</f>
        <v>0.26845637583892623</v>
      </c>
      <c r="BT103" s="578">
        <f>BT80/BP80-1</f>
        <v>1.0827067669172932</v>
      </c>
      <c r="BU103" s="438">
        <f t="shared" si="311"/>
        <v>-0.2614107883817427</v>
      </c>
      <c r="BV103" s="353">
        <f t="shared" si="311"/>
        <v>0.35545023696682465</v>
      </c>
      <c r="BW103" s="578">
        <f>BW80/BS80-1</f>
        <v>2.3280423280423279</v>
      </c>
      <c r="BX103" s="438">
        <f t="shared" si="311"/>
        <v>0.24056644584837539</v>
      </c>
      <c r="BY103" s="439">
        <f t="shared" si="311"/>
        <v>0.93248027836067404</v>
      </c>
      <c r="BZ103" s="964">
        <f>BZ80/BV80-1</f>
        <v>0.15238894110426915</v>
      </c>
      <c r="CA103" s="438">
        <f>CA80/BW80-1</f>
        <v>-0.4843291148350285</v>
      </c>
      <c r="CB103" s="438">
        <f>CB80/BX80-1</f>
        <v>-0.1909085786227066</v>
      </c>
      <c r="CC103" s="439">
        <f>CC80/BY80-1</f>
        <v>-0.23493527684456394</v>
      </c>
      <c r="CD103" s="9"/>
      <c r="CE103" s="438"/>
      <c r="CF103" s="438"/>
      <c r="CG103" s="438"/>
      <c r="CH103" s="438">
        <f t="shared" ref="CH103:CU103" si="312">CH80/CG80-1</f>
        <v>1.1276252019386104</v>
      </c>
      <c r="CI103" s="438">
        <f t="shared" si="312"/>
        <v>0.7722095671981779</v>
      </c>
      <c r="CJ103" s="438">
        <f t="shared" si="312"/>
        <v>0.29348757497857747</v>
      </c>
      <c r="CK103" s="438">
        <f t="shared" si="312"/>
        <v>7.320304736667782E-2</v>
      </c>
      <c r="CL103" s="438">
        <f t="shared" si="312"/>
        <v>0.89814814814814814</v>
      </c>
      <c r="CM103" s="438">
        <f t="shared" si="312"/>
        <v>-0.15609756097560978</v>
      </c>
      <c r="CN103" s="438">
        <f t="shared" si="312"/>
        <v>0.42003853564547211</v>
      </c>
      <c r="CO103" s="438">
        <f t="shared" si="312"/>
        <v>5.5630936227951233E-2</v>
      </c>
      <c r="CP103" s="438">
        <f t="shared" si="312"/>
        <v>-7.8406169665809822E-2</v>
      </c>
      <c r="CQ103" s="438">
        <f t="shared" si="312"/>
        <v>0.32775453277545319</v>
      </c>
      <c r="CR103" s="964">
        <f t="shared" si="312"/>
        <v>-0.34033613445378152</v>
      </c>
      <c r="CS103" s="438">
        <f t="shared" si="312"/>
        <v>-2.5477707006369421E-2</v>
      </c>
      <c r="CT103" s="438">
        <f t="shared" si="312"/>
        <v>0.10130718954248374</v>
      </c>
      <c r="CU103" s="438">
        <f t="shared" si="312"/>
        <v>0.2685459940652819</v>
      </c>
      <c r="CV103" s="438">
        <f t="shared" ref="CV103:DC103" si="313">CV80/CR80-1</f>
        <v>1.5519401195035032</v>
      </c>
      <c r="CW103" s="438">
        <f t="shared" si="313"/>
        <v>0.95284640409324473</v>
      </c>
      <c r="CX103" s="438">
        <f t="shared" si="313"/>
        <v>0.9743109982416096</v>
      </c>
      <c r="CY103" s="438">
        <f t="shared" si="313"/>
        <v>0.61277892580691762</v>
      </c>
      <c r="CZ103" s="438">
        <f t="shared" si="313"/>
        <v>-3.8123082200778313E-2</v>
      </c>
      <c r="DA103" s="438">
        <f t="shared" si="313"/>
        <v>0.34960304588174074</v>
      </c>
      <c r="DB103" s="438">
        <f t="shared" si="313"/>
        <v>0.27298278345469229</v>
      </c>
      <c r="DC103" s="438">
        <f t="shared" si="313"/>
        <v>0.29495351389443902</v>
      </c>
      <c r="DD103" s="325"/>
      <c r="DE103" s="24"/>
      <c r="DF103" s="24"/>
      <c r="DG103" s="24"/>
      <c r="DH103" s="24"/>
      <c r="DI103" s="24"/>
      <c r="DJ103" s="24"/>
      <c r="DK103" s="24"/>
      <c r="DL103" s="24"/>
      <c r="DM103" s="24"/>
      <c r="DN103" s="24"/>
      <c r="DO103" s="24"/>
      <c r="DP103" s="24"/>
      <c r="DQ103" s="24"/>
      <c r="DR103" s="24"/>
    </row>
    <row r="104" spans="1:122" hidden="1" outlineLevel="1">
      <c r="A104" s="3"/>
      <c r="B104" s="207"/>
      <c r="C104" s="201" t="s">
        <v>648</v>
      </c>
      <c r="D104" s="201"/>
      <c r="E104" s="265"/>
      <c r="F104" s="438"/>
      <c r="G104" s="438"/>
      <c r="H104" s="438"/>
      <c r="I104" s="439"/>
      <c r="J104" s="438"/>
      <c r="K104" s="438"/>
      <c r="L104" s="438"/>
      <c r="M104" s="439"/>
      <c r="N104" s="438"/>
      <c r="O104" s="438">
        <f t="shared" ref="O104:AC104" si="314">O80/N80-1</f>
        <v>0.24777544086717351</v>
      </c>
      <c r="P104" s="438">
        <f t="shared" si="314"/>
        <v>2.3338735818476897E-2</v>
      </c>
      <c r="Q104" s="439">
        <f t="shared" si="314"/>
        <v>0.16110231232182404</v>
      </c>
      <c r="R104" s="438">
        <f t="shared" si="314"/>
        <v>8.5770405936272498E-2</v>
      </c>
      <c r="S104" s="438">
        <f t="shared" si="314"/>
        <v>1.221105527638191</v>
      </c>
      <c r="T104" s="438">
        <f t="shared" si="314"/>
        <v>-0.40271493212669662</v>
      </c>
      <c r="U104" s="439">
        <f t="shared" si="314"/>
        <v>0.56060606060605989</v>
      </c>
      <c r="V104" s="438">
        <f t="shared" si="314"/>
        <v>0.23058252427184511</v>
      </c>
      <c r="W104" s="438">
        <f t="shared" si="314"/>
        <v>8.0867850098619298E-2</v>
      </c>
      <c r="X104" s="438">
        <f t="shared" si="314"/>
        <v>-0.13321167883211671</v>
      </c>
      <c r="Y104" s="439">
        <f t="shared" si="314"/>
        <v>0.69263157894736849</v>
      </c>
      <c r="Z104" s="438">
        <f t="shared" si="314"/>
        <v>-0.37562189054726369</v>
      </c>
      <c r="AA104" s="438">
        <f t="shared" si="314"/>
        <v>3.5856573705179251E-2</v>
      </c>
      <c r="AB104" s="438">
        <f t="shared" si="314"/>
        <v>0.99807692307692286</v>
      </c>
      <c r="AC104" s="439">
        <f t="shared" si="314"/>
        <v>-7.7959576515880702E-2</v>
      </c>
      <c r="AD104" s="574">
        <f>IF(AD80=0,"NM",(AD80/AC80-1))</f>
        <v>-0.24843423799582454</v>
      </c>
      <c r="AE104" s="574">
        <f>IF(AE80=0,"NM",(AE80/AD80-1))</f>
        <v>0.34722222222222232</v>
      </c>
      <c r="AF104" s="574">
        <f>IF(OR(AF80=0, AE80=0),"NM",(AF80/AE80-1))</f>
        <v>-0.28865979381443296</v>
      </c>
      <c r="AG104" s="439">
        <f>AG80/AF80-1</f>
        <v>0.24637681159420288</v>
      </c>
      <c r="AH104" s="574">
        <f>IF(AH80=0,"NM",(AH80/AG80-1))</f>
        <v>0.89534883720930236</v>
      </c>
      <c r="AI104" s="438">
        <f t="shared" ref="AI104:BY104" si="315">AI80/AH80-1</f>
        <v>3.6809815950920255E-2</v>
      </c>
      <c r="AJ104" s="438">
        <f t="shared" si="315"/>
        <v>-0.18934911242603547</v>
      </c>
      <c r="AK104" s="439">
        <f t="shared" si="315"/>
        <v>6.5693430656934337E-2</v>
      </c>
      <c r="AL104" s="438">
        <f t="shared" si="315"/>
        <v>0.1095890410958904</v>
      </c>
      <c r="AM104" s="438">
        <f t="shared" si="315"/>
        <v>-0.13580246913580252</v>
      </c>
      <c r="AN104" s="438">
        <f t="shared" si="315"/>
        <v>-0.24285714285714288</v>
      </c>
      <c r="AO104" s="439">
        <f t="shared" si="315"/>
        <v>4.7169811320754818E-2</v>
      </c>
      <c r="AP104" s="438">
        <f t="shared" si="315"/>
        <v>0.5855855855855856</v>
      </c>
      <c r="AQ104" s="438">
        <f t="shared" si="315"/>
        <v>0.13068181818181812</v>
      </c>
      <c r="AR104" s="438">
        <f t="shared" si="315"/>
        <v>-0.11055276381909551</v>
      </c>
      <c r="AS104" s="438">
        <f t="shared" si="315"/>
        <v>4.5197740112994378E-2</v>
      </c>
      <c r="AT104" s="964">
        <f t="shared" si="315"/>
        <v>8.1081081081081141E-2</v>
      </c>
      <c r="AU104" s="438">
        <f t="shared" si="315"/>
        <v>0.25</v>
      </c>
      <c r="AV104" s="438">
        <f t="shared" si="315"/>
        <v>-0.30000000000000004</v>
      </c>
      <c r="AW104" s="438">
        <f t="shared" si="315"/>
        <v>-0.12571428571428567</v>
      </c>
      <c r="AX104" s="964">
        <f t="shared" si="315"/>
        <v>-0.12418300653594772</v>
      </c>
      <c r="AY104" s="438">
        <f t="shared" si="315"/>
        <v>-0.11194029850746268</v>
      </c>
      <c r="AZ104" s="438">
        <f t="shared" si="315"/>
        <v>0.17647058823529416</v>
      </c>
      <c r="BA104" s="438">
        <f t="shared" si="315"/>
        <v>1.3142857142857145</v>
      </c>
      <c r="BB104" s="964">
        <f t="shared" si="315"/>
        <v>0.17901234567901225</v>
      </c>
      <c r="BC104" s="438">
        <f t="shared" si="315"/>
        <v>-0.35602094240837701</v>
      </c>
      <c r="BD104" s="438">
        <f t="shared" si="315"/>
        <v>-0.23577235772357719</v>
      </c>
      <c r="BE104" s="438">
        <f t="shared" si="315"/>
        <v>-0.27659574468085102</v>
      </c>
      <c r="BF104" s="964">
        <f t="shared" si="315"/>
        <v>0</v>
      </c>
      <c r="BG104" s="438">
        <f t="shared" si="315"/>
        <v>0.25</v>
      </c>
      <c r="BH104" s="438">
        <f t="shared" si="315"/>
        <v>-5.2941176470588269E-2</v>
      </c>
      <c r="BI104" s="438">
        <f t="shared" si="315"/>
        <v>0</v>
      </c>
      <c r="BJ104" s="964">
        <f t="shared" si="315"/>
        <v>-6.2111801242236142E-3</v>
      </c>
      <c r="BK104" s="438">
        <f t="shared" si="315"/>
        <v>-8.7500000000000022E-2</v>
      </c>
      <c r="BL104" s="438">
        <f t="shared" si="315"/>
        <v>2.7397260273972712E-2</v>
      </c>
      <c r="BM104" s="438">
        <f t="shared" si="315"/>
        <v>4.0000000000000036E-2</v>
      </c>
      <c r="BN104" s="964">
        <f t="shared" si="315"/>
        <v>-3.2051282051282048E-2</v>
      </c>
      <c r="BO104" s="438">
        <f t="shared" si="315"/>
        <v>-1.3245033112582738E-2</v>
      </c>
      <c r="BP104" s="438">
        <f t="shared" si="315"/>
        <v>-0.10738255033557043</v>
      </c>
      <c r="BQ104" s="438">
        <f t="shared" si="315"/>
        <v>0.81203007518796988</v>
      </c>
      <c r="BR104" s="353">
        <f t="shared" si="315"/>
        <v>-0.12448132780082988</v>
      </c>
      <c r="BS104" s="578">
        <f>BS80/BR80-1</f>
        <v>-0.10426540284360186</v>
      </c>
      <c r="BT104" s="578">
        <f>BT80/BS80-1</f>
        <v>0.46560846560846558</v>
      </c>
      <c r="BU104" s="438">
        <f t="shared" si="315"/>
        <v>-0.35740072202166062</v>
      </c>
      <c r="BV104" s="353">
        <f t="shared" si="315"/>
        <v>0.60674157303370779</v>
      </c>
      <c r="BW104" s="578">
        <f>BW80/BV80-1</f>
        <v>1.1993006993006992</v>
      </c>
      <c r="BX104" s="438">
        <f t="shared" si="315"/>
        <v>-0.45367741573926879</v>
      </c>
      <c r="BY104" s="439">
        <f t="shared" si="315"/>
        <v>1.0027562310241933E-3</v>
      </c>
      <c r="BZ104" s="964">
        <f>BZ80/BY80-1</f>
        <v>-4.1857637198124409E-2</v>
      </c>
      <c r="CA104" s="438">
        <f>CA80/BZ80-1</f>
        <v>-1.5857148658877551E-2</v>
      </c>
      <c r="CB104" s="438">
        <f>CB80/CA80-1</f>
        <v>-0.14281583671604758</v>
      </c>
      <c r="CC104" s="439">
        <f>CC80/CB80-1</f>
        <v>-5.3466794555721453E-2</v>
      </c>
      <c r="CD104" s="9"/>
      <c r="CE104" s="335"/>
      <c r="CF104" s="335"/>
      <c r="CG104" s="335"/>
      <c r="CH104" s="335"/>
      <c r="CI104" s="335"/>
      <c r="CJ104" s="335"/>
      <c r="CK104" s="335"/>
      <c r="CL104" s="335"/>
      <c r="CM104" s="335"/>
      <c r="CN104" s="335"/>
      <c r="CO104" s="335"/>
      <c r="CP104" s="335"/>
      <c r="CQ104" s="335"/>
      <c r="CR104" s="339"/>
      <c r="CS104" s="335"/>
      <c r="CT104" s="335"/>
      <c r="CU104" s="335"/>
      <c r="CV104" s="335"/>
      <c r="CW104" s="335"/>
      <c r="CX104" s="335"/>
      <c r="CY104" s="335"/>
      <c r="CZ104" s="335"/>
      <c r="DA104" s="335"/>
      <c r="DB104" s="335"/>
      <c r="DC104" s="335"/>
      <c r="DD104" s="325"/>
      <c r="DE104" s="24"/>
      <c r="DF104" s="24"/>
      <c r="DG104" s="24"/>
      <c r="DH104" s="24"/>
      <c r="DI104" s="24"/>
      <c r="DJ104" s="24"/>
      <c r="DK104" s="24"/>
      <c r="DL104" s="24"/>
      <c r="DM104" s="24"/>
      <c r="DN104" s="24"/>
      <c r="DO104" s="24"/>
      <c r="DP104" s="24"/>
      <c r="DQ104" s="24"/>
      <c r="DR104" s="24"/>
    </row>
    <row r="105" spans="1:122" hidden="1" outlineLevel="1">
      <c r="A105" s="3"/>
      <c r="B105" s="207"/>
      <c r="C105" s="201"/>
      <c r="D105" s="201"/>
      <c r="E105" s="265"/>
      <c r="F105" s="264"/>
      <c r="G105" s="264"/>
      <c r="H105" s="264"/>
      <c r="I105" s="265"/>
      <c r="J105" s="264"/>
      <c r="K105" s="264"/>
      <c r="L105" s="264"/>
      <c r="M105" s="265"/>
      <c r="N105" s="264"/>
      <c r="O105" s="264"/>
      <c r="P105" s="264"/>
      <c r="Q105" s="265"/>
      <c r="R105" s="264"/>
      <c r="S105" s="264"/>
      <c r="T105" s="264"/>
      <c r="U105" s="265"/>
      <c r="V105" s="96"/>
      <c r="W105" s="96"/>
      <c r="X105" s="96"/>
      <c r="Y105" s="97"/>
      <c r="Z105" s="96"/>
      <c r="AA105" s="96"/>
      <c r="AB105" s="96"/>
      <c r="AC105" s="97"/>
      <c r="AD105" s="96"/>
      <c r="AE105" s="96"/>
      <c r="AF105" s="96"/>
      <c r="AG105" s="97"/>
      <c r="AH105" s="96"/>
      <c r="AI105" s="96"/>
      <c r="AJ105" s="96"/>
      <c r="AK105" s="97"/>
      <c r="AL105" s="96"/>
      <c r="AM105" s="96"/>
      <c r="AN105" s="96"/>
      <c r="AO105" s="97"/>
      <c r="AP105" s="96"/>
      <c r="AQ105" s="96"/>
      <c r="AR105" s="96"/>
      <c r="AS105" s="96"/>
      <c r="AT105" s="76"/>
      <c r="AU105" s="96"/>
      <c r="AV105" s="96"/>
      <c r="AW105" s="96"/>
      <c r="AX105" s="76"/>
      <c r="AY105" s="96"/>
      <c r="AZ105" s="96"/>
      <c r="BA105" s="97"/>
      <c r="BB105" s="76"/>
      <c r="BC105" s="96"/>
      <c r="BD105" s="96"/>
      <c r="BE105" s="96"/>
      <c r="BF105" s="76"/>
      <c r="BG105" s="96"/>
      <c r="BH105" s="96"/>
      <c r="BI105" s="96"/>
      <c r="BJ105" s="76"/>
      <c r="BK105" s="96"/>
      <c r="BL105" s="96"/>
      <c r="BM105" s="96"/>
      <c r="BN105" s="76"/>
      <c r="BO105" s="96"/>
      <c r="BP105" s="96"/>
      <c r="BQ105" s="96"/>
      <c r="BR105" s="23"/>
      <c r="BS105" s="24"/>
      <c r="BT105" s="96"/>
      <c r="BU105" s="96"/>
      <c r="BV105" s="76"/>
      <c r="BW105" s="96"/>
      <c r="BX105" s="96"/>
      <c r="BY105" s="97"/>
      <c r="BZ105" s="76"/>
      <c r="CA105" s="96"/>
      <c r="CB105" s="96"/>
      <c r="CC105" s="97"/>
      <c r="CD105" s="9"/>
      <c r="CE105" s="96"/>
      <c r="CF105" s="96"/>
      <c r="CG105" s="96"/>
      <c r="CH105" s="96"/>
      <c r="CI105" s="96"/>
      <c r="CJ105" s="96"/>
      <c r="CK105" s="96"/>
      <c r="CL105" s="96"/>
      <c r="CM105" s="96"/>
      <c r="CN105" s="96"/>
      <c r="CO105" s="96"/>
      <c r="CP105" s="96"/>
      <c r="CQ105" s="96"/>
      <c r="CR105" s="76"/>
      <c r="CS105" s="96"/>
      <c r="CT105" s="96"/>
      <c r="CU105" s="96"/>
      <c r="CV105" s="96"/>
      <c r="CW105" s="96"/>
      <c r="CX105" s="96"/>
      <c r="CY105" s="96"/>
      <c r="CZ105" s="96"/>
      <c r="DA105" s="96"/>
      <c r="DB105" s="96"/>
      <c r="DC105" s="96"/>
      <c r="DD105" s="325"/>
      <c r="DE105" s="24"/>
      <c r="DF105" s="24"/>
      <c r="DG105" s="24"/>
      <c r="DH105" s="24"/>
      <c r="DI105" s="24"/>
      <c r="DJ105" s="24"/>
      <c r="DK105" s="24"/>
      <c r="DL105" s="24"/>
      <c r="DM105" s="24"/>
      <c r="DN105" s="24"/>
      <c r="DO105" s="24"/>
      <c r="DP105" s="24"/>
      <c r="DQ105" s="24"/>
      <c r="DR105" s="24"/>
    </row>
    <row r="106" spans="1:122" hidden="1" outlineLevel="1">
      <c r="A106" s="3"/>
      <c r="B106" s="256" t="s">
        <v>14</v>
      </c>
      <c r="C106" s="3"/>
      <c r="D106" s="3"/>
      <c r="E106" s="139"/>
      <c r="F106" s="147"/>
      <c r="G106" s="147"/>
      <c r="H106" s="147"/>
      <c r="I106" s="139"/>
      <c r="J106" s="147"/>
      <c r="K106" s="147"/>
      <c r="L106" s="147"/>
      <c r="M106" s="139"/>
      <c r="N106" s="256"/>
      <c r="O106" s="147"/>
      <c r="P106" s="147"/>
      <c r="Q106" s="139"/>
      <c r="R106" s="147"/>
      <c r="S106" s="147"/>
      <c r="T106" s="147"/>
      <c r="U106" s="139"/>
      <c r="V106" s="96"/>
      <c r="W106" s="96"/>
      <c r="X106" s="96"/>
      <c r="Y106" s="114"/>
      <c r="Z106" s="80"/>
      <c r="AA106" s="80"/>
      <c r="AB106" s="80"/>
      <c r="AC106" s="114"/>
      <c r="AD106" s="80"/>
      <c r="AE106" s="80"/>
      <c r="AF106" s="78"/>
      <c r="AG106" s="114"/>
      <c r="AH106" s="80"/>
      <c r="AI106" s="78"/>
      <c r="AJ106" s="78"/>
      <c r="AK106" s="79"/>
      <c r="AL106" s="330"/>
      <c r="AM106" s="78"/>
      <c r="AN106" s="78"/>
      <c r="AO106" s="79"/>
      <c r="AP106" s="330"/>
      <c r="AQ106" s="78"/>
      <c r="AR106" s="78"/>
      <c r="AS106" s="78"/>
      <c r="AT106" s="330"/>
      <c r="AU106" s="78"/>
      <c r="AV106" s="78"/>
      <c r="AW106" s="78"/>
      <c r="AX106" s="330"/>
      <c r="AY106" s="78"/>
      <c r="AZ106" s="78"/>
      <c r="BA106" s="79"/>
      <c r="BB106" s="330"/>
      <c r="BC106" s="78"/>
      <c r="BD106" s="78"/>
      <c r="BE106" s="78"/>
      <c r="BF106" s="330"/>
      <c r="BG106" s="78"/>
      <c r="BH106" s="78"/>
      <c r="BI106" s="78"/>
      <c r="BJ106" s="330"/>
      <c r="BK106" s="78"/>
      <c r="BL106" s="78"/>
      <c r="BM106" s="78"/>
      <c r="BN106" s="330"/>
      <c r="BO106" s="78"/>
      <c r="BP106" s="78"/>
      <c r="BQ106" s="78"/>
      <c r="BR106" s="26"/>
      <c r="BS106" s="19"/>
      <c r="BT106" s="78"/>
      <c r="BU106" s="78"/>
      <c r="BV106" s="330"/>
      <c r="BW106" s="78"/>
      <c r="BX106" s="78"/>
      <c r="BY106" s="79"/>
      <c r="BZ106" s="330"/>
      <c r="CA106" s="78"/>
      <c r="CB106" s="78"/>
      <c r="CC106" s="79"/>
      <c r="CD106" s="12"/>
      <c r="CE106" s="96"/>
      <c r="CF106" s="96"/>
      <c r="CG106" s="96"/>
      <c r="CH106" s="96"/>
      <c r="CI106" s="96"/>
      <c r="CJ106" s="96"/>
      <c r="CK106" s="96"/>
      <c r="CL106" s="96"/>
      <c r="CM106" s="96"/>
      <c r="CN106" s="96"/>
      <c r="CO106" s="96"/>
      <c r="CP106" s="96"/>
      <c r="CQ106" s="96"/>
      <c r="CR106" s="76"/>
      <c r="CS106" s="96"/>
      <c r="CT106" s="96"/>
      <c r="CU106" s="96"/>
      <c r="CV106" s="96"/>
      <c r="CW106" s="96"/>
      <c r="CX106" s="96"/>
      <c r="CY106" s="96"/>
      <c r="CZ106" s="96"/>
      <c r="DA106" s="96"/>
      <c r="DB106" s="96"/>
      <c r="DC106" s="96"/>
      <c r="DD106" s="325"/>
      <c r="DE106" s="24"/>
      <c r="DF106" s="24"/>
      <c r="DG106" s="19"/>
      <c r="DH106" s="19"/>
      <c r="DI106" s="19"/>
      <c r="DJ106" s="19"/>
      <c r="DK106" s="24"/>
      <c r="DL106" s="24"/>
      <c r="DM106" s="24"/>
      <c r="DN106" s="24"/>
      <c r="DO106" s="24"/>
      <c r="DP106" s="24"/>
      <c r="DQ106" s="24"/>
      <c r="DR106" s="24"/>
    </row>
    <row r="107" spans="1:122" hidden="1" outlineLevel="1">
      <c r="A107" s="3"/>
      <c r="B107" s="23"/>
      <c r="C107" s="473" t="s">
        <v>101</v>
      </c>
      <c r="D107" s="3"/>
      <c r="E107" s="25"/>
      <c r="F107" s="330"/>
      <c r="G107" s="78"/>
      <c r="H107" s="78"/>
      <c r="I107" s="114"/>
      <c r="J107" s="78"/>
      <c r="K107" s="78"/>
      <c r="L107" s="78"/>
      <c r="M107" s="114">
        <f>M25/M24</f>
        <v>0.16083310880871321</v>
      </c>
      <c r="N107" s="839">
        <f>M107-(M107-Q107)/4</f>
        <v>0.15596514574266057</v>
      </c>
      <c r="O107" s="840">
        <f>N107-(M107-Q107)/4</f>
        <v>0.15109718267660793</v>
      </c>
      <c r="P107" s="840">
        <f>O107-(M107-Q107)/4</f>
        <v>0.14622921961055529</v>
      </c>
      <c r="Q107" s="114">
        <f>Q25/Q24</f>
        <v>0.14136125654450263</v>
      </c>
      <c r="R107" s="78">
        <f>Q107</f>
        <v>0.14136125654450263</v>
      </c>
      <c r="S107" s="78">
        <f>R107</f>
        <v>0.14136125654450263</v>
      </c>
      <c r="T107" s="78">
        <f>S107</f>
        <v>0.14136125654450263</v>
      </c>
      <c r="U107" s="114">
        <f>U25/U24</f>
        <v>0.1125674633770239</v>
      </c>
      <c r="V107" s="78">
        <f t="shared" ref="V107:X110" si="316">U107</f>
        <v>0.1125674633770239</v>
      </c>
      <c r="W107" s="78">
        <f t="shared" si="316"/>
        <v>0.1125674633770239</v>
      </c>
      <c r="X107" s="78">
        <f t="shared" si="316"/>
        <v>0.1125674633770239</v>
      </c>
      <c r="Y107" s="114">
        <f>Y25/Y24</f>
        <v>9.1705123654005447E-2</v>
      </c>
      <c r="Z107" s="78">
        <f t="shared" ref="Z107:AB110" si="317">Y107</f>
        <v>9.1705123654005447E-2</v>
      </c>
      <c r="AA107" s="78">
        <f t="shared" si="317"/>
        <v>9.1705123654005447E-2</v>
      </c>
      <c r="AB107" s="78">
        <f t="shared" si="317"/>
        <v>9.1705123654005447E-2</v>
      </c>
      <c r="AC107" s="114">
        <f>AC25/AC24</f>
        <v>0.14260717410323709</v>
      </c>
      <c r="AD107" s="78">
        <f t="shared" ref="AD107:AF110" si="318">AC107</f>
        <v>0.14260717410323709</v>
      </c>
      <c r="AE107" s="78">
        <f t="shared" si="318"/>
        <v>0.14260717410323709</v>
      </c>
      <c r="AF107" s="78">
        <f t="shared" si="318"/>
        <v>0.14260717410323709</v>
      </c>
      <c r="AG107" s="114">
        <f>AG25/AG24</f>
        <v>0.12458800263678313</v>
      </c>
      <c r="AH107" s="730">
        <f t="shared" ref="AH107:AI110" si="319">AG107</f>
        <v>0.12458800263678313</v>
      </c>
      <c r="AI107" s="730">
        <f t="shared" si="319"/>
        <v>0.12458800263678313</v>
      </c>
      <c r="AJ107" s="730">
        <f t="shared" ref="AJ107:AR107" si="320">AI107</f>
        <v>0.12458800263678313</v>
      </c>
      <c r="AK107" s="114">
        <f>AK25/AK24</f>
        <v>0.16986496090973702</v>
      </c>
      <c r="AL107" s="730">
        <f t="shared" si="320"/>
        <v>0.16986496090973702</v>
      </c>
      <c r="AM107" s="730">
        <f t="shared" si="320"/>
        <v>0.16986496090973702</v>
      </c>
      <c r="AN107" s="730">
        <f t="shared" si="320"/>
        <v>0.16986496090973702</v>
      </c>
      <c r="AO107" s="114">
        <f>AO25/AO24</f>
        <v>0.16440944881889763</v>
      </c>
      <c r="AP107" s="730">
        <f t="shared" si="320"/>
        <v>0.16440944881889763</v>
      </c>
      <c r="AQ107" s="730">
        <f t="shared" si="320"/>
        <v>0.16440944881889763</v>
      </c>
      <c r="AR107" s="730">
        <f t="shared" si="320"/>
        <v>0.16440944881889763</v>
      </c>
      <c r="AS107" s="114">
        <f>AS25/AS24</f>
        <v>0.159838977030547</v>
      </c>
      <c r="AT107" s="1178">
        <f t="shared" ref="AT107:AZ107" si="321">AS107</f>
        <v>0.159838977030547</v>
      </c>
      <c r="AU107" s="730">
        <f t="shared" si="321"/>
        <v>0.159838977030547</v>
      </c>
      <c r="AV107" s="730">
        <f t="shared" si="321"/>
        <v>0.159838977030547</v>
      </c>
      <c r="AW107" s="114">
        <f>AW25/AW24</f>
        <v>0.15505478602439529</v>
      </c>
      <c r="AX107" s="1178">
        <f t="shared" si="321"/>
        <v>0.15505478602439529</v>
      </c>
      <c r="AY107" s="730">
        <f t="shared" si="321"/>
        <v>0.15505478602439529</v>
      </c>
      <c r="AZ107" s="730">
        <f t="shared" si="321"/>
        <v>0.15505478602439529</v>
      </c>
      <c r="BA107" s="114">
        <f>BA25/BA24</f>
        <v>0.17036107625819044</v>
      </c>
      <c r="BB107" s="1178">
        <f t="shared" ref="BB107:BD110" si="322">BA107</f>
        <v>0.17036107625819044</v>
      </c>
      <c r="BC107" s="730">
        <f t="shared" si="322"/>
        <v>0.17036107625819044</v>
      </c>
      <c r="BD107" s="730">
        <f t="shared" si="322"/>
        <v>0.17036107625819044</v>
      </c>
      <c r="BE107" s="114">
        <f>BE25/BE24</f>
        <v>0.16163340336134455</v>
      </c>
      <c r="BF107" s="1363">
        <f>BE107</f>
        <v>0.16163340336134455</v>
      </c>
      <c r="BG107" s="730">
        <f t="shared" ref="BG107:BJ110" si="323">BF107</f>
        <v>0.16163340336134455</v>
      </c>
      <c r="BH107" s="730">
        <f t="shared" si="323"/>
        <v>0.16163340336134455</v>
      </c>
      <c r="BI107" s="114">
        <f>BI25/BI24</f>
        <v>0.16791825680167427</v>
      </c>
      <c r="BJ107" s="1178">
        <f t="shared" si="323"/>
        <v>0.16791825680167427</v>
      </c>
      <c r="BK107" s="730">
        <f t="shared" ref="BK107:BN110" si="324">BJ107</f>
        <v>0.16791825680167427</v>
      </c>
      <c r="BL107" s="730">
        <f t="shared" si="324"/>
        <v>0.16791825680167427</v>
      </c>
      <c r="BM107" s="114">
        <f>BM25/BM24</f>
        <v>0.16748024174802417</v>
      </c>
      <c r="BN107" s="1178">
        <f t="shared" si="324"/>
        <v>0.16748024174802417</v>
      </c>
      <c r="BO107" s="730">
        <f t="shared" ref="BO107:BP110" si="325">BN107</f>
        <v>0.16748024174802417</v>
      </c>
      <c r="BP107" s="730">
        <f t="shared" si="325"/>
        <v>0.16748024174802417</v>
      </c>
      <c r="BQ107" s="114">
        <f>BQ25/BQ24</f>
        <v>0.19725913621262459</v>
      </c>
      <c r="BR107" s="26">
        <f>BR25/BR24</f>
        <v>0.20027120058412434</v>
      </c>
      <c r="BS107" s="19">
        <f>BS25/BS24</f>
        <v>0.19501771940796331</v>
      </c>
      <c r="BT107" s="19">
        <f>BT25/BT24</f>
        <v>0.19729673093042749</v>
      </c>
      <c r="BU107" s="114">
        <f>BU25/BU24</f>
        <v>0.19473021205122823</v>
      </c>
      <c r="BV107" s="253">
        <f t="shared" ref="BV107:BY110" si="326">BU107</f>
        <v>0.19473021205122823</v>
      </c>
      <c r="BW107" s="251">
        <f t="shared" si="326"/>
        <v>0.19473021205122823</v>
      </c>
      <c r="BX107" s="251">
        <f t="shared" si="326"/>
        <v>0.19473021205122823</v>
      </c>
      <c r="BY107" s="252">
        <f t="shared" si="326"/>
        <v>0.19473021205122823</v>
      </c>
      <c r="BZ107" s="253">
        <f t="shared" ref="BZ107:CC110" si="327">BY107</f>
        <v>0.19473021205122823</v>
      </c>
      <c r="CA107" s="251">
        <f t="shared" si="327"/>
        <v>0.19473021205122823</v>
      </c>
      <c r="CB107" s="251">
        <f t="shared" si="327"/>
        <v>0.19473021205122823</v>
      </c>
      <c r="CC107" s="252">
        <f t="shared" si="327"/>
        <v>0.19473021205122823</v>
      </c>
      <c r="CD107" s="12"/>
      <c r="CE107" s="80"/>
      <c r="CF107" s="80">
        <f t="shared" ref="CF107:CV107" si="328">CF25/CF24</f>
        <v>0.16083310880871321</v>
      </c>
      <c r="CG107" s="80">
        <f t="shared" si="328"/>
        <v>0.14136125654450263</v>
      </c>
      <c r="CH107" s="80">
        <f t="shared" si="328"/>
        <v>0.1125674633770239</v>
      </c>
      <c r="CI107" s="80">
        <f t="shared" si="328"/>
        <v>9.1705123654005447E-2</v>
      </c>
      <c r="CJ107" s="80">
        <f t="shared" si="328"/>
        <v>0.14260717410323709</v>
      </c>
      <c r="CK107" s="80">
        <f t="shared" si="328"/>
        <v>0.12458800263678313</v>
      </c>
      <c r="CL107" s="80">
        <f t="shared" si="328"/>
        <v>0.16986496090973702</v>
      </c>
      <c r="CM107" s="80">
        <f t="shared" si="328"/>
        <v>0.16440944881889763</v>
      </c>
      <c r="CN107" s="80">
        <f t="shared" si="328"/>
        <v>0.159838977030547</v>
      </c>
      <c r="CO107" s="80">
        <f t="shared" si="328"/>
        <v>0.15505478602439529</v>
      </c>
      <c r="CP107" s="80">
        <f t="shared" si="328"/>
        <v>0.17036107625819044</v>
      </c>
      <c r="CQ107" s="80">
        <f t="shared" si="328"/>
        <v>0.16163340336134455</v>
      </c>
      <c r="CR107" s="1579">
        <f t="shared" si="328"/>
        <v>0.16791825680167427</v>
      </c>
      <c r="CS107" s="80">
        <f t="shared" si="328"/>
        <v>0.16748024174802417</v>
      </c>
      <c r="CT107" s="80">
        <f t="shared" si="328"/>
        <v>0.19725913621262459</v>
      </c>
      <c r="CU107" s="80">
        <f t="shared" si="328"/>
        <v>0.19473021205122823</v>
      </c>
      <c r="CV107" s="80">
        <f t="shared" si="328"/>
        <v>0.19473021205122823</v>
      </c>
      <c r="CW107" s="80">
        <f>CW25/CW24</f>
        <v>0.19473021205122826</v>
      </c>
      <c r="CX107" s="251">
        <f t="shared" ref="CX107:DC110" si="329">CW107</f>
        <v>0.19473021205122826</v>
      </c>
      <c r="CY107" s="251">
        <f t="shared" si="329"/>
        <v>0.19473021205122826</v>
      </c>
      <c r="CZ107" s="251">
        <f t="shared" si="329"/>
        <v>0.19473021205122826</v>
      </c>
      <c r="DA107" s="251">
        <f t="shared" si="329"/>
        <v>0.19473021205122826</v>
      </c>
      <c r="DB107" s="251">
        <f t="shared" si="329"/>
        <v>0.19473021205122826</v>
      </c>
      <c r="DC107" s="251">
        <f t="shared" si="329"/>
        <v>0.19473021205122826</v>
      </c>
      <c r="DD107" s="325"/>
      <c r="DE107" s="19"/>
      <c r="DF107" s="24"/>
      <c r="DG107" s="24"/>
      <c r="DH107" s="24"/>
      <c r="DI107" s="24"/>
      <c r="DJ107" s="24"/>
      <c r="DK107" s="24"/>
      <c r="DL107" s="24"/>
      <c r="DM107" s="24"/>
      <c r="DN107" s="24"/>
      <c r="DO107" s="24"/>
      <c r="DP107" s="24"/>
      <c r="DQ107" s="24"/>
      <c r="DR107" s="24"/>
    </row>
    <row r="108" spans="1:122" hidden="1" outlineLevel="1">
      <c r="A108" s="3"/>
      <c r="B108" s="23"/>
      <c r="C108" s="473" t="s">
        <v>102</v>
      </c>
      <c r="D108" s="3"/>
      <c r="E108" s="25"/>
      <c r="F108" s="330"/>
      <c r="G108" s="78"/>
      <c r="H108" s="78"/>
      <c r="I108" s="114"/>
      <c r="J108" s="330"/>
      <c r="K108" s="78"/>
      <c r="L108" s="78"/>
      <c r="M108" s="114">
        <f>M26/M24</f>
        <v>0.79053621922311768</v>
      </c>
      <c r="N108" s="839">
        <f>M108-(M108-Q108)/4</f>
        <v>0.79661468226598176</v>
      </c>
      <c r="O108" s="840">
        <f>N108-(M108-Q108)/4</f>
        <v>0.80269314530884583</v>
      </c>
      <c r="P108" s="840">
        <f>O108-(M108-Q108)/4</f>
        <v>0.80877160835170991</v>
      </c>
      <c r="Q108" s="114">
        <f>Q26/Q24</f>
        <v>0.81485007139457399</v>
      </c>
      <c r="R108" s="78">
        <f t="shared" ref="R108:T110" si="330">Q108</f>
        <v>0.81485007139457399</v>
      </c>
      <c r="S108" s="78">
        <f t="shared" si="330"/>
        <v>0.81485007139457399</v>
      </c>
      <c r="T108" s="78">
        <f t="shared" si="330"/>
        <v>0.81485007139457399</v>
      </c>
      <c r="U108" s="114">
        <f>U26/U24</f>
        <v>0.83222821896684662</v>
      </c>
      <c r="V108" s="78">
        <f t="shared" si="316"/>
        <v>0.83222821896684662</v>
      </c>
      <c r="W108" s="78">
        <f t="shared" si="316"/>
        <v>0.83222821896684662</v>
      </c>
      <c r="X108" s="78">
        <f t="shared" si="316"/>
        <v>0.83222821896684662</v>
      </c>
      <c r="Y108" s="114">
        <f>Y26/Y24</f>
        <v>0.8647497337593183</v>
      </c>
      <c r="Z108" s="78">
        <f t="shared" si="317"/>
        <v>0.8647497337593183</v>
      </c>
      <c r="AA108" s="78">
        <f t="shared" si="317"/>
        <v>0.8647497337593183</v>
      </c>
      <c r="AB108" s="78">
        <f t="shared" si="317"/>
        <v>0.8647497337593183</v>
      </c>
      <c r="AC108" s="114">
        <f>AC26/AC24</f>
        <v>0.82589676290463687</v>
      </c>
      <c r="AD108" s="78">
        <f t="shared" si="318"/>
        <v>0.82589676290463687</v>
      </c>
      <c r="AE108" s="78">
        <f t="shared" si="318"/>
        <v>0.82589676290463687</v>
      </c>
      <c r="AF108" s="78">
        <f t="shared" si="318"/>
        <v>0.82589676290463687</v>
      </c>
      <c r="AG108" s="114">
        <f>AG26/AG24</f>
        <v>0.83256427158866186</v>
      </c>
      <c r="AH108" s="730">
        <f>AG108</f>
        <v>0.83256427158866186</v>
      </c>
      <c r="AI108" s="730">
        <f t="shared" si="319"/>
        <v>0.83256427158866186</v>
      </c>
      <c r="AJ108" s="730">
        <f t="shared" ref="AJ108:AR108" si="331">AI108</f>
        <v>0.83256427158866186</v>
      </c>
      <c r="AK108" s="114">
        <f>AK26/AK24</f>
        <v>0.79033404406538732</v>
      </c>
      <c r="AL108" s="730">
        <v>0.77500000000000002</v>
      </c>
      <c r="AM108" s="730">
        <f t="shared" si="331"/>
        <v>0.77500000000000002</v>
      </c>
      <c r="AN108" s="730">
        <f t="shared" si="331"/>
        <v>0.77500000000000002</v>
      </c>
      <c r="AO108" s="114">
        <f>AO26/AO24</f>
        <v>0.81606299212598421</v>
      </c>
      <c r="AP108" s="730">
        <f t="shared" si="331"/>
        <v>0.81606299212598421</v>
      </c>
      <c r="AQ108" s="730">
        <f t="shared" si="331"/>
        <v>0.81606299212598421</v>
      </c>
      <c r="AR108" s="730">
        <f t="shared" si="331"/>
        <v>0.81606299212598421</v>
      </c>
      <c r="AS108" s="114">
        <f>AS26/AS24</f>
        <v>0.82169074117925645</v>
      </c>
      <c r="AT108" s="1178">
        <f t="shared" ref="AT108:AZ108" si="332">AS108</f>
        <v>0.82169074117925645</v>
      </c>
      <c r="AU108" s="730">
        <f t="shared" si="332"/>
        <v>0.82169074117925645</v>
      </c>
      <c r="AV108" s="730">
        <f t="shared" si="332"/>
        <v>0.82169074117925645</v>
      </c>
      <c r="AW108" s="114">
        <f>AW26/AW24</f>
        <v>0.81930948935290471</v>
      </c>
      <c r="AX108" s="1178">
        <f t="shared" si="332"/>
        <v>0.81930948935290471</v>
      </c>
      <c r="AY108" s="730">
        <f t="shared" si="332"/>
        <v>0.81930948935290471</v>
      </c>
      <c r="AZ108" s="730">
        <f t="shared" si="332"/>
        <v>0.81930948935290471</v>
      </c>
      <c r="BA108" s="114">
        <f>BA26/BA24</f>
        <v>0.72647427854454205</v>
      </c>
      <c r="BB108" s="1178">
        <f t="shared" si="322"/>
        <v>0.72647427854454205</v>
      </c>
      <c r="BC108" s="730">
        <f t="shared" si="322"/>
        <v>0.72647427854454205</v>
      </c>
      <c r="BD108" s="730">
        <f t="shared" si="322"/>
        <v>0.72647427854454205</v>
      </c>
      <c r="BE108" s="114">
        <f>BE26/BE24</f>
        <v>0.75341386554621848</v>
      </c>
      <c r="BF108" s="1363">
        <f>BE108</f>
        <v>0.75341386554621848</v>
      </c>
      <c r="BG108" s="730">
        <f t="shared" si="323"/>
        <v>0.75341386554621848</v>
      </c>
      <c r="BH108" s="730">
        <f t="shared" si="323"/>
        <v>0.75341386554621848</v>
      </c>
      <c r="BI108" s="114">
        <f>BI26/BI24</f>
        <v>0.75206204604210269</v>
      </c>
      <c r="BJ108" s="1178">
        <f t="shared" si="323"/>
        <v>0.75206204604210269</v>
      </c>
      <c r="BK108" s="730">
        <f t="shared" si="324"/>
        <v>0.75206204604210269</v>
      </c>
      <c r="BL108" s="730">
        <f t="shared" si="324"/>
        <v>0.75206204604210269</v>
      </c>
      <c r="BM108" s="114">
        <f>BM26/BM24</f>
        <v>0.75778707577870763</v>
      </c>
      <c r="BN108" s="1178">
        <f t="shared" si="324"/>
        <v>0.75778707577870763</v>
      </c>
      <c r="BO108" s="730">
        <f t="shared" si="325"/>
        <v>0.75778707577870763</v>
      </c>
      <c r="BP108" s="730">
        <f t="shared" si="325"/>
        <v>0.75778707577870763</v>
      </c>
      <c r="BQ108" s="114">
        <f>BQ26/BQ24</f>
        <v>0.73401162790697672</v>
      </c>
      <c r="BR108" s="26">
        <f>BR26/BR24</f>
        <v>0.74632314592677584</v>
      </c>
      <c r="BS108" s="19">
        <f>BS26/BS24</f>
        <v>0.75442985199082757</v>
      </c>
      <c r="BT108" s="19">
        <f>BT26/BT24</f>
        <v>0.75324811399832359</v>
      </c>
      <c r="BU108" s="114">
        <f>BU26/BU24</f>
        <v>0.75078731891664918</v>
      </c>
      <c r="BV108" s="253">
        <f t="shared" si="326"/>
        <v>0.75078731891664918</v>
      </c>
      <c r="BW108" s="251">
        <f t="shared" si="326"/>
        <v>0.75078731891664918</v>
      </c>
      <c r="BX108" s="251">
        <f t="shared" si="326"/>
        <v>0.75078731891664918</v>
      </c>
      <c r="BY108" s="252">
        <f t="shared" si="326"/>
        <v>0.75078731891664918</v>
      </c>
      <c r="BZ108" s="253">
        <f t="shared" si="327"/>
        <v>0.75078731891664918</v>
      </c>
      <c r="CA108" s="251">
        <f t="shared" si="327"/>
        <v>0.75078731891664918</v>
      </c>
      <c r="CB108" s="251">
        <f t="shared" si="327"/>
        <v>0.75078731891664918</v>
      </c>
      <c r="CC108" s="252">
        <f t="shared" si="327"/>
        <v>0.75078731891664918</v>
      </c>
      <c r="CD108" s="12"/>
      <c r="CE108" s="80"/>
      <c r="CF108" s="80">
        <f t="shared" ref="CF108:CV108" si="333">CF26/CF24</f>
        <v>0.79053621922311768</v>
      </c>
      <c r="CG108" s="80">
        <f t="shared" si="333"/>
        <v>0.81485007139457399</v>
      </c>
      <c r="CH108" s="80">
        <f t="shared" si="333"/>
        <v>0.83222821896684662</v>
      </c>
      <c r="CI108" s="80">
        <f t="shared" si="333"/>
        <v>0.8647497337593183</v>
      </c>
      <c r="CJ108" s="80">
        <f t="shared" si="333"/>
        <v>0.82589676290463687</v>
      </c>
      <c r="CK108" s="80">
        <f t="shared" si="333"/>
        <v>0.83256427158866186</v>
      </c>
      <c r="CL108" s="80">
        <f t="shared" si="333"/>
        <v>0.79033404406538732</v>
      </c>
      <c r="CM108" s="80">
        <f t="shared" si="333"/>
        <v>0.81606299212598421</v>
      </c>
      <c r="CN108" s="80">
        <f t="shared" si="333"/>
        <v>0.82169074117925645</v>
      </c>
      <c r="CO108" s="80">
        <f t="shared" si="333"/>
        <v>0.81930948935290471</v>
      </c>
      <c r="CP108" s="80">
        <f t="shared" si="333"/>
        <v>0.72647427854454205</v>
      </c>
      <c r="CQ108" s="80">
        <f t="shared" si="333"/>
        <v>0.75341386554621848</v>
      </c>
      <c r="CR108" s="1579">
        <f t="shared" si="333"/>
        <v>0.75206204604210269</v>
      </c>
      <c r="CS108" s="80">
        <f t="shared" si="333"/>
        <v>0.75778707577870763</v>
      </c>
      <c r="CT108" s="80">
        <f t="shared" si="333"/>
        <v>0.73401162790697672</v>
      </c>
      <c r="CU108" s="80">
        <f t="shared" si="333"/>
        <v>0.75078731891664918</v>
      </c>
      <c r="CV108" s="80">
        <f t="shared" si="333"/>
        <v>0.75078731891664918</v>
      </c>
      <c r="CW108" s="80">
        <f>CW26/CW24</f>
        <v>0.75078731891664918</v>
      </c>
      <c r="CX108" s="251">
        <f t="shared" si="329"/>
        <v>0.75078731891664918</v>
      </c>
      <c r="CY108" s="251">
        <f t="shared" si="329"/>
        <v>0.75078731891664918</v>
      </c>
      <c r="CZ108" s="251">
        <f t="shared" si="329"/>
        <v>0.75078731891664918</v>
      </c>
      <c r="DA108" s="251">
        <f t="shared" si="329"/>
        <v>0.75078731891664918</v>
      </c>
      <c r="DB108" s="251">
        <f t="shared" si="329"/>
        <v>0.75078731891664918</v>
      </c>
      <c r="DC108" s="251">
        <f t="shared" si="329"/>
        <v>0.75078731891664918</v>
      </c>
      <c r="DD108" s="325"/>
      <c r="DE108" s="19"/>
      <c r="DF108" s="24"/>
      <c r="DG108" s="24"/>
      <c r="DH108" s="24"/>
      <c r="DI108" s="24"/>
      <c r="DJ108" s="24"/>
      <c r="DK108" s="24"/>
      <c r="DL108" s="24"/>
      <c r="DM108" s="24"/>
      <c r="DN108" s="24"/>
      <c r="DO108" s="24"/>
      <c r="DP108" s="24"/>
      <c r="DQ108" s="24"/>
      <c r="DR108" s="24"/>
    </row>
    <row r="109" spans="1:122" hidden="1" outlineLevel="1">
      <c r="A109" s="3"/>
      <c r="B109" s="23"/>
      <c r="C109" s="473" t="s">
        <v>103</v>
      </c>
      <c r="D109" s="3"/>
      <c r="E109" s="25"/>
      <c r="F109" s="330"/>
      <c r="G109" s="78"/>
      <c r="H109" s="78"/>
      <c r="I109" s="114"/>
      <c r="J109" s="330"/>
      <c r="K109" s="78"/>
      <c r="L109" s="78"/>
      <c r="M109" s="114">
        <f>M27/M24</f>
        <v>1.8163361392107079E-2</v>
      </c>
      <c r="N109" s="839">
        <f>M109-(M109-Q109)/4</f>
        <v>1.7668213571448231E-2</v>
      </c>
      <c r="O109" s="840">
        <f>N109-(M109-Q109)/4</f>
        <v>1.7173065750789383E-2</v>
      </c>
      <c r="P109" s="840">
        <f>O109-(M109-Q109)/4</f>
        <v>1.6677917930130536E-2</v>
      </c>
      <c r="Q109" s="114">
        <f>Q27/Q24</f>
        <v>1.6182770109471681E-2</v>
      </c>
      <c r="R109" s="78">
        <f t="shared" si="330"/>
        <v>1.6182770109471681E-2</v>
      </c>
      <c r="S109" s="78">
        <f t="shared" si="330"/>
        <v>1.6182770109471681E-2</v>
      </c>
      <c r="T109" s="78">
        <f t="shared" si="330"/>
        <v>1.6182770109471681E-2</v>
      </c>
      <c r="U109" s="114">
        <f>U27/U24</f>
        <v>1.0794140323824209E-2</v>
      </c>
      <c r="V109" s="78">
        <f t="shared" si="316"/>
        <v>1.0794140323824209E-2</v>
      </c>
      <c r="W109" s="78">
        <f t="shared" si="316"/>
        <v>1.0794140323824209E-2</v>
      </c>
      <c r="X109" s="78">
        <f t="shared" si="316"/>
        <v>1.0794140323824209E-2</v>
      </c>
      <c r="Y109" s="114">
        <f>Y27/Y24</f>
        <v>8.9930185776831133E-3</v>
      </c>
      <c r="Z109" s="78">
        <f t="shared" si="317"/>
        <v>8.9930185776831133E-3</v>
      </c>
      <c r="AA109" s="78">
        <f t="shared" si="317"/>
        <v>8.9930185776831133E-3</v>
      </c>
      <c r="AB109" s="78">
        <f t="shared" si="317"/>
        <v>8.9930185776831133E-3</v>
      </c>
      <c r="AC109" s="114">
        <f>AC27/AC24</f>
        <v>6.99912510936133E-3</v>
      </c>
      <c r="AD109" s="78">
        <f t="shared" si="318"/>
        <v>6.99912510936133E-3</v>
      </c>
      <c r="AE109" s="78">
        <f t="shared" si="318"/>
        <v>6.99912510936133E-3</v>
      </c>
      <c r="AF109" s="78">
        <f t="shared" si="318"/>
        <v>6.99912510936133E-3</v>
      </c>
      <c r="AG109" s="114">
        <f>AG27/AG24</f>
        <v>7.9103493737640081E-3</v>
      </c>
      <c r="AH109" s="730">
        <f t="shared" si="319"/>
        <v>7.9103493737640081E-3</v>
      </c>
      <c r="AI109" s="730">
        <f t="shared" si="319"/>
        <v>7.9103493737640081E-3</v>
      </c>
      <c r="AJ109" s="730">
        <f t="shared" ref="AJ109:AR109" si="334">AI109</f>
        <v>7.9103493737640081E-3</v>
      </c>
      <c r="AK109" s="114">
        <f>AK27/AK24</f>
        <v>3.5536602700781805E-3</v>
      </c>
      <c r="AL109" s="730">
        <f t="shared" si="334"/>
        <v>3.5536602700781805E-3</v>
      </c>
      <c r="AM109" s="730">
        <f t="shared" si="334"/>
        <v>3.5536602700781805E-3</v>
      </c>
      <c r="AN109" s="730">
        <f t="shared" si="334"/>
        <v>3.5536602700781805E-3</v>
      </c>
      <c r="AO109" s="114">
        <f>AO27/AO24</f>
        <v>2.8346456692913387E-3</v>
      </c>
      <c r="AP109" s="730">
        <f t="shared" si="334"/>
        <v>2.8346456692913387E-3</v>
      </c>
      <c r="AQ109" s="730">
        <f t="shared" si="334"/>
        <v>2.8346456692913387E-3</v>
      </c>
      <c r="AR109" s="730">
        <f t="shared" si="334"/>
        <v>2.8346456692913387E-3</v>
      </c>
      <c r="AS109" s="114">
        <f>AS27/AS24</f>
        <v>2.1311863604072932E-3</v>
      </c>
      <c r="AT109" s="1178">
        <f t="shared" ref="AT109:AZ109" si="335">AS109</f>
        <v>2.1311863604072932E-3</v>
      </c>
      <c r="AU109" s="730">
        <f t="shared" si="335"/>
        <v>2.1311863604072932E-3</v>
      </c>
      <c r="AV109" s="730">
        <f t="shared" si="335"/>
        <v>2.1311863604072932E-3</v>
      </c>
      <c r="AW109" s="114">
        <f>AW27/AW24</f>
        <v>1.8606574322927434E-3</v>
      </c>
      <c r="AX109" s="1178">
        <f t="shared" si="335"/>
        <v>1.8606574322927434E-3</v>
      </c>
      <c r="AY109" s="730">
        <f t="shared" si="335"/>
        <v>1.8606574322927434E-3</v>
      </c>
      <c r="AZ109" s="730">
        <f t="shared" si="335"/>
        <v>1.8606574322927434E-3</v>
      </c>
      <c r="BA109" s="114">
        <f>BA27/BA24</f>
        <v>2.0911752404851529E-3</v>
      </c>
      <c r="BB109" s="1178">
        <f t="shared" si="322"/>
        <v>2.0911752404851529E-3</v>
      </c>
      <c r="BC109" s="730">
        <f t="shared" si="322"/>
        <v>2.0911752404851529E-3</v>
      </c>
      <c r="BD109" s="730">
        <f t="shared" si="322"/>
        <v>2.0911752404851529E-3</v>
      </c>
      <c r="BE109" s="114">
        <f>BE27/BE24</f>
        <v>5.1207983193277311E-3</v>
      </c>
      <c r="BF109" s="1363">
        <f>BE109</f>
        <v>5.1207983193277311E-3</v>
      </c>
      <c r="BG109" s="730">
        <f t="shared" si="323"/>
        <v>5.1207983193277311E-3</v>
      </c>
      <c r="BH109" s="730">
        <f t="shared" si="323"/>
        <v>5.1207983193277311E-3</v>
      </c>
      <c r="BI109" s="114">
        <f>BI27/BI24</f>
        <v>6.6477902252862243E-3</v>
      </c>
      <c r="BJ109" s="1178">
        <f t="shared" si="323"/>
        <v>6.6477902252862243E-3</v>
      </c>
      <c r="BK109" s="730">
        <f t="shared" si="324"/>
        <v>6.6477902252862243E-3</v>
      </c>
      <c r="BL109" s="730">
        <f t="shared" si="324"/>
        <v>6.6477902252862243E-3</v>
      </c>
      <c r="BM109" s="114">
        <f>BM27/BM24</f>
        <v>8.2519758251975821E-3</v>
      </c>
      <c r="BN109" s="1178">
        <f t="shared" si="324"/>
        <v>8.2519758251975821E-3</v>
      </c>
      <c r="BO109" s="730">
        <f t="shared" si="325"/>
        <v>8.2519758251975821E-3</v>
      </c>
      <c r="BP109" s="730">
        <f t="shared" si="325"/>
        <v>8.2519758251975821E-3</v>
      </c>
      <c r="BQ109" s="114">
        <f>BQ27/BQ24</f>
        <v>1.1420265780730897E-2</v>
      </c>
      <c r="BR109" s="26">
        <f>BR27/BR24</f>
        <v>5.2153958485449048E-3</v>
      </c>
      <c r="BS109" s="19">
        <f>BS27/BS24</f>
        <v>5.4200542005420054E-3</v>
      </c>
      <c r="BT109" s="19">
        <f>BT27/BT24</f>
        <v>5.4484492875104774E-3</v>
      </c>
      <c r="BU109" s="114">
        <f>BU27/BU24</f>
        <v>1.2177199244173841E-2</v>
      </c>
      <c r="BV109" s="253">
        <f t="shared" si="326"/>
        <v>1.2177199244173841E-2</v>
      </c>
      <c r="BW109" s="251">
        <f t="shared" si="326"/>
        <v>1.2177199244173841E-2</v>
      </c>
      <c r="BX109" s="251">
        <f t="shared" si="326"/>
        <v>1.2177199244173841E-2</v>
      </c>
      <c r="BY109" s="252">
        <f t="shared" si="326"/>
        <v>1.2177199244173841E-2</v>
      </c>
      <c r="BZ109" s="253">
        <f t="shared" si="327"/>
        <v>1.2177199244173841E-2</v>
      </c>
      <c r="CA109" s="251">
        <f t="shared" si="327"/>
        <v>1.2177199244173841E-2</v>
      </c>
      <c r="CB109" s="251">
        <f t="shared" si="327"/>
        <v>1.2177199244173841E-2</v>
      </c>
      <c r="CC109" s="252">
        <f t="shared" si="327"/>
        <v>1.2177199244173841E-2</v>
      </c>
      <c r="CD109" s="12"/>
      <c r="CE109" s="80"/>
      <c r="CF109" s="80">
        <f t="shared" ref="CF109:CV109" si="336">CF27/CF24</f>
        <v>1.8163361392107079E-2</v>
      </c>
      <c r="CG109" s="80">
        <f t="shared" si="336"/>
        <v>1.6182770109471681E-2</v>
      </c>
      <c r="CH109" s="80">
        <f t="shared" si="336"/>
        <v>1.0794140323824209E-2</v>
      </c>
      <c r="CI109" s="80">
        <f t="shared" si="336"/>
        <v>8.9930185776831133E-3</v>
      </c>
      <c r="CJ109" s="80">
        <f t="shared" si="336"/>
        <v>6.99912510936133E-3</v>
      </c>
      <c r="CK109" s="80">
        <f t="shared" si="336"/>
        <v>7.9103493737640081E-3</v>
      </c>
      <c r="CL109" s="80">
        <f t="shared" si="336"/>
        <v>3.5536602700781805E-3</v>
      </c>
      <c r="CM109" s="80">
        <f t="shared" si="336"/>
        <v>2.8346456692913387E-3</v>
      </c>
      <c r="CN109" s="80">
        <f t="shared" si="336"/>
        <v>2.1311863604072932E-3</v>
      </c>
      <c r="CO109" s="80">
        <f t="shared" si="336"/>
        <v>1.8606574322927434E-3</v>
      </c>
      <c r="CP109" s="80">
        <f t="shared" si="336"/>
        <v>2.0911752404851529E-3</v>
      </c>
      <c r="CQ109" s="80">
        <f t="shared" si="336"/>
        <v>5.1207983193277311E-3</v>
      </c>
      <c r="CR109" s="1579">
        <f t="shared" si="336"/>
        <v>6.6477902252862243E-3</v>
      </c>
      <c r="CS109" s="80">
        <f t="shared" si="336"/>
        <v>8.2519758251975821E-3</v>
      </c>
      <c r="CT109" s="80">
        <f t="shared" si="336"/>
        <v>1.1420265780730897E-2</v>
      </c>
      <c r="CU109" s="80">
        <f t="shared" si="336"/>
        <v>1.2177199244173841E-2</v>
      </c>
      <c r="CV109" s="80">
        <f t="shared" si="336"/>
        <v>1.2177199244173841E-2</v>
      </c>
      <c r="CW109" s="80">
        <f>CW27/CW24</f>
        <v>1.2177199244173841E-2</v>
      </c>
      <c r="CX109" s="251">
        <f t="shared" si="329"/>
        <v>1.2177199244173841E-2</v>
      </c>
      <c r="CY109" s="251">
        <f t="shared" si="329"/>
        <v>1.2177199244173841E-2</v>
      </c>
      <c r="CZ109" s="251">
        <f t="shared" si="329"/>
        <v>1.2177199244173841E-2</v>
      </c>
      <c r="DA109" s="251">
        <f t="shared" si="329"/>
        <v>1.2177199244173841E-2</v>
      </c>
      <c r="DB109" s="251">
        <f t="shared" si="329"/>
        <v>1.2177199244173841E-2</v>
      </c>
      <c r="DC109" s="251">
        <f t="shared" si="329"/>
        <v>1.2177199244173841E-2</v>
      </c>
      <c r="DD109" s="325"/>
      <c r="DE109" s="19"/>
      <c r="DF109" s="24"/>
      <c r="DG109" s="24"/>
      <c r="DH109" s="24"/>
      <c r="DI109" s="24"/>
      <c r="DJ109" s="24"/>
      <c r="DK109" s="24"/>
      <c r="DL109" s="24"/>
      <c r="DM109" s="24"/>
      <c r="DN109" s="24"/>
      <c r="DO109" s="24"/>
      <c r="DP109" s="24"/>
      <c r="DQ109" s="24"/>
      <c r="DR109" s="24"/>
    </row>
    <row r="110" spans="1:122" hidden="1" outlineLevel="1">
      <c r="A110" s="3"/>
      <c r="B110" s="23"/>
      <c r="C110" s="474" t="s">
        <v>104</v>
      </c>
      <c r="D110" s="3"/>
      <c r="E110" s="25"/>
      <c r="F110" s="330"/>
      <c r="G110" s="78"/>
      <c r="H110" s="78"/>
      <c r="I110" s="114"/>
      <c r="J110" s="330"/>
      <c r="K110" s="78"/>
      <c r="L110" s="78"/>
      <c r="M110" s="114">
        <f>M28/M24</f>
        <v>3.0467310576062143E-2</v>
      </c>
      <c r="N110" s="839">
        <f>M110-(M110-Q110)/4</f>
        <v>2.9751958419909529E-2</v>
      </c>
      <c r="O110" s="840">
        <f>N110-(M110-Q110)/4</f>
        <v>2.9036606263756915E-2</v>
      </c>
      <c r="P110" s="840">
        <f>O110-(M110-Q110)/4</f>
        <v>2.8321254107604301E-2</v>
      </c>
      <c r="Q110" s="114">
        <f>Q28/Q24</f>
        <v>2.760590195145169E-2</v>
      </c>
      <c r="R110" s="78">
        <f t="shared" si="330"/>
        <v>2.760590195145169E-2</v>
      </c>
      <c r="S110" s="78">
        <f t="shared" si="330"/>
        <v>2.760590195145169E-2</v>
      </c>
      <c r="T110" s="78">
        <f t="shared" si="330"/>
        <v>2.760590195145169E-2</v>
      </c>
      <c r="U110" s="114">
        <f>U28/U24</f>
        <v>4.4410177332305324E-2</v>
      </c>
      <c r="V110" s="78">
        <f t="shared" si="316"/>
        <v>4.4410177332305324E-2</v>
      </c>
      <c r="W110" s="78">
        <f t="shared" si="316"/>
        <v>4.4410177332305324E-2</v>
      </c>
      <c r="X110" s="78">
        <f t="shared" si="316"/>
        <v>4.4410177332305324E-2</v>
      </c>
      <c r="Y110" s="114">
        <f>Y28/Y24</f>
        <v>3.4552124008993018E-2</v>
      </c>
      <c r="Z110" s="78">
        <f t="shared" si="317"/>
        <v>3.4552124008993018E-2</v>
      </c>
      <c r="AA110" s="78">
        <f t="shared" si="317"/>
        <v>3.4552124008993018E-2</v>
      </c>
      <c r="AB110" s="78">
        <f t="shared" si="317"/>
        <v>3.4552124008993018E-2</v>
      </c>
      <c r="AC110" s="114">
        <f>AC28/AC24</f>
        <v>2.4496937882764653E-2</v>
      </c>
      <c r="AD110" s="78">
        <f t="shared" si="318"/>
        <v>2.4496937882764653E-2</v>
      </c>
      <c r="AE110" s="78">
        <f t="shared" si="318"/>
        <v>2.4496937882764653E-2</v>
      </c>
      <c r="AF110" s="78">
        <f t="shared" si="318"/>
        <v>2.4496937882764653E-2</v>
      </c>
      <c r="AG110" s="114">
        <f>AG28/AG24</f>
        <v>3.4937376400791038E-2</v>
      </c>
      <c r="AH110" s="730">
        <f t="shared" si="319"/>
        <v>3.4937376400791038E-2</v>
      </c>
      <c r="AI110" s="730">
        <f t="shared" si="319"/>
        <v>3.4937376400791038E-2</v>
      </c>
      <c r="AJ110" s="730">
        <f t="shared" ref="AJ110:AR110" si="337">AI110</f>
        <v>3.4937376400791038E-2</v>
      </c>
      <c r="AK110" s="114">
        <f>AK28/AK24</f>
        <v>3.6247334754797439E-2</v>
      </c>
      <c r="AL110" s="730">
        <f t="shared" si="337"/>
        <v>3.6247334754797439E-2</v>
      </c>
      <c r="AM110" s="730">
        <f t="shared" si="337"/>
        <v>3.6247334754797439E-2</v>
      </c>
      <c r="AN110" s="730">
        <f t="shared" si="337"/>
        <v>3.6247334754797439E-2</v>
      </c>
      <c r="AO110" s="114">
        <f>AO28/AO24</f>
        <v>1.669291338582677E-2</v>
      </c>
      <c r="AP110" s="730">
        <f t="shared" si="337"/>
        <v>1.669291338582677E-2</v>
      </c>
      <c r="AQ110" s="730">
        <f t="shared" si="337"/>
        <v>1.669291338582677E-2</v>
      </c>
      <c r="AR110" s="730">
        <f t="shared" si="337"/>
        <v>1.669291338582677E-2</v>
      </c>
      <c r="AS110" s="114">
        <f>AS28/AS24</f>
        <v>1.6339095429789251E-2</v>
      </c>
      <c r="AT110" s="1178">
        <f t="shared" ref="AT110:AZ110" si="338">AS110</f>
        <v>1.6339095429789251E-2</v>
      </c>
      <c r="AU110" s="730">
        <f t="shared" si="338"/>
        <v>1.6339095429789251E-2</v>
      </c>
      <c r="AV110" s="730">
        <f t="shared" si="338"/>
        <v>1.6339095429789251E-2</v>
      </c>
      <c r="AW110" s="114">
        <f>AW28/AW24</f>
        <v>2.3775067190407277E-2</v>
      </c>
      <c r="AX110" s="1178">
        <f t="shared" si="338"/>
        <v>2.3775067190407277E-2</v>
      </c>
      <c r="AY110" s="730">
        <f t="shared" si="338"/>
        <v>2.3775067190407277E-2</v>
      </c>
      <c r="AZ110" s="730">
        <f t="shared" si="338"/>
        <v>2.3775067190407277E-2</v>
      </c>
      <c r="BA110" s="114">
        <f>BA28/BA24</f>
        <v>0.10107346995678237</v>
      </c>
      <c r="BB110" s="1178">
        <f t="shared" si="322"/>
        <v>0.10107346995678237</v>
      </c>
      <c r="BC110" s="730">
        <f t="shared" si="322"/>
        <v>0.10107346995678237</v>
      </c>
      <c r="BD110" s="730">
        <f t="shared" si="322"/>
        <v>0.10107346995678237</v>
      </c>
      <c r="BE110" s="114">
        <f>BE28/BE24</f>
        <v>7.9831932773109238E-2</v>
      </c>
      <c r="BF110" s="1363">
        <f>BE110</f>
        <v>7.9831932773109238E-2</v>
      </c>
      <c r="BG110" s="730">
        <f t="shared" si="323"/>
        <v>7.9831932773109238E-2</v>
      </c>
      <c r="BH110" s="730">
        <f t="shared" si="323"/>
        <v>7.9831932773109238E-2</v>
      </c>
      <c r="BI110" s="114">
        <f>BI28/BI24</f>
        <v>7.3371906930936842E-2</v>
      </c>
      <c r="BJ110" s="1178">
        <f t="shared" si="323"/>
        <v>7.3371906930936842E-2</v>
      </c>
      <c r="BK110" s="730">
        <f t="shared" si="324"/>
        <v>7.3371906930936842E-2</v>
      </c>
      <c r="BL110" s="730">
        <f t="shared" si="324"/>
        <v>7.3371906930936842E-2</v>
      </c>
      <c r="BM110" s="114">
        <f>BM28/BM24</f>
        <v>6.6480706648070667E-2</v>
      </c>
      <c r="BN110" s="1178">
        <f t="shared" si="324"/>
        <v>6.6480706648070667E-2</v>
      </c>
      <c r="BO110" s="730">
        <f t="shared" si="325"/>
        <v>6.6480706648070667E-2</v>
      </c>
      <c r="BP110" s="730">
        <f t="shared" si="325"/>
        <v>6.6480706648070667E-2</v>
      </c>
      <c r="BQ110" s="114">
        <f>BQ28/BQ24</f>
        <v>5.7308970099667775E-2</v>
      </c>
      <c r="BR110" s="26">
        <f>BR28/BR24</f>
        <v>4.8190257640554915E-2</v>
      </c>
      <c r="BS110" s="19">
        <f>BS28/BS24</f>
        <v>4.5132374400667086E-2</v>
      </c>
      <c r="BT110" s="19">
        <f>BT28/BT24</f>
        <v>4.4006705783738477E-2</v>
      </c>
      <c r="BU110" s="114">
        <f>BU28/BU24</f>
        <v>4.2305269787948775E-2</v>
      </c>
      <c r="BV110" s="253">
        <f t="shared" si="326"/>
        <v>4.2305269787948775E-2</v>
      </c>
      <c r="BW110" s="251">
        <f t="shared" si="326"/>
        <v>4.2305269787948775E-2</v>
      </c>
      <c r="BX110" s="251">
        <f t="shared" si="326"/>
        <v>4.2305269787948775E-2</v>
      </c>
      <c r="BY110" s="252">
        <f t="shared" si="326"/>
        <v>4.2305269787948775E-2</v>
      </c>
      <c r="BZ110" s="253">
        <f t="shared" si="327"/>
        <v>4.2305269787948775E-2</v>
      </c>
      <c r="CA110" s="251">
        <f t="shared" si="327"/>
        <v>4.2305269787948775E-2</v>
      </c>
      <c r="CB110" s="251">
        <f t="shared" si="327"/>
        <v>4.2305269787948775E-2</v>
      </c>
      <c r="CC110" s="252">
        <f t="shared" si="327"/>
        <v>4.2305269787948775E-2</v>
      </c>
      <c r="CD110" s="12"/>
      <c r="CE110" s="80"/>
      <c r="CF110" s="80">
        <f t="shared" ref="CF110:CV110" si="339">CF28/CF24</f>
        <v>3.0467310576062143E-2</v>
      </c>
      <c r="CG110" s="80">
        <f t="shared" si="339"/>
        <v>2.760590195145169E-2</v>
      </c>
      <c r="CH110" s="80">
        <f t="shared" si="339"/>
        <v>4.4410177332305324E-2</v>
      </c>
      <c r="CI110" s="80">
        <f t="shared" si="339"/>
        <v>3.4552124008993018E-2</v>
      </c>
      <c r="CJ110" s="80">
        <f t="shared" si="339"/>
        <v>2.4496937882764653E-2</v>
      </c>
      <c r="CK110" s="80">
        <f t="shared" si="339"/>
        <v>3.4937376400791038E-2</v>
      </c>
      <c r="CL110" s="80">
        <f t="shared" si="339"/>
        <v>3.6247334754797439E-2</v>
      </c>
      <c r="CM110" s="80">
        <f t="shared" si="339"/>
        <v>1.669291338582677E-2</v>
      </c>
      <c r="CN110" s="80">
        <f t="shared" si="339"/>
        <v>1.6339095429789251E-2</v>
      </c>
      <c r="CO110" s="80">
        <f t="shared" si="339"/>
        <v>2.3775067190407277E-2</v>
      </c>
      <c r="CP110" s="80">
        <f t="shared" si="339"/>
        <v>0.10107346995678237</v>
      </c>
      <c r="CQ110" s="80">
        <f t="shared" si="339"/>
        <v>7.9831932773109238E-2</v>
      </c>
      <c r="CR110" s="1579">
        <f t="shared" si="339"/>
        <v>7.3371906930936842E-2</v>
      </c>
      <c r="CS110" s="80">
        <f t="shared" si="339"/>
        <v>6.6480706648070667E-2</v>
      </c>
      <c r="CT110" s="80">
        <f t="shared" si="339"/>
        <v>5.7308970099667775E-2</v>
      </c>
      <c r="CU110" s="80">
        <f t="shared" si="339"/>
        <v>4.2305269787948775E-2</v>
      </c>
      <c r="CV110" s="80">
        <f t="shared" si="339"/>
        <v>4.2305269787948775E-2</v>
      </c>
      <c r="CW110" s="80">
        <f>CW28/CW24</f>
        <v>4.2305269787948775E-2</v>
      </c>
      <c r="CX110" s="251">
        <f t="shared" si="329"/>
        <v>4.2305269787948775E-2</v>
      </c>
      <c r="CY110" s="251">
        <f t="shared" si="329"/>
        <v>4.2305269787948775E-2</v>
      </c>
      <c r="CZ110" s="251">
        <f t="shared" si="329"/>
        <v>4.2305269787948775E-2</v>
      </c>
      <c r="DA110" s="251">
        <f t="shared" si="329"/>
        <v>4.2305269787948775E-2</v>
      </c>
      <c r="DB110" s="251">
        <f t="shared" si="329"/>
        <v>4.2305269787948775E-2</v>
      </c>
      <c r="DC110" s="251">
        <f t="shared" si="329"/>
        <v>4.2305269787948775E-2</v>
      </c>
      <c r="DD110" s="325"/>
      <c r="DE110" s="19"/>
      <c r="DF110" s="24"/>
      <c r="DG110" s="24"/>
      <c r="DH110" s="24"/>
      <c r="DI110" s="24"/>
      <c r="DJ110" s="24"/>
      <c r="DK110" s="24"/>
      <c r="DL110" s="24"/>
      <c r="DM110" s="24"/>
      <c r="DN110" s="24"/>
      <c r="DO110" s="24"/>
      <c r="DP110" s="24"/>
      <c r="DQ110" s="24"/>
      <c r="DR110" s="24"/>
    </row>
    <row r="111" spans="1:122" ht="4.5" hidden="1" customHeight="1" outlineLevel="1">
      <c r="A111" s="3"/>
      <c r="B111" s="76"/>
      <c r="C111" s="3"/>
      <c r="D111" s="3"/>
      <c r="E111" s="97"/>
      <c r="F111" s="76"/>
      <c r="G111" s="96"/>
      <c r="H111" s="96"/>
      <c r="I111" s="97"/>
      <c r="J111" s="76"/>
      <c r="K111" s="96"/>
      <c r="L111" s="96"/>
      <c r="M111" s="97"/>
      <c r="N111" s="76"/>
      <c r="O111" s="96"/>
      <c r="P111" s="96"/>
      <c r="Q111" s="97"/>
      <c r="R111" s="76"/>
      <c r="S111" s="96"/>
      <c r="T111" s="96"/>
      <c r="U111" s="97"/>
      <c r="V111" s="96"/>
      <c r="W111" s="96"/>
      <c r="X111" s="96"/>
      <c r="Y111" s="97"/>
      <c r="Z111" s="76"/>
      <c r="AA111" s="96"/>
      <c r="AB111" s="96"/>
      <c r="AC111" s="97"/>
      <c r="AD111" s="96"/>
      <c r="AE111" s="96"/>
      <c r="AF111" s="63"/>
      <c r="AG111" s="64"/>
      <c r="AH111" s="96"/>
      <c r="AI111" s="63"/>
      <c r="AJ111" s="63"/>
      <c r="AK111" s="64"/>
      <c r="AL111" s="329"/>
      <c r="AM111" s="63"/>
      <c r="AN111" s="63"/>
      <c r="AO111" s="64"/>
      <c r="AP111" s="329"/>
      <c r="AQ111" s="63"/>
      <c r="AR111" s="63"/>
      <c r="AS111" s="63"/>
      <c r="AT111" s="713"/>
      <c r="AU111" s="63"/>
      <c r="AV111" s="63"/>
      <c r="AW111" s="63"/>
      <c r="AX111" s="329"/>
      <c r="AY111" s="63"/>
      <c r="AZ111" s="63"/>
      <c r="BA111" s="64"/>
      <c r="BB111" s="329"/>
      <c r="BC111" s="63"/>
      <c r="BD111" s="63"/>
      <c r="BE111" s="63"/>
      <c r="BF111" s="329"/>
      <c r="BG111" s="63"/>
      <c r="BH111" s="63"/>
      <c r="BI111" s="63"/>
      <c r="BJ111" s="329"/>
      <c r="BK111" s="63"/>
      <c r="BL111" s="63"/>
      <c r="BM111" s="63"/>
      <c r="BN111" s="329"/>
      <c r="BR111" s="23"/>
      <c r="BS111" s="24"/>
      <c r="BT111" s="24"/>
      <c r="BV111" s="329"/>
      <c r="BY111" s="64"/>
      <c r="BZ111" s="329"/>
      <c r="CC111" s="64"/>
      <c r="CD111" s="12"/>
      <c r="CE111" s="96"/>
      <c r="CF111" s="96"/>
      <c r="CG111" s="96"/>
      <c r="CH111" s="96"/>
      <c r="CI111" s="96"/>
      <c r="CJ111" s="96"/>
      <c r="CK111" s="96"/>
      <c r="CL111" s="96"/>
      <c r="CM111" s="96"/>
      <c r="CN111" s="96"/>
      <c r="CO111" s="96"/>
      <c r="CP111" s="96"/>
      <c r="CQ111" s="96"/>
      <c r="CR111" s="76"/>
      <c r="CS111" s="96"/>
      <c r="CT111" s="96"/>
      <c r="CU111" s="96"/>
      <c r="CV111" s="96"/>
      <c r="CW111" s="96"/>
      <c r="CX111" s="96"/>
      <c r="CY111" s="96"/>
      <c r="CZ111" s="96"/>
      <c r="DA111" s="96"/>
      <c r="DB111" s="96"/>
      <c r="DC111" s="96"/>
      <c r="DD111" s="325"/>
      <c r="DE111" s="24"/>
      <c r="DF111" s="24"/>
      <c r="DG111" s="24"/>
      <c r="DH111" s="24"/>
      <c r="DI111" s="24"/>
      <c r="DJ111" s="24"/>
      <c r="DK111" s="24"/>
      <c r="DL111" s="24"/>
      <c r="DM111" s="24"/>
      <c r="DN111" s="24"/>
      <c r="DO111" s="24"/>
      <c r="DP111" s="24"/>
      <c r="DQ111" s="24"/>
      <c r="DR111" s="24"/>
    </row>
    <row r="112" spans="1:122" hidden="1" outlineLevel="1">
      <c r="A112" s="320"/>
      <c r="B112" s="224" t="s">
        <v>66</v>
      </c>
      <c r="C112" s="196"/>
      <c r="D112" s="196"/>
      <c r="E112" s="12"/>
      <c r="F112" s="331"/>
      <c r="G112" s="331"/>
      <c r="H112" s="331"/>
      <c r="I112" s="575"/>
      <c r="J112" s="331"/>
      <c r="K112" s="331"/>
      <c r="L112" s="331"/>
      <c r="M112" s="575"/>
      <c r="N112" s="331">
        <f t="shared" ref="N112:AS112" si="340">-N94/N89/4</f>
        <v>2.3460976448341069</v>
      </c>
      <c r="O112" s="331">
        <f t="shared" si="340"/>
        <v>2.4014785629554307</v>
      </c>
      <c r="P112" s="331">
        <f t="shared" si="340"/>
        <v>2.2772896905613429</v>
      </c>
      <c r="Q112" s="575">
        <f t="shared" si="340"/>
        <v>2.1645865834633384</v>
      </c>
      <c r="R112" s="331">
        <f t="shared" si="340"/>
        <v>2.4964953271028043</v>
      </c>
      <c r="S112" s="331">
        <f t="shared" si="340"/>
        <v>2.2877906976744184</v>
      </c>
      <c r="T112" s="331">
        <f t="shared" si="340"/>
        <v>2.2332089552238807</v>
      </c>
      <c r="U112" s="575">
        <f t="shared" si="340"/>
        <v>2.4792418772563174</v>
      </c>
      <c r="V112" s="331">
        <f t="shared" si="340"/>
        <v>2.6206896551724137</v>
      </c>
      <c r="W112" s="331">
        <f t="shared" si="340"/>
        <v>2.5392307692307696</v>
      </c>
      <c r="X112" s="331">
        <f t="shared" si="340"/>
        <v>2.4313725490196076</v>
      </c>
      <c r="Y112" s="575">
        <f t="shared" si="340"/>
        <v>2.6263297872340421</v>
      </c>
      <c r="Z112" s="331">
        <f t="shared" si="340"/>
        <v>2.9339887640449418</v>
      </c>
      <c r="AA112" s="331">
        <f t="shared" si="340"/>
        <v>2.8089378238341962</v>
      </c>
      <c r="AB112" s="331">
        <f t="shared" si="340"/>
        <v>2.9618138424820999</v>
      </c>
      <c r="AC112" s="575">
        <f t="shared" si="340"/>
        <v>3.1407322654462231</v>
      </c>
      <c r="AD112" s="331">
        <f t="shared" si="340"/>
        <v>3.3222222222222224</v>
      </c>
      <c r="AE112" s="331">
        <f t="shared" si="340"/>
        <v>3.25</v>
      </c>
      <c r="AF112" s="331">
        <f t="shared" si="340"/>
        <v>3.0545454545454547</v>
      </c>
      <c r="AG112" s="575">
        <f t="shared" si="340"/>
        <v>3.0368852459016393</v>
      </c>
      <c r="AH112" s="331">
        <f t="shared" si="340"/>
        <v>4.8589743589743586</v>
      </c>
      <c r="AI112" s="331">
        <f t="shared" si="340"/>
        <v>3.5135135135135136</v>
      </c>
      <c r="AJ112" s="331">
        <f t="shared" si="340"/>
        <v>3.4436936936936937</v>
      </c>
      <c r="AK112" s="575">
        <f t="shared" si="340"/>
        <v>3.6902654867256639</v>
      </c>
      <c r="AL112" s="331">
        <f t="shared" si="340"/>
        <v>3.5769230769230771</v>
      </c>
      <c r="AM112" s="331">
        <f t="shared" si="340"/>
        <v>3.319672131147541</v>
      </c>
      <c r="AN112" s="331">
        <f t="shared" si="340"/>
        <v>3.2983193277310923</v>
      </c>
      <c r="AO112" s="575">
        <f t="shared" si="340"/>
        <v>3.2727272727272729</v>
      </c>
      <c r="AP112" s="331">
        <f t="shared" si="340"/>
        <v>3.3574380165289255</v>
      </c>
      <c r="AQ112" s="331">
        <f t="shared" si="340"/>
        <v>3.3650793650793651</v>
      </c>
      <c r="AR112" s="331">
        <f t="shared" si="340"/>
        <v>3.4031007751937983</v>
      </c>
      <c r="AS112" s="331">
        <f t="shared" si="340"/>
        <v>4.0279850746268657</v>
      </c>
      <c r="AT112" s="965">
        <f t="shared" ref="AT112:BY112" si="341">-AT94/AT89/4</f>
        <v>3.7416666666666667</v>
      </c>
      <c r="AU112" s="331">
        <f t="shared" si="341"/>
        <v>3.7698675496688741</v>
      </c>
      <c r="AV112" s="331">
        <f t="shared" si="341"/>
        <v>3.7235099337748343</v>
      </c>
      <c r="AW112" s="331">
        <f t="shared" si="341"/>
        <v>3.7066666666666666</v>
      </c>
      <c r="AX112" s="965">
        <f t="shared" si="341"/>
        <v>3.4952531645569622</v>
      </c>
      <c r="AY112" s="331">
        <f t="shared" si="341"/>
        <v>3.7339285714285713</v>
      </c>
      <c r="AZ112" s="331">
        <f t="shared" si="341"/>
        <v>5.5465425531914896</v>
      </c>
      <c r="BA112" s="331">
        <f t="shared" si="341"/>
        <v>2.9992625368731565</v>
      </c>
      <c r="BB112" s="965">
        <f t="shared" si="341"/>
        <v>3.2164536741214058</v>
      </c>
      <c r="BC112" s="331">
        <f t="shared" si="341"/>
        <v>3.0436893203883497</v>
      </c>
      <c r="BD112" s="331">
        <f t="shared" si="341"/>
        <v>2.8511326860841426</v>
      </c>
      <c r="BE112" s="331">
        <f t="shared" si="341"/>
        <v>2.7127483443708611</v>
      </c>
      <c r="BF112" s="965">
        <f t="shared" si="341"/>
        <v>2.9150641025641026</v>
      </c>
      <c r="BG112" s="331">
        <f t="shared" si="341"/>
        <v>2.7673501577287065</v>
      </c>
      <c r="BH112" s="331">
        <f t="shared" si="341"/>
        <v>2.7736156351791532</v>
      </c>
      <c r="BI112" s="331">
        <f t="shared" si="341"/>
        <v>2.6217532467532467</v>
      </c>
      <c r="BJ112" s="965">
        <f t="shared" si="341"/>
        <v>2.8036332179930796</v>
      </c>
      <c r="BK112" s="331">
        <f t="shared" si="341"/>
        <v>2.671551724137931</v>
      </c>
      <c r="BL112" s="331">
        <f t="shared" si="341"/>
        <v>2.6763157894736844</v>
      </c>
      <c r="BM112" s="331">
        <f t="shared" si="341"/>
        <v>2.8849999999999998</v>
      </c>
      <c r="BN112" s="965">
        <f t="shared" si="341"/>
        <v>3.1885593220338984</v>
      </c>
      <c r="BO112" s="331">
        <f t="shared" si="341"/>
        <v>2.9652777777777777</v>
      </c>
      <c r="BP112" s="331">
        <f t="shared" si="341"/>
        <v>2.9939024390243905</v>
      </c>
      <c r="BQ112" s="331">
        <f t="shared" si="341"/>
        <v>1.8577380952380953</v>
      </c>
      <c r="BR112" s="2166">
        <f>-BR94/BR89/4</f>
        <v>1.7795275590551181</v>
      </c>
      <c r="BS112" s="118">
        <f>-BS94/BS89/4</f>
        <v>1.7884241245136188</v>
      </c>
      <c r="BT112" s="118">
        <f>-BT94/BT89/4</f>
        <v>1.734375</v>
      </c>
      <c r="BU112" s="331">
        <f>-BU94/BU89/4</f>
        <v>1.1607142857142858</v>
      </c>
      <c r="BV112" s="965">
        <f t="shared" si="341"/>
        <v>1.2216584723264541</v>
      </c>
      <c r="BW112" s="331">
        <f t="shared" si="341"/>
        <v>1.5138204967289719</v>
      </c>
      <c r="BX112" s="331">
        <f t="shared" si="341"/>
        <v>2.0107784540604201</v>
      </c>
      <c r="BY112" s="575">
        <f t="shared" si="341"/>
        <v>1.9374670738156134</v>
      </c>
      <c r="BZ112" s="965">
        <f>-BZ94/BZ89/4</f>
        <v>1.8364230176672913</v>
      </c>
      <c r="CA112" s="331">
        <f>-CA94/CA89/4</f>
        <v>1.7324721698288639</v>
      </c>
      <c r="CB112" s="331">
        <f>-CB94/CB89/4</f>
        <v>1.6038442923200822</v>
      </c>
      <c r="CC112" s="575">
        <f>-CC94/CC89/4</f>
        <v>1.4514576702428172</v>
      </c>
      <c r="CD112" s="1409"/>
      <c r="CE112" s="331"/>
      <c r="CF112" s="331"/>
      <c r="CG112" s="331">
        <f t="shared" ref="CG112:CN112" si="342">-CG94/CG89</f>
        <v>-2.4226190476190457</v>
      </c>
      <c r="CH112" s="331">
        <f t="shared" si="342"/>
        <v>-2.7010816125860373</v>
      </c>
      <c r="CI112" s="331">
        <f t="shared" si="342"/>
        <v>-2.9302670623145399</v>
      </c>
      <c r="CJ112" s="331">
        <f t="shared" si="342"/>
        <v>-3.4355444305381724</v>
      </c>
      <c r="CK112" s="331">
        <f t="shared" si="342"/>
        <v>-3.5285714285714285</v>
      </c>
      <c r="CL112" s="331">
        <f t="shared" si="342"/>
        <v>4.0387409200968527</v>
      </c>
      <c r="CM112" s="331">
        <f t="shared" si="342"/>
        <v>3.3068893528183718</v>
      </c>
      <c r="CN112" s="331">
        <f t="shared" si="342"/>
        <v>4.2333333333333334</v>
      </c>
      <c r="CO112" s="331">
        <f t="shared" ref="CO112:DA112" si="343">-CO94/CO89/4</f>
        <v>0.92358803986710969</v>
      </c>
      <c r="CP112" s="331">
        <f t="shared" si="343"/>
        <v>1.2324242424242424</v>
      </c>
      <c r="CQ112" s="331">
        <f t="shared" si="343"/>
        <v>0.75020275750202758</v>
      </c>
      <c r="CR112" s="965">
        <f t="shared" si="343"/>
        <v>0.66177652733118975</v>
      </c>
      <c r="CS112" s="331">
        <f t="shared" si="343"/>
        <v>0.66539497307001794</v>
      </c>
      <c r="CT112" s="331">
        <f t="shared" si="343"/>
        <v>0.75888214904679374</v>
      </c>
      <c r="CU112" s="331">
        <f t="shared" si="343"/>
        <v>0.3563204887218045</v>
      </c>
      <c r="CV112" s="331">
        <f t="shared" si="343"/>
        <v>0.40762817925446981</v>
      </c>
      <c r="CW112" s="331">
        <f>-CW94/CW89/4</f>
        <v>0.3797286970661613</v>
      </c>
      <c r="CX112" s="331">
        <f t="shared" si="343"/>
        <v>0.27609214600646587</v>
      </c>
      <c r="CY112" s="331">
        <f t="shared" si="343"/>
        <v>0.35015880503316726</v>
      </c>
      <c r="CZ112" s="331">
        <f t="shared" si="343"/>
        <v>0.31416666068277277</v>
      </c>
      <c r="DA112" s="331">
        <f t="shared" si="343"/>
        <v>0.37382074839630131</v>
      </c>
      <c r="DB112" s="331">
        <f>-DB94/DB89/4</f>
        <v>0.3606324618784319</v>
      </c>
      <c r="DC112" s="331">
        <f>-DC94/DC89/4</f>
        <v>0.34034243313526463</v>
      </c>
      <c r="DD112" s="575"/>
      <c r="DE112" s="118"/>
      <c r="DF112" s="29"/>
      <c r="DG112" s="29"/>
      <c r="DH112" s="29"/>
      <c r="DI112" s="29"/>
      <c r="DJ112" s="29"/>
      <c r="DK112" s="29"/>
      <c r="DL112" s="29"/>
      <c r="DM112" s="29"/>
      <c r="DN112" s="29"/>
      <c r="DO112" s="29"/>
      <c r="DP112" s="29"/>
      <c r="DQ112" s="29"/>
      <c r="DR112" s="29"/>
    </row>
    <row r="113" spans="1:122" hidden="1" outlineLevel="1">
      <c r="A113" s="3"/>
      <c r="B113" s="326"/>
      <c r="C113" s="5"/>
      <c r="D113" s="5"/>
      <c r="E113" s="107"/>
      <c r="F113" s="106"/>
      <c r="G113" s="104"/>
      <c r="H113" s="104"/>
      <c r="I113" s="107"/>
      <c r="J113" s="106"/>
      <c r="K113" s="104"/>
      <c r="L113" s="104"/>
      <c r="M113" s="107"/>
      <c r="N113" s="106"/>
      <c r="O113" s="104"/>
      <c r="P113" s="104"/>
      <c r="Q113" s="107"/>
      <c r="R113" s="106"/>
      <c r="S113" s="104"/>
      <c r="T113" s="104"/>
      <c r="U113" s="107"/>
      <c r="V113" s="104"/>
      <c r="W113" s="104"/>
      <c r="X113" s="104"/>
      <c r="Y113" s="107"/>
      <c r="Z113" s="106"/>
      <c r="AA113" s="104"/>
      <c r="AB113" s="104"/>
      <c r="AC113" s="107"/>
      <c r="AD113" s="106"/>
      <c r="AE113" s="104"/>
      <c r="AF113" s="104"/>
      <c r="AG113" s="107"/>
      <c r="AH113" s="106"/>
      <c r="AI113" s="104"/>
      <c r="AJ113" s="104"/>
      <c r="AK113" s="107"/>
      <c r="AL113" s="106"/>
      <c r="AM113" s="104"/>
      <c r="AN113" s="104"/>
      <c r="AO113" s="107"/>
      <c r="AP113" s="106"/>
      <c r="AQ113" s="104"/>
      <c r="AR113" s="104"/>
      <c r="AS113" s="104"/>
      <c r="AT113" s="106"/>
      <c r="AU113" s="104"/>
      <c r="AV113" s="104"/>
      <c r="AW113" s="104"/>
      <c r="AX113" s="106"/>
      <c r="AY113" s="104"/>
      <c r="AZ113" s="104"/>
      <c r="BA113" s="107"/>
      <c r="BB113" s="106"/>
      <c r="BC113" s="104"/>
      <c r="BD113" s="104"/>
      <c r="BE113" s="104"/>
      <c r="BF113" s="106"/>
      <c r="BG113" s="104"/>
      <c r="BH113" s="104"/>
      <c r="BI113" s="107"/>
      <c r="BJ113" s="76"/>
      <c r="BK113" s="104"/>
      <c r="BL113" s="104"/>
      <c r="BM113" s="107"/>
      <c r="BN113" s="76"/>
      <c r="BO113" s="96"/>
      <c r="BP113" s="96"/>
      <c r="BQ113" s="97"/>
      <c r="BR113" s="76"/>
      <c r="BS113" s="96"/>
      <c r="BT113" s="96"/>
      <c r="BU113" s="97"/>
      <c r="BV113" s="76"/>
      <c r="BW113" s="96"/>
      <c r="BX113" s="96"/>
      <c r="BY113" s="97"/>
      <c r="BZ113" s="76"/>
      <c r="CA113" s="96"/>
      <c r="CB113" s="96"/>
      <c r="CC113" s="97"/>
      <c r="CD113" s="9"/>
      <c r="CE113" s="104"/>
      <c r="CF113" s="104"/>
      <c r="CG113" s="104"/>
      <c r="CH113" s="104"/>
      <c r="CI113" s="104"/>
      <c r="CJ113" s="104"/>
      <c r="CK113" s="104"/>
      <c r="CL113" s="104"/>
      <c r="CM113" s="96"/>
      <c r="CN113" s="104"/>
      <c r="CO113" s="96"/>
      <c r="CP113" s="96"/>
      <c r="CQ113" s="96"/>
      <c r="CR113" s="106"/>
      <c r="CS113" s="104"/>
      <c r="CT113" s="104"/>
      <c r="CU113" s="104"/>
      <c r="CV113" s="104"/>
      <c r="CW113" s="104"/>
      <c r="CX113" s="104"/>
      <c r="CY113" s="104"/>
      <c r="CZ113" s="104"/>
      <c r="DA113" s="104"/>
      <c r="DB113" s="104"/>
      <c r="DC113" s="104"/>
      <c r="DD113" s="107"/>
      <c r="DE113" s="24"/>
      <c r="DF113" s="24"/>
      <c r="DG113" s="24"/>
      <c r="DH113" s="24"/>
      <c r="DI113" s="24"/>
      <c r="DJ113" s="24"/>
      <c r="DK113" s="24"/>
      <c r="DL113" s="24"/>
      <c r="DM113" s="24"/>
      <c r="DN113" s="24"/>
      <c r="DO113" s="24"/>
      <c r="DP113" s="24"/>
      <c r="DQ113" s="24"/>
      <c r="DR113" s="24"/>
    </row>
    <row r="114" spans="1:122" collapsed="1">
      <c r="A114" s="3"/>
      <c r="B114" s="423"/>
      <c r="C114" s="423"/>
      <c r="D114" s="423"/>
      <c r="E114" s="451"/>
      <c r="F114" s="455"/>
      <c r="G114" s="424"/>
      <c r="H114" s="424"/>
      <c r="I114" s="451"/>
      <c r="J114" s="455"/>
      <c r="K114" s="424"/>
      <c r="L114" s="424"/>
      <c r="M114" s="451"/>
      <c r="N114" s="455"/>
      <c r="O114" s="424"/>
      <c r="P114" s="424"/>
      <c r="Q114" s="451"/>
      <c r="R114" s="455"/>
      <c r="S114" s="424"/>
      <c r="T114" s="424"/>
      <c r="U114" s="451"/>
      <c r="V114" s="424"/>
      <c r="W114" s="424"/>
      <c r="X114" s="424"/>
      <c r="Y114" s="424"/>
      <c r="Z114" s="424"/>
      <c r="AA114" s="424"/>
      <c r="AB114" s="424"/>
      <c r="AC114" s="424"/>
      <c r="AD114" s="424"/>
      <c r="AE114" s="424"/>
      <c r="AF114" s="424"/>
      <c r="AG114" s="424"/>
      <c r="AH114" s="424"/>
      <c r="AI114" s="424"/>
      <c r="AJ114" s="424"/>
      <c r="AK114" s="424"/>
      <c r="AL114" s="424"/>
      <c r="AM114" s="424"/>
      <c r="AN114" s="424"/>
      <c r="AO114" s="424"/>
      <c r="AP114" s="424"/>
      <c r="AQ114" s="424"/>
      <c r="AR114" s="424"/>
      <c r="AS114" s="424"/>
      <c r="AT114" s="455"/>
      <c r="AU114" s="424"/>
      <c r="AV114" s="424"/>
      <c r="AW114" s="424"/>
      <c r="AX114" s="455"/>
      <c r="AY114" s="424"/>
      <c r="AZ114" s="424"/>
      <c r="BA114" s="424"/>
      <c r="BB114" s="455"/>
      <c r="BC114" s="424"/>
      <c r="BD114" s="424"/>
      <c r="BE114" s="424"/>
      <c r="BF114" s="455"/>
      <c r="BG114" s="424"/>
      <c r="BH114" s="424"/>
      <c r="BI114" s="424"/>
      <c r="BJ114" s="2160"/>
      <c r="BK114" s="2160"/>
      <c r="BL114" s="2160"/>
      <c r="BM114" s="2160"/>
      <c r="BN114" s="2160"/>
      <c r="BO114" s="2160"/>
      <c r="BP114" s="2160"/>
      <c r="BQ114" s="2160"/>
      <c r="BR114" s="2160"/>
      <c r="BS114" s="2160"/>
      <c r="BT114" s="2160"/>
      <c r="BU114" s="2160"/>
      <c r="BV114" s="2160"/>
      <c r="BW114" s="2160"/>
      <c r="BX114" s="2160"/>
      <c r="BY114" s="2160"/>
      <c r="BZ114" s="2160"/>
      <c r="CA114" s="2160"/>
      <c r="CB114" s="2160"/>
      <c r="CC114" s="2160"/>
      <c r="CD114" s="3"/>
      <c r="CE114" s="424"/>
      <c r="CF114" s="424"/>
      <c r="CG114" s="424"/>
      <c r="CH114" s="424"/>
      <c r="CI114" s="424"/>
      <c r="CJ114" s="424"/>
      <c r="CK114" s="424"/>
      <c r="CL114" s="424"/>
      <c r="CM114" s="424"/>
      <c r="CN114" s="424"/>
      <c r="CO114" s="424"/>
      <c r="CP114" s="424"/>
      <c r="CQ114" s="424"/>
      <c r="CR114" s="424"/>
      <c r="CS114" s="424"/>
      <c r="CT114" s="104"/>
      <c r="CU114" s="424"/>
      <c r="CV114" s="424"/>
      <c r="CW114" s="424"/>
      <c r="CX114" s="424"/>
      <c r="CY114" s="424"/>
      <c r="CZ114" s="424"/>
      <c r="DA114" s="424"/>
      <c r="DB114" s="424"/>
      <c r="DC114" s="424"/>
      <c r="DD114" s="451"/>
      <c r="DE114" s="24"/>
      <c r="DF114" s="24"/>
      <c r="DG114" s="24"/>
      <c r="DH114" s="24"/>
      <c r="DI114" s="24"/>
      <c r="DJ114" s="24"/>
      <c r="DK114" s="24"/>
      <c r="DL114" s="24"/>
      <c r="DM114" s="24"/>
      <c r="DN114" s="24"/>
      <c r="DO114" s="24"/>
      <c r="DP114" s="24"/>
      <c r="DQ114" s="24"/>
      <c r="DR114" s="24"/>
    </row>
    <row r="115" spans="1:122">
      <c r="A115" s="3" t="s">
        <v>25</v>
      </c>
      <c r="B115" s="416" t="s">
        <v>895</v>
      </c>
      <c r="C115" s="417"/>
      <c r="D115" s="417"/>
      <c r="E115" s="421"/>
      <c r="F115" s="416"/>
      <c r="G115" s="445"/>
      <c r="H115" s="445"/>
      <c r="I115" s="421"/>
      <c r="J115" s="445"/>
      <c r="K115" s="445"/>
      <c r="L115" s="445"/>
      <c r="M115" s="421"/>
      <c r="N115" s="445"/>
      <c r="O115" s="445"/>
      <c r="P115" s="445"/>
      <c r="Q115" s="421"/>
      <c r="R115" s="445"/>
      <c r="S115" s="445"/>
      <c r="T115" s="445"/>
      <c r="U115" s="421"/>
      <c r="V115" s="450"/>
      <c r="W115" s="419"/>
      <c r="X115" s="419"/>
      <c r="Y115" s="420"/>
      <c r="Z115" s="419"/>
      <c r="AA115" s="419"/>
      <c r="AB115" s="419"/>
      <c r="AC115" s="420"/>
      <c r="AD115" s="419"/>
      <c r="AE115" s="419"/>
      <c r="AF115" s="419"/>
      <c r="AG115" s="420"/>
      <c r="AH115" s="419"/>
      <c r="AI115" s="419"/>
      <c r="AJ115" s="419"/>
      <c r="AK115" s="420"/>
      <c r="AL115" s="418"/>
      <c r="AM115" s="419"/>
      <c r="AN115" s="419"/>
      <c r="AO115" s="420"/>
      <c r="AP115" s="418"/>
      <c r="AQ115" s="419"/>
      <c r="AR115" s="419"/>
      <c r="AS115" s="419"/>
      <c r="AT115" s="418"/>
      <c r="AU115" s="419"/>
      <c r="AV115" s="419"/>
      <c r="AW115" s="419"/>
      <c r="AX115" s="418"/>
      <c r="AY115" s="419"/>
      <c r="AZ115" s="419"/>
      <c r="BA115" s="420"/>
      <c r="BB115" s="418"/>
      <c r="BC115" s="419"/>
      <c r="BD115" s="419"/>
      <c r="BE115" s="420"/>
      <c r="BF115" s="418"/>
      <c r="BG115" s="419"/>
      <c r="BH115" s="419"/>
      <c r="BI115" s="420"/>
      <c r="BJ115" s="517"/>
      <c r="BK115" s="419"/>
      <c r="BL115" s="419"/>
      <c r="BM115" s="420"/>
      <c r="BN115" s="517"/>
      <c r="BO115" s="515"/>
      <c r="BP115" s="515"/>
      <c r="BQ115" s="516"/>
      <c r="BR115" s="517"/>
      <c r="BS115" s="515"/>
      <c r="BT115" s="515"/>
      <c r="BU115" s="516"/>
      <c r="BV115" s="517"/>
      <c r="BW115" s="515"/>
      <c r="BX115" s="515"/>
      <c r="BY115" s="516"/>
      <c r="BZ115" s="517"/>
      <c r="CA115" s="515"/>
      <c r="CB115" s="515"/>
      <c r="CC115" s="516"/>
      <c r="CD115" s="12"/>
      <c r="CE115" s="417"/>
      <c r="CF115" s="417"/>
      <c r="CG115" s="417"/>
      <c r="CH115" s="417"/>
      <c r="CI115" s="417"/>
      <c r="CJ115" s="417"/>
      <c r="CK115" s="417"/>
      <c r="CL115" s="417"/>
      <c r="CM115" s="162"/>
      <c r="CN115" s="417"/>
      <c r="CO115" s="162"/>
      <c r="CP115" s="162"/>
      <c r="CQ115" s="162"/>
      <c r="CR115" s="1577"/>
      <c r="CS115" s="417"/>
      <c r="CT115" s="162"/>
      <c r="CU115" s="162"/>
      <c r="CV115" s="162"/>
      <c r="CW115" s="162"/>
      <c r="CX115" s="162"/>
      <c r="CY115" s="162"/>
      <c r="CZ115" s="162"/>
      <c r="DA115" s="162"/>
      <c r="DB115" s="162"/>
      <c r="DC115" s="162"/>
      <c r="DD115" s="1550"/>
      <c r="DE115" s="24"/>
      <c r="DF115" s="24"/>
      <c r="DG115" s="30"/>
      <c r="DH115" s="30"/>
      <c r="DI115" s="24"/>
      <c r="DJ115" s="24"/>
      <c r="DK115" s="24"/>
      <c r="DL115" s="24"/>
      <c r="DM115" s="24"/>
      <c r="DN115" s="24"/>
      <c r="DO115" s="24"/>
      <c r="DP115" s="24"/>
      <c r="DQ115" s="24"/>
      <c r="DR115" s="24"/>
    </row>
    <row r="116" spans="1:122" ht="4.5" hidden="1" customHeight="1" outlineLevel="1">
      <c r="A116" s="3"/>
      <c r="B116" s="76"/>
      <c r="C116" s="96"/>
      <c r="D116" s="96"/>
      <c r="E116" s="97"/>
      <c r="F116" s="96"/>
      <c r="G116" s="96"/>
      <c r="H116" s="96"/>
      <c r="I116" s="97"/>
      <c r="J116" s="96"/>
      <c r="K116" s="96"/>
      <c r="L116" s="96"/>
      <c r="M116" s="97"/>
      <c r="N116" s="96"/>
      <c r="O116" s="96"/>
      <c r="P116" s="96"/>
      <c r="Q116" s="97"/>
      <c r="R116" s="96"/>
      <c r="S116" s="96"/>
      <c r="T116" s="96"/>
      <c r="U116" s="97"/>
      <c r="V116" s="96"/>
      <c r="W116" s="96"/>
      <c r="X116" s="96"/>
      <c r="Y116" s="97"/>
      <c r="Z116" s="96"/>
      <c r="AA116" s="96"/>
      <c r="AB116" s="96"/>
      <c r="AC116" s="97"/>
      <c r="AD116" s="96"/>
      <c r="AE116" s="96"/>
      <c r="AF116" s="63"/>
      <c r="AG116" s="64"/>
      <c r="AH116" s="96"/>
      <c r="AI116" s="63"/>
      <c r="AJ116" s="63"/>
      <c r="AK116" s="64"/>
      <c r="AL116" s="329"/>
      <c r="AM116" s="63"/>
      <c r="AN116" s="63"/>
      <c r="AO116" s="64"/>
      <c r="AP116" s="329"/>
      <c r="AQ116" s="63"/>
      <c r="AR116" s="63"/>
      <c r="AS116" s="63"/>
      <c r="AT116" s="329"/>
      <c r="AU116" s="63"/>
      <c r="AV116" s="63"/>
      <c r="AW116" s="63"/>
      <c r="AX116" s="329"/>
      <c r="AY116" s="63"/>
      <c r="AZ116" s="63"/>
      <c r="BA116" s="64"/>
      <c r="BB116" s="329"/>
      <c r="BC116" s="63"/>
      <c r="BD116" s="63"/>
      <c r="BE116" s="64"/>
      <c r="BF116" s="329"/>
      <c r="BG116" s="63"/>
      <c r="BH116" s="63"/>
      <c r="BI116" s="64"/>
      <c r="BJ116" s="329"/>
      <c r="BK116" s="63"/>
      <c r="BL116" s="63"/>
      <c r="BM116" s="64"/>
      <c r="BN116" s="329"/>
      <c r="BQ116" s="64"/>
      <c r="BR116" s="329"/>
      <c r="BU116" s="64"/>
      <c r="BV116" s="329"/>
      <c r="BY116" s="64"/>
      <c r="BZ116" s="329"/>
      <c r="CC116" s="64"/>
      <c r="CD116" s="12"/>
      <c r="CE116" s="61"/>
      <c r="CF116" s="61"/>
      <c r="CG116" s="61"/>
      <c r="CH116" s="61"/>
      <c r="CI116" s="61"/>
      <c r="CJ116" s="61"/>
      <c r="CK116" s="61"/>
      <c r="CL116" s="61"/>
      <c r="CM116" s="61"/>
      <c r="CN116" s="61"/>
      <c r="CO116" s="61"/>
      <c r="CP116" s="61"/>
      <c r="CQ116" s="61"/>
      <c r="CR116" s="60"/>
      <c r="CS116" s="61"/>
      <c r="CT116" s="61"/>
      <c r="CU116" s="61"/>
      <c r="CV116" s="61"/>
      <c r="CW116" s="61"/>
      <c r="CX116" s="61"/>
      <c r="CY116" s="61"/>
      <c r="CZ116" s="61"/>
      <c r="DA116" s="61"/>
      <c r="DB116" s="61"/>
      <c r="DC116" s="61"/>
      <c r="DD116" s="62"/>
      <c r="DE116" s="24"/>
      <c r="DF116" s="24"/>
      <c r="DG116" s="24"/>
      <c r="DH116" s="24"/>
      <c r="DI116" s="24"/>
      <c r="DJ116" s="24"/>
      <c r="DK116" s="24"/>
      <c r="DL116" s="24"/>
      <c r="DM116" s="24"/>
      <c r="DN116" s="24"/>
      <c r="DO116" s="24"/>
      <c r="DP116" s="24"/>
      <c r="DQ116" s="24"/>
      <c r="DR116" s="24"/>
    </row>
    <row r="117" spans="1:122" hidden="1" outlineLevel="1">
      <c r="A117" s="3"/>
      <c r="B117" s="256" t="s">
        <v>18</v>
      </c>
      <c r="C117" s="3"/>
      <c r="D117" s="3"/>
      <c r="E117" s="139"/>
      <c r="F117" s="431"/>
      <c r="G117" s="431"/>
      <c r="H117" s="431"/>
      <c r="I117" s="588"/>
      <c r="J117" s="431"/>
      <c r="K117" s="431"/>
      <c r="L117" s="431"/>
      <c r="M117" s="588">
        <f t="shared" ref="M117:X117" si="344">M118+M119-M120</f>
        <v>-8.0296695040772832</v>
      </c>
      <c r="N117" s="431">
        <f t="shared" si="344"/>
        <v>-9.6059648319748447</v>
      </c>
      <c r="O117" s="431">
        <f t="shared" si="344"/>
        <v>-7.140063206343271</v>
      </c>
      <c r="P117" s="431">
        <f t="shared" si="344"/>
        <v>-11.939844870689015</v>
      </c>
      <c r="Q117" s="588">
        <f t="shared" si="344"/>
        <v>-8.1939106478319346</v>
      </c>
      <c r="R117" s="431">
        <f t="shared" si="344"/>
        <v>0.68671772653243579</v>
      </c>
      <c r="S117" s="431">
        <f t="shared" si="344"/>
        <v>-2.096962120116892</v>
      </c>
      <c r="T117" s="431">
        <f t="shared" si="344"/>
        <v>-2.0146818290900441</v>
      </c>
      <c r="U117" s="588">
        <f t="shared" si="344"/>
        <v>-2.1854079470891605</v>
      </c>
      <c r="V117" s="431">
        <f t="shared" si="344"/>
        <v>-5.8440807196164997</v>
      </c>
      <c r="W117" s="431">
        <f t="shared" si="344"/>
        <v>-8.3927853613316685</v>
      </c>
      <c r="X117" s="431">
        <f t="shared" si="344"/>
        <v>-10.907156344115812</v>
      </c>
      <c r="Y117" s="588">
        <f t="shared" ref="Y117:AS117" si="345">Y118+Y119-Y120</f>
        <v>-9.6163050749951324</v>
      </c>
      <c r="Z117" s="431">
        <f t="shared" si="345"/>
        <v>-9.5186172397493891</v>
      </c>
      <c r="AA117" s="431">
        <f t="shared" si="345"/>
        <v>-7.2817479231633868</v>
      </c>
      <c r="AB117" s="431">
        <f t="shared" si="345"/>
        <v>-3.0163393218147192</v>
      </c>
      <c r="AC117" s="588">
        <f t="shared" si="345"/>
        <v>-3.0979826363270249</v>
      </c>
      <c r="AD117" s="431">
        <f t="shared" si="345"/>
        <v>-2.2280679363866653</v>
      </c>
      <c r="AE117" s="431">
        <f t="shared" si="345"/>
        <v>-0.17642912816064893</v>
      </c>
      <c r="AF117" s="431">
        <f t="shared" si="345"/>
        <v>-0.43267790320766153</v>
      </c>
      <c r="AG117" s="588">
        <f t="shared" si="345"/>
        <v>-2.4067124580359121</v>
      </c>
      <c r="AH117" s="431">
        <f t="shared" si="345"/>
        <v>9.9698225928559339</v>
      </c>
      <c r="AI117" s="431">
        <f t="shared" si="345"/>
        <v>4.0950229830697111</v>
      </c>
      <c r="AJ117" s="431">
        <f t="shared" si="345"/>
        <v>5.4664183827425035</v>
      </c>
      <c r="AK117" s="431">
        <f t="shared" si="345"/>
        <v>4.0833971798203663</v>
      </c>
      <c r="AL117" s="966">
        <f t="shared" si="345"/>
        <v>6.755368520044172</v>
      </c>
      <c r="AM117" s="431">
        <f t="shared" si="345"/>
        <v>8.8912904124339533</v>
      </c>
      <c r="AN117" s="431">
        <f t="shared" si="345"/>
        <v>5.297198357467451</v>
      </c>
      <c r="AO117" s="588">
        <f t="shared" si="345"/>
        <v>1.3711499364583233</v>
      </c>
      <c r="AP117" s="431">
        <f t="shared" si="345"/>
        <v>-4.2405227431557933</v>
      </c>
      <c r="AQ117" s="431">
        <f t="shared" si="345"/>
        <v>-2.240687804689685</v>
      </c>
      <c r="AR117" s="431">
        <f t="shared" si="345"/>
        <v>-2.8371067622587418</v>
      </c>
      <c r="AS117" s="431">
        <f t="shared" si="345"/>
        <v>1.299937417457059</v>
      </c>
      <c r="AT117" s="966">
        <f t="shared" ref="AT117:AZ117" si="346">AT118+AT119-AT120</f>
        <v>-2.6561206815610632</v>
      </c>
      <c r="AU117" s="431">
        <f t="shared" si="346"/>
        <v>-2.2844471028012379</v>
      </c>
      <c r="AV117" s="431">
        <f t="shared" si="346"/>
        <v>2.2865636206818181</v>
      </c>
      <c r="AW117" s="431">
        <f t="shared" si="346"/>
        <v>0.11723902214251325</v>
      </c>
      <c r="AX117" s="966">
        <f t="shared" si="346"/>
        <v>0.85602520350043676</v>
      </c>
      <c r="AY117" s="431">
        <f t="shared" si="346"/>
        <v>5.8942701523353591</v>
      </c>
      <c r="AZ117" s="431">
        <f t="shared" si="346"/>
        <v>1.943690856079769</v>
      </c>
      <c r="BA117" s="431">
        <f>BA118+BA119-BA120</f>
        <v>1.4066255621474255</v>
      </c>
      <c r="BB117" s="966">
        <f t="shared" ref="BB117:BH117" si="347">BB118+BB119-BB120</f>
        <v>3.6787985769697258</v>
      </c>
      <c r="BC117" s="431">
        <f t="shared" si="347"/>
        <v>8.4815163186901827</v>
      </c>
      <c r="BD117" s="431">
        <f t="shared" si="347"/>
        <v>12.553417086529251</v>
      </c>
      <c r="BE117" s="588">
        <f>BE118+BE119-BE120</f>
        <v>16.331114603061962</v>
      </c>
      <c r="BF117" s="431">
        <f>BF118+BF119-BF120</f>
        <v>14.824067885383741</v>
      </c>
      <c r="BG117" s="431">
        <f>BG118+BG119-BG120</f>
        <v>18.230565807898117</v>
      </c>
      <c r="BH117" s="431">
        <f t="shared" si="347"/>
        <v>22.552082039393667</v>
      </c>
      <c r="BI117" s="588">
        <f t="shared" ref="BI117:BQ117" si="348">BI118+BI119-BI120</f>
        <v>23.481996680293832</v>
      </c>
      <c r="BJ117" s="431">
        <f t="shared" si="348"/>
        <v>19.359023733422134</v>
      </c>
      <c r="BK117" s="431">
        <f t="shared" si="348"/>
        <v>17.337714315088448</v>
      </c>
      <c r="BL117" s="431">
        <f t="shared" si="348"/>
        <v>18.060177154756545</v>
      </c>
      <c r="BM117" s="588">
        <f t="shared" si="348"/>
        <v>23.07852633461863</v>
      </c>
      <c r="BN117" s="431">
        <f t="shared" si="348"/>
        <v>23.438989097741711</v>
      </c>
      <c r="BO117" s="431">
        <f t="shared" si="348"/>
        <v>22.49126913614225</v>
      </c>
      <c r="BP117" s="431">
        <f t="shared" si="348"/>
        <v>25.260492561937255</v>
      </c>
      <c r="BQ117" s="588">
        <f t="shared" si="348"/>
        <v>41.253071386489253</v>
      </c>
      <c r="BR117" s="431">
        <f t="shared" ref="BR117:BY117" si="349">BR118+BR119-BR120</f>
        <v>38.684226200948771</v>
      </c>
      <c r="BS117" s="620">
        <f t="shared" si="349"/>
        <v>34.68763042704272</v>
      </c>
      <c r="BT117" s="620">
        <f>BT118+BT119-BT120</f>
        <v>34.475575299764117</v>
      </c>
      <c r="BU117" s="838">
        <f>BU118+BU119-BU120</f>
        <v>36.721657503005929</v>
      </c>
      <c r="BV117" s="431">
        <f>BV118+BV119-BV120</f>
        <v>37.615636974442737</v>
      </c>
      <c r="BW117" s="431">
        <f>BW118+BW119-BW120</f>
        <v>38.719641209220725</v>
      </c>
      <c r="BX117" s="431">
        <f t="shared" si="349"/>
        <v>37</v>
      </c>
      <c r="BY117" s="588">
        <f t="shared" si="349"/>
        <v>34</v>
      </c>
      <c r="BZ117" s="966">
        <f>BZ118+BZ119-BZ120</f>
        <v>37</v>
      </c>
      <c r="CA117" s="431">
        <f>CA118+CA119-CA120</f>
        <v>36</v>
      </c>
      <c r="CB117" s="431">
        <f>CB118+CB119-CB120</f>
        <v>37</v>
      </c>
      <c r="CC117" s="588">
        <f>CC118+CC119-CC120</f>
        <v>42.410000000000011</v>
      </c>
      <c r="CD117" s="415"/>
      <c r="CE117" s="431"/>
      <c r="CF117" s="431">
        <f t="shared" ref="CF117:CL117" si="350">CF118+CF119-CF120</f>
        <v>-7.6956632894911792</v>
      </c>
      <c r="CG117" s="431">
        <f t="shared" si="350"/>
        <v>-8.4087652153734567</v>
      </c>
      <c r="CH117" s="431">
        <f t="shared" si="350"/>
        <v>-2.9204256969940161</v>
      </c>
      <c r="CI117" s="431">
        <f t="shared" si="350"/>
        <v>-9.4356331385739196</v>
      </c>
      <c r="CJ117" s="431">
        <f t="shared" si="350"/>
        <v>-3.6950728507857988</v>
      </c>
      <c r="CK117" s="431">
        <f t="shared" si="350"/>
        <v>-3.248953706199714</v>
      </c>
      <c r="CL117" s="431">
        <f t="shared" si="350"/>
        <v>3.904674245528895</v>
      </c>
      <c r="CM117" s="431">
        <f t="shared" ref="CM117:CT117" si="351">CM118+CM119-CM120</f>
        <v>2.0817510336113827</v>
      </c>
      <c r="CN117" s="431">
        <f t="shared" si="351"/>
        <v>0.11249760558602873</v>
      </c>
      <c r="CO117" s="431">
        <f t="shared" si="351"/>
        <v>0.52062280838870834</v>
      </c>
      <c r="CP117" s="431">
        <f t="shared" si="351"/>
        <v>3.5855187303554459</v>
      </c>
      <c r="CQ117" s="431">
        <f t="shared" si="351"/>
        <v>15.624204116943361</v>
      </c>
      <c r="CR117" s="966">
        <f t="shared" si="351"/>
        <v>22.344349028531781</v>
      </c>
      <c r="CS117" s="431">
        <f t="shared" si="351"/>
        <v>19.944522646750983</v>
      </c>
      <c r="CT117" s="431">
        <f t="shared" si="351"/>
        <v>44.061087671603659</v>
      </c>
      <c r="CU117" s="431">
        <f t="shared" ref="CU117:DA117" si="352">CU118+CU119-CU120</f>
        <v>37.064543846848139</v>
      </c>
      <c r="CV117" s="431">
        <f t="shared" si="352"/>
        <v>32.601781188380599</v>
      </c>
      <c r="CW117" s="431">
        <f>CW118+CW119-CW120</f>
        <v>38.807884220346274</v>
      </c>
      <c r="CX117" s="431">
        <f t="shared" si="352"/>
        <v>43</v>
      </c>
      <c r="CY117" s="431">
        <f t="shared" si="352"/>
        <v>43</v>
      </c>
      <c r="CZ117" s="431">
        <f t="shared" si="352"/>
        <v>43</v>
      </c>
      <c r="DA117" s="431">
        <f t="shared" si="352"/>
        <v>43</v>
      </c>
      <c r="DB117" s="431">
        <f>DB118+DB119-DB120</f>
        <v>43</v>
      </c>
      <c r="DC117" s="431">
        <f>DC118+DC119-DC120</f>
        <v>43</v>
      </c>
      <c r="DD117" s="62"/>
      <c r="DE117" s="24"/>
      <c r="DF117" s="24"/>
      <c r="DG117" s="19"/>
      <c r="DH117" s="19"/>
      <c r="DI117" s="19"/>
      <c r="DJ117" s="19"/>
      <c r="DK117" s="24"/>
      <c r="DL117" s="24"/>
      <c r="DM117" s="24"/>
      <c r="DN117" s="24"/>
      <c r="DO117" s="24"/>
      <c r="DP117" s="24"/>
      <c r="DQ117" s="24"/>
      <c r="DR117" s="24"/>
    </row>
    <row r="118" spans="1:122" hidden="1" outlineLevel="1">
      <c r="A118" s="3"/>
      <c r="B118" s="76"/>
      <c r="C118" s="3" t="s">
        <v>49</v>
      </c>
      <c r="D118" s="3"/>
      <c r="E118" s="97"/>
      <c r="F118" s="524"/>
      <c r="G118" s="524"/>
      <c r="H118" s="524"/>
      <c r="I118" s="525"/>
      <c r="J118" s="524"/>
      <c r="K118" s="524"/>
      <c r="L118" s="524"/>
      <c r="M118" s="525">
        <f>(M15/IS!M11)*BS!M9</f>
        <v>37.23615056818182</v>
      </c>
      <c r="N118" s="524">
        <f>(N15/IS!N11)*BS!N9</f>
        <v>35.980436004453033</v>
      </c>
      <c r="O118" s="524">
        <f>(O15/IS!O11)*BS!O9</f>
        <v>29.905284649403836</v>
      </c>
      <c r="P118" s="524">
        <f>(P15/IS!P11)*BS!P9</f>
        <v>25.512769723902807</v>
      </c>
      <c r="Q118" s="525">
        <f>(Q15/IS!Q11)*BS!Q9</f>
        <v>32.985508436385906</v>
      </c>
      <c r="R118" s="524">
        <f>(R15/IS!R11)*BS!R9</f>
        <v>41.419727435270303</v>
      </c>
      <c r="S118" s="524">
        <f>(S15/IS!S11)*BS!S9</f>
        <v>39.38385036496949</v>
      </c>
      <c r="T118" s="524">
        <f>(T15/IS!T11)*BS!T9</f>
        <v>38.285813141371399</v>
      </c>
      <c r="U118" s="525">
        <f>(U15/IS!U11)*BS!U9</f>
        <v>38.468820143763644</v>
      </c>
      <c r="V118" s="524">
        <f>(V15/IS!V11)*BS!V9</f>
        <v>44.274818659311563</v>
      </c>
      <c r="W118" s="524">
        <f>(W15/IS!W11)*BS!W9</f>
        <v>37.203337417343619</v>
      </c>
      <c r="X118" s="524">
        <f>(X15/IS!X11)*BS!X9</f>
        <v>39.86452648228876</v>
      </c>
      <c r="Y118" s="525">
        <f>(Y15/IS!Y11)*BS!Y9</f>
        <v>39.417374013236397</v>
      </c>
      <c r="Z118" s="524">
        <f>(Z15/IS!Z11)*BS!Z9</f>
        <v>41.920776699644541</v>
      </c>
      <c r="AA118" s="524">
        <f>(AA15/IS!AA11)*BS!AA9</f>
        <v>34.890731824811418</v>
      </c>
      <c r="AB118" s="524">
        <f>(AB15/IS!AB11)*BS!AB9</f>
        <v>39.383045901590705</v>
      </c>
      <c r="AC118" s="525">
        <f>(AC15/IS!AC11)*BS!AC9</f>
        <v>40.808068140990947</v>
      </c>
      <c r="AD118" s="524">
        <f>(AD15/IS!AD11)*BS!AD9</f>
        <v>43.718394778718498</v>
      </c>
      <c r="AE118" s="524">
        <f>(AE15/IS!AE11)*BS!AE9</f>
        <v>42.569521425974045</v>
      </c>
      <c r="AF118" s="524">
        <f>(AF15/IS!AF11)*BS!AF9</f>
        <v>46.651497180967418</v>
      </c>
      <c r="AG118" s="525">
        <f>(AG15/IS!AG11)*BS!AG9</f>
        <v>46.918588746783357</v>
      </c>
      <c r="AH118" s="524">
        <f>(AH15/IS!AH11)*BS!AH9</f>
        <v>50.198512821546167</v>
      </c>
      <c r="AI118" s="524">
        <f>(AI15/IS!AI11)*BS!AI9</f>
        <v>44.837275171382927</v>
      </c>
      <c r="AJ118" s="524">
        <f>(AJ15/IS!AJ11)*BS!AJ9</f>
        <v>44.671151560261137</v>
      </c>
      <c r="AK118" s="524">
        <f>(AK15/IS!AK11)*BS!AK9</f>
        <v>46.621662485942821</v>
      </c>
      <c r="AL118" s="1151">
        <f>(AL15/IS!AL11)*BS!AL9</f>
        <v>46.173766146156929</v>
      </c>
      <c r="AM118" s="524">
        <f>(AM15/IS!AM11)*BS!AM9</f>
        <v>46.229189955812956</v>
      </c>
      <c r="AN118" s="524">
        <f>(AN15/IS!AN11)*BS!AN9</f>
        <v>47.621320836929748</v>
      </c>
      <c r="AO118" s="525">
        <f>(AO15/IS!AO11)*BS!AO9</f>
        <v>44.182446470476293</v>
      </c>
      <c r="AP118" s="1151">
        <f>(AP15/IS!AP11)*BS!AP9</f>
        <v>46.100543478260867</v>
      </c>
      <c r="AQ118" s="524">
        <f>(AQ15/IS!AQ11)*BS!AQ9</f>
        <v>47.428407789232537</v>
      </c>
      <c r="AR118" s="524">
        <f>(AR15/IS!AR11)*BS!AR9</f>
        <v>43.787959106399093</v>
      </c>
      <c r="AS118" s="524">
        <f>(AS15/IS!AS11)*BS!AS9</f>
        <v>48.510495382031905</v>
      </c>
      <c r="AT118" s="1151">
        <f>(AT15/IS!AT11)*BS!AT9</f>
        <v>48.733142623620758</v>
      </c>
      <c r="AU118" s="524">
        <f>(AU15/IS!AU11)*BS!AU9</f>
        <v>45.959595959595966</v>
      </c>
      <c r="AV118" s="524">
        <f>(AV15/IS!AV11)*BS!AV9</f>
        <v>47.838365896980463</v>
      </c>
      <c r="AW118" s="524">
        <f>(AW15/IS!AW11)*BS!AW9</f>
        <v>46.172284644194754</v>
      </c>
      <c r="AX118" s="1151">
        <f>(AX15/IS!AX11)*BS!AX9</f>
        <v>45.300668151447667</v>
      </c>
      <c r="AY118" s="524">
        <f>(AY15/IS!AY11)*BS!AY9</f>
        <v>34.073684210526316</v>
      </c>
      <c r="AZ118" s="524">
        <f>(AZ15/IS!AZ11)*BS!AZ9</f>
        <v>72.054036243822068</v>
      </c>
      <c r="BA118" s="524">
        <f>(BA15/IS!BA11)*BS!BA9</f>
        <v>45.748422381152714</v>
      </c>
      <c r="BB118" s="1151">
        <f>(BB15/IS!BB11)*BS!BB9</f>
        <v>43.516728624535318</v>
      </c>
      <c r="BC118" s="524">
        <f>(BC15/IS!BC11)*BS!BC9</f>
        <v>41.21652719665272</v>
      </c>
      <c r="BD118" s="524">
        <f>(BD15/IS!BD11)*BS!BD9</f>
        <v>41.551540913921365</v>
      </c>
      <c r="BE118" s="525">
        <f>(BE15/IS!BE11)*BS!BE9</f>
        <v>44.247854077253223</v>
      </c>
      <c r="BF118" s="524">
        <f>(BF15/IS!BF11)*BS!BF9</f>
        <v>42.373817034700316</v>
      </c>
      <c r="BG118" s="524">
        <f>(BG15/IS!BG11)*BS!BG9</f>
        <v>44.881419939577036</v>
      </c>
      <c r="BH118" s="524">
        <f>(BH15/IS!BH11)*BS!BH9</f>
        <v>44.770186335403729</v>
      </c>
      <c r="BI118" s="525">
        <f>(BI15/IS!BI11)*BS!BI9</f>
        <v>50.119967132292523</v>
      </c>
      <c r="BJ118" s="524">
        <f>(BJ15/IS!BJ11)*BS!BJ9</f>
        <v>43.710372812579259</v>
      </c>
      <c r="BK118" s="524">
        <f>(BK15/IS!BK11)*BS!BK9</f>
        <v>44.002057613168724</v>
      </c>
      <c r="BL118" s="524">
        <f>(BL15/IS!BL11)*BS!BL9</f>
        <v>43.952676056338028</v>
      </c>
      <c r="BM118" s="525">
        <f>(BM15/IS!BM11)*BS!BM9</f>
        <v>44.169225947978688</v>
      </c>
      <c r="BN118" s="524">
        <f>(BN15/IS!BN11)*BS!BN9</f>
        <v>44.247619047619047</v>
      </c>
      <c r="BO118" s="524">
        <f>(BO15/IS!BO11)*BS!BO9</f>
        <v>45.764244799517634</v>
      </c>
      <c r="BP118" s="524">
        <f>(BP15/IS!BP11)*BS!BP9</f>
        <v>40.881644223954638</v>
      </c>
      <c r="BQ118" s="525">
        <f>(BQ15/IS!BQ11)*BS!BQ9</f>
        <v>38.458369098712446</v>
      </c>
      <c r="BR118" s="524">
        <f>(BR15/IS!BR11)*BS!BR9</f>
        <v>39.481544336020363</v>
      </c>
      <c r="BS118" s="374">
        <f>(BS15/IS!BS11)*BS!BS9</f>
        <v>37.718494271685756</v>
      </c>
      <c r="BT118" s="374">
        <f>(BT15/IS!BT11)*BS!BT9</f>
        <v>38.549365454936549</v>
      </c>
      <c r="BU118" s="496">
        <f>(BU15/IS!BU11)*BS!BU9</f>
        <v>37.012804626187531</v>
      </c>
      <c r="BV118" s="524">
        <f>(BV15/IS!BV11)*BS!BV9</f>
        <v>37.307855626326969</v>
      </c>
      <c r="BW118" s="524">
        <f>(BW15/IS!BW11)*BS!BW9</f>
        <v>35.379310344827587</v>
      </c>
      <c r="BX118" s="772">
        <v>38</v>
      </c>
      <c r="BY118" s="773">
        <v>36</v>
      </c>
      <c r="BZ118" s="947">
        <v>38</v>
      </c>
      <c r="CA118" s="772">
        <v>37</v>
      </c>
      <c r="CB118" s="772">
        <v>38</v>
      </c>
      <c r="CC118" s="773">
        <v>41.36</v>
      </c>
      <c r="CD118" s="415"/>
      <c r="CE118" s="524"/>
      <c r="CF118" s="524">
        <f>(CF15/IS!CF11)*BS!CF9</f>
        <v>37.130658645561667</v>
      </c>
      <c r="CG118" s="524">
        <f>(CG15/IS!CG11)*BS!CG9</f>
        <v>32.747304200008109</v>
      </c>
      <c r="CH118" s="524">
        <f>(CH15/IS!CH11)*BS!CH9</f>
        <v>37.612373521990158</v>
      </c>
      <c r="CI118" s="524">
        <f>(CI15/IS!CI11)*BS!CI9</f>
        <v>40.525132454049015</v>
      </c>
      <c r="CJ118" s="524">
        <f>(CJ15/IS!CJ11)*BS!CJ9</f>
        <v>40.483034598014335</v>
      </c>
      <c r="CK118" s="524">
        <f>(CK15/IS!CK11)*BS!CK9</f>
        <v>46.520142376094</v>
      </c>
      <c r="CL118" s="524">
        <f>(CL15/IS!CL11)*BS!CL9</f>
        <v>45.78295498704356</v>
      </c>
      <c r="CM118" s="524">
        <f>(CM15/IS!CM11)*BS!CM9</f>
        <v>45.356485293627735</v>
      </c>
      <c r="CN118" s="524">
        <f>(CN15/IS!CN11)*BS!CN9</f>
        <v>46.542131979695426</v>
      </c>
      <c r="CO118" s="524">
        <f>(CO15/IS!CO11)*BS!CO9</f>
        <v>45.963245275138348</v>
      </c>
      <c r="CP118" s="524">
        <f>(CP15/IS!CP11)*BS!CP9</f>
        <v>69.339958326654909</v>
      </c>
      <c r="CQ118" s="524">
        <f>(CQ15/IS!CQ11)*BS!CQ9</f>
        <v>42.632076086248453</v>
      </c>
      <c r="CR118" s="1151">
        <f>(CR15/IS!CR11)*BS!CR9</f>
        <v>47.983146067415731</v>
      </c>
      <c r="CS118" s="524">
        <f>(CS15/IS!CS11)*BS!CS9</f>
        <v>38.373593192423826</v>
      </c>
      <c r="CT118" s="524">
        <f>(CT15/IS!CT11)*BS!CT9</f>
        <v>41.151762351854707</v>
      </c>
      <c r="CU118" s="524">
        <f>(CU15/IS!CU11)*BS!CU9</f>
        <v>37.341853035143771</v>
      </c>
      <c r="CV118" s="524">
        <f>(CV15/IS!CV11)*BS!CV9</f>
        <v>34.600253630622298</v>
      </c>
      <c r="CW118" s="524">
        <f>(CW15/IS!CW11)*BS!CW9</f>
        <v>37.823582275378477</v>
      </c>
      <c r="CX118" s="772">
        <v>41</v>
      </c>
      <c r="CY118" s="772">
        <v>41</v>
      </c>
      <c r="CZ118" s="772">
        <v>41</v>
      </c>
      <c r="DA118" s="772">
        <v>41</v>
      </c>
      <c r="DB118" s="772">
        <v>41</v>
      </c>
      <c r="DC118" s="772">
        <v>41</v>
      </c>
      <c r="DD118" s="62"/>
      <c r="DE118" s="24"/>
      <c r="DF118" s="24"/>
      <c r="DG118" s="159"/>
      <c r="DH118" s="159"/>
      <c r="DI118" s="159"/>
      <c r="DJ118" s="159"/>
      <c r="DK118" s="24"/>
      <c r="DL118" s="24"/>
      <c r="DM118" s="24"/>
      <c r="DN118" s="24"/>
      <c r="DO118" s="24"/>
      <c r="DP118" s="24"/>
      <c r="DQ118" s="24"/>
      <c r="DR118" s="24"/>
    </row>
    <row r="119" spans="1:122" hidden="1" outlineLevel="1">
      <c r="A119" s="3"/>
      <c r="B119" s="76"/>
      <c r="C119" s="3" t="s">
        <v>23</v>
      </c>
      <c r="D119" s="3"/>
      <c r="E119" s="97"/>
      <c r="F119" s="524"/>
      <c r="G119" s="524"/>
      <c r="H119" s="524"/>
      <c r="I119" s="525"/>
      <c r="J119" s="524"/>
      <c r="K119" s="524"/>
      <c r="L119" s="524"/>
      <c r="M119" s="525">
        <f t="shared" ref="M119:AR119" si="353">M9/M146*4</f>
        <v>14.46969274880318</v>
      </c>
      <c r="N119" s="524">
        <f t="shared" si="353"/>
        <v>16.494754299311388</v>
      </c>
      <c r="O119" s="524">
        <f t="shared" si="353"/>
        <v>15.901765583266851</v>
      </c>
      <c r="P119" s="524">
        <f t="shared" si="353"/>
        <v>17.438617105644042</v>
      </c>
      <c r="Q119" s="525">
        <f t="shared" si="353"/>
        <v>15.824546901518682</v>
      </c>
      <c r="R119" s="524">
        <f t="shared" si="353"/>
        <v>17.898058252427184</v>
      </c>
      <c r="S119" s="524">
        <f t="shared" si="353"/>
        <v>20.458089854942887</v>
      </c>
      <c r="T119" s="524">
        <f t="shared" si="353"/>
        <v>22.140028740220345</v>
      </c>
      <c r="U119" s="525">
        <f t="shared" si="353"/>
        <v>21.101006965772712</v>
      </c>
      <c r="V119" s="524">
        <f t="shared" si="353"/>
        <v>18.482384820800718</v>
      </c>
      <c r="W119" s="524">
        <f t="shared" si="353"/>
        <v>13.378029079159933</v>
      </c>
      <c r="X119" s="524">
        <f t="shared" si="353"/>
        <v>16.557311727985123</v>
      </c>
      <c r="Y119" s="525">
        <f t="shared" si="353"/>
        <v>18.013574081188374</v>
      </c>
      <c r="Z119" s="524">
        <f t="shared" si="353"/>
        <v>18.7012987012987</v>
      </c>
      <c r="AA119" s="524">
        <f t="shared" si="353"/>
        <v>17.23143564356436</v>
      </c>
      <c r="AB119" s="524">
        <f t="shared" si="353"/>
        <v>17.93742452519486</v>
      </c>
      <c r="AC119" s="525">
        <f t="shared" si="353"/>
        <v>21.104127055139244</v>
      </c>
      <c r="AD119" s="524">
        <f t="shared" si="353"/>
        <v>18.585086042065008</v>
      </c>
      <c r="AE119" s="524">
        <f t="shared" si="353"/>
        <v>20.558397271952259</v>
      </c>
      <c r="AF119" s="524">
        <f t="shared" si="353"/>
        <v>18.818181818181817</v>
      </c>
      <c r="AG119" s="525">
        <f t="shared" si="353"/>
        <v>20.506024096385541</v>
      </c>
      <c r="AH119" s="524">
        <f t="shared" si="353"/>
        <v>28.752598752598754</v>
      </c>
      <c r="AI119" s="524">
        <f t="shared" si="353"/>
        <v>24.703690560681334</v>
      </c>
      <c r="AJ119" s="524">
        <f t="shared" si="353"/>
        <v>25.889918136097208</v>
      </c>
      <c r="AK119" s="524">
        <f t="shared" si="353"/>
        <v>26.755102040816325</v>
      </c>
      <c r="AL119" s="1151">
        <f t="shared" si="353"/>
        <v>25.47774480712166</v>
      </c>
      <c r="AM119" s="524">
        <f t="shared" si="353"/>
        <v>26.474885844748862</v>
      </c>
      <c r="AN119" s="524">
        <f t="shared" si="353"/>
        <v>26.452576549663927</v>
      </c>
      <c r="AO119" s="524">
        <f t="shared" si="353"/>
        <v>22.202824133504496</v>
      </c>
      <c r="AP119" s="1151">
        <f t="shared" si="353"/>
        <v>20.997593619281499</v>
      </c>
      <c r="AQ119" s="524">
        <f t="shared" si="353"/>
        <v>21.347343741979852</v>
      </c>
      <c r="AR119" s="524">
        <f t="shared" si="353"/>
        <v>23.615293102307213</v>
      </c>
      <c r="AS119" s="524">
        <f t="shared" ref="AS119:BQ119" si="354">AS9/AS146*4</f>
        <v>27.917542196580694</v>
      </c>
      <c r="AT119" s="1151">
        <f t="shared" si="354"/>
        <v>25.244638103508763</v>
      </c>
      <c r="AU119" s="524">
        <f t="shared" si="354"/>
        <v>25.851524961737372</v>
      </c>
      <c r="AV119" s="524">
        <f t="shared" si="354"/>
        <v>28.669665029161646</v>
      </c>
      <c r="AW119" s="524">
        <f t="shared" si="354"/>
        <v>27.452232772648905</v>
      </c>
      <c r="AX119" s="1151">
        <f t="shared" si="354"/>
        <v>26.967821920438343</v>
      </c>
      <c r="AY119" s="524">
        <f t="shared" si="354"/>
        <v>31.490664151359677</v>
      </c>
      <c r="AZ119" s="524">
        <f t="shared" si="354"/>
        <v>60.242267283569483</v>
      </c>
      <c r="BA119" s="524">
        <f t="shared" si="354"/>
        <v>34.32730271976736</v>
      </c>
      <c r="BB119" s="1151">
        <f t="shared" si="354"/>
        <v>41.860322950866653</v>
      </c>
      <c r="BC119" s="524">
        <f t="shared" si="354"/>
        <v>40.176302851240465</v>
      </c>
      <c r="BD119" s="524">
        <f t="shared" si="354"/>
        <v>41.322326454033771</v>
      </c>
      <c r="BE119" s="525">
        <f t="shared" si="354"/>
        <v>41.352975679974101</v>
      </c>
      <c r="BF119" s="524">
        <f t="shared" si="354"/>
        <v>41.948455253059748</v>
      </c>
      <c r="BG119" s="524">
        <f t="shared" si="354"/>
        <v>42.385675759238417</v>
      </c>
      <c r="BH119" s="524">
        <f t="shared" si="354"/>
        <v>45.396030697607785</v>
      </c>
      <c r="BI119" s="525">
        <f t="shared" si="354"/>
        <v>43.836445334430032</v>
      </c>
      <c r="BJ119" s="524">
        <f t="shared" si="354"/>
        <v>41.632951651462179</v>
      </c>
      <c r="BK119" s="524">
        <f t="shared" si="354"/>
        <v>43.325333470391513</v>
      </c>
      <c r="BL119" s="524">
        <f t="shared" si="354"/>
        <v>49.039947776347738</v>
      </c>
      <c r="BM119" s="525">
        <f t="shared" si="354"/>
        <v>56.241865635626816</v>
      </c>
      <c r="BN119" s="524">
        <f t="shared" si="354"/>
        <v>48.64355053218079</v>
      </c>
      <c r="BO119" s="524">
        <f t="shared" si="354"/>
        <v>48.019906452097842</v>
      </c>
      <c r="BP119" s="524">
        <f t="shared" si="354"/>
        <v>55.718468282835275</v>
      </c>
      <c r="BQ119" s="525">
        <f t="shared" si="354"/>
        <v>81.505769461326238</v>
      </c>
      <c r="BR119" s="524">
        <f t="shared" ref="BR119:BW119" si="355">BR9/BR146*4</f>
        <v>62.279405439481501</v>
      </c>
      <c r="BS119" s="374">
        <f t="shared" si="355"/>
        <v>61.95442270667381</v>
      </c>
      <c r="BT119" s="374">
        <f t="shared" si="355"/>
        <v>73.458584078069407</v>
      </c>
      <c r="BU119" s="496">
        <f t="shared" si="355"/>
        <v>75.730601707570827</v>
      </c>
      <c r="BV119" s="524">
        <f t="shared" si="355"/>
        <v>70.851266336247775</v>
      </c>
      <c r="BW119" s="524">
        <f t="shared" si="355"/>
        <v>69.266315469824804</v>
      </c>
      <c r="BX119" s="772">
        <v>73</v>
      </c>
      <c r="BY119" s="773">
        <v>72</v>
      </c>
      <c r="BZ119" s="947">
        <v>74</v>
      </c>
      <c r="CA119" s="772">
        <v>74</v>
      </c>
      <c r="CB119" s="772">
        <v>73</v>
      </c>
      <c r="CC119" s="773">
        <v>68.150000000000006</v>
      </c>
      <c r="CD119" s="415"/>
      <c r="CE119" s="524"/>
      <c r="CF119" s="524">
        <f t="shared" ref="CF119:CT119" si="356">CF9/CF146</f>
        <v>14.329202573238174</v>
      </c>
      <c r="CG119" s="524">
        <f t="shared" si="356"/>
        <v>15.815574022885333</v>
      </c>
      <c r="CH119" s="524">
        <f t="shared" si="356"/>
        <v>21.037981012717594</v>
      </c>
      <c r="CI119" s="524">
        <f t="shared" si="356"/>
        <v>18.354159200173104</v>
      </c>
      <c r="CJ119" s="524">
        <f t="shared" si="356"/>
        <v>21.234895331026266</v>
      </c>
      <c r="CK119" s="524">
        <f t="shared" si="356"/>
        <v>20.690523090391771</v>
      </c>
      <c r="CL119" s="524">
        <f t="shared" si="356"/>
        <v>26.339994507766459</v>
      </c>
      <c r="CM119" s="524">
        <f t="shared" si="356"/>
        <v>22.443172526573996</v>
      </c>
      <c r="CN119" s="524">
        <f t="shared" si="356"/>
        <v>27.455749999473351</v>
      </c>
      <c r="CO119" s="524">
        <f t="shared" si="356"/>
        <v>27.087183019953041</v>
      </c>
      <c r="CP119" s="524">
        <f t="shared" si="356"/>
        <v>50.903948759771176</v>
      </c>
      <c r="CQ119" s="524">
        <f t="shared" si="356"/>
        <v>40.006673191439468</v>
      </c>
      <c r="CR119" s="1151">
        <f t="shared" si="356"/>
        <v>42.192168012982187</v>
      </c>
      <c r="CS119" s="524">
        <f t="shared" si="356"/>
        <v>49.144188121794244</v>
      </c>
      <c r="CT119" s="524">
        <f t="shared" si="356"/>
        <v>84.848679530759981</v>
      </c>
      <c r="CU119" s="524">
        <f>CU9/CU146</f>
        <v>72.131201088897384</v>
      </c>
      <c r="CV119" s="524">
        <f>CV9/CV146</f>
        <v>71.945007920701016</v>
      </c>
      <c r="CW119" s="524">
        <f>CW9/CW146</f>
        <v>63.885883380528576</v>
      </c>
      <c r="CX119" s="772">
        <v>66</v>
      </c>
      <c r="CY119" s="772">
        <v>67</v>
      </c>
      <c r="CZ119" s="772">
        <v>67</v>
      </c>
      <c r="DA119" s="772">
        <v>67</v>
      </c>
      <c r="DB119" s="772">
        <v>67</v>
      </c>
      <c r="DC119" s="772">
        <v>67</v>
      </c>
      <c r="DD119" s="62"/>
      <c r="DE119" s="24"/>
      <c r="DF119" s="24"/>
      <c r="DG119" s="159"/>
      <c r="DH119" s="159"/>
      <c r="DI119" s="159"/>
      <c r="DJ119" s="159"/>
      <c r="DK119" s="24"/>
      <c r="DL119" s="24"/>
      <c r="DM119" s="24"/>
      <c r="DN119" s="24"/>
      <c r="DO119" s="24"/>
      <c r="DP119" s="24"/>
      <c r="DQ119" s="24"/>
      <c r="DR119" s="24"/>
    </row>
    <row r="120" spans="1:122" hidden="1" outlineLevel="1">
      <c r="A120" s="3"/>
      <c r="B120" s="76"/>
      <c r="C120" s="3" t="s">
        <v>82</v>
      </c>
      <c r="D120" s="3"/>
      <c r="E120" s="97"/>
      <c r="F120" s="524"/>
      <c r="G120" s="524"/>
      <c r="H120" s="524"/>
      <c r="I120" s="525"/>
      <c r="J120" s="524"/>
      <c r="K120" s="524"/>
      <c r="L120" s="524"/>
      <c r="M120" s="525">
        <f>M9*M37/IS!M40</f>
        <v>59.735512821062279</v>
      </c>
      <c r="N120" s="524">
        <f>N9*N37/IS!N40</f>
        <v>62.081155135739266</v>
      </c>
      <c r="O120" s="524">
        <f>O9*O37/IS!O40</f>
        <v>52.947113439013961</v>
      </c>
      <c r="P120" s="524">
        <f>P9*P37/IS!P40</f>
        <v>54.891231700235863</v>
      </c>
      <c r="Q120" s="525">
        <f>Q9*Q37/IS!Q40</f>
        <v>57.003965985736521</v>
      </c>
      <c r="R120" s="524">
        <f>R9*R37/IS!R40</f>
        <v>58.631067961165051</v>
      </c>
      <c r="S120" s="524">
        <f>S9*S37/IS!S40</f>
        <v>61.938902340029266</v>
      </c>
      <c r="T120" s="524">
        <f>T9*T37/IS!T40</f>
        <v>62.440523710681788</v>
      </c>
      <c r="U120" s="525">
        <f>U9*U37/IS!U40</f>
        <v>61.755235056625516</v>
      </c>
      <c r="V120" s="524">
        <f>V9*V37/IS!V40</f>
        <v>68.601284199728781</v>
      </c>
      <c r="W120" s="524">
        <f>W9*W37/IS!W40</f>
        <v>58.974151857835217</v>
      </c>
      <c r="X120" s="524">
        <f>X9*X37/IS!X40</f>
        <v>67.328994554389695</v>
      </c>
      <c r="Y120" s="525">
        <f>Y9*Y37/IS!Y40</f>
        <v>67.047253169419903</v>
      </c>
      <c r="Z120" s="524">
        <f>Z9*Z37/IS!Z40</f>
        <v>70.140692640692635</v>
      </c>
      <c r="AA120" s="524">
        <f>AA9*AA37/IS!AA40</f>
        <v>59.403915391539165</v>
      </c>
      <c r="AB120" s="524">
        <f>AB9*AB37/IS!AB40</f>
        <v>60.336809748600281</v>
      </c>
      <c r="AC120" s="525">
        <f>AC9*AC37/IS!AC40</f>
        <v>65.010177832457217</v>
      </c>
      <c r="AD120" s="524">
        <f>AD9*AD37/IS!AD40</f>
        <v>64.531548757170171</v>
      </c>
      <c r="AE120" s="524">
        <f>AE9*AE37/IS!AE40</f>
        <v>63.304347826086953</v>
      </c>
      <c r="AF120" s="524">
        <f>AF9*AF37/IS!AF40</f>
        <v>65.9023569023569</v>
      </c>
      <c r="AG120" s="525">
        <f>AG9*AG37/IS!AG40</f>
        <v>69.831325301204814</v>
      </c>
      <c r="AH120" s="524">
        <f>AH9*AH37/IS!AH40</f>
        <v>68.981288981288984</v>
      </c>
      <c r="AI120" s="524">
        <f>AI9*AI37/IS!AI40</f>
        <v>65.445942748994554</v>
      </c>
      <c r="AJ120" s="524">
        <f>AJ9*AJ37/IS!AJ40</f>
        <v>65.094651313615842</v>
      </c>
      <c r="AK120" s="524">
        <f>AK9*AK37/IS!AK40</f>
        <v>69.29336734693878</v>
      </c>
      <c r="AL120" s="1151">
        <f>AL9*AL37/IS!AL40</f>
        <v>64.896142433234417</v>
      </c>
      <c r="AM120" s="524">
        <f>AM9*AM37/IS!AM40</f>
        <v>63.812785388127857</v>
      </c>
      <c r="AN120" s="524">
        <f>AN9*AN37/IS!AN40</f>
        <v>68.77669902912622</v>
      </c>
      <c r="AO120" s="524">
        <f>AO9*AO37/IS!AO40</f>
        <v>65.014120667522462</v>
      </c>
      <c r="AP120" s="1151">
        <f>AP9*AP37/IS!AP40</f>
        <v>71.338659840698156</v>
      </c>
      <c r="AQ120" s="524">
        <f>AQ9*AQ37/IS!AQ40</f>
        <v>71.016439335902078</v>
      </c>
      <c r="AR120" s="524">
        <f>AR9*AR37/IS!AR40</f>
        <v>70.240358970965048</v>
      </c>
      <c r="AS120" s="524">
        <f>AS9*AS37/IS!AS40</f>
        <v>75.128100161155544</v>
      </c>
      <c r="AT120" s="1151">
        <f>AT9*AT37/IS!AT40</f>
        <v>76.633901408690591</v>
      </c>
      <c r="AU120" s="524">
        <f>AU9*AU37/IS!AU40</f>
        <v>74.095568024134579</v>
      </c>
      <c r="AV120" s="524">
        <f>AV9*AV37/IS!AV40</f>
        <v>74.221467305460294</v>
      </c>
      <c r="AW120" s="524">
        <f>AW9*AW37/IS!AW40</f>
        <v>73.507278394701146</v>
      </c>
      <c r="AX120" s="1151">
        <f>AX9*AX37/IS!AX40</f>
        <v>71.41246486838557</v>
      </c>
      <c r="AY120" s="524">
        <f>AY9*AY37/IS!AY40</f>
        <v>59.670078209550631</v>
      </c>
      <c r="AZ120" s="524">
        <f>AZ9*AZ37/IS!AZ40</f>
        <v>130.35261267131179</v>
      </c>
      <c r="BA120" s="524">
        <f>BA9*BA37/IS!BA40</f>
        <v>78.669099538772642</v>
      </c>
      <c r="BB120" s="1151">
        <f>BB9*BB37/IS!BB40</f>
        <v>81.698252998432238</v>
      </c>
      <c r="BC120" s="524">
        <f>BC9*BC37/IS!BC40</f>
        <v>72.911313729203002</v>
      </c>
      <c r="BD120" s="524">
        <f>BD9*BD37/IS!BD40</f>
        <v>70.320450281425892</v>
      </c>
      <c r="BE120" s="525">
        <f>BE9*BE37/IS!BE40</f>
        <v>69.269715154165368</v>
      </c>
      <c r="BF120" s="524">
        <f>BF9*BF37/IS!BF40</f>
        <v>69.498204402376317</v>
      </c>
      <c r="BG120" s="524">
        <f>BG9*BG37/IS!BG40</f>
        <v>69.036529890917336</v>
      </c>
      <c r="BH120" s="524">
        <f>BH9*BH37/IS!BH40</f>
        <v>67.614134993617853</v>
      </c>
      <c r="BI120" s="525">
        <f>BI9*BI37/IS!BI40</f>
        <v>70.474415786428722</v>
      </c>
      <c r="BJ120" s="524">
        <f>BJ9*BJ37/IS!BJ40</f>
        <v>65.98430073061931</v>
      </c>
      <c r="BK120" s="524">
        <f>BK9*BK37/IS!BK40</f>
        <v>69.989676768471782</v>
      </c>
      <c r="BL120" s="524">
        <f>BL9*BL37/IS!BL40</f>
        <v>74.932446677929221</v>
      </c>
      <c r="BM120" s="525">
        <f>BM9*BM37/IS!BM40</f>
        <v>77.332565248986867</v>
      </c>
      <c r="BN120" s="524">
        <f>BN9*BN37/IS!BN40</f>
        <v>69.452180482058125</v>
      </c>
      <c r="BO120" s="524">
        <f>BO9*BO37/IS!BO40</f>
        <v>71.292882115473219</v>
      </c>
      <c r="BP120" s="524">
        <f>BP9*BP37/IS!BP40</f>
        <v>71.339619944852657</v>
      </c>
      <c r="BQ120" s="525">
        <f>BQ9*BQ37/IS!BQ40</f>
        <v>78.711067173549438</v>
      </c>
      <c r="BR120" s="524">
        <f>BR9*BR37/IS!BR16</f>
        <v>63.0767235745531</v>
      </c>
      <c r="BS120" s="374">
        <f>BS9*BS37/IS!BS16</f>
        <v>64.985286551316847</v>
      </c>
      <c r="BT120" s="374">
        <f>BT9*BT37/IS!BT16</f>
        <v>77.532374233241839</v>
      </c>
      <c r="BU120" s="496">
        <f>BU9*BU37/IS!BU16</f>
        <v>76.021748830752429</v>
      </c>
      <c r="BV120" s="524">
        <f>BV9*BV37/IS!BV16</f>
        <v>70.543484988132008</v>
      </c>
      <c r="BW120" s="524">
        <f>BW9*BW37/IS!BW16</f>
        <v>65.925984605431665</v>
      </c>
      <c r="BX120" s="772">
        <v>74</v>
      </c>
      <c r="BY120" s="773">
        <v>74</v>
      </c>
      <c r="BZ120" s="947">
        <v>75</v>
      </c>
      <c r="CA120" s="772">
        <v>75</v>
      </c>
      <c r="CB120" s="772">
        <v>74</v>
      </c>
      <c r="CC120" s="773">
        <v>67.099999999999994</v>
      </c>
      <c r="CD120" s="415"/>
      <c r="CE120" s="524"/>
      <c r="CF120" s="524">
        <f>CF9*CF37/IS!CF40</f>
        <v>59.155524508291023</v>
      </c>
      <c r="CG120" s="524">
        <f>CG9*CG37/IS!CG40</f>
        <v>56.971643438266902</v>
      </c>
      <c r="CH120" s="524">
        <f>CH9*CH37/IS!CH40</f>
        <v>61.570780231701768</v>
      </c>
      <c r="CI120" s="524">
        <f>CI9*CI37/IS!CI40</f>
        <v>68.314924792796035</v>
      </c>
      <c r="CJ120" s="524">
        <f>CJ9*CJ37/IS!CJ40</f>
        <v>65.4130027798264</v>
      </c>
      <c r="CK120" s="524">
        <f>CK9*CK37/IS!CK40</f>
        <v>70.459619172685493</v>
      </c>
      <c r="CL120" s="524">
        <f>CL9*CL37/IS!CL40</f>
        <v>68.21827524928112</v>
      </c>
      <c r="CM120" s="524">
        <f>CM9*CM37/IS!CM40</f>
        <v>65.717906786590348</v>
      </c>
      <c r="CN120" s="524">
        <f>CN9*CN37/IS!CN40</f>
        <v>73.885384373582752</v>
      </c>
      <c r="CO120" s="524">
        <f>CO9*CO37/IS!CO40</f>
        <v>72.529805486702685</v>
      </c>
      <c r="CP120" s="524">
        <f>CP9*CP37/IS!CP40</f>
        <v>116.65838835607063</v>
      </c>
      <c r="CQ120" s="524">
        <f>CQ9*CQ37/IS!CQ40</f>
        <v>67.014545160744561</v>
      </c>
      <c r="CR120" s="1151">
        <f>CR9*CR37/IS!CR40</f>
        <v>67.830965051866144</v>
      </c>
      <c r="CS120" s="524">
        <f>CS9*CS37/IS!CS40</f>
        <v>67.573258667467087</v>
      </c>
      <c r="CT120" s="524">
        <f>CT9*CT37/IS!CT16</f>
        <v>81.939354211011036</v>
      </c>
      <c r="CU120" s="524">
        <f>CU9*CU37/IS!CU16</f>
        <v>72.408510277193017</v>
      </c>
      <c r="CV120" s="524">
        <f>CV9*CV37/IS!CV16</f>
        <v>73.943480362942708</v>
      </c>
      <c r="CW120" s="524">
        <f>CW9*CW37/IS!CW16</f>
        <v>62.901581435560779</v>
      </c>
      <c r="CX120" s="772">
        <v>64</v>
      </c>
      <c r="CY120" s="772">
        <v>65</v>
      </c>
      <c r="CZ120" s="772">
        <v>65</v>
      </c>
      <c r="DA120" s="772">
        <v>65</v>
      </c>
      <c r="DB120" s="772">
        <v>65</v>
      </c>
      <c r="DC120" s="772">
        <v>65</v>
      </c>
      <c r="DD120" s="62"/>
      <c r="DE120" s="24"/>
      <c r="DF120" s="24"/>
      <c r="DG120" s="159"/>
      <c r="DH120" s="159"/>
      <c r="DI120" s="159"/>
      <c r="DJ120" s="159"/>
      <c r="DK120" s="24"/>
      <c r="DL120" s="24"/>
      <c r="DM120" s="24"/>
      <c r="DN120" s="24"/>
      <c r="DO120" s="24"/>
      <c r="DP120" s="24"/>
      <c r="DQ120" s="24"/>
      <c r="DR120" s="24"/>
    </row>
    <row r="121" spans="1:122" ht="4.5" hidden="1" customHeight="1" outlineLevel="1">
      <c r="A121" s="3"/>
      <c r="B121" s="76"/>
      <c r="C121" s="3"/>
      <c r="D121" s="3"/>
      <c r="E121" s="97"/>
      <c r="F121" s="96"/>
      <c r="G121" s="96"/>
      <c r="H121" s="96"/>
      <c r="I121" s="97"/>
      <c r="J121" s="96"/>
      <c r="K121" s="96"/>
      <c r="L121" s="96"/>
      <c r="M121" s="97"/>
      <c r="N121" s="96"/>
      <c r="O121" s="96"/>
      <c r="P121" s="96"/>
      <c r="Q121" s="97"/>
      <c r="R121" s="96"/>
      <c r="S121" s="96"/>
      <c r="T121" s="96"/>
      <c r="U121" s="97"/>
      <c r="V121" s="96"/>
      <c r="W121" s="96"/>
      <c r="X121" s="96"/>
      <c r="Y121" s="97"/>
      <c r="Z121" s="96"/>
      <c r="AA121" s="96"/>
      <c r="AB121" s="96"/>
      <c r="AC121" s="97"/>
      <c r="AD121" s="96"/>
      <c r="AE121" s="96"/>
      <c r="AF121" s="63"/>
      <c r="AG121" s="64"/>
      <c r="AH121" s="96"/>
      <c r="AI121" s="63"/>
      <c r="AJ121" s="63"/>
      <c r="AK121" s="63"/>
      <c r="AL121" s="329"/>
      <c r="AM121" s="63"/>
      <c r="AN121" s="63"/>
      <c r="AO121" s="64"/>
      <c r="AP121" s="63"/>
      <c r="AQ121" s="63"/>
      <c r="AR121" s="63"/>
      <c r="AS121" s="63"/>
      <c r="AT121" s="329"/>
      <c r="AU121" s="63"/>
      <c r="AV121" s="63"/>
      <c r="AW121" s="63"/>
      <c r="AX121" s="329"/>
      <c r="AY121" s="63"/>
      <c r="AZ121" s="63"/>
      <c r="BA121" s="63"/>
      <c r="BB121" s="329"/>
      <c r="BC121" s="63"/>
      <c r="BD121" s="63"/>
      <c r="BE121" s="64"/>
      <c r="BF121" s="329"/>
      <c r="BG121" s="63"/>
      <c r="BH121" s="63"/>
      <c r="BI121" s="64"/>
      <c r="BJ121" s="329"/>
      <c r="BK121" s="63"/>
      <c r="BL121" s="63"/>
      <c r="BM121" s="64"/>
      <c r="BN121" s="329"/>
      <c r="BQ121" s="64"/>
      <c r="BR121" s="329"/>
      <c r="BS121" s="24"/>
      <c r="BT121" s="24"/>
      <c r="BU121" s="25"/>
      <c r="BV121" s="329"/>
      <c r="BY121" s="64"/>
      <c r="BZ121" s="329"/>
      <c r="CC121" s="64"/>
      <c r="CD121" s="12"/>
      <c r="CE121" s="96"/>
      <c r="CF121" s="96"/>
      <c r="CG121" s="96"/>
      <c r="CH121" s="96"/>
      <c r="CI121" s="96"/>
      <c r="CJ121" s="96"/>
      <c r="CK121" s="96"/>
      <c r="CL121" s="96"/>
      <c r="CM121" s="96"/>
      <c r="CN121" s="96"/>
      <c r="CO121" s="96"/>
      <c r="CP121" s="96"/>
      <c r="CQ121" s="96"/>
      <c r="CR121" s="76"/>
      <c r="CS121" s="96"/>
      <c r="CT121" s="96"/>
      <c r="CU121" s="96"/>
      <c r="CV121" s="96"/>
      <c r="CW121" s="96"/>
      <c r="CX121" s="96"/>
      <c r="CY121" s="96"/>
      <c r="CZ121" s="96"/>
      <c r="DA121" s="96"/>
      <c r="DB121" s="96"/>
      <c r="DC121" s="96"/>
      <c r="DD121" s="62"/>
      <c r="DE121" s="24"/>
      <c r="DF121" s="24"/>
      <c r="DG121" s="24"/>
      <c r="DH121" s="24"/>
      <c r="DI121" s="24"/>
      <c r="DJ121" s="24"/>
      <c r="DK121" s="24"/>
      <c r="DL121" s="24"/>
      <c r="DM121" s="24"/>
      <c r="DN121" s="24"/>
      <c r="DO121" s="24"/>
      <c r="DP121" s="24"/>
      <c r="DQ121" s="24"/>
      <c r="DR121" s="24"/>
    </row>
    <row r="122" spans="1:122" hidden="1" outlineLevel="1">
      <c r="A122" s="3"/>
      <c r="B122" s="256" t="s">
        <v>654</v>
      </c>
      <c r="C122" s="3"/>
      <c r="D122" s="3"/>
      <c r="E122" s="139"/>
      <c r="F122" s="147"/>
      <c r="G122" s="147"/>
      <c r="H122" s="147"/>
      <c r="I122" s="139"/>
      <c r="J122" s="147"/>
      <c r="K122" s="147"/>
      <c r="L122" s="147"/>
      <c r="M122" s="139"/>
      <c r="N122" s="147"/>
      <c r="O122" s="147"/>
      <c r="P122" s="147"/>
      <c r="Q122" s="139"/>
      <c r="R122" s="147"/>
      <c r="S122" s="147"/>
      <c r="T122" s="147"/>
      <c r="U122" s="139"/>
      <c r="V122" s="96"/>
      <c r="W122" s="96"/>
      <c r="X122" s="96"/>
      <c r="Y122" s="114"/>
      <c r="Z122" s="80"/>
      <c r="AA122" s="80"/>
      <c r="AB122" s="80"/>
      <c r="AC122" s="114"/>
      <c r="AD122" s="80"/>
      <c r="AE122" s="80"/>
      <c r="AF122" s="78"/>
      <c r="AG122" s="79"/>
      <c r="AH122" s="80"/>
      <c r="AI122" s="78"/>
      <c r="AJ122" s="78"/>
      <c r="AK122" s="78"/>
      <c r="AL122" s="330"/>
      <c r="AM122" s="78"/>
      <c r="AN122" s="78"/>
      <c r="AO122" s="79"/>
      <c r="AP122" s="78"/>
      <c r="AQ122" s="78"/>
      <c r="AR122" s="78"/>
      <c r="AS122" s="78"/>
      <c r="AT122" s="330"/>
      <c r="AU122" s="78"/>
      <c r="AV122" s="78"/>
      <c r="AW122" s="78"/>
      <c r="AX122" s="330"/>
      <c r="AY122" s="78"/>
      <c r="AZ122" s="78"/>
      <c r="BA122" s="78"/>
      <c r="BB122" s="330"/>
      <c r="BC122" s="78"/>
      <c r="BD122" s="78"/>
      <c r="BE122" s="79"/>
      <c r="BF122" s="330"/>
      <c r="BG122" s="78"/>
      <c r="BH122" s="78"/>
      <c r="BI122" s="79"/>
      <c r="BJ122" s="330"/>
      <c r="BK122" s="78"/>
      <c r="BL122" s="78"/>
      <c r="BM122" s="79"/>
      <c r="BN122" s="330"/>
      <c r="BO122" s="78"/>
      <c r="BP122" s="78"/>
      <c r="BQ122" s="79"/>
      <c r="BR122" s="330"/>
      <c r="BS122" s="19"/>
      <c r="BT122" s="19"/>
      <c r="BU122" s="27"/>
      <c r="BV122" s="330"/>
      <c r="BW122" s="78"/>
      <c r="BX122" s="78"/>
      <c r="BY122" s="79"/>
      <c r="BZ122" s="330"/>
      <c r="CA122" s="78"/>
      <c r="CB122" s="78"/>
      <c r="CC122" s="79"/>
      <c r="CD122" s="12"/>
      <c r="CE122" s="80"/>
      <c r="CF122" s="80"/>
      <c r="CG122" s="80"/>
      <c r="CH122" s="80"/>
      <c r="CI122" s="80"/>
      <c r="CJ122" s="80"/>
      <c r="CK122" s="80"/>
      <c r="CL122" s="80"/>
      <c r="CM122" s="80"/>
      <c r="CN122" s="80"/>
      <c r="CO122" s="80"/>
      <c r="CP122" s="80"/>
      <c r="CQ122" s="80"/>
      <c r="CR122" s="1579"/>
      <c r="CS122" s="80"/>
      <c r="CT122" s="80"/>
      <c r="CU122" s="80"/>
      <c r="CV122" s="80"/>
      <c r="CW122" s="80"/>
      <c r="CX122" s="80"/>
      <c r="CY122" s="80"/>
      <c r="CZ122" s="80"/>
      <c r="DA122" s="80"/>
      <c r="DB122" s="80"/>
      <c r="DC122" s="80"/>
      <c r="DD122" s="62"/>
      <c r="DE122" s="24"/>
      <c r="DF122" s="24"/>
      <c r="DG122" s="19"/>
      <c r="DH122" s="19"/>
      <c r="DI122" s="19"/>
      <c r="DJ122" s="19"/>
      <c r="DK122" s="24"/>
      <c r="DL122" s="24"/>
      <c r="DM122" s="24"/>
      <c r="DN122" s="24"/>
      <c r="DO122" s="24"/>
      <c r="DP122" s="24"/>
      <c r="DQ122" s="24"/>
      <c r="DR122" s="24"/>
    </row>
    <row r="123" spans="1:122" hidden="1" outlineLevel="1">
      <c r="A123" s="3"/>
      <c r="B123" s="8"/>
      <c r="C123" s="96" t="s">
        <v>668</v>
      </c>
      <c r="D123" s="3"/>
      <c r="E123" s="9"/>
      <c r="F123" s="337"/>
      <c r="G123" s="337"/>
      <c r="H123" s="337"/>
      <c r="I123" s="338">
        <f t="shared" ref="I123:AN123" si="357">I17/I$16</f>
        <v>0.27747291046194789</v>
      </c>
      <c r="J123" s="337">
        <f t="shared" si="357"/>
        <v>0.12771308436922835</v>
      </c>
      <c r="K123" s="337">
        <f t="shared" si="357"/>
        <v>4.301075268817204E-2</v>
      </c>
      <c r="L123" s="337">
        <f t="shared" si="357"/>
        <v>0.13674309354268724</v>
      </c>
      <c r="M123" s="338">
        <f t="shared" si="357"/>
        <v>0.12792424552081205</v>
      </c>
      <c r="N123" s="337">
        <f t="shared" si="357"/>
        <v>7.9330732325716094E-2</v>
      </c>
      <c r="O123" s="337">
        <f t="shared" si="357"/>
        <v>0.13076603145795523</v>
      </c>
      <c r="P123" s="337">
        <f t="shared" si="357"/>
        <v>0.11672374687113127</v>
      </c>
      <c r="Q123" s="338">
        <f t="shared" si="357"/>
        <v>0.12065439672801637</v>
      </c>
      <c r="R123" s="337">
        <f t="shared" si="357"/>
        <v>8.5435313262815296E-2</v>
      </c>
      <c r="S123" s="337">
        <f t="shared" si="357"/>
        <v>0.11938382541720154</v>
      </c>
      <c r="T123" s="337">
        <f t="shared" si="357"/>
        <v>6.0362173038229376E-2</v>
      </c>
      <c r="U123" s="338">
        <f t="shared" si="357"/>
        <v>0.17765814266487215</v>
      </c>
      <c r="V123" s="337">
        <f t="shared" si="357"/>
        <v>7.623007623007623E-2</v>
      </c>
      <c r="W123" s="337">
        <f t="shared" si="357"/>
        <v>0.10143702451394759</v>
      </c>
      <c r="X123" s="337">
        <f t="shared" si="357"/>
        <v>0.11070110701107011</v>
      </c>
      <c r="Y123" s="338">
        <f t="shared" si="357"/>
        <v>9.4833224329627208E-2</v>
      </c>
      <c r="Z123" s="337">
        <f t="shared" si="357"/>
        <v>8.1018518518518517E-2</v>
      </c>
      <c r="AA123" s="337">
        <f t="shared" si="357"/>
        <v>0.10457516339869281</v>
      </c>
      <c r="AB123" s="337">
        <f t="shared" si="357"/>
        <v>8.7837837837837843E-2</v>
      </c>
      <c r="AC123" s="338">
        <f t="shared" si="357"/>
        <v>0.113603120429059</v>
      </c>
      <c r="AD123" s="337">
        <f t="shared" si="357"/>
        <v>0.15277777777777779</v>
      </c>
      <c r="AE123" s="337">
        <f t="shared" si="357"/>
        <v>6.4150943396226415E-2</v>
      </c>
      <c r="AF123" s="337">
        <f t="shared" si="357"/>
        <v>4.9382716049382713E-2</v>
      </c>
      <c r="AG123" s="338">
        <f t="shared" si="357"/>
        <v>4.633204633204633E-2</v>
      </c>
      <c r="AH123" s="337">
        <f t="shared" si="357"/>
        <v>0.35791757049891543</v>
      </c>
      <c r="AI123" s="337">
        <f t="shared" si="357"/>
        <v>0.37254901960784315</v>
      </c>
      <c r="AJ123" s="337">
        <f t="shared" si="357"/>
        <v>0.33626373626373629</v>
      </c>
      <c r="AK123" s="337">
        <f t="shared" si="357"/>
        <v>0.31578947368421051</v>
      </c>
      <c r="AL123" s="343">
        <f t="shared" si="357"/>
        <v>0.27044025157232704</v>
      </c>
      <c r="AM123" s="337">
        <f t="shared" si="357"/>
        <v>0.27802690582959644</v>
      </c>
      <c r="AN123" s="337">
        <f t="shared" si="357"/>
        <v>0.27012987012987011</v>
      </c>
      <c r="AO123" s="338">
        <f t="shared" ref="AO123:BQ123" si="358">AO17/AO$16</f>
        <v>0.25797872340425532</v>
      </c>
      <c r="AP123" s="343">
        <f t="shared" si="358"/>
        <v>0.24303797468354429</v>
      </c>
      <c r="AQ123" s="337">
        <f t="shared" si="358"/>
        <v>0.2251655629139073</v>
      </c>
      <c r="AR123" s="337">
        <f t="shared" si="358"/>
        <v>0.22682445759368836</v>
      </c>
      <c r="AS123" s="337">
        <f t="shared" si="358"/>
        <v>0.28392857142857142</v>
      </c>
      <c r="AT123" s="343">
        <f t="shared" si="358"/>
        <v>0.27629233511586454</v>
      </c>
      <c r="AU123" s="333">
        <f t="shared" si="358"/>
        <v>0.24823943661971831</v>
      </c>
      <c r="AV123" s="333">
        <f t="shared" si="358"/>
        <v>0.26306620209059234</v>
      </c>
      <c r="AW123" s="333">
        <f t="shared" si="358"/>
        <v>0.29809358752166376</v>
      </c>
      <c r="AX123" s="343">
        <f t="shared" si="358"/>
        <v>0.26356589147286824</v>
      </c>
      <c r="AY123" s="337">
        <f t="shared" si="358"/>
        <v>0.40987124463519314</v>
      </c>
      <c r="AZ123" s="337">
        <f t="shared" si="358"/>
        <v>0.25663026521060844</v>
      </c>
      <c r="BA123" s="337">
        <f t="shared" si="358"/>
        <v>0.2024793388429752</v>
      </c>
      <c r="BB123" s="343">
        <f t="shared" si="358"/>
        <v>0.18174846625766872</v>
      </c>
      <c r="BC123" s="337">
        <f t="shared" si="358"/>
        <v>0.16029900332225913</v>
      </c>
      <c r="BD123" s="337">
        <f t="shared" si="358"/>
        <v>0.15956558061821219</v>
      </c>
      <c r="BE123" s="338">
        <f t="shared" si="358"/>
        <v>0.14057239057239057</v>
      </c>
      <c r="BF123" s="343">
        <f t="shared" si="358"/>
        <v>0.16720257234726688</v>
      </c>
      <c r="BG123" s="337">
        <f t="shared" si="358"/>
        <v>0.1554524361948956</v>
      </c>
      <c r="BH123" s="337">
        <f t="shared" si="358"/>
        <v>0.15974941268598278</v>
      </c>
      <c r="BI123" s="338">
        <f t="shared" si="358"/>
        <v>0.13703099510603589</v>
      </c>
      <c r="BJ123" s="343">
        <f t="shared" si="358"/>
        <v>0.13993710691823899</v>
      </c>
      <c r="BK123" s="337">
        <f t="shared" si="358"/>
        <v>0.12012480499219969</v>
      </c>
      <c r="BL123" s="337">
        <f t="shared" si="358"/>
        <v>0.13086232980332829</v>
      </c>
      <c r="BM123" s="338">
        <f t="shared" si="358"/>
        <v>0.12280701754385964</v>
      </c>
      <c r="BN123" s="343">
        <f t="shared" si="358"/>
        <v>0.10714285714285714</v>
      </c>
      <c r="BO123" s="337">
        <f t="shared" si="358"/>
        <v>0.1050080775444265</v>
      </c>
      <c r="BP123" s="337">
        <f t="shared" si="358"/>
        <v>0.10839445802770986</v>
      </c>
      <c r="BQ123" s="337">
        <f t="shared" si="358"/>
        <v>0.26726162517613905</v>
      </c>
      <c r="BR123" s="343">
        <f t="shared" ref="BR123:BS125" si="359">BR17/BR$16</f>
        <v>0.28923660502607873</v>
      </c>
      <c r="BS123" s="333">
        <f t="shared" si="359"/>
        <v>0.28105515587529978</v>
      </c>
      <c r="BT123" s="333">
        <f t="shared" ref="BT123:BU125" si="360">BT17/BT$16</f>
        <v>0.25776397515527949</v>
      </c>
      <c r="BU123" s="2207">
        <f t="shared" si="360"/>
        <v>0.27595044852627082</v>
      </c>
      <c r="BV123" s="409">
        <f t="shared" ref="BV123:BY125" si="361">BU123</f>
        <v>0.27595044852627082</v>
      </c>
      <c r="BW123" s="408">
        <f t="shared" si="361"/>
        <v>0.27595044852627082</v>
      </c>
      <c r="BX123" s="408">
        <f t="shared" si="361"/>
        <v>0.27595044852627082</v>
      </c>
      <c r="BY123" s="410">
        <f t="shared" si="361"/>
        <v>0.27595044852627082</v>
      </c>
      <c r="BZ123" s="409">
        <f t="shared" ref="BZ123:CC125" si="362">BY123</f>
        <v>0.27595044852627082</v>
      </c>
      <c r="CA123" s="408">
        <f t="shared" si="362"/>
        <v>0.27595044852627082</v>
      </c>
      <c r="CB123" s="408">
        <f t="shared" si="362"/>
        <v>0.27595044852627082</v>
      </c>
      <c r="CC123" s="410">
        <f t="shared" si="362"/>
        <v>0.27595044852627082</v>
      </c>
      <c r="CD123" s="12"/>
      <c r="CE123" s="337"/>
      <c r="CF123" s="337">
        <f t="shared" ref="CF123:CV123" si="363">CF17/CF$16</f>
        <v>0.12792424552081205</v>
      </c>
      <c r="CG123" s="337">
        <f t="shared" si="363"/>
        <v>0.12065439672801637</v>
      </c>
      <c r="CH123" s="337">
        <f t="shared" si="363"/>
        <v>0.17765814266487215</v>
      </c>
      <c r="CI123" s="337">
        <f t="shared" si="363"/>
        <v>9.4833224329627208E-2</v>
      </c>
      <c r="CJ123" s="337">
        <f t="shared" si="363"/>
        <v>0.113603120429059</v>
      </c>
      <c r="CK123" s="337">
        <f t="shared" si="363"/>
        <v>4.633204633204633E-2</v>
      </c>
      <c r="CL123" s="337">
        <f t="shared" si="363"/>
        <v>0.31578947368421051</v>
      </c>
      <c r="CM123" s="337">
        <f t="shared" si="363"/>
        <v>0.25797872340425532</v>
      </c>
      <c r="CN123" s="337">
        <f t="shared" si="363"/>
        <v>0.28392857142857142</v>
      </c>
      <c r="CO123" s="337">
        <f t="shared" si="363"/>
        <v>0.29809358752166376</v>
      </c>
      <c r="CP123" s="337">
        <f t="shared" si="363"/>
        <v>0.2024793388429752</v>
      </c>
      <c r="CQ123" s="337">
        <f t="shared" si="363"/>
        <v>0.14057239057239057</v>
      </c>
      <c r="CR123" s="343">
        <f t="shared" si="363"/>
        <v>0.13703099510603589</v>
      </c>
      <c r="CS123" s="337">
        <f t="shared" si="363"/>
        <v>0.12280701754385964</v>
      </c>
      <c r="CT123" s="337">
        <f t="shared" si="363"/>
        <v>0.26726162517613905</v>
      </c>
      <c r="CU123" s="337">
        <f t="shared" si="363"/>
        <v>0.27595044852627082</v>
      </c>
      <c r="CV123" s="337">
        <f t="shared" si="363"/>
        <v>0.27595044852627082</v>
      </c>
      <c r="CW123" s="337">
        <f>CW17/CW$16</f>
        <v>0.27595044852627082</v>
      </c>
      <c r="CX123" s="342">
        <f t="shared" ref="CX123:DC125" si="364">CW123</f>
        <v>0.27595044852627082</v>
      </c>
      <c r="CY123" s="342">
        <f t="shared" si="364"/>
        <v>0.27595044852627082</v>
      </c>
      <c r="CZ123" s="342">
        <f t="shared" si="364"/>
        <v>0.27595044852627082</v>
      </c>
      <c r="DA123" s="342">
        <f t="shared" si="364"/>
        <v>0.27595044852627082</v>
      </c>
      <c r="DB123" s="342">
        <f t="shared" si="364"/>
        <v>0.27595044852627082</v>
      </c>
      <c r="DC123" s="342">
        <f t="shared" si="364"/>
        <v>0.27595044852627082</v>
      </c>
      <c r="DD123" s="62"/>
      <c r="DE123" s="24"/>
      <c r="DF123" s="24"/>
      <c r="DG123" s="24"/>
      <c r="DH123" s="24"/>
      <c r="DI123" s="24"/>
      <c r="DJ123" s="24"/>
      <c r="DK123" s="24"/>
      <c r="DL123" s="24"/>
      <c r="DM123" s="24"/>
      <c r="DN123" s="24"/>
      <c r="DO123" s="24"/>
      <c r="DP123" s="24"/>
      <c r="DQ123" s="24"/>
      <c r="DR123" s="24"/>
    </row>
    <row r="124" spans="1:122" hidden="1" outlineLevel="1">
      <c r="A124" s="3"/>
      <c r="B124" s="8"/>
      <c r="C124" s="96" t="s">
        <v>67</v>
      </c>
      <c r="D124" s="3"/>
      <c r="E124" s="9"/>
      <c r="F124" s="337"/>
      <c r="G124" s="337"/>
      <c r="H124" s="337"/>
      <c r="I124" s="338">
        <f t="shared" ref="I124:AN124" si="365">I18/I$16</f>
        <v>0.11264178442430771</v>
      </c>
      <c r="J124" s="337">
        <f t="shared" si="365"/>
        <v>0.35551393055027963</v>
      </c>
      <c r="K124" s="337">
        <f t="shared" si="365"/>
        <v>0.13406123951431445</v>
      </c>
      <c r="L124" s="337">
        <f t="shared" si="365"/>
        <v>0.14909060129294383</v>
      </c>
      <c r="M124" s="338">
        <f t="shared" si="365"/>
        <v>0.12974998296886708</v>
      </c>
      <c r="N124" s="337">
        <f t="shared" si="365"/>
        <v>0.18259510617138233</v>
      </c>
      <c r="O124" s="337">
        <f t="shared" si="365"/>
        <v>0.17503213853599514</v>
      </c>
      <c r="P124" s="337">
        <f t="shared" si="365"/>
        <v>0.15441475470572821</v>
      </c>
      <c r="Q124" s="338">
        <f t="shared" si="365"/>
        <v>0.20040899795501024</v>
      </c>
      <c r="R124" s="337">
        <f t="shared" si="365"/>
        <v>0.41253051261187956</v>
      </c>
      <c r="S124" s="337">
        <f t="shared" si="365"/>
        <v>0.37612323491655969</v>
      </c>
      <c r="T124" s="337">
        <f t="shared" si="365"/>
        <v>0.44936284372904095</v>
      </c>
      <c r="U124" s="338">
        <f t="shared" si="365"/>
        <v>0.34724091520861378</v>
      </c>
      <c r="V124" s="337">
        <f t="shared" si="365"/>
        <v>0.31185031185031181</v>
      </c>
      <c r="W124" s="337">
        <f t="shared" si="365"/>
        <v>0.42265426880811496</v>
      </c>
      <c r="X124" s="337">
        <f t="shared" si="365"/>
        <v>0.39114391143911437</v>
      </c>
      <c r="Y124" s="338">
        <f t="shared" si="365"/>
        <v>0.39045127534336166</v>
      </c>
      <c r="Z124" s="337">
        <f t="shared" si="365"/>
        <v>0.3125</v>
      </c>
      <c r="AA124" s="337">
        <f t="shared" si="365"/>
        <v>0.3469994058229352</v>
      </c>
      <c r="AB124" s="337">
        <f t="shared" si="365"/>
        <v>0.3536036036036036</v>
      </c>
      <c r="AC124" s="338">
        <f t="shared" si="365"/>
        <v>0.30375426621160406</v>
      </c>
      <c r="AD124" s="337">
        <f t="shared" si="365"/>
        <v>0.375</v>
      </c>
      <c r="AE124" s="337">
        <f t="shared" si="365"/>
        <v>0.33962264150943394</v>
      </c>
      <c r="AF124" s="337">
        <f t="shared" si="365"/>
        <v>0.35390946502057613</v>
      </c>
      <c r="AG124" s="338">
        <f t="shared" si="365"/>
        <v>0.36293436293436293</v>
      </c>
      <c r="AH124" s="337">
        <f t="shared" si="365"/>
        <v>0.31453362255965295</v>
      </c>
      <c r="AI124" s="337">
        <f t="shared" si="365"/>
        <v>0.28540305010893247</v>
      </c>
      <c r="AJ124" s="337">
        <f t="shared" si="365"/>
        <v>0.28791208791208789</v>
      </c>
      <c r="AK124" s="337">
        <f t="shared" si="365"/>
        <v>0.31798245614035087</v>
      </c>
      <c r="AL124" s="343">
        <f t="shared" si="365"/>
        <v>0.3522012578616352</v>
      </c>
      <c r="AM124" s="337">
        <f t="shared" si="365"/>
        <v>0.35650224215246634</v>
      </c>
      <c r="AN124" s="337">
        <f t="shared" si="365"/>
        <v>0.39480519480519483</v>
      </c>
      <c r="AO124" s="338">
        <f t="shared" ref="AO124:BQ124" si="366">AO18/AO$16</f>
        <v>0.40957446808510639</v>
      </c>
      <c r="AP124" s="343">
        <f t="shared" si="366"/>
        <v>0.4379746835443038</v>
      </c>
      <c r="AQ124" s="337">
        <f t="shared" si="366"/>
        <v>0.46799116997792495</v>
      </c>
      <c r="AR124" s="337">
        <f t="shared" si="366"/>
        <v>0.50098619329388561</v>
      </c>
      <c r="AS124" s="337">
        <f t="shared" si="366"/>
        <v>0.45535714285714285</v>
      </c>
      <c r="AT124" s="343">
        <f t="shared" si="366"/>
        <v>0.47415329768270947</v>
      </c>
      <c r="AU124" s="333">
        <f t="shared" si="366"/>
        <v>0.48239436619718312</v>
      </c>
      <c r="AV124" s="333">
        <f t="shared" si="366"/>
        <v>0.45296167247386759</v>
      </c>
      <c r="AW124" s="333">
        <f t="shared" si="366"/>
        <v>0.4558058925476603</v>
      </c>
      <c r="AX124" s="343">
        <f t="shared" si="366"/>
        <v>0.4263565891472868</v>
      </c>
      <c r="AY124" s="337">
        <f t="shared" si="366"/>
        <v>0.39699570815450641</v>
      </c>
      <c r="AZ124" s="337">
        <f t="shared" si="366"/>
        <v>0.52028081123244929</v>
      </c>
      <c r="BA124" s="337">
        <f t="shared" si="366"/>
        <v>0.45619834710743801</v>
      </c>
      <c r="BB124" s="343">
        <f t="shared" si="366"/>
        <v>0.42868098159509205</v>
      </c>
      <c r="BC124" s="337">
        <f t="shared" si="366"/>
        <v>0.48255813953488375</v>
      </c>
      <c r="BD124" s="337">
        <f t="shared" si="366"/>
        <v>0.48705096073517123</v>
      </c>
      <c r="BE124" s="338">
        <f t="shared" si="366"/>
        <v>0.484006734006734</v>
      </c>
      <c r="BF124" s="343">
        <f t="shared" si="366"/>
        <v>0.46543408360128619</v>
      </c>
      <c r="BG124" s="337">
        <f t="shared" si="366"/>
        <v>0.44934261407579273</v>
      </c>
      <c r="BH124" s="337">
        <f t="shared" si="366"/>
        <v>0.40642129992169146</v>
      </c>
      <c r="BI124" s="338">
        <f t="shared" si="366"/>
        <v>0.40212071778140296</v>
      </c>
      <c r="BJ124" s="343">
        <f t="shared" si="366"/>
        <v>0.40015723270440251</v>
      </c>
      <c r="BK124" s="337">
        <f t="shared" si="366"/>
        <v>0.39781591263650545</v>
      </c>
      <c r="BL124" s="337">
        <f t="shared" si="366"/>
        <v>0.37670196671709533</v>
      </c>
      <c r="BM124" s="338">
        <f t="shared" si="366"/>
        <v>0.36549707602339182</v>
      </c>
      <c r="BN124" s="343">
        <f t="shared" si="366"/>
        <v>0.40238095238095239</v>
      </c>
      <c r="BO124" s="337">
        <f t="shared" si="366"/>
        <v>0.38287560581583197</v>
      </c>
      <c r="BP124" s="337">
        <f t="shared" si="366"/>
        <v>0.35859820700896494</v>
      </c>
      <c r="BQ124" s="337">
        <f t="shared" si="366"/>
        <v>0.27665570690465008</v>
      </c>
      <c r="BR124" s="343">
        <f t="shared" si="359"/>
        <v>0.32242769084874345</v>
      </c>
      <c r="BS124" s="333">
        <f t="shared" si="359"/>
        <v>0.29592326139088732</v>
      </c>
      <c r="BT124" s="333">
        <f t="shared" si="360"/>
        <v>0.27817213842058564</v>
      </c>
      <c r="BU124" s="2207">
        <f t="shared" si="360"/>
        <v>0.26997009824861168</v>
      </c>
      <c r="BV124" s="409">
        <f t="shared" si="361"/>
        <v>0.26997009824861168</v>
      </c>
      <c r="BW124" s="408">
        <f t="shared" si="361"/>
        <v>0.26997009824861168</v>
      </c>
      <c r="BX124" s="408">
        <f t="shared" si="361"/>
        <v>0.26997009824861168</v>
      </c>
      <c r="BY124" s="410">
        <f t="shared" si="361"/>
        <v>0.26997009824861168</v>
      </c>
      <c r="BZ124" s="409">
        <f t="shared" si="362"/>
        <v>0.26997009824861168</v>
      </c>
      <c r="CA124" s="408">
        <f t="shared" si="362"/>
        <v>0.26997009824861168</v>
      </c>
      <c r="CB124" s="408">
        <f t="shared" si="362"/>
        <v>0.26997009824861168</v>
      </c>
      <c r="CC124" s="410">
        <f t="shared" si="362"/>
        <v>0.26997009824861168</v>
      </c>
      <c r="CD124" s="12"/>
      <c r="CE124" s="337"/>
      <c r="CF124" s="337">
        <f t="shared" ref="CF124:CV124" si="367">CF18/CF$16</f>
        <v>0.12974998296886708</v>
      </c>
      <c r="CG124" s="337">
        <f t="shared" si="367"/>
        <v>0.20040899795501024</v>
      </c>
      <c r="CH124" s="337">
        <f t="shared" si="367"/>
        <v>0.34724091520861378</v>
      </c>
      <c r="CI124" s="337">
        <f t="shared" si="367"/>
        <v>0.39045127534336166</v>
      </c>
      <c r="CJ124" s="337">
        <f t="shared" si="367"/>
        <v>0.30375426621160406</v>
      </c>
      <c r="CK124" s="337">
        <f t="shared" si="367"/>
        <v>0.36293436293436293</v>
      </c>
      <c r="CL124" s="337">
        <f t="shared" si="367"/>
        <v>0.31798245614035087</v>
      </c>
      <c r="CM124" s="337">
        <f t="shared" si="367"/>
        <v>0.40957446808510639</v>
      </c>
      <c r="CN124" s="337">
        <f t="shared" si="367"/>
        <v>0.45535714285714285</v>
      </c>
      <c r="CO124" s="337">
        <f t="shared" si="367"/>
        <v>0.4558058925476603</v>
      </c>
      <c r="CP124" s="337">
        <f t="shared" si="367"/>
        <v>0.45619834710743801</v>
      </c>
      <c r="CQ124" s="337">
        <f t="shared" si="367"/>
        <v>0.484006734006734</v>
      </c>
      <c r="CR124" s="343">
        <f t="shared" si="367"/>
        <v>0.40212071778140296</v>
      </c>
      <c r="CS124" s="337">
        <f t="shared" si="367"/>
        <v>0.36549707602339182</v>
      </c>
      <c r="CT124" s="337">
        <f t="shared" si="367"/>
        <v>0.27665570690465008</v>
      </c>
      <c r="CU124" s="337">
        <f t="shared" si="367"/>
        <v>0.26997009824861168</v>
      </c>
      <c r="CV124" s="337">
        <f t="shared" si="367"/>
        <v>0.26997009824861168</v>
      </c>
      <c r="CW124" s="337">
        <f>CW18/CW$16</f>
        <v>0.26997009824861168</v>
      </c>
      <c r="CX124" s="342">
        <f t="shared" si="364"/>
        <v>0.26997009824861168</v>
      </c>
      <c r="CY124" s="342">
        <f t="shared" si="364"/>
        <v>0.26997009824861168</v>
      </c>
      <c r="CZ124" s="342">
        <f t="shared" si="364"/>
        <v>0.26997009824861168</v>
      </c>
      <c r="DA124" s="342">
        <f t="shared" si="364"/>
        <v>0.26997009824861168</v>
      </c>
      <c r="DB124" s="342">
        <f t="shared" si="364"/>
        <v>0.26997009824861168</v>
      </c>
      <c r="DC124" s="342">
        <f t="shared" si="364"/>
        <v>0.26997009824861168</v>
      </c>
      <c r="DD124" s="62"/>
      <c r="DE124" s="24"/>
      <c r="DF124" s="24"/>
      <c r="DG124" s="24"/>
      <c r="DH124" s="24"/>
      <c r="DI124" s="24"/>
      <c r="DJ124" s="24"/>
      <c r="DK124" s="24"/>
      <c r="DL124" s="24"/>
      <c r="DM124" s="24"/>
      <c r="DN124" s="24"/>
      <c r="DO124" s="24"/>
      <c r="DP124" s="24"/>
      <c r="DQ124" s="24"/>
      <c r="DR124" s="24"/>
    </row>
    <row r="125" spans="1:122" ht="10.5" hidden="1" customHeight="1" outlineLevel="1">
      <c r="A125" s="3"/>
      <c r="B125" s="8"/>
      <c r="C125" s="96" t="s">
        <v>677</v>
      </c>
      <c r="D125" s="3"/>
      <c r="E125" s="9"/>
      <c r="F125" s="337"/>
      <c r="G125" s="337"/>
      <c r="H125" s="337"/>
      <c r="I125" s="338">
        <f t="shared" ref="I125:AN125" si="368">I19/I$16</f>
        <v>0.60988530511374439</v>
      </c>
      <c r="J125" s="337">
        <f t="shared" si="368"/>
        <v>0.51677298508049196</v>
      </c>
      <c r="K125" s="337">
        <f t="shared" si="368"/>
        <v>0.82292800779751352</v>
      </c>
      <c r="L125" s="337">
        <f t="shared" si="368"/>
        <v>0.71416630516436896</v>
      </c>
      <c r="M125" s="338">
        <f t="shared" si="368"/>
        <v>0.74232577151032086</v>
      </c>
      <c r="N125" s="337">
        <f t="shared" si="368"/>
        <v>0.7380741615029015</v>
      </c>
      <c r="O125" s="337">
        <f t="shared" si="368"/>
        <v>0.69420183000604962</v>
      </c>
      <c r="P125" s="337">
        <f t="shared" si="368"/>
        <v>0.72886149842314052</v>
      </c>
      <c r="Q125" s="338">
        <f t="shared" si="368"/>
        <v>0.67893660531697353</v>
      </c>
      <c r="R125" s="337">
        <f t="shared" si="368"/>
        <v>0.50203417412530515</v>
      </c>
      <c r="S125" s="337">
        <f t="shared" si="368"/>
        <v>0.50449293966623865</v>
      </c>
      <c r="T125" s="337">
        <f t="shared" si="368"/>
        <v>0.48960429242119385</v>
      </c>
      <c r="U125" s="338">
        <f t="shared" si="368"/>
        <v>0.4751009421265141</v>
      </c>
      <c r="V125" s="337">
        <f t="shared" si="368"/>
        <v>0.60984060984060984</v>
      </c>
      <c r="W125" s="337">
        <f t="shared" si="368"/>
        <v>0.47337278106508879</v>
      </c>
      <c r="X125" s="337">
        <f t="shared" si="368"/>
        <v>0.50184501845018448</v>
      </c>
      <c r="Y125" s="338">
        <f t="shared" si="368"/>
        <v>0.51471550032701108</v>
      </c>
      <c r="Z125" s="337">
        <f t="shared" si="368"/>
        <v>0.6064814814814814</v>
      </c>
      <c r="AA125" s="337">
        <f t="shared" si="368"/>
        <v>0.54842543077837191</v>
      </c>
      <c r="AB125" s="337">
        <f t="shared" si="368"/>
        <v>0.55855855855855863</v>
      </c>
      <c r="AC125" s="338">
        <f t="shared" si="368"/>
        <v>0.58264261335933698</v>
      </c>
      <c r="AD125" s="337">
        <f t="shared" si="368"/>
        <v>0.47222222222222221</v>
      </c>
      <c r="AE125" s="337">
        <f t="shared" si="368"/>
        <v>0.5962264150943396</v>
      </c>
      <c r="AF125" s="337">
        <f t="shared" si="368"/>
        <v>0.5967078189300411</v>
      </c>
      <c r="AG125" s="338">
        <f t="shared" si="368"/>
        <v>0.59073359073359077</v>
      </c>
      <c r="AH125" s="337">
        <f t="shared" si="368"/>
        <v>0.32754880694143168</v>
      </c>
      <c r="AI125" s="337">
        <f t="shared" si="368"/>
        <v>0.34204793028322439</v>
      </c>
      <c r="AJ125" s="337">
        <f t="shared" si="368"/>
        <v>0.37582417582417582</v>
      </c>
      <c r="AK125" s="337">
        <f t="shared" si="368"/>
        <v>0.36622807017543857</v>
      </c>
      <c r="AL125" s="343">
        <f t="shared" si="368"/>
        <v>0.37735849056603776</v>
      </c>
      <c r="AM125" s="337">
        <f t="shared" si="368"/>
        <v>0.36547085201793722</v>
      </c>
      <c r="AN125" s="337">
        <f t="shared" si="368"/>
        <v>0.33506493506493507</v>
      </c>
      <c r="AO125" s="338">
        <f t="shared" ref="AO125:BQ125" si="369">AO19/AO$16</f>
        <v>0.33244680851063829</v>
      </c>
      <c r="AP125" s="343">
        <f t="shared" si="369"/>
        <v>0.31898734177215188</v>
      </c>
      <c r="AQ125" s="337">
        <f t="shared" si="369"/>
        <v>0.30684326710816778</v>
      </c>
      <c r="AR125" s="337">
        <f t="shared" si="369"/>
        <v>0.27218934911242604</v>
      </c>
      <c r="AS125" s="337">
        <f t="shared" si="369"/>
        <v>0.26071428571428573</v>
      </c>
      <c r="AT125" s="343">
        <f t="shared" si="369"/>
        <v>0.24955436720142601</v>
      </c>
      <c r="AU125" s="333">
        <f t="shared" si="369"/>
        <v>0.26936619718309857</v>
      </c>
      <c r="AV125" s="333">
        <f t="shared" si="369"/>
        <v>0.28397212543554007</v>
      </c>
      <c r="AW125" s="333">
        <f t="shared" si="369"/>
        <v>0.24610051993067592</v>
      </c>
      <c r="AX125" s="343">
        <f t="shared" si="369"/>
        <v>0.31007751937984496</v>
      </c>
      <c r="AY125" s="337">
        <f t="shared" si="369"/>
        <v>0.19313304721030042</v>
      </c>
      <c r="AZ125" s="337">
        <f t="shared" si="369"/>
        <v>0.22308892355694226</v>
      </c>
      <c r="BA125" s="337">
        <f t="shared" si="369"/>
        <v>0.34132231404958679</v>
      </c>
      <c r="BB125" s="343">
        <f t="shared" si="369"/>
        <v>0.38957055214723929</v>
      </c>
      <c r="BC125" s="337">
        <f t="shared" si="369"/>
        <v>0.35714285714285715</v>
      </c>
      <c r="BD125" s="337">
        <f t="shared" si="369"/>
        <v>0.35338345864661652</v>
      </c>
      <c r="BE125" s="338">
        <f t="shared" si="369"/>
        <v>0.37542087542087543</v>
      </c>
      <c r="BF125" s="343">
        <f t="shared" si="369"/>
        <v>0.36736334405144694</v>
      </c>
      <c r="BG125" s="337">
        <f t="shared" si="369"/>
        <v>0.39520494972931169</v>
      </c>
      <c r="BH125" s="337">
        <f t="shared" si="369"/>
        <v>0.43382928739232579</v>
      </c>
      <c r="BI125" s="338">
        <f t="shared" si="369"/>
        <v>0.46084828711256115</v>
      </c>
      <c r="BJ125" s="343">
        <f t="shared" si="369"/>
        <v>0.45990566037735847</v>
      </c>
      <c r="BK125" s="337">
        <f t="shared" si="369"/>
        <v>0.48205928237129486</v>
      </c>
      <c r="BL125" s="337">
        <f t="shared" si="369"/>
        <v>0.49243570347957638</v>
      </c>
      <c r="BM125" s="338">
        <f t="shared" si="369"/>
        <v>0.51169590643274854</v>
      </c>
      <c r="BN125" s="343">
        <f t="shared" si="369"/>
        <v>0.49047619047619045</v>
      </c>
      <c r="BO125" s="337">
        <f t="shared" si="369"/>
        <v>0.51211631663974155</v>
      </c>
      <c r="BP125" s="337">
        <f t="shared" si="369"/>
        <v>0.5330073349633252</v>
      </c>
      <c r="BQ125" s="337">
        <f t="shared" si="369"/>
        <v>0.45608266791921087</v>
      </c>
      <c r="BR125" s="343">
        <f t="shared" si="359"/>
        <v>0.38833570412517782</v>
      </c>
      <c r="BS125" s="333">
        <f t="shared" si="359"/>
        <v>0.42302158273381296</v>
      </c>
      <c r="BT125" s="333">
        <f t="shared" si="360"/>
        <v>0.46406388642413487</v>
      </c>
      <c r="BU125" s="2207">
        <f t="shared" si="360"/>
        <v>0.45407945322511745</v>
      </c>
      <c r="BV125" s="409">
        <f t="shared" si="361"/>
        <v>0.45407945322511745</v>
      </c>
      <c r="BW125" s="408">
        <f t="shared" si="361"/>
        <v>0.45407945322511745</v>
      </c>
      <c r="BX125" s="408">
        <f t="shared" si="361"/>
        <v>0.45407945322511745</v>
      </c>
      <c r="BY125" s="410">
        <f t="shared" si="361"/>
        <v>0.45407945322511745</v>
      </c>
      <c r="BZ125" s="409">
        <f t="shared" si="362"/>
        <v>0.45407945322511745</v>
      </c>
      <c r="CA125" s="408">
        <f t="shared" si="362"/>
        <v>0.45407945322511745</v>
      </c>
      <c r="CB125" s="408">
        <f t="shared" si="362"/>
        <v>0.45407945322511745</v>
      </c>
      <c r="CC125" s="410">
        <f t="shared" si="362"/>
        <v>0.45407945322511745</v>
      </c>
      <c r="CD125" s="12"/>
      <c r="CE125" s="337"/>
      <c r="CF125" s="337">
        <f t="shared" ref="CF125:CV125" si="370">CF19/CF$16</f>
        <v>0.74232577151032086</v>
      </c>
      <c r="CG125" s="337">
        <f t="shared" si="370"/>
        <v>0.67893660531697353</v>
      </c>
      <c r="CH125" s="337">
        <f t="shared" si="370"/>
        <v>0.4751009421265141</v>
      </c>
      <c r="CI125" s="337">
        <f t="shared" si="370"/>
        <v>0.51471550032701108</v>
      </c>
      <c r="CJ125" s="337">
        <f t="shared" si="370"/>
        <v>0.58264261335933698</v>
      </c>
      <c r="CK125" s="337">
        <f t="shared" si="370"/>
        <v>0.59073359073359077</v>
      </c>
      <c r="CL125" s="337">
        <f t="shared" si="370"/>
        <v>0.36622807017543857</v>
      </c>
      <c r="CM125" s="337">
        <f t="shared" si="370"/>
        <v>0.33244680851063829</v>
      </c>
      <c r="CN125" s="337">
        <f t="shared" si="370"/>
        <v>0.26071428571428573</v>
      </c>
      <c r="CO125" s="337">
        <f t="shared" si="370"/>
        <v>0.24610051993067592</v>
      </c>
      <c r="CP125" s="337">
        <f t="shared" si="370"/>
        <v>0.34132231404958679</v>
      </c>
      <c r="CQ125" s="337">
        <f t="shared" si="370"/>
        <v>0.37542087542087543</v>
      </c>
      <c r="CR125" s="343">
        <f t="shared" si="370"/>
        <v>0.46084828711256115</v>
      </c>
      <c r="CS125" s="337">
        <f t="shared" si="370"/>
        <v>0.51169590643274854</v>
      </c>
      <c r="CT125" s="337">
        <f t="shared" si="370"/>
        <v>0.45608266791921087</v>
      </c>
      <c r="CU125" s="337">
        <f t="shared" si="370"/>
        <v>0.45407945322511745</v>
      </c>
      <c r="CV125" s="337">
        <f t="shared" si="370"/>
        <v>0.4540794532251175</v>
      </c>
      <c r="CW125" s="337">
        <f>CW19/CW$16</f>
        <v>0.45407945322511745</v>
      </c>
      <c r="CX125" s="342">
        <f t="shared" si="364"/>
        <v>0.45407945322511745</v>
      </c>
      <c r="CY125" s="342">
        <f t="shared" si="364"/>
        <v>0.45407945322511745</v>
      </c>
      <c r="CZ125" s="342">
        <f t="shared" si="364"/>
        <v>0.45407945322511745</v>
      </c>
      <c r="DA125" s="342">
        <f t="shared" si="364"/>
        <v>0.45407945322511745</v>
      </c>
      <c r="DB125" s="342">
        <f t="shared" si="364"/>
        <v>0.45407945322511745</v>
      </c>
      <c r="DC125" s="342">
        <f t="shared" si="364"/>
        <v>0.45407945322511745</v>
      </c>
      <c r="DD125" s="62"/>
      <c r="DE125" s="24"/>
      <c r="DF125" s="24"/>
      <c r="DG125" s="24"/>
      <c r="DH125" s="24"/>
      <c r="DI125" s="24"/>
      <c r="DJ125" s="24"/>
      <c r="DK125" s="24"/>
      <c r="DL125" s="24"/>
      <c r="DM125" s="24"/>
      <c r="DN125" s="24"/>
      <c r="DO125" s="24"/>
      <c r="DP125" s="24"/>
      <c r="DQ125" s="24"/>
      <c r="DR125" s="24"/>
    </row>
    <row r="126" spans="1:122" ht="2.25" hidden="1" customHeight="1" outlineLevel="1">
      <c r="A126" s="3"/>
      <c r="B126" s="76"/>
      <c r="C126" s="3"/>
      <c r="D126" s="3"/>
      <c r="E126" s="97"/>
      <c r="F126" s="96"/>
      <c r="G126" s="96"/>
      <c r="H126" s="96"/>
      <c r="I126" s="97"/>
      <c r="J126" s="96"/>
      <c r="K126" s="96"/>
      <c r="L126" s="96"/>
      <c r="M126" s="97"/>
      <c r="N126" s="96"/>
      <c r="O126" s="96"/>
      <c r="P126" s="96"/>
      <c r="Q126" s="97"/>
      <c r="R126" s="96"/>
      <c r="S126" s="96"/>
      <c r="T126" s="96"/>
      <c r="U126" s="97"/>
      <c r="V126" s="96"/>
      <c r="W126" s="96"/>
      <c r="X126" s="96"/>
      <c r="Y126" s="97"/>
      <c r="Z126" s="96"/>
      <c r="AA126" s="96"/>
      <c r="AB126" s="96"/>
      <c r="AC126" s="899"/>
      <c r="AD126" s="457"/>
      <c r="AE126" s="457"/>
      <c r="AF126" s="457"/>
      <c r="AG126" s="521"/>
      <c r="AH126" s="703"/>
      <c r="AI126" s="63"/>
      <c r="AJ126" s="63"/>
      <c r="AK126" s="63"/>
      <c r="AL126" s="329"/>
      <c r="AM126" s="63"/>
      <c r="AN126" s="63"/>
      <c r="AO126" s="64"/>
      <c r="AP126" s="63"/>
      <c r="AQ126" s="63"/>
      <c r="AR126" s="63"/>
      <c r="AS126" s="63"/>
      <c r="AT126" s="329"/>
      <c r="AU126" s="63"/>
      <c r="AV126" s="63"/>
      <c r="AW126" s="63"/>
      <c r="AX126" s="329"/>
      <c r="AY126" s="63"/>
      <c r="AZ126" s="63"/>
      <c r="BA126" s="63"/>
      <c r="BB126" s="329"/>
      <c r="BC126" s="63"/>
      <c r="BD126" s="63"/>
      <c r="BE126" s="64"/>
      <c r="BF126" s="329"/>
      <c r="BG126" s="63"/>
      <c r="BH126" s="63"/>
      <c r="BI126" s="64"/>
      <c r="BJ126" s="329"/>
      <c r="BK126" s="63"/>
      <c r="BL126" s="63"/>
      <c r="BM126" s="64"/>
      <c r="BN126" s="329"/>
      <c r="BQ126" s="64"/>
      <c r="BR126" s="329"/>
      <c r="BS126" s="24"/>
      <c r="BT126" s="24"/>
      <c r="BU126" s="25"/>
      <c r="BV126" s="329"/>
      <c r="BY126" s="64"/>
      <c r="BZ126" s="329"/>
      <c r="CC126" s="64"/>
      <c r="CD126" s="12"/>
      <c r="CE126" s="96"/>
      <c r="CF126" s="96"/>
      <c r="CG126" s="96"/>
      <c r="CH126" s="96"/>
      <c r="CI126" s="96"/>
      <c r="CJ126" s="96"/>
      <c r="CK126" s="96"/>
      <c r="CL126" s="96"/>
      <c r="CM126" s="96"/>
      <c r="CN126" s="96"/>
      <c r="CO126" s="96"/>
      <c r="CP126" s="96"/>
      <c r="CQ126" s="96"/>
      <c r="CR126" s="76"/>
      <c r="CS126" s="96"/>
      <c r="CT126" s="96"/>
      <c r="CU126" s="96"/>
      <c r="CV126" s="96"/>
      <c r="CW126" s="96"/>
      <c r="CX126" s="96"/>
      <c r="CY126" s="96"/>
      <c r="CZ126" s="96"/>
      <c r="DA126" s="96"/>
      <c r="DB126" s="96"/>
      <c r="DC126" s="96"/>
      <c r="DD126" s="62"/>
      <c r="DE126" s="24"/>
      <c r="DF126" s="24"/>
      <c r="DG126" s="24"/>
      <c r="DH126" s="24"/>
      <c r="DI126" s="24"/>
      <c r="DJ126" s="24"/>
      <c r="DK126" s="24"/>
      <c r="DL126" s="24"/>
      <c r="DM126" s="24"/>
      <c r="DN126" s="24"/>
      <c r="DO126" s="24"/>
      <c r="DP126" s="24"/>
      <c r="DQ126" s="24"/>
      <c r="DR126" s="24"/>
    </row>
    <row r="127" spans="1:122" ht="12" hidden="1" customHeight="1" outlineLevel="1">
      <c r="A127" s="3"/>
      <c r="B127" s="256" t="s">
        <v>313</v>
      </c>
      <c r="C127" s="3"/>
      <c r="D127" s="3"/>
      <c r="E127" s="139"/>
      <c r="F127" s="431"/>
      <c r="G127" s="431"/>
      <c r="H127" s="431"/>
      <c r="I127" s="588"/>
      <c r="J127" s="431"/>
      <c r="K127" s="431"/>
      <c r="L127" s="431"/>
      <c r="M127" s="588"/>
      <c r="N127" s="431"/>
      <c r="O127" s="431"/>
      <c r="P127" s="431"/>
      <c r="Q127" s="588"/>
      <c r="R127" s="431"/>
      <c r="S127" s="431"/>
      <c r="T127" s="431"/>
      <c r="U127" s="588"/>
      <c r="V127" s="524"/>
      <c r="W127" s="524"/>
      <c r="X127" s="524"/>
      <c r="Y127" s="525"/>
      <c r="Z127" s="524"/>
      <c r="AA127" s="524"/>
      <c r="AB127" s="524"/>
      <c r="AC127" s="525"/>
      <c r="AD127" s="457"/>
      <c r="AE127" s="457"/>
      <c r="AF127" s="457"/>
      <c r="AG127" s="521"/>
      <c r="AH127" s="524"/>
      <c r="AI127" s="78"/>
      <c r="AJ127" s="78"/>
      <c r="AK127" s="78"/>
      <c r="AL127" s="330"/>
      <c r="AM127" s="78"/>
      <c r="AN127" s="78"/>
      <c r="AO127" s="79"/>
      <c r="AP127" s="78"/>
      <c r="AQ127" s="78"/>
      <c r="AR127" s="78"/>
      <c r="AS127" s="78"/>
      <c r="AT127" s="330"/>
      <c r="AU127" s="78"/>
      <c r="AV127" s="78"/>
      <c r="AW127" s="78"/>
      <c r="AX127" s="330"/>
      <c r="AY127" s="78"/>
      <c r="AZ127" s="78"/>
      <c r="BA127" s="78"/>
      <c r="BB127" s="330"/>
      <c r="BC127" s="78"/>
      <c r="BD127" s="78"/>
      <c r="BE127" s="79"/>
      <c r="BF127" s="330"/>
      <c r="BG127" s="78"/>
      <c r="BH127" s="78"/>
      <c r="BI127" s="79"/>
      <c r="BJ127" s="330"/>
      <c r="BK127" s="78"/>
      <c r="BL127" s="78"/>
      <c r="BM127" s="79"/>
      <c r="BN127" s="330"/>
      <c r="BO127" s="78"/>
      <c r="BP127" s="78"/>
      <c r="BQ127" s="79"/>
      <c r="BR127" s="330"/>
      <c r="BS127" s="19"/>
      <c r="BT127" s="19"/>
      <c r="BU127" s="27"/>
      <c r="BV127" s="330"/>
      <c r="BW127" s="78"/>
      <c r="BX127" s="78"/>
      <c r="BY127" s="79"/>
      <c r="BZ127" s="330"/>
      <c r="CA127" s="78"/>
      <c r="CB127" s="78"/>
      <c r="CC127" s="79"/>
      <c r="CD127" s="12"/>
      <c r="CE127" s="80"/>
      <c r="CF127" s="80"/>
      <c r="CG127" s="80"/>
      <c r="CH127" s="80"/>
      <c r="CI127" s="80"/>
      <c r="CJ127" s="80"/>
      <c r="CK127" s="80"/>
      <c r="CL127" s="80"/>
      <c r="CM127" s="80"/>
      <c r="CN127" s="80"/>
      <c r="CO127" s="80"/>
      <c r="CP127" s="80"/>
      <c r="CQ127" s="80"/>
      <c r="CR127" s="1579"/>
      <c r="CS127" s="80"/>
      <c r="CT127" s="80"/>
      <c r="CU127" s="80"/>
      <c r="CV127" s="80"/>
      <c r="CW127" s="80"/>
      <c r="CX127" s="80"/>
      <c r="CY127" s="80"/>
      <c r="CZ127" s="80"/>
      <c r="DA127" s="80"/>
      <c r="DB127" s="80"/>
      <c r="DC127" s="80"/>
      <c r="DD127" s="62"/>
      <c r="DE127" s="24"/>
      <c r="DF127" s="24"/>
      <c r="DG127" s="19"/>
      <c r="DH127" s="19"/>
      <c r="DI127" s="19"/>
      <c r="DJ127" s="19"/>
      <c r="DK127" s="24"/>
      <c r="DL127" s="24"/>
      <c r="DM127" s="24"/>
      <c r="DN127" s="24"/>
      <c r="DO127" s="24"/>
      <c r="DP127" s="24"/>
      <c r="DQ127" s="24"/>
      <c r="DR127" s="24"/>
    </row>
    <row r="128" spans="1:122" hidden="1" outlineLevel="1">
      <c r="A128" s="3"/>
      <c r="B128" s="256"/>
      <c r="C128" s="3" t="s">
        <v>844</v>
      </c>
      <c r="D128" s="3"/>
      <c r="E128" s="139"/>
      <c r="F128" s="431"/>
      <c r="G128" s="431"/>
      <c r="H128" s="431"/>
      <c r="I128" s="588"/>
      <c r="J128" s="431"/>
      <c r="K128" s="431"/>
      <c r="L128" s="431"/>
      <c r="M128" s="428">
        <f t="shared" ref="M128:AR128" si="371">M20/M15</f>
        <v>0</v>
      </c>
      <c r="N128" s="426">
        <f t="shared" si="371"/>
        <v>0</v>
      </c>
      <c r="O128" s="426">
        <f t="shared" si="371"/>
        <v>0</v>
      </c>
      <c r="P128" s="426">
        <f t="shared" si="371"/>
        <v>0</v>
      </c>
      <c r="Q128" s="428">
        <f t="shared" si="371"/>
        <v>0</v>
      </c>
      <c r="R128" s="426">
        <f t="shared" si="371"/>
        <v>0</v>
      </c>
      <c r="S128" s="426">
        <f t="shared" si="371"/>
        <v>0</v>
      </c>
      <c r="T128" s="426">
        <f t="shared" si="371"/>
        <v>0</v>
      </c>
      <c r="U128" s="428">
        <f t="shared" si="371"/>
        <v>0</v>
      </c>
      <c r="V128" s="426">
        <f t="shared" si="371"/>
        <v>0</v>
      </c>
      <c r="W128" s="426">
        <f t="shared" si="371"/>
        <v>0</v>
      </c>
      <c r="X128" s="426">
        <f t="shared" si="371"/>
        <v>0</v>
      </c>
      <c r="Y128" s="428">
        <f t="shared" si="371"/>
        <v>0</v>
      </c>
      <c r="Z128" s="426">
        <f t="shared" si="371"/>
        <v>0</v>
      </c>
      <c r="AA128" s="426">
        <f t="shared" si="371"/>
        <v>0</v>
      </c>
      <c r="AB128" s="426">
        <f t="shared" si="371"/>
        <v>0</v>
      </c>
      <c r="AC128" s="428">
        <f t="shared" si="371"/>
        <v>0</v>
      </c>
      <c r="AD128" s="426">
        <f t="shared" si="371"/>
        <v>0.14006514657980457</v>
      </c>
      <c r="AE128" s="426">
        <f t="shared" si="371"/>
        <v>0.11377245508982035</v>
      </c>
      <c r="AF128" s="426">
        <f t="shared" si="371"/>
        <v>0.1076923076923077</v>
      </c>
      <c r="AG128" s="428">
        <f t="shared" si="371"/>
        <v>9.0387374461979919E-2</v>
      </c>
      <c r="AH128" s="426">
        <f t="shared" si="371"/>
        <v>4.2639593908629439E-2</v>
      </c>
      <c r="AI128" s="426">
        <f t="shared" si="371"/>
        <v>2.4861878453038673E-2</v>
      </c>
      <c r="AJ128" s="426">
        <f t="shared" si="371"/>
        <v>3.5502958579881658E-2</v>
      </c>
      <c r="AK128" s="426">
        <f t="shared" si="371"/>
        <v>3.5643564356435641E-2</v>
      </c>
      <c r="AL128" s="1152">
        <f t="shared" si="371"/>
        <v>0</v>
      </c>
      <c r="AM128" s="426">
        <f t="shared" si="371"/>
        <v>0</v>
      </c>
      <c r="AN128" s="426">
        <f t="shared" si="371"/>
        <v>0</v>
      </c>
      <c r="AO128" s="428">
        <f t="shared" si="371"/>
        <v>0</v>
      </c>
      <c r="AP128" s="1152">
        <f t="shared" si="371"/>
        <v>0</v>
      </c>
      <c r="AQ128" s="426">
        <f t="shared" si="371"/>
        <v>0</v>
      </c>
      <c r="AR128" s="426">
        <f t="shared" si="371"/>
        <v>0</v>
      </c>
      <c r="AS128" s="426">
        <f t="shared" ref="AS128:BQ128" si="372">AS20/AS15</f>
        <v>0</v>
      </c>
      <c r="AT128" s="1152">
        <f t="shared" si="372"/>
        <v>0</v>
      </c>
      <c r="AU128" s="426">
        <f t="shared" si="372"/>
        <v>0</v>
      </c>
      <c r="AV128" s="426">
        <f t="shared" si="372"/>
        <v>0</v>
      </c>
      <c r="AW128" s="426">
        <f t="shared" si="372"/>
        <v>0</v>
      </c>
      <c r="AX128" s="1152">
        <f t="shared" si="372"/>
        <v>0</v>
      </c>
      <c r="AY128" s="426">
        <f t="shared" si="372"/>
        <v>0</v>
      </c>
      <c r="AZ128" s="426">
        <f t="shared" si="372"/>
        <v>0</v>
      </c>
      <c r="BA128" s="426">
        <f t="shared" si="372"/>
        <v>0</v>
      </c>
      <c r="BB128" s="1152">
        <f t="shared" si="372"/>
        <v>0</v>
      </c>
      <c r="BC128" s="426">
        <f t="shared" si="372"/>
        <v>0</v>
      </c>
      <c r="BD128" s="426">
        <f t="shared" si="372"/>
        <v>0</v>
      </c>
      <c r="BE128" s="428">
        <f t="shared" si="372"/>
        <v>0</v>
      </c>
      <c r="BF128" s="426">
        <f t="shared" si="372"/>
        <v>0</v>
      </c>
      <c r="BG128" s="426">
        <f t="shared" si="372"/>
        <v>0</v>
      </c>
      <c r="BH128" s="426">
        <f t="shared" si="372"/>
        <v>0</v>
      </c>
      <c r="BI128" s="428">
        <f t="shared" si="372"/>
        <v>0</v>
      </c>
      <c r="BJ128" s="426">
        <f t="shared" si="372"/>
        <v>0</v>
      </c>
      <c r="BK128" s="426">
        <f t="shared" si="372"/>
        <v>0</v>
      </c>
      <c r="BL128" s="426">
        <f t="shared" si="372"/>
        <v>0</v>
      </c>
      <c r="BM128" s="428">
        <f t="shared" si="372"/>
        <v>0</v>
      </c>
      <c r="BN128" s="426">
        <f t="shared" si="372"/>
        <v>0</v>
      </c>
      <c r="BO128" s="426">
        <f t="shared" si="372"/>
        <v>0</v>
      </c>
      <c r="BP128" s="426">
        <f t="shared" si="372"/>
        <v>0</v>
      </c>
      <c r="BQ128" s="428">
        <f t="shared" si="372"/>
        <v>0</v>
      </c>
      <c r="BR128" s="426">
        <f t="shared" ref="BR128:BW128" si="373">BR20/BR15</f>
        <v>0</v>
      </c>
      <c r="BS128" s="492">
        <f t="shared" si="373"/>
        <v>0</v>
      </c>
      <c r="BT128" s="492">
        <f t="shared" si="373"/>
        <v>0</v>
      </c>
      <c r="BU128" s="27">
        <f t="shared" si="373"/>
        <v>0</v>
      </c>
      <c r="BV128" s="426">
        <f t="shared" si="373"/>
        <v>0</v>
      </c>
      <c r="BW128" s="426">
        <f t="shared" si="373"/>
        <v>0</v>
      </c>
      <c r="BX128" s="251">
        <v>0</v>
      </c>
      <c r="BY128" s="252">
        <v>0</v>
      </c>
      <c r="BZ128" s="253">
        <v>0</v>
      </c>
      <c r="CA128" s="251">
        <v>0</v>
      </c>
      <c r="CB128" s="251">
        <v>0</v>
      </c>
      <c r="CC128" s="252">
        <v>0</v>
      </c>
      <c r="CD128" s="58"/>
      <c r="CE128" s="80"/>
      <c r="CF128" s="426">
        <f t="shared" ref="CF128:CV128" si="374">CF20/CF15</f>
        <v>0</v>
      </c>
      <c r="CG128" s="426">
        <f t="shared" si="374"/>
        <v>0</v>
      </c>
      <c r="CH128" s="426">
        <f t="shared" si="374"/>
        <v>0</v>
      </c>
      <c r="CI128" s="426">
        <f t="shared" si="374"/>
        <v>0</v>
      </c>
      <c r="CJ128" s="426">
        <f t="shared" si="374"/>
        <v>0</v>
      </c>
      <c r="CK128" s="426">
        <f t="shared" si="374"/>
        <v>9.0387374461979919E-2</v>
      </c>
      <c r="CL128" s="426">
        <f t="shared" si="374"/>
        <v>3.5643564356435641E-2</v>
      </c>
      <c r="CM128" s="426">
        <f t="shared" si="374"/>
        <v>0</v>
      </c>
      <c r="CN128" s="426">
        <f t="shared" si="374"/>
        <v>0</v>
      </c>
      <c r="CO128" s="426">
        <f t="shared" si="374"/>
        <v>0</v>
      </c>
      <c r="CP128" s="426">
        <f t="shared" si="374"/>
        <v>0</v>
      </c>
      <c r="CQ128" s="426">
        <f t="shared" si="374"/>
        <v>0</v>
      </c>
      <c r="CR128" s="1152">
        <f t="shared" si="374"/>
        <v>0</v>
      </c>
      <c r="CS128" s="426">
        <f t="shared" si="374"/>
        <v>0</v>
      </c>
      <c r="CT128" s="426">
        <f t="shared" si="374"/>
        <v>0</v>
      </c>
      <c r="CU128" s="426">
        <f t="shared" si="374"/>
        <v>0</v>
      </c>
      <c r="CV128" s="426">
        <f t="shared" si="374"/>
        <v>0</v>
      </c>
      <c r="CW128" s="426">
        <f>CW20/CW15</f>
        <v>0</v>
      </c>
      <c r="CX128" s="251">
        <f t="shared" ref="CX128:DC131" si="375">CW128</f>
        <v>0</v>
      </c>
      <c r="CY128" s="251">
        <f t="shared" si="375"/>
        <v>0</v>
      </c>
      <c r="CZ128" s="251">
        <f t="shared" si="375"/>
        <v>0</v>
      </c>
      <c r="DA128" s="251">
        <f t="shared" si="375"/>
        <v>0</v>
      </c>
      <c r="DB128" s="251">
        <f t="shared" si="375"/>
        <v>0</v>
      </c>
      <c r="DC128" s="251">
        <f t="shared" si="375"/>
        <v>0</v>
      </c>
      <c r="DD128" s="62"/>
      <c r="DE128" s="24"/>
      <c r="DF128" s="24"/>
      <c r="DG128" s="19"/>
      <c r="DH128" s="19"/>
      <c r="DI128" s="19"/>
      <c r="DJ128" s="19"/>
      <c r="DK128" s="24"/>
      <c r="DL128" s="24"/>
      <c r="DM128" s="24"/>
      <c r="DN128" s="24"/>
      <c r="DO128" s="24"/>
      <c r="DP128" s="24"/>
      <c r="DQ128" s="24"/>
      <c r="DR128" s="24"/>
    </row>
    <row r="129" spans="1:122" hidden="1" outlineLevel="1">
      <c r="A129" s="3"/>
      <c r="B129" s="256"/>
      <c r="C129" s="3" t="s">
        <v>570</v>
      </c>
      <c r="D129" s="3"/>
      <c r="E129" s="139"/>
      <c r="F129" s="431"/>
      <c r="G129" s="431"/>
      <c r="H129" s="431"/>
      <c r="I129" s="588"/>
      <c r="J129" s="431"/>
      <c r="K129" s="431"/>
      <c r="L129" s="431"/>
      <c r="M129" s="428">
        <f>M21/IS!M11</f>
        <v>2.4423310250946968E-2</v>
      </c>
      <c r="N129" s="426">
        <f>N21/IS!N11</f>
        <v>1.5407200275587743E-2</v>
      </c>
      <c r="O129" s="426">
        <f>O21/IS!O11</f>
        <v>1.886486830791792E-2</v>
      </c>
      <c r="P129" s="426">
        <f>P21/IS!P11</f>
        <v>1.8947676190904043E-2</v>
      </c>
      <c r="Q129" s="428">
        <f>Q21/IS!Q11</f>
        <v>1.3524193700855228E-2</v>
      </c>
      <c r="R129" s="426">
        <f>R21/IS!R11</f>
        <v>1.7641502406260549E-2</v>
      </c>
      <c r="S129" s="426">
        <f>S21/IS!S11</f>
        <v>1.1858889255624469E-2</v>
      </c>
      <c r="T129" s="426">
        <f>T21/IS!T11</f>
        <v>2.5370849147983095E-2</v>
      </c>
      <c r="U129" s="428">
        <f>U21/IS!U11</f>
        <v>2.3771575915424746E-2</v>
      </c>
      <c r="V129" s="426">
        <f>V21/IS!V11</f>
        <v>2.1127363505953078E-2</v>
      </c>
      <c r="W129" s="426">
        <f>W21/IS!W11</f>
        <v>1.8430765249089345E-2</v>
      </c>
      <c r="X129" s="426">
        <f>X21/IS!X11</f>
        <v>1.9893563194710955E-2</v>
      </c>
      <c r="Y129" s="428">
        <f>Y21/IS!Y11</f>
        <v>2.8712192537726017E-2</v>
      </c>
      <c r="Z129" s="426">
        <f>Z21/IS!Z11</f>
        <v>4.7133148405685006E-2</v>
      </c>
      <c r="AA129" s="426">
        <f>AA21/IS!AA11</f>
        <v>7.4570252467762693E-2</v>
      </c>
      <c r="AB129" s="426">
        <f>AB21/IS!AB11</f>
        <v>7.335418317763169E-2</v>
      </c>
      <c r="AC129" s="428">
        <f>AC21/IS!AC11</f>
        <v>9.8385969512344407E-2</v>
      </c>
      <c r="AD129" s="426">
        <f>AD21/IS!AD11</f>
        <v>2.373419911982546E-2</v>
      </c>
      <c r="AE129" s="426">
        <f>AE21/IS!AE11</f>
        <v>1.8907960099054079E-2</v>
      </c>
      <c r="AF129" s="426">
        <f>AF21/IS!AF11</f>
        <v>1.6311712301037559E-2</v>
      </c>
      <c r="AG129" s="428">
        <f>AG21/IS!AG11</f>
        <v>7.5363586814900588E-2</v>
      </c>
      <c r="AH129" s="426">
        <f>AH21/IS!AH11</f>
        <v>6.1155548615081622E-2</v>
      </c>
      <c r="AI129" s="426">
        <f>AI21/IS!AI11</f>
        <v>5.1721706530039192E-2</v>
      </c>
      <c r="AJ129" s="426">
        <f>AJ21/IS!AJ11</f>
        <v>8.289804588498334E-2</v>
      </c>
      <c r="AK129" s="426">
        <f>AK21/IS!AK11</f>
        <v>6.1212255954423415E-2</v>
      </c>
      <c r="AL129" s="1152">
        <f>AL21/IS!AL11</f>
        <v>8.2503956761463396E-2</v>
      </c>
      <c r="AM129" s="426">
        <f>AM21/IS!AM11</f>
        <v>8.0645704358869585E-2</v>
      </c>
      <c r="AN129" s="426">
        <f>AN21/IS!AN11</f>
        <v>8.4176564375113269E-2</v>
      </c>
      <c r="AO129" s="428">
        <f>AO21/IS!AO11</f>
        <v>6.9495349646021026E-2</v>
      </c>
      <c r="AP129" s="1152">
        <f>AP21/IS!AP11</f>
        <v>7.6086956521739135E-2</v>
      </c>
      <c r="AQ129" s="426">
        <f>AQ21/IS!AQ11</f>
        <v>6.2237495227185947E-2</v>
      </c>
      <c r="AR129" s="426">
        <f>AR21/IS!AR11</f>
        <v>7.1185157137447941E-2</v>
      </c>
      <c r="AS129" s="426">
        <f>AS21/IS!AS11</f>
        <v>7.1368597816960533E-2</v>
      </c>
      <c r="AT129" s="1152">
        <f>AT21/IS!AT11</f>
        <v>8.8680016346546792E-2</v>
      </c>
      <c r="AU129" s="426">
        <f>AU21/IS!AU11</f>
        <v>7.7575757575757576E-2</v>
      </c>
      <c r="AV129" s="426">
        <f>AV21/IS!AV11</f>
        <v>7.9040852575488457E-2</v>
      </c>
      <c r="AW129" s="426">
        <f>AW21/IS!AW11</f>
        <v>8.9055347482313779E-2</v>
      </c>
      <c r="AX129" s="1152">
        <f>AX21/IS!AX11</f>
        <v>9.2798812175204151E-2</v>
      </c>
      <c r="AY129" s="426">
        <f>AY21/IS!AY11</f>
        <v>0.13082706766917293</v>
      </c>
      <c r="AZ129" s="426">
        <f>AZ21/IS!AZ11</f>
        <v>0.13476112026359144</v>
      </c>
      <c r="BA129" s="426">
        <f>BA21/IS!BA11</f>
        <v>7.5515355490113595E-2</v>
      </c>
      <c r="BB129" s="1152">
        <f>BB21/IS!BB11</f>
        <v>9.7645600991325895E-2</v>
      </c>
      <c r="BC129" s="426">
        <f>BC21/IS!BC11</f>
        <v>0.11061715481171548</v>
      </c>
      <c r="BD129" s="426">
        <f>BD21/IS!BD11</f>
        <v>0.10175345377258235</v>
      </c>
      <c r="BE129" s="428">
        <f>BE21/IS!BE11</f>
        <v>8.2618025751072965E-2</v>
      </c>
      <c r="BF129" s="426">
        <f>BF21/IS!BF11</f>
        <v>9.3848580441640378E-2</v>
      </c>
      <c r="BG129" s="426">
        <f>BG21/IS!BG11</f>
        <v>9.5921450151057408E-2</v>
      </c>
      <c r="BH129" s="426">
        <f>BH21/IS!BH11</f>
        <v>9.7758574129084522E-2</v>
      </c>
      <c r="BI129" s="428">
        <f>BI21/IS!BI11</f>
        <v>0.114215283483977</v>
      </c>
      <c r="BJ129" s="426">
        <f>BJ21/IS!BJ11</f>
        <v>0.10702510778594979</v>
      </c>
      <c r="BK129" s="426">
        <f>BK21/IS!BK11</f>
        <v>9.1306584362139911E-2</v>
      </c>
      <c r="BL129" s="426">
        <f>BL21/IS!BL11</f>
        <v>0.10450704225352113</v>
      </c>
      <c r="BM129" s="428">
        <f>BM21/IS!BM11</f>
        <v>0.10372923848323409</v>
      </c>
      <c r="BN129" s="426">
        <f>BN21/IS!BN11</f>
        <v>0.10446428571428572</v>
      </c>
      <c r="BO129" s="426">
        <f>BO21/IS!BO11</f>
        <v>6.0295447693699128E-2</v>
      </c>
      <c r="BP129" s="426">
        <f>BP21/IS!BP11</f>
        <v>8.0085046066619425E-2</v>
      </c>
      <c r="BQ129" s="428">
        <f>BQ21/IS!BQ11</f>
        <v>0.17625178826895566</v>
      </c>
      <c r="BR129" s="426">
        <f>BR21/IS!BR11</f>
        <v>0.14128128977513787</v>
      </c>
      <c r="BS129" s="492">
        <f>BS21/IS!BS11</f>
        <v>8.5106382978723402E-2</v>
      </c>
      <c r="BT129" s="492">
        <f>BT21/IS!BT11</f>
        <v>9.3353409335340934E-2</v>
      </c>
      <c r="BU129" s="27">
        <f>BU21/IS!BU11</f>
        <v>8.0338703015282939E-2</v>
      </c>
      <c r="BV129" s="426">
        <f>BV21/IS!BV11</f>
        <v>9.5734414205751781E-2</v>
      </c>
      <c r="BW129" s="426">
        <f>BW21/IS!BW11</f>
        <v>9.089205397301349E-2</v>
      </c>
      <c r="BX129" s="251">
        <v>0.08</v>
      </c>
      <c r="BY129" s="252">
        <v>0.1</v>
      </c>
      <c r="BZ129" s="253">
        <v>0.11</v>
      </c>
      <c r="CA129" s="251">
        <v>0.08</v>
      </c>
      <c r="CB129" s="251">
        <v>0.08</v>
      </c>
      <c r="CC129" s="252">
        <v>0.10100000000000001</v>
      </c>
      <c r="CD129" s="12"/>
      <c r="CE129" s="80"/>
      <c r="CF129" s="426">
        <f>CF21/IS!CF11</f>
        <v>6.1385721481048809E-3</v>
      </c>
      <c r="CG129" s="426">
        <f>CG21/IS!CG11</f>
        <v>3.3842210050163673E-3</v>
      </c>
      <c r="CH129" s="426">
        <f>CH21/IS!CH11</f>
        <v>5.8423368002630555E-3</v>
      </c>
      <c r="CI129" s="426">
        <f>CI21/IS!CI11</f>
        <v>7.4201016419166207E-3</v>
      </c>
      <c r="CJ129" s="426">
        <f>CJ21/IS!CJ11</f>
        <v>2.4601135692217131E-2</v>
      </c>
      <c r="CK129" s="426">
        <f>CK21/IS!CK11</f>
        <v>1.8834435898420557E-2</v>
      </c>
      <c r="CL129" s="426">
        <f>CL21/IS!CL11</f>
        <v>1.5109886134337809E-2</v>
      </c>
      <c r="CM129" s="426">
        <f>CM21/IS!CM11</f>
        <v>1.7982097190289995E-2</v>
      </c>
      <c r="CN129" s="426">
        <f>CN21/IS!CN11</f>
        <v>1.7258883248730966E-2</v>
      </c>
      <c r="CO129" s="426">
        <f>CO21/IS!CO11</f>
        <v>2.2345202046569906E-2</v>
      </c>
      <c r="CP129" s="426">
        <f>CP21/IS!CP11</f>
        <v>2.8770636319923066E-2</v>
      </c>
      <c r="CQ129" s="426">
        <f>CQ21/IS!CQ11</f>
        <v>2.0063839489284085E-2</v>
      </c>
      <c r="CR129" s="1152">
        <f>CR21/IS!CR11</f>
        <v>2.7561136814276271E-2</v>
      </c>
      <c r="CS129" s="426">
        <f>CS21/IS!CS11</f>
        <v>2.2714795498215756E-2</v>
      </c>
      <c r="CT129" s="426">
        <f>CT21/IS!CT11</f>
        <v>4.7406495305525626E-2</v>
      </c>
      <c r="CU129" s="426">
        <f>CU21/IS!CU11</f>
        <v>2.037395904258105E-2</v>
      </c>
      <c r="CV129" s="426">
        <f>CV21/IS!CV11</f>
        <v>2.4159254204745382E-2</v>
      </c>
      <c r="CW129" s="426">
        <f>CW21/IS!CW11</f>
        <v>2.321722147152662E-2</v>
      </c>
      <c r="CX129" s="251">
        <f t="shared" si="375"/>
        <v>2.321722147152662E-2</v>
      </c>
      <c r="CY129" s="251">
        <f t="shared" si="375"/>
        <v>2.321722147152662E-2</v>
      </c>
      <c r="CZ129" s="251">
        <f t="shared" si="375"/>
        <v>2.321722147152662E-2</v>
      </c>
      <c r="DA129" s="251">
        <f t="shared" si="375"/>
        <v>2.321722147152662E-2</v>
      </c>
      <c r="DB129" s="251">
        <f t="shared" si="375"/>
        <v>2.321722147152662E-2</v>
      </c>
      <c r="DC129" s="251">
        <f t="shared" si="375"/>
        <v>2.321722147152662E-2</v>
      </c>
      <c r="DD129" s="62"/>
      <c r="DE129" s="24"/>
      <c r="DF129" s="24"/>
      <c r="DG129" s="19"/>
      <c r="DH129" s="19"/>
      <c r="DI129" s="19"/>
      <c r="DJ129" s="19"/>
      <c r="DK129" s="24"/>
      <c r="DL129" s="24"/>
      <c r="DM129" s="24"/>
      <c r="DN129" s="24"/>
      <c r="DO129" s="24"/>
      <c r="DP129" s="24"/>
      <c r="DQ129" s="24"/>
      <c r="DR129" s="24"/>
    </row>
    <row r="130" spans="1:122" hidden="1" outlineLevel="1">
      <c r="A130" s="3"/>
      <c r="B130" s="8"/>
      <c r="C130" s="96" t="s">
        <v>571</v>
      </c>
      <c r="D130" s="3"/>
      <c r="E130" s="9"/>
      <c r="F130" s="436"/>
      <c r="G130" s="436"/>
      <c r="H130" s="436"/>
      <c r="I130" s="437"/>
      <c r="J130" s="436"/>
      <c r="K130" s="436"/>
      <c r="L130" s="436"/>
      <c r="M130" s="437">
        <f>(M39+M40)/(IS!M40+IS!M67)</f>
        <v>0.19767959453082759</v>
      </c>
      <c r="N130" s="436">
        <f>(N39+N40)/(IS!N40+IS!N67)</f>
        <v>0.20783000731675824</v>
      </c>
      <c r="O130" s="436">
        <f>(O39+O40)/(IS!O40+IS!O67)</f>
        <v>0.21092676929290649</v>
      </c>
      <c r="P130" s="436">
        <f>(P39+P40)/(IS!P40+IS!P67)</f>
        <v>0.20363468208092486</v>
      </c>
      <c r="Q130" s="436">
        <f>(Q39+Q40)/(IS!Q40+IS!Q67)</f>
        <v>0.24220109322057981</v>
      </c>
      <c r="R130" s="435">
        <f>(R39+R40)/(IS!R40+IS!R67)</f>
        <v>0.25532214859720853</v>
      </c>
      <c r="S130" s="436">
        <f>(S39+S40)/(IS!S40+IS!S67)</f>
        <v>0.19606641224954882</v>
      </c>
      <c r="T130" s="436">
        <f>(T39+T40)/(IS!T40+IS!T67)</f>
        <v>0.19857142857142857</v>
      </c>
      <c r="U130" s="436">
        <f>(U39+U40)/(IS!U40+IS!U67)</f>
        <v>0.19026604190182342</v>
      </c>
      <c r="V130" s="435">
        <f>(V39+V40)/(IS!V40+IS!V67)</f>
        <v>0.20230282052306642</v>
      </c>
      <c r="W130" s="436">
        <f>(W39+W40)/(IS!W40+IS!W67)</f>
        <v>0.20572191918067462</v>
      </c>
      <c r="X130" s="436">
        <f>(X39+X40)/(IS!X40+IS!X67)</f>
        <v>0.22150259067357511</v>
      </c>
      <c r="Y130" s="437">
        <f>(Y39+Y40)/(IS!Y40+IS!Y67)</f>
        <v>0.25968289920724802</v>
      </c>
      <c r="Z130" s="436">
        <f>(Z39+Z40)/(IS!Z40+IS!Z67)</f>
        <v>0.1997876857749469</v>
      </c>
      <c r="AA130" s="436">
        <f>(AA39+AA40)/(IS!AA40+IS!AA67)</f>
        <v>0.20922195892575041</v>
      </c>
      <c r="AB130" s="436">
        <f>(AB39+AB40)/(IS!AB40+IS!AB67)</f>
        <v>0.21019356093765201</v>
      </c>
      <c r="AC130" s="437">
        <f>(AC39+AC40)/(IS!AC40+IS!AC67)</f>
        <v>0.20169238427078148</v>
      </c>
      <c r="AD130" s="436">
        <f>(AD39+AD40)/(IS!AD40+IS!AD67)</f>
        <v>0.17339055793991417</v>
      </c>
      <c r="AE130" s="436">
        <f>(AE39+AE40)/(IS!AE40+IS!AE67)</f>
        <v>0.16232771822358347</v>
      </c>
      <c r="AF130" s="436">
        <f>(AF39+AF40)/(IS!AF40+IS!AF67)</f>
        <v>0.15366795366795366</v>
      </c>
      <c r="AG130" s="437">
        <f>(AG39+AG40)/(IS!AG40+IS!AG67)</f>
        <v>0.18322981366459629</v>
      </c>
      <c r="AH130" s="436">
        <f>(AH39+AH40)/(IS!AH40+IS!AH67)</f>
        <v>0.18141592920353983</v>
      </c>
      <c r="AI130" s="436">
        <f>(AI39+AI40)/(IS!AI40+IS!AI67)</f>
        <v>0.16775296506036971</v>
      </c>
      <c r="AJ130" s="436">
        <f>(AJ39+AJ40)/(IS!AJ40+IS!AJ67)</f>
        <v>0.17149915629032436</v>
      </c>
      <c r="AK130" s="436">
        <f>(AK39+AK40)/(IS!AK40+IS!AK67)</f>
        <v>0.20319634703196346</v>
      </c>
      <c r="AL130" s="435">
        <f>(AL39+AL40)/(IS!AL40+IS!AL67)</f>
        <v>0.1792</v>
      </c>
      <c r="AM130" s="436">
        <f>(AM39+AM40)/(IS!AM40+IS!AM67)</f>
        <v>0.1963869463869464</v>
      </c>
      <c r="AN130" s="436">
        <f>(AN39+AN40)/(IS!AN40+IS!AN67)</f>
        <v>0.2280237937871778</v>
      </c>
      <c r="AO130" s="437">
        <f>(AO39+AO40)/(IS!AO40+IS!AO67)</f>
        <v>0.19632606199770378</v>
      </c>
      <c r="AP130" s="435">
        <f>(AP39+AP40)/(IS!AP40+IS!AP67)</f>
        <v>0.16895728709256125</v>
      </c>
      <c r="AQ130" s="436">
        <f>(AQ39+AQ40)/(IS!AQ40+IS!AQ67)</f>
        <v>0.18927210159283453</v>
      </c>
      <c r="AR130" s="436">
        <f>(AR39+AR40)/(IS!AR40+IS!AR67)</f>
        <v>0.1586969030063152</v>
      </c>
      <c r="AS130" s="436">
        <f>(AS39+AS40)/(IS!AS40+IS!AS67)</f>
        <v>0.19898713989794908</v>
      </c>
      <c r="AT130" s="435">
        <f>(AT39+AT40)/(IS!AT40+IS!AT67)</f>
        <v>0.16082452334898545</v>
      </c>
      <c r="AU130" s="436">
        <f>(AU39+AU40)/(IS!AU40+IS!AU67)</f>
        <v>0.17767491570535376</v>
      </c>
      <c r="AV130" s="436">
        <f>(AV39+AV40)/(IS!AV40+IS!AV67)</f>
        <v>0.18426573345693459</v>
      </c>
      <c r="AW130" s="436">
        <f>(AW39+AW40)/(IS!AW40+IS!AW67)</f>
        <v>0.21906592540384479</v>
      </c>
      <c r="AX130" s="435">
        <f>(AX39+AX40)/(IS!AX40+IS!AX67)</f>
        <v>0.200118879237593</v>
      </c>
      <c r="AY130" s="436">
        <f>(AY39+AY40)/(IS!AY40+IS!AY67)</f>
        <v>0.30130499726296778</v>
      </c>
      <c r="AZ130" s="436">
        <f>(AZ39+AZ40)/(IS!AZ40+IS!AZ67)</f>
        <v>0.44044243446084924</v>
      </c>
      <c r="BA130" s="436">
        <f>(BA39+BA40)/(IS!BA40+IS!BA67)</f>
        <v>0.26973186151599826</v>
      </c>
      <c r="BB130" s="435">
        <f>(BB39+BB40)/(IS!BB40+IS!BB67)</f>
        <v>0.27319081803103762</v>
      </c>
      <c r="BC130" s="436">
        <f>(BC39+BC40)/(IS!BC40+IS!BC67)</f>
        <v>0.26197143427138059</v>
      </c>
      <c r="BD130" s="436">
        <f>(BD39+BD40)/(IS!BD40+IS!BD67)</f>
        <v>0.29745657568238215</v>
      </c>
      <c r="BE130" s="437">
        <f>(BE39+BE40)/(IS!BE40+IS!BE67)</f>
        <v>0.54661642431284196</v>
      </c>
      <c r="BF130" s="436">
        <f>(BF39+BF40)/(IS!BF40+IS!BF67)</f>
        <v>0.50447275237595968</v>
      </c>
      <c r="BG130" s="436">
        <f>(BG39+BG40)/(IS!BG40+IS!BG67)</f>
        <v>0.52594206431754731</v>
      </c>
      <c r="BH130" s="436">
        <f>(BH39+BH40)/(IS!BH40+IS!BH67)</f>
        <v>0.53935748483126422</v>
      </c>
      <c r="BI130" s="437">
        <f>(BI39+BI40)/(IS!BI40+IS!BI67)</f>
        <v>0.55155774367105692</v>
      </c>
      <c r="BJ130" s="436">
        <f>(BJ39+BJ40)/(IS!BJ40+IS!BJ67)</f>
        <v>0.53048814406476963</v>
      </c>
      <c r="BK130" s="436">
        <f>(BK39+BK40)/(IS!BK40+IS!BK67)</f>
        <v>0.33407738094034062</v>
      </c>
      <c r="BL130" s="436">
        <f>(BL39+BL40)/(IS!BL40+IS!BL67)</f>
        <v>0.3472290067033369</v>
      </c>
      <c r="BM130" s="437">
        <f>(BM39+BM40)/(IS!BM40+IS!BM67)</f>
        <v>0.34360984724401944</v>
      </c>
      <c r="BN130" s="436">
        <f>(BN39+BN40)/(IS!BN40+IS!BN67)</f>
        <v>0.34488086781218413</v>
      </c>
      <c r="BO130" s="436">
        <f>(BO39+BO40)/(IS!BO40+IS!BO67)</f>
        <v>0.33358136409277739</v>
      </c>
      <c r="BP130" s="436">
        <f>(BP39+BP40)/(IS!BP40+IS!BP67)</f>
        <v>0.40687345694629629</v>
      </c>
      <c r="BQ130" s="437">
        <f>(BQ39+BQ40)/(IS!BQ40+IS!BQ67)</f>
        <v>0.51213516854160113</v>
      </c>
      <c r="BR130" s="436">
        <f>(BR39+BR40)/(IS!BR16+IS!BR67)</f>
        <v>0.42855950718421576</v>
      </c>
      <c r="BS130" s="492">
        <f>(BS39+BS40)/(IS!BS16+IS!BS67)</f>
        <v>0.45515877001305116</v>
      </c>
      <c r="BT130" s="492">
        <f>(BT39+BT40)/(IS!BT16+IS!BT67)</f>
        <v>0.48129790276296369</v>
      </c>
      <c r="BU130" s="27">
        <f>(BU39+BU40)/(IS!BU16+IS!BU67)</f>
        <v>0.48168410549128077</v>
      </c>
      <c r="BV130" s="436">
        <f>(BV39+BV40)/(IS!BV16+IS!BV67)</f>
        <v>0.50392121077640362</v>
      </c>
      <c r="BW130" s="436">
        <f>(BW39+BW40)/(IS!BW16+IS!BW67)</f>
        <v>0.48990407329047103</v>
      </c>
      <c r="BX130" s="251">
        <v>0.5</v>
      </c>
      <c r="BY130" s="252">
        <v>0.5</v>
      </c>
      <c r="BZ130" s="253">
        <v>0.55000000000000004</v>
      </c>
      <c r="CA130" s="251">
        <v>0.55000000000000004</v>
      </c>
      <c r="CB130" s="251">
        <v>0.5</v>
      </c>
      <c r="CC130" s="252">
        <v>0.51336000000000004</v>
      </c>
      <c r="CD130" s="12"/>
      <c r="CE130" s="436"/>
      <c r="CF130" s="436">
        <f>(CF39+CF40)/(IS!CF40+IS!CF67)</f>
        <v>4.9197779600375614E-2</v>
      </c>
      <c r="CG130" s="436">
        <f>(CG39+CG40)/(IS!CG40+IS!CG67)</f>
        <v>6.1038230862186904E-2</v>
      </c>
      <c r="CH130" s="436">
        <f>(CH39+CH40)/(IS!CH40+IS!CH67)</f>
        <v>4.7306011637277483E-2</v>
      </c>
      <c r="CI130" s="436">
        <f>(CI39+CI40)/(IS!CI40+IS!CI67)</f>
        <v>6.6990439265580126E-2</v>
      </c>
      <c r="CJ130" s="436">
        <f>(CJ39+CJ40)/(IS!CJ40+IS!CJ67)</f>
        <v>5.0810051662737624E-2</v>
      </c>
      <c r="CK130" s="436">
        <f>(CK39+CK40)/(IS!CK40+IS!CK67)</f>
        <v>4.669568658488326E-2</v>
      </c>
      <c r="CL130" s="436">
        <f>(CL39+CL40)/(IS!CL40+IS!CL67)</f>
        <v>5.0717886032921038E-2</v>
      </c>
      <c r="CM130" s="436">
        <f>(CM39+CM40)/(IS!CM40+IS!CM67)</f>
        <v>4.9956178790534621E-2</v>
      </c>
      <c r="CN130" s="436">
        <f>(CN39+CN40)/(IS!CN40+IS!CN67)</f>
        <v>4.9441036032154509E-2</v>
      </c>
      <c r="CO130" s="436">
        <f>(CO39+CO40)/(IS!CO40+IS!CO67)</f>
        <v>5.5033824677126329E-2</v>
      </c>
      <c r="CP130" s="436">
        <f>(CP39+CP40)/(IS!CP40+IS!CP67)</f>
        <v>0.10099211292959347</v>
      </c>
      <c r="CQ130" s="436">
        <f>(CQ39+CQ40)/(IS!CQ40+IS!CQ67)</f>
        <v>0.13428122464240608</v>
      </c>
      <c r="CR130" s="435">
        <f>(CR39+CR40)/(IS!CR40+IS!CR67)</f>
        <v>0.13459025989057319</v>
      </c>
      <c r="CS130" s="436">
        <f>(CS39+CS40)/(IS!CS40+IS!CS67)</f>
        <v>7.6426114013295715E-2</v>
      </c>
      <c r="CT130" s="436">
        <f>(CT39+CT40)/(IS!CT16+IS!CT67)</f>
        <v>0.13768955773963915</v>
      </c>
      <c r="CU130" s="436">
        <f>(CU39+CU40)/(IS!CU16+IS!CU67)</f>
        <v>0.11614993248001937</v>
      </c>
      <c r="CV130" s="436">
        <f>(CV39+CV40)/(IS!CV16+IS!CV67)</f>
        <v>0.12490938949470771</v>
      </c>
      <c r="CW130" s="436">
        <f>(CW39+CW40)/(IS!CW16+IS!CW67)</f>
        <v>0.12045775552483638</v>
      </c>
      <c r="CX130" s="360">
        <f t="shared" si="375"/>
        <v>0.12045775552483638</v>
      </c>
      <c r="CY130" s="360">
        <f t="shared" si="375"/>
        <v>0.12045775552483638</v>
      </c>
      <c r="CZ130" s="360">
        <f t="shared" si="375"/>
        <v>0.12045775552483638</v>
      </c>
      <c r="DA130" s="360">
        <f t="shared" si="375"/>
        <v>0.12045775552483638</v>
      </c>
      <c r="DB130" s="360">
        <f t="shared" si="375"/>
        <v>0.12045775552483638</v>
      </c>
      <c r="DC130" s="360">
        <f t="shared" si="375"/>
        <v>0.12045775552483638</v>
      </c>
      <c r="DD130" s="62"/>
      <c r="DE130" s="24"/>
      <c r="DF130" s="24"/>
      <c r="DG130" s="19"/>
      <c r="DH130" s="19"/>
      <c r="DI130" s="19"/>
      <c r="DJ130" s="19"/>
      <c r="DK130" s="24"/>
      <c r="DL130" s="24"/>
      <c r="DM130" s="24"/>
      <c r="DN130" s="24"/>
      <c r="DO130" s="24"/>
      <c r="DP130" s="24"/>
      <c r="DQ130" s="24"/>
      <c r="DR130" s="24"/>
    </row>
    <row r="131" spans="1:122" hidden="1" outlineLevel="1">
      <c r="A131" s="3"/>
      <c r="B131" s="76"/>
      <c r="C131" s="96" t="s">
        <v>572</v>
      </c>
      <c r="D131" s="3"/>
      <c r="E131" s="97"/>
      <c r="F131" s="426"/>
      <c r="G131" s="426"/>
      <c r="H131" s="426"/>
      <c r="I131" s="428"/>
      <c r="J131" s="426"/>
      <c r="K131" s="426"/>
      <c r="L131" s="426"/>
      <c r="M131" s="436">
        <f>M40/IS!M11</f>
        <v>0</v>
      </c>
      <c r="N131" s="435">
        <f>N40/IS!N11</f>
        <v>0</v>
      </c>
      <c r="O131" s="436">
        <f>O40/IS!O11</f>
        <v>0</v>
      </c>
      <c r="P131" s="436">
        <f>P40/IS!P11</f>
        <v>0</v>
      </c>
      <c r="Q131" s="436">
        <f>Q40/IS!Q11</f>
        <v>6.0270863232072217E-2</v>
      </c>
      <c r="R131" s="435">
        <f>R40/IS!R11</f>
        <v>0</v>
      </c>
      <c r="S131" s="436">
        <f>S40/IS!S11</f>
        <v>0</v>
      </c>
      <c r="T131" s="436">
        <f>T40/IS!T11</f>
        <v>0</v>
      </c>
      <c r="U131" s="436">
        <f>U40/IS!U11</f>
        <v>0</v>
      </c>
      <c r="V131" s="435">
        <f>V40/IS!V11</f>
        <v>0</v>
      </c>
      <c r="W131" s="436">
        <f>W40/IS!W11</f>
        <v>0</v>
      </c>
      <c r="X131" s="436">
        <f>X40/IS!X11</f>
        <v>0</v>
      </c>
      <c r="Y131" s="437">
        <f>Y40/IS!Y11</f>
        <v>0</v>
      </c>
      <c r="Z131" s="436">
        <f>Z40/IS!Z11</f>
        <v>7.7334010304285689E-2</v>
      </c>
      <c r="AA131" s="436">
        <f>AA40/IS!AA11</f>
        <v>6.8572405030379618E-2</v>
      </c>
      <c r="AB131" s="436">
        <f>AB40/IS!AB11</f>
        <v>6.9278950778874374E-2</v>
      </c>
      <c r="AC131" s="437">
        <f>AC40/IS!AC11</f>
        <v>6.5959133118762725E-2</v>
      </c>
      <c r="AD131" s="436">
        <f>AD40/IS!AD11</f>
        <v>5.8544357828902799E-2</v>
      </c>
      <c r="AE131" s="436">
        <f>AE40/IS!AE11</f>
        <v>5.0421226930810872E-2</v>
      </c>
      <c r="AF131" s="436">
        <f>AF40/IS!AF11</f>
        <v>5.2481161316381711E-2</v>
      </c>
      <c r="AG131" s="437">
        <f>AG40/IS!AG11</f>
        <v>5.3413027548424689E-2</v>
      </c>
      <c r="AH131" s="436">
        <f>AH40/IS!AH11</f>
        <v>4.3035386062464848E-2</v>
      </c>
      <c r="AI131" s="436">
        <f>AI40/IS!AI11</f>
        <v>3.6295934407045045E-2</v>
      </c>
      <c r="AJ131" s="436">
        <f>AJ40/IS!AJ11</f>
        <v>4.0264765144134761E-2</v>
      </c>
      <c r="AK131" s="436">
        <f>AK40/IS!AK11</f>
        <v>4.5156582261459896E-2</v>
      </c>
      <c r="AL131" s="435">
        <f>AL40/IS!AL11</f>
        <v>4.4096942406989061E-2</v>
      </c>
      <c r="AM131" s="436">
        <f>AM40/IS!AM11</f>
        <v>5.1569361970977834E-2</v>
      </c>
      <c r="AN131" s="436">
        <f>AN40/IS!AN11</f>
        <v>5.8421048409593543E-2</v>
      </c>
      <c r="AO131" s="437">
        <f>AO40/IS!AO11</f>
        <v>4.9269091166955201E-2</v>
      </c>
      <c r="AP131" s="435">
        <f>AP40/IS!AP11</f>
        <v>4.5742753623188408E-2</v>
      </c>
      <c r="AQ131" s="436">
        <f>AQ40/IS!AQ11</f>
        <v>4.5055364642993506E-2</v>
      </c>
      <c r="AR131" s="436">
        <f>AR40/IS!AR11</f>
        <v>4.6951912154486936E-2</v>
      </c>
      <c r="AS131" s="436">
        <f>AS40/IS!AS11</f>
        <v>5.4156171284634763E-2</v>
      </c>
      <c r="AT131" s="435">
        <f>AT40/IS!AT11</f>
        <v>5.3534940743767877E-2</v>
      </c>
      <c r="AU131" s="436">
        <f>AU40/IS!AU11</f>
        <v>5.4545454545454543E-2</v>
      </c>
      <c r="AV131" s="436">
        <f>AV40/IS!AV11</f>
        <v>5.9502664298401418E-2</v>
      </c>
      <c r="AW131" s="436">
        <f>AW40/IS!AW11</f>
        <v>5.4931335830212237E-2</v>
      </c>
      <c r="AX131" s="435">
        <f>AX40/IS!AX11</f>
        <v>5.0111358574610243E-2</v>
      </c>
      <c r="AY131" s="436">
        <f>AY40/IS!AY11</f>
        <v>6.2155388471177943E-2</v>
      </c>
      <c r="AZ131" s="436">
        <f>AZ40/IS!AZ11</f>
        <v>6.392092257001647E-2</v>
      </c>
      <c r="BA131" s="436">
        <f>BA40/IS!BA11</f>
        <v>3.5969709718132098E-2</v>
      </c>
      <c r="BB131" s="435">
        <f>BB40/IS!BB11</f>
        <v>3.6183395291201979E-2</v>
      </c>
      <c r="BC131" s="436">
        <f>BC40/IS!BC11</f>
        <v>3.425732217573222E-2</v>
      </c>
      <c r="BD131" s="436">
        <f>BD40/IS!BD11</f>
        <v>3.2412327311370885E-2</v>
      </c>
      <c r="BE131" s="437">
        <f>BE40/IS!BE11</f>
        <v>3.0579399141630902E-2</v>
      </c>
      <c r="BF131" s="436">
        <f>BF40/IS!BF11</f>
        <v>3.2334384858044164E-2</v>
      </c>
      <c r="BG131" s="436">
        <f>BG40/IS!BG11</f>
        <v>2.9456193353474321E-2</v>
      </c>
      <c r="BH131" s="436">
        <f>BH40/IS!BH11</f>
        <v>2.9975695382122605E-2</v>
      </c>
      <c r="BI131" s="437">
        <f>BI40/IS!BI11</f>
        <v>3.2593809915091754E-2</v>
      </c>
      <c r="BJ131" s="436">
        <f>BJ40/IS!BJ11</f>
        <v>3.3984275932031446E-2</v>
      </c>
      <c r="BK131" s="436">
        <f>BK40/IS!BK11</f>
        <v>3.755144032921811E-2</v>
      </c>
      <c r="BL131" s="436">
        <f>BL40/IS!BL11</f>
        <v>4.3943661971830986E-2</v>
      </c>
      <c r="BM131" s="437">
        <f>BM40/IS!BM11</f>
        <v>4.700720777185835E-2</v>
      </c>
      <c r="BN131" s="436">
        <f>BN40/IS!BN11</f>
        <v>4.1964285714285711E-2</v>
      </c>
      <c r="BO131" s="436">
        <f>BO40/IS!BO11</f>
        <v>4.3412722339463368E-2</v>
      </c>
      <c r="BP131" s="436">
        <f>BP40/IS!BP11</f>
        <v>5.1736357193479798E-2</v>
      </c>
      <c r="BQ131" s="437">
        <f>BQ40/IS!BQ11</f>
        <v>4.9213161659513588E-2</v>
      </c>
      <c r="BR131" s="436">
        <f>BR40/IS!BR11</f>
        <v>3.6062791684344508E-2</v>
      </c>
      <c r="BS131" s="492">
        <f>BS40/IS!BS11</f>
        <v>3.8870703764320787E-2</v>
      </c>
      <c r="BT131" s="492">
        <f>BT40/IS!BT11</f>
        <v>4.215960421596042E-2</v>
      </c>
      <c r="BU131" s="493">
        <f>BU40/IS!BU11</f>
        <v>3.8413878562577448E-2</v>
      </c>
      <c r="BV131" s="436">
        <f>BV40/IS!BV11</f>
        <v>3.4742327735958312E-2</v>
      </c>
      <c r="BW131" s="436">
        <f>BW40/IS!BW11</f>
        <v>3.6356821589205397E-2</v>
      </c>
      <c r="BX131" s="360">
        <v>0.05</v>
      </c>
      <c r="BY131" s="361">
        <v>0.05</v>
      </c>
      <c r="BZ131" s="968">
        <v>0.05</v>
      </c>
      <c r="CA131" s="360">
        <v>0.05</v>
      </c>
      <c r="CB131" s="360">
        <v>0.05</v>
      </c>
      <c r="CC131" s="361">
        <v>5.049E-2</v>
      </c>
      <c r="CD131" s="12"/>
      <c r="CE131" s="426"/>
      <c r="CF131" s="436">
        <f>CF40/IS!CF11</f>
        <v>0</v>
      </c>
      <c r="CG131" s="436">
        <f>CG40/IS!CG11</f>
        <v>1.5081854478877291E-2</v>
      </c>
      <c r="CH131" s="436">
        <f>CH40/IS!CH11</f>
        <v>0</v>
      </c>
      <c r="CI131" s="436">
        <f>CI40/IS!CI11</f>
        <v>0</v>
      </c>
      <c r="CJ131" s="436">
        <f>CJ40/IS!CJ11</f>
        <v>1.649289621313433E-2</v>
      </c>
      <c r="CK131" s="436">
        <f>CK40/IS!CK11</f>
        <v>1.3348677869754374E-2</v>
      </c>
      <c r="CL131" s="436">
        <f>CL40/IS!CL11</f>
        <v>1.1146637312216417E-2</v>
      </c>
      <c r="CM131" s="436">
        <f>CM40/IS!CM11</f>
        <v>1.2748501739384698E-2</v>
      </c>
      <c r="CN131" s="436">
        <f>CN40/IS!CN11</f>
        <v>1.3096446700507615E-2</v>
      </c>
      <c r="CO131" s="436">
        <f>CO40/IS!CO11</f>
        <v>1.3783021823117886E-2</v>
      </c>
      <c r="CP131" s="436">
        <f>CP40/IS!CP11</f>
        <v>1.3704119249879788E-2</v>
      </c>
      <c r="CQ131" s="436">
        <f>CQ40/IS!CQ11</f>
        <v>7.4262263044752785E-3</v>
      </c>
      <c r="CR131" s="435">
        <f>CR40/IS!CR11</f>
        <v>7.8651685393258432E-3</v>
      </c>
      <c r="CS131" s="436">
        <f>CS40/IS!CS11</f>
        <v>1.0293713972001097E-2</v>
      </c>
      <c r="CT131" s="436">
        <f>CT40/IS!CT11</f>
        <v>1.3236878559335077E-2</v>
      </c>
      <c r="CU131" s="436">
        <f>CU40/IS!CU11</f>
        <v>9.7417901848845124E-3</v>
      </c>
      <c r="CV131" s="436">
        <f>CV40/IS!CV11</f>
        <v>1.2079627102372691E-2</v>
      </c>
      <c r="CW131" s="436">
        <f>CW40/IS!CW11</f>
        <v>1.1606312000964148E-2</v>
      </c>
      <c r="CX131" s="360">
        <f t="shared" si="375"/>
        <v>1.1606312000964148E-2</v>
      </c>
      <c r="CY131" s="360">
        <f t="shared" si="375"/>
        <v>1.1606312000964148E-2</v>
      </c>
      <c r="CZ131" s="360">
        <f t="shared" si="375"/>
        <v>1.1606312000964148E-2</v>
      </c>
      <c r="DA131" s="360">
        <f t="shared" si="375"/>
        <v>1.1606312000964148E-2</v>
      </c>
      <c r="DB131" s="360">
        <f t="shared" si="375"/>
        <v>1.1606312000964148E-2</v>
      </c>
      <c r="DC131" s="360">
        <f t="shared" si="375"/>
        <v>1.1606312000964148E-2</v>
      </c>
      <c r="DD131" s="62"/>
      <c r="DE131" s="24"/>
      <c r="DF131" s="24"/>
      <c r="DG131" s="159"/>
      <c r="DH131" s="159"/>
      <c r="DI131" s="159"/>
      <c r="DJ131" s="159"/>
      <c r="DK131" s="24"/>
      <c r="DL131" s="24"/>
      <c r="DM131" s="24"/>
      <c r="DN131" s="24"/>
      <c r="DO131" s="24"/>
      <c r="DP131" s="24"/>
      <c r="DQ131" s="24"/>
      <c r="DR131" s="24"/>
    </row>
    <row r="132" spans="1:122" ht="4.5" hidden="1" customHeight="1" outlineLevel="1">
      <c r="A132" s="3"/>
      <c r="B132" s="76"/>
      <c r="C132" s="3"/>
      <c r="D132" s="3"/>
      <c r="E132" s="97"/>
      <c r="F132" s="96"/>
      <c r="G132" s="96"/>
      <c r="H132" s="96"/>
      <c r="I132" s="97"/>
      <c r="J132" s="96"/>
      <c r="K132" s="96"/>
      <c r="L132" s="96"/>
      <c r="M132" s="96"/>
      <c r="N132" s="76"/>
      <c r="O132" s="96"/>
      <c r="P132" s="96"/>
      <c r="Q132" s="96"/>
      <c r="R132" s="76"/>
      <c r="S132" s="96"/>
      <c r="T132" s="96"/>
      <c r="U132" s="96"/>
      <c r="V132" s="76"/>
      <c r="W132" s="96"/>
      <c r="X132" s="96"/>
      <c r="Y132" s="97"/>
      <c r="Z132" s="96"/>
      <c r="AA132" s="96"/>
      <c r="AB132" s="96"/>
      <c r="AC132" s="97"/>
      <c r="AD132" s="96"/>
      <c r="AE132" s="96"/>
      <c r="AF132" s="96"/>
      <c r="AG132" s="96"/>
      <c r="AH132" s="76"/>
      <c r="AI132" s="63"/>
      <c r="AJ132" s="63"/>
      <c r="AK132" s="63"/>
      <c r="AL132" s="329"/>
      <c r="AM132" s="63"/>
      <c r="AN132" s="63"/>
      <c r="AO132" s="64"/>
      <c r="AP132" s="329"/>
      <c r="AQ132" s="63"/>
      <c r="AR132" s="63"/>
      <c r="AS132" s="63"/>
      <c r="AT132" s="329"/>
      <c r="AU132" s="63"/>
      <c r="AV132" s="63"/>
      <c r="AW132" s="63"/>
      <c r="AX132" s="329"/>
      <c r="AY132" s="63"/>
      <c r="AZ132" s="63"/>
      <c r="BA132" s="63"/>
      <c r="BB132" s="329"/>
      <c r="BC132" s="63"/>
      <c r="BD132" s="63"/>
      <c r="BE132" s="64"/>
      <c r="BF132" s="329"/>
      <c r="BG132" s="63"/>
      <c r="BH132" s="63"/>
      <c r="BI132" s="64"/>
      <c r="BJ132" s="329"/>
      <c r="BK132" s="63"/>
      <c r="BL132" s="63"/>
      <c r="BM132" s="64"/>
      <c r="BN132" s="329"/>
      <c r="BQ132" s="64"/>
      <c r="BR132" s="329"/>
      <c r="BS132" s="24"/>
      <c r="BT132" s="24"/>
      <c r="BU132" s="25"/>
      <c r="BV132" s="329"/>
      <c r="BY132" s="64"/>
      <c r="BZ132" s="329"/>
      <c r="CC132" s="64"/>
      <c r="CD132" s="12"/>
      <c r="CE132" s="96"/>
      <c r="CF132" s="96"/>
      <c r="CG132" s="96"/>
      <c r="CH132" s="96"/>
      <c r="CI132" s="96"/>
      <c r="CJ132" s="96"/>
      <c r="CK132" s="96"/>
      <c r="CL132" s="96"/>
      <c r="CM132" s="96"/>
      <c r="CN132" s="96"/>
      <c r="CO132" s="703"/>
      <c r="CP132" s="703"/>
      <c r="CQ132" s="703"/>
      <c r="CR132" s="1580"/>
      <c r="CS132" s="703"/>
      <c r="CT132" s="703"/>
      <c r="CU132" s="703"/>
      <c r="CV132" s="703"/>
      <c r="CW132" s="703"/>
      <c r="CX132" s="703"/>
      <c r="CY132" s="703"/>
      <c r="CZ132" s="703"/>
      <c r="DA132" s="703"/>
      <c r="DB132" s="703"/>
      <c r="DC132" s="703"/>
      <c r="DD132" s="62"/>
      <c r="DE132" s="24"/>
      <c r="DF132" s="24"/>
      <c r="DG132" s="24"/>
      <c r="DH132" s="24"/>
      <c r="DI132" s="24"/>
      <c r="DJ132" s="24"/>
      <c r="DK132" s="24"/>
      <c r="DL132" s="24"/>
      <c r="DM132" s="24"/>
      <c r="DN132" s="24"/>
      <c r="DO132" s="24"/>
      <c r="DP132" s="24"/>
      <c r="DQ132" s="24"/>
      <c r="DR132" s="24"/>
    </row>
    <row r="133" spans="1:122" hidden="1" outlineLevel="1">
      <c r="A133" s="3"/>
      <c r="B133" s="256" t="s">
        <v>50</v>
      </c>
      <c r="C133" s="3"/>
      <c r="D133" s="3"/>
      <c r="E133" s="139"/>
      <c r="F133" s="147"/>
      <c r="G133" s="147"/>
      <c r="H133" s="147"/>
      <c r="I133" s="147"/>
      <c r="J133" s="256"/>
      <c r="K133" s="147"/>
      <c r="L133" s="147"/>
      <c r="M133" s="147"/>
      <c r="N133" s="256"/>
      <c r="O133" s="147"/>
      <c r="P133" s="147"/>
      <c r="Q133" s="147"/>
      <c r="R133" s="256"/>
      <c r="S133" s="147"/>
      <c r="T133" s="147"/>
      <c r="U133" s="147"/>
      <c r="V133" s="256"/>
      <c r="W133" s="147"/>
      <c r="X133" s="147"/>
      <c r="Y133" s="139"/>
      <c r="Z133" s="147"/>
      <c r="AA133" s="147"/>
      <c r="AB133" s="147"/>
      <c r="AC133" s="147"/>
      <c r="AD133" s="256"/>
      <c r="AE133" s="147"/>
      <c r="AF133" s="147"/>
      <c r="AG133" s="147"/>
      <c r="AH133" s="256"/>
      <c r="AI133" s="78"/>
      <c r="AJ133" s="78"/>
      <c r="AK133" s="78"/>
      <c r="AL133" s="330"/>
      <c r="AM133" s="78"/>
      <c r="AN133" s="78"/>
      <c r="AO133" s="79"/>
      <c r="AP133" s="330"/>
      <c r="AQ133" s="78"/>
      <c r="AR133" s="78"/>
      <c r="AS133" s="78"/>
      <c r="AT133" s="330"/>
      <c r="AU133" s="78"/>
      <c r="AV133" s="78"/>
      <c r="AW133" s="78"/>
      <c r="AX133" s="330"/>
      <c r="AY133" s="78"/>
      <c r="AZ133" s="78"/>
      <c r="BA133" s="78"/>
      <c r="BB133" s="330"/>
      <c r="BC133" s="78"/>
      <c r="BD133" s="78"/>
      <c r="BE133" s="79"/>
      <c r="BF133" s="330"/>
      <c r="BG133" s="78"/>
      <c r="BH133" s="78"/>
      <c r="BI133" s="79"/>
      <c r="BJ133" s="330"/>
      <c r="BK133" s="78"/>
      <c r="BL133" s="78"/>
      <c r="BM133" s="79"/>
      <c r="BN133" s="330"/>
      <c r="BO133" s="78"/>
      <c r="BP133" s="78"/>
      <c r="BQ133" s="79"/>
      <c r="BR133" s="330"/>
      <c r="BS133" s="19"/>
      <c r="BT133" s="19"/>
      <c r="BU133" s="27"/>
      <c r="BV133" s="330"/>
      <c r="BW133" s="78"/>
      <c r="BX133" s="78"/>
      <c r="BY133" s="79"/>
      <c r="BZ133" s="330"/>
      <c r="CA133" s="78"/>
      <c r="CB133" s="78"/>
      <c r="CC133" s="79"/>
      <c r="CD133" s="12"/>
      <c r="CE133" s="147"/>
      <c r="CF133" s="147"/>
      <c r="CG133" s="147"/>
      <c r="CH133" s="147"/>
      <c r="CI133" s="147"/>
      <c r="CJ133" s="147"/>
      <c r="CK133" s="147"/>
      <c r="CL133" s="147"/>
      <c r="CM133" s="147"/>
      <c r="CN133" s="147"/>
      <c r="CO133" s="898"/>
      <c r="CP133" s="898"/>
      <c r="CQ133" s="898"/>
      <c r="CR133" s="1581"/>
      <c r="CS133" s="898"/>
      <c r="CT133" s="898"/>
      <c r="CU133" s="898"/>
      <c r="CV133" s="898"/>
      <c r="CW133" s="898"/>
      <c r="CX133" s="898"/>
      <c r="CY133" s="898"/>
      <c r="CZ133" s="898"/>
      <c r="DA133" s="898"/>
      <c r="DB133" s="898"/>
      <c r="DC133" s="898"/>
      <c r="DD133" s="62"/>
      <c r="DE133" s="24"/>
      <c r="DF133" s="24"/>
      <c r="DG133" s="19"/>
      <c r="DH133" s="19"/>
      <c r="DI133" s="19"/>
      <c r="DJ133" s="19"/>
      <c r="DK133" s="24"/>
      <c r="DL133" s="24"/>
      <c r="DM133" s="24"/>
      <c r="DN133" s="24"/>
      <c r="DO133" s="24"/>
      <c r="DP133" s="24"/>
      <c r="DQ133" s="24"/>
      <c r="DR133" s="24"/>
    </row>
    <row r="134" spans="1:122" hidden="1" outlineLevel="1">
      <c r="A134" s="3"/>
      <c r="B134" s="23"/>
      <c r="C134" s="96" t="s">
        <v>573</v>
      </c>
      <c r="D134" s="3"/>
      <c r="E134" s="25"/>
      <c r="F134" s="492"/>
      <c r="G134" s="492"/>
      <c r="H134" s="492"/>
      <c r="I134" s="492"/>
      <c r="J134" s="497"/>
      <c r="K134" s="492"/>
      <c r="L134" s="492"/>
      <c r="M134" s="436">
        <f>M46/(IS!M40+IS!M67)</f>
        <v>7.8598815916919307E-2</v>
      </c>
      <c r="N134" s="435">
        <f>N46/(IS!N40+IS!N67)</f>
        <v>4.9597936961106405E-2</v>
      </c>
      <c r="O134" s="436">
        <f>O46/(IS!O40+IS!O67)</f>
        <v>4.3935157480841106E-2</v>
      </c>
      <c r="P134" s="436">
        <f>P46/(IS!P40+IS!P67)</f>
        <v>4.3184585741811173E-2</v>
      </c>
      <c r="Q134" s="436">
        <f>Q46/(IS!Q40+IS!Q67)</f>
        <v>5.2261122461546232E-2</v>
      </c>
      <c r="R134" s="435">
        <f>R46/(IS!R40+IS!R67)</f>
        <v>3.327224023685324E-2</v>
      </c>
      <c r="S134" s="436">
        <f>S46/(IS!S40+IS!S67)</f>
        <v>3.6017544000418122E-2</v>
      </c>
      <c r="T134" s="436">
        <f>T46/(IS!T40+IS!T67)</f>
        <v>3.7999999999999999E-2</v>
      </c>
      <c r="U134" s="436">
        <f>U46/(IS!U40+IS!U67)</f>
        <v>4.4506676468262785E-2</v>
      </c>
      <c r="V134" s="435">
        <f>V46/(IS!V40+IS!V67)</f>
        <v>3.0414834526549597E-2</v>
      </c>
      <c r="W134" s="436">
        <f>W46/(IS!W40+IS!W67)</f>
        <v>3.5066236223978621E-2</v>
      </c>
      <c r="X134" s="436">
        <f>X46/(IS!X40+IS!X67)</f>
        <v>3.6033914272256239E-2</v>
      </c>
      <c r="Y134" s="436">
        <f>Y46/(IS!Y40+IS!Y67)</f>
        <v>4.0090600226500565E-2</v>
      </c>
      <c r="Z134" s="435">
        <f>Z46/(IS!Z40+IS!Z67)</f>
        <v>3.3439490445859872E-2</v>
      </c>
      <c r="AA134" s="436">
        <f>AA46/(IS!AA40+IS!AA67)</f>
        <v>3.5051342812006323E-2</v>
      </c>
      <c r="AB134" s="436">
        <f>AB46/(IS!AB40+IS!AB67)</f>
        <v>3.890672113607626E-2</v>
      </c>
      <c r="AC134" s="436">
        <f>AC46/(IS!AC40+IS!AC67)</f>
        <v>3.7431557989049277E-2</v>
      </c>
      <c r="AD134" s="435">
        <f>AD46/(IS!AD40+IS!AD67)</f>
        <v>3.6051502145922745E-2</v>
      </c>
      <c r="AE134" s="436">
        <f>AE46/(IS!AE40+IS!AE67)</f>
        <v>2.9096477794793262E-2</v>
      </c>
      <c r="AF134" s="436">
        <f>AF46/(IS!AF40+IS!AF67)</f>
        <v>3.0888030888030889E-2</v>
      </c>
      <c r="AG134" s="437">
        <f>AG46/(IS!AG40+IS!AG67)</f>
        <v>3.4937888198757761E-2</v>
      </c>
      <c r="AH134" s="436">
        <f>AH46/(IS!AH40+IS!AH67)</f>
        <v>7.3957016434892539E-2</v>
      </c>
      <c r="AI134" s="436">
        <f>AI46/(IS!AI40+IS!AI67)</f>
        <v>6.2506678063895718E-2</v>
      </c>
      <c r="AJ134" s="436">
        <f>AJ46/(IS!AJ40+IS!AJ67)</f>
        <v>7.1136305985375695E-2</v>
      </c>
      <c r="AK134" s="436">
        <f>AK46/(IS!AK40+IS!AK67)</f>
        <v>7.5913242009132423E-2</v>
      </c>
      <c r="AL134" s="435">
        <f>AL46/(IS!AL40+IS!AL67)</f>
        <v>7.8399999999999997E-2</v>
      </c>
      <c r="AM134" s="436">
        <f>AM46/(IS!AM40+IS!AM67)</f>
        <v>7.8088578088578095E-2</v>
      </c>
      <c r="AN134" s="436">
        <f>AN46/(IS!AN40+IS!AN67)</f>
        <v>0.10046265697290152</v>
      </c>
      <c r="AO134" s="437">
        <f>AO46/(IS!AO40+IS!AO67)</f>
        <v>9.9885189437428246E-2</v>
      </c>
      <c r="AP134" s="435">
        <f>AP46/(IS!AP40+IS!AP67)</f>
        <v>0.1069886269363554</v>
      </c>
      <c r="AQ134" s="436">
        <f>AQ46/(IS!AQ40+IS!AQ67)</f>
        <v>0.11048642383621129</v>
      </c>
      <c r="AR134" s="436">
        <f>AR46/(IS!AR40+IS!AR67)</f>
        <v>0.13050432997940534</v>
      </c>
      <c r="AS134" s="436">
        <f>AS46/(IS!AS40+IS!AS67)</f>
        <v>0.14657101524190397</v>
      </c>
      <c r="AT134" s="435">
        <f>AT46/(IS!AT40+IS!AT67)</f>
        <v>0.13836299774158523</v>
      </c>
      <c r="AU134" s="436">
        <f>AU46/(IS!AU40+IS!AU67)</f>
        <v>0.13829105529711413</v>
      </c>
      <c r="AV134" s="436">
        <f>AV46/(IS!AV40+IS!AV67)</f>
        <v>0.15739364732779831</v>
      </c>
      <c r="AW134" s="436">
        <f>AW46/(IS!AW40+IS!AW67)</f>
        <v>0.14118593944946337</v>
      </c>
      <c r="AX134" s="435">
        <f>AX46/(IS!AX40+IS!AX67)</f>
        <v>0.12015419250290262</v>
      </c>
      <c r="AY134" s="436">
        <f>AY46/(IS!AY40+IS!AY67)</f>
        <v>0.17411477300851827</v>
      </c>
      <c r="AZ134" s="436">
        <f>AZ46/(IS!AZ40+IS!AZ67)</f>
        <v>0.23325079458353415</v>
      </c>
      <c r="BA134" s="436">
        <f>BA46/(IS!BA40+IS!BA67)</f>
        <v>0.14417154891525658</v>
      </c>
      <c r="BB134" s="435">
        <f>BB46/(IS!BB40+IS!BB67)</f>
        <v>0.16094502540524175</v>
      </c>
      <c r="BC134" s="436">
        <f>BC46/(IS!BC40+IS!BC67)</f>
        <v>0.15847275508092892</v>
      </c>
      <c r="BD134" s="436">
        <f>BD46/(IS!BD40+IS!BD67)</f>
        <v>0.15353598014888337</v>
      </c>
      <c r="BE134" s="437">
        <f>BE46/(IS!BE40+IS!BE67)</f>
        <v>0.1387588755386279</v>
      </c>
      <c r="BF134" s="436">
        <f>BF46/(IS!BF40+IS!BF67)</f>
        <v>0.14122770207102051</v>
      </c>
      <c r="BG134" s="436">
        <f>BG46/(IS!BG40+IS!BG67)</f>
        <v>0.1394454015819506</v>
      </c>
      <c r="BH134" s="436">
        <f>BH46/(IS!BH40+IS!BH67)</f>
        <v>0.14832330832859764</v>
      </c>
      <c r="BI134" s="437">
        <f>BI46/(IS!BI40+IS!BI67)</f>
        <v>0.15736267243673951</v>
      </c>
      <c r="BJ134" s="436">
        <f>BJ46/(IS!BJ40+IS!BJ67)</f>
        <v>0.14627979211690328</v>
      </c>
      <c r="BK134" s="436">
        <f>BK46/(IS!BK40+IS!BK67)</f>
        <v>0.15832761512085677</v>
      </c>
      <c r="BL134" s="436">
        <f>BL46/(IS!BL40+IS!BL67)</f>
        <v>0.17377875548350541</v>
      </c>
      <c r="BM134" s="437">
        <f>BM46/(IS!BM40+IS!BM67)</f>
        <v>0.20399574089013367</v>
      </c>
      <c r="BN134" s="436">
        <f>BN46/(IS!BN40+IS!BN67)</f>
        <v>0.2007515499205251</v>
      </c>
      <c r="BO134" s="436">
        <f>BO46/(IS!BO40+IS!BO67)</f>
        <v>0.2083153331782697</v>
      </c>
      <c r="BP134" s="436">
        <f>BP46/(IS!BP40+IS!BP67)</f>
        <v>0.22505314351448563</v>
      </c>
      <c r="BQ134" s="437">
        <f>BQ46/(IS!BQ40+IS!BQ67)</f>
        <v>0.3639806072765196</v>
      </c>
      <c r="BR134" s="436">
        <f>BR46/(IS!BR40+IS!BR67)</f>
        <v>0.31698693126710997</v>
      </c>
      <c r="BS134" s="492">
        <f>BS46/(IS!BS16+IS!BS67)</f>
        <v>0.31105940772336621</v>
      </c>
      <c r="BT134" s="492">
        <f>BT46/(IS!BT16+IS!BT67)</f>
        <v>0.33049673025632897</v>
      </c>
      <c r="BU134" s="27">
        <f>BU46/(IS!BU16+IS!BU67)</f>
        <v>0.3227639094149411</v>
      </c>
      <c r="BV134" s="436">
        <f>BV46/(IS!BV40+IS!BV67)</f>
        <v>1.3479853479853481</v>
      </c>
      <c r="BW134" s="436">
        <f>BW46/(IS!BW40+IS!BW67)</f>
        <v>2.8184971098265894</v>
      </c>
      <c r="BX134" s="251">
        <v>0.35499999999999998</v>
      </c>
      <c r="BY134" s="252">
        <v>0.35499999999999998</v>
      </c>
      <c r="BZ134" s="253">
        <v>0.35499999999999998</v>
      </c>
      <c r="CA134" s="251">
        <v>0.35499999999999998</v>
      </c>
      <c r="CB134" s="251">
        <v>0.35499999999999998</v>
      </c>
      <c r="CC134" s="252">
        <v>0.36449999999999999</v>
      </c>
      <c r="CD134" s="12"/>
      <c r="CE134" s="497"/>
      <c r="CF134" s="436">
        <f>CF46/(IS!CF40+IS!CF67)</f>
        <v>1.956138786863032E-2</v>
      </c>
      <c r="CG134" s="436">
        <f>CG46/(IS!CG40+IS!CG67)</f>
        <v>1.3170570023066406E-2</v>
      </c>
      <c r="CH134" s="436">
        <f>CH46/(IS!CH40+IS!CH67)</f>
        <v>1.1065733716322218E-2</v>
      </c>
      <c r="CI134" s="436">
        <f>CI46/(IS!CI40+IS!CI67)</f>
        <v>1.0342178587010625E-2</v>
      </c>
      <c r="CJ134" s="436">
        <f>CJ46/(IS!CJ40+IS!CJ67)</f>
        <v>9.4297035662336357E-3</v>
      </c>
      <c r="CK134" s="436">
        <f>CK46/(IS!CK40+IS!CK67)</f>
        <v>8.9038385437277406E-3</v>
      </c>
      <c r="CL134" s="436">
        <f>CL46/(IS!CL40+IS!CL67)</f>
        <v>1.8947974276344093E-2</v>
      </c>
      <c r="CM134" s="436">
        <f>CM46/(IS!CM40+IS!CM67)</f>
        <v>2.5416301489921123E-2</v>
      </c>
      <c r="CN134" s="436">
        <f>CN46/(IS!CN40+IS!CN67)</f>
        <v>3.6417543613928446E-2</v>
      </c>
      <c r="CO134" s="436">
        <f>CO46/(IS!CO40+IS!CO67)</f>
        <v>3.5468785134946286E-2</v>
      </c>
      <c r="CP134" s="436">
        <f>CP46/(IS!CP40+IS!CP67)</f>
        <v>5.3980235287926538E-2</v>
      </c>
      <c r="CQ134" s="436">
        <f>CQ46/(IS!CQ40+IS!CQ67)</f>
        <v>3.4087361646246837E-2</v>
      </c>
      <c r="CR134" s="435">
        <f>CR46/(IS!CR40+IS!CR67)</f>
        <v>3.8399393759517453E-2</v>
      </c>
      <c r="CS134" s="436">
        <f>CS46/(IS!CS40+IS!CS67)</f>
        <v>4.5372977161577663E-2</v>
      </c>
      <c r="CT134" s="436">
        <f>CT46/(IS!CT16+IS!CT67)</f>
        <v>9.7857620253701191E-2</v>
      </c>
      <c r="CU134" s="436">
        <f>CU46/(IS!CU16+IS!CU67)</f>
        <v>7.7829029146179937E-2</v>
      </c>
      <c r="CV134" s="436">
        <f>CV46/(IS!CV16+IS!CV67)</f>
        <v>8.8685666541242478E-2</v>
      </c>
      <c r="CW134" s="436">
        <f>CW46/(IS!CW16+IS!CW67)</f>
        <v>8.5528385321807038E-2</v>
      </c>
      <c r="CX134" s="360">
        <f t="shared" ref="CX134:DC134" si="376">CW134</f>
        <v>8.5528385321807038E-2</v>
      </c>
      <c r="CY134" s="360">
        <f t="shared" si="376"/>
        <v>8.5528385321807038E-2</v>
      </c>
      <c r="CZ134" s="360">
        <f t="shared" si="376"/>
        <v>8.5528385321807038E-2</v>
      </c>
      <c r="DA134" s="360">
        <f t="shared" si="376"/>
        <v>8.5528385321807038E-2</v>
      </c>
      <c r="DB134" s="360">
        <f t="shared" si="376"/>
        <v>8.5528385321807038E-2</v>
      </c>
      <c r="DC134" s="360">
        <f t="shared" si="376"/>
        <v>8.5528385321807038E-2</v>
      </c>
      <c r="DD134" s="62"/>
      <c r="DE134" s="24"/>
      <c r="DF134" s="24"/>
      <c r="DG134" s="19"/>
      <c r="DH134" s="19"/>
      <c r="DI134" s="19"/>
      <c r="DJ134" s="19"/>
      <c r="DK134" s="24"/>
      <c r="DL134" s="24"/>
      <c r="DM134" s="24"/>
      <c r="DN134" s="24"/>
      <c r="DO134" s="24"/>
      <c r="DP134" s="24"/>
      <c r="DQ134" s="24"/>
      <c r="DR134" s="24"/>
    </row>
    <row r="135" spans="1:122" hidden="1" outlineLevel="1">
      <c r="A135" s="3"/>
      <c r="B135" s="41"/>
      <c r="C135" s="96"/>
      <c r="D135" s="3"/>
      <c r="E135" s="42"/>
      <c r="F135" s="492"/>
      <c r="G135" s="492"/>
      <c r="H135" s="492"/>
      <c r="I135" s="492"/>
      <c r="J135" s="896"/>
      <c r="K135" s="492"/>
      <c r="L135" s="492"/>
      <c r="M135" s="436"/>
      <c r="N135" s="932"/>
      <c r="O135" s="897"/>
      <c r="P135" s="897"/>
      <c r="Q135" s="897"/>
      <c r="R135" s="932"/>
      <c r="S135" s="897"/>
      <c r="T135" s="897"/>
      <c r="U135" s="897"/>
      <c r="V135" s="932"/>
      <c r="W135" s="897"/>
      <c r="X135" s="897"/>
      <c r="Y135" s="897"/>
      <c r="Z135" s="932"/>
      <c r="AA135" s="897"/>
      <c r="AB135" s="897"/>
      <c r="AC135" s="897"/>
      <c r="AD135" s="932"/>
      <c r="AE135" s="897"/>
      <c r="AF135" s="897"/>
      <c r="AG135" s="897"/>
      <c r="AH135" s="932"/>
      <c r="AI135" s="730"/>
      <c r="AJ135" s="730"/>
      <c r="AK135" s="730"/>
      <c r="AL135" s="933"/>
      <c r="AM135" s="730"/>
      <c r="AN135" s="730"/>
      <c r="AO135" s="730"/>
      <c r="AP135" s="933"/>
      <c r="AQ135" s="730"/>
      <c r="AR135" s="730"/>
      <c r="AS135" s="730"/>
      <c r="AT135" s="933"/>
      <c r="AU135" s="154"/>
      <c r="AV135" s="730"/>
      <c r="AW135" s="730"/>
      <c r="AX135" s="933"/>
      <c r="AY135" s="730"/>
      <c r="AZ135" s="730"/>
      <c r="BA135" s="730"/>
      <c r="BB135" s="933"/>
      <c r="BC135" s="730"/>
      <c r="BD135" s="730"/>
      <c r="BE135" s="730"/>
      <c r="BF135" s="933"/>
      <c r="BG135" s="154"/>
      <c r="BH135" s="730"/>
      <c r="BI135" s="730"/>
      <c r="BJ135" s="933"/>
      <c r="BK135" s="730"/>
      <c r="BL135" s="730"/>
      <c r="BM135" s="155"/>
      <c r="BN135" s="933"/>
      <c r="BO135" s="730"/>
      <c r="BP135" s="730"/>
      <c r="BQ135" s="1352"/>
      <c r="BR135" s="1178"/>
      <c r="BS135" s="730"/>
      <c r="BT135" s="730"/>
      <c r="BU135" s="1352"/>
      <c r="BV135" s="1178"/>
      <c r="BW135" s="730"/>
      <c r="BX135" s="730"/>
      <c r="BY135" s="1352"/>
      <c r="BZ135" s="1178"/>
      <c r="CA135" s="730"/>
      <c r="CB135" s="730"/>
      <c r="CC135" s="1352"/>
      <c r="CD135" s="12"/>
      <c r="CE135" s="896"/>
      <c r="CF135" s="897"/>
      <c r="CG135" s="897"/>
      <c r="CH135" s="897"/>
      <c r="CI135" s="897"/>
      <c r="CJ135" s="897"/>
      <c r="CK135" s="897"/>
      <c r="CL135" s="897"/>
      <c r="CM135" s="897"/>
      <c r="CN135" s="897"/>
      <c r="CO135" s="934"/>
      <c r="CP135" s="934"/>
      <c r="CQ135" s="934"/>
      <c r="CR135" s="1582"/>
      <c r="CS135" s="934"/>
      <c r="CT135" s="934"/>
      <c r="CU135" s="934"/>
      <c r="CV135" s="934"/>
      <c r="CW135" s="934"/>
      <c r="CX135" s="934"/>
      <c r="CY135" s="934"/>
      <c r="CZ135" s="934"/>
      <c r="DA135" s="934"/>
      <c r="DB135" s="934"/>
      <c r="DC135" s="934"/>
      <c r="DD135" s="1440"/>
      <c r="DE135" s="24"/>
      <c r="DF135" s="24"/>
      <c r="DG135" s="19"/>
      <c r="DH135" s="19"/>
      <c r="DI135" s="19"/>
      <c r="DJ135" s="19"/>
      <c r="DK135" s="24"/>
      <c r="DL135" s="24"/>
      <c r="DM135" s="24"/>
      <c r="DN135" s="24"/>
      <c r="DO135" s="24"/>
      <c r="DP135" s="24"/>
      <c r="DQ135" s="24"/>
      <c r="DR135" s="24"/>
    </row>
    <row r="136" spans="1:122" collapsed="1">
      <c r="A136" s="52"/>
      <c r="B136" s="424"/>
      <c r="C136" s="424"/>
      <c r="D136" s="424"/>
      <c r="E136" s="451"/>
      <c r="F136" s="424"/>
      <c r="G136" s="424"/>
      <c r="H136" s="424"/>
      <c r="I136" s="451"/>
      <c r="J136" s="424"/>
      <c r="K136" s="424"/>
      <c r="L136" s="424"/>
      <c r="M136" s="451"/>
      <c r="N136" s="424"/>
      <c r="O136" s="424"/>
      <c r="P136" s="424"/>
      <c r="Q136" s="451"/>
      <c r="R136" s="424"/>
      <c r="S136" s="424"/>
      <c r="T136" s="424"/>
      <c r="U136" s="451"/>
      <c r="V136" s="424"/>
      <c r="W136" s="424"/>
      <c r="X136" s="424"/>
      <c r="Y136" s="451"/>
      <c r="Z136" s="424"/>
      <c r="AA136" s="424"/>
      <c r="AB136" s="424"/>
      <c r="AC136" s="451"/>
      <c r="AD136" s="424"/>
      <c r="AE136" s="424"/>
      <c r="AF136" s="424"/>
      <c r="AG136" s="424"/>
      <c r="AH136" s="424"/>
      <c r="AI136" s="424"/>
      <c r="AJ136" s="424"/>
      <c r="AK136" s="424"/>
      <c r="AL136" s="424"/>
      <c r="AM136" s="424"/>
      <c r="AN136" s="424"/>
      <c r="AO136" s="424"/>
      <c r="AP136" s="424"/>
      <c r="AQ136" s="424"/>
      <c r="AR136" s="424"/>
      <c r="AS136" s="424"/>
      <c r="AT136" s="424"/>
      <c r="AU136" s="424"/>
      <c r="AV136" s="424"/>
      <c r="AW136" s="424"/>
      <c r="AX136" s="424"/>
      <c r="AY136" s="424"/>
      <c r="AZ136" s="424"/>
      <c r="BA136" s="424"/>
      <c r="BB136" s="424"/>
      <c r="BC136" s="424"/>
      <c r="BD136" s="424"/>
      <c r="BE136" s="424"/>
      <c r="BF136" s="424"/>
      <c r="BG136" s="104"/>
      <c r="BH136" s="424"/>
      <c r="BI136" s="424"/>
      <c r="BJ136" s="424"/>
      <c r="BK136" s="424"/>
      <c r="BL136" s="424"/>
      <c r="BM136" s="424"/>
      <c r="BN136" s="424"/>
      <c r="BO136" s="424"/>
      <c r="BP136" s="424"/>
      <c r="BQ136" s="424"/>
      <c r="BR136" s="2141"/>
      <c r="BS136" s="424"/>
      <c r="BT136" s="424"/>
      <c r="BU136" s="424"/>
      <c r="BV136" s="424"/>
      <c r="BW136" s="424"/>
      <c r="BX136" s="424"/>
      <c r="BY136" s="424"/>
      <c r="BZ136" s="424"/>
      <c r="CA136" s="424"/>
      <c r="CB136" s="424"/>
      <c r="CC136" s="424"/>
      <c r="CD136" s="96"/>
      <c r="CE136" s="104"/>
      <c r="CF136" s="104"/>
      <c r="CG136" s="104"/>
      <c r="CH136" s="104"/>
      <c r="CI136" s="104"/>
      <c r="CJ136" s="424"/>
      <c r="CK136" s="424"/>
      <c r="CL136" s="424"/>
      <c r="CM136" s="424"/>
      <c r="CN136" s="424"/>
      <c r="CO136" s="424"/>
      <c r="CP136" s="424"/>
      <c r="CQ136" s="424"/>
      <c r="CR136" s="424"/>
      <c r="CS136" s="424"/>
      <c r="CT136" s="424"/>
      <c r="CU136" s="424"/>
      <c r="CV136" s="424"/>
      <c r="CW136" s="424"/>
      <c r="CX136" s="424"/>
      <c r="CY136" s="424"/>
      <c r="CZ136" s="424"/>
      <c r="DA136" s="424"/>
      <c r="DB136" s="424"/>
      <c r="DC136" s="424"/>
      <c r="DD136" s="451"/>
      <c r="DE136" s="24"/>
      <c r="DF136" s="24"/>
      <c r="DG136" s="24"/>
      <c r="DH136" s="24"/>
      <c r="DI136" s="24"/>
      <c r="DJ136" s="24"/>
      <c r="DK136" s="24"/>
      <c r="DL136" s="24"/>
      <c r="DM136" s="24"/>
      <c r="DN136" s="24"/>
      <c r="DO136" s="24"/>
      <c r="DP136" s="24"/>
      <c r="DQ136" s="24"/>
      <c r="DR136" s="24"/>
    </row>
    <row r="137" spans="1:122">
      <c r="A137" s="3" t="s">
        <v>25</v>
      </c>
      <c r="B137" s="416" t="s">
        <v>896</v>
      </c>
      <c r="C137" s="419"/>
      <c r="D137" s="419"/>
      <c r="E137" s="710"/>
      <c r="F137" s="445"/>
      <c r="G137" s="445"/>
      <c r="H137" s="445"/>
      <c r="I137" s="421"/>
      <c r="J137" s="445"/>
      <c r="K137" s="445"/>
      <c r="L137" s="445"/>
      <c r="M137" s="421"/>
      <c r="N137" s="445"/>
      <c r="O137" s="445"/>
      <c r="P137" s="445"/>
      <c r="Q137" s="421"/>
      <c r="R137" s="445"/>
      <c r="S137" s="445"/>
      <c r="T137" s="445"/>
      <c r="U137" s="421"/>
      <c r="V137" s="445"/>
      <c r="W137" s="445"/>
      <c r="X137" s="445"/>
      <c r="Y137" s="421"/>
      <c r="Z137" s="445"/>
      <c r="AA137" s="445"/>
      <c r="AB137" s="445"/>
      <c r="AC137" s="421"/>
      <c r="AD137" s="445"/>
      <c r="AE137" s="445"/>
      <c r="AF137" s="445"/>
      <c r="AG137" s="421"/>
      <c r="AH137" s="445"/>
      <c r="AI137" s="419"/>
      <c r="AJ137" s="419"/>
      <c r="AK137" s="421"/>
      <c r="AL137" s="418"/>
      <c r="AM137" s="419"/>
      <c r="AN137" s="419"/>
      <c r="AO137" s="421"/>
      <c r="AP137" s="418"/>
      <c r="AQ137" s="419"/>
      <c r="AR137" s="419"/>
      <c r="AS137" s="421"/>
      <c r="AT137" s="418"/>
      <c r="AU137" s="419"/>
      <c r="AV137" s="419"/>
      <c r="AW137" s="421"/>
      <c r="AX137" s="418"/>
      <c r="AY137" s="419"/>
      <c r="AZ137" s="419"/>
      <c r="BA137" s="421"/>
      <c r="BB137" s="418"/>
      <c r="BC137" s="419"/>
      <c r="BD137" s="419"/>
      <c r="BE137" s="421"/>
      <c r="BF137" s="418"/>
      <c r="BG137" s="419"/>
      <c r="BH137" s="419"/>
      <c r="BI137" s="421"/>
      <c r="BJ137" s="418"/>
      <c r="BK137" s="419"/>
      <c r="BL137" s="419"/>
      <c r="BM137" s="421"/>
      <c r="BN137" s="513"/>
      <c r="BO137" s="163"/>
      <c r="BP137" s="163"/>
      <c r="BQ137" s="514"/>
      <c r="BR137" s="513"/>
      <c r="BS137" s="163"/>
      <c r="BT137" s="163"/>
      <c r="BU137" s="514"/>
      <c r="BV137" s="513"/>
      <c r="BW137" s="163"/>
      <c r="BX137" s="163"/>
      <c r="BY137" s="514"/>
      <c r="BZ137" s="513"/>
      <c r="CA137" s="163"/>
      <c r="CB137" s="163"/>
      <c r="CC137" s="514"/>
      <c r="CD137" s="12"/>
      <c r="CE137" s="417"/>
      <c r="CF137" s="417"/>
      <c r="CG137" s="417"/>
      <c r="CH137" s="417"/>
      <c r="CI137" s="417"/>
      <c r="CJ137" s="417"/>
      <c r="CK137" s="417"/>
      <c r="CL137" s="417"/>
      <c r="CM137" s="417"/>
      <c r="CN137" s="417"/>
      <c r="CO137" s="417"/>
      <c r="CP137" s="417"/>
      <c r="CQ137" s="417"/>
      <c r="CR137" s="1577"/>
      <c r="CS137" s="417"/>
      <c r="CT137" s="417"/>
      <c r="CU137" s="162"/>
      <c r="CV137" s="162"/>
      <c r="CW137" s="162"/>
      <c r="CX137" s="162"/>
      <c r="CY137" s="162"/>
      <c r="CZ137" s="162"/>
      <c r="DA137" s="162"/>
      <c r="DB137" s="162"/>
      <c r="DC137" s="162"/>
      <c r="DD137" s="1550"/>
      <c r="DE137" s="24"/>
      <c r="DF137" s="24"/>
      <c r="DG137" s="30"/>
      <c r="DH137" s="30"/>
      <c r="DI137" s="24"/>
      <c r="DJ137" s="24"/>
      <c r="DK137" s="24"/>
      <c r="DL137" s="24"/>
      <c r="DM137" s="24"/>
      <c r="DN137" s="24"/>
      <c r="DO137" s="24"/>
      <c r="DP137" s="24"/>
      <c r="DQ137" s="24"/>
      <c r="DR137" s="24"/>
    </row>
    <row r="138" spans="1:122" ht="4.5" hidden="1" customHeight="1" outlineLevel="1">
      <c r="A138" s="3"/>
      <c r="B138" s="76"/>
      <c r="C138" s="96"/>
      <c r="D138" s="96"/>
      <c r="E138" s="97"/>
      <c r="F138" s="96"/>
      <c r="G138" s="96"/>
      <c r="H138" s="96"/>
      <c r="I138" s="97"/>
      <c r="J138" s="96"/>
      <c r="K138" s="96"/>
      <c r="L138" s="96"/>
      <c r="M138" s="97"/>
      <c r="N138" s="96"/>
      <c r="O138" s="96"/>
      <c r="P138" s="96"/>
      <c r="Q138" s="97"/>
      <c r="R138" s="96"/>
      <c r="S138" s="96"/>
      <c r="T138" s="96"/>
      <c r="U138" s="97"/>
      <c r="V138" s="96"/>
      <c r="W138" s="96"/>
      <c r="X138" s="96"/>
      <c r="Y138" s="97"/>
      <c r="Z138" s="96"/>
      <c r="AA138" s="96"/>
      <c r="AB138" s="96"/>
      <c r="AC138" s="97"/>
      <c r="AD138" s="96"/>
      <c r="AE138" s="96"/>
      <c r="AF138" s="96"/>
      <c r="AG138" s="97"/>
      <c r="AH138" s="96"/>
      <c r="AI138" s="63"/>
      <c r="AJ138" s="63"/>
      <c r="AK138" s="97"/>
      <c r="AL138" s="329"/>
      <c r="AM138" s="63"/>
      <c r="AN138" s="63"/>
      <c r="AO138" s="97"/>
      <c r="AP138" s="329"/>
      <c r="AQ138" s="63"/>
      <c r="AR138" s="63"/>
      <c r="AS138" s="97"/>
      <c r="AT138" s="329"/>
      <c r="AU138" s="63"/>
      <c r="AV138" s="63"/>
      <c r="AW138" s="97"/>
      <c r="AX138" s="329"/>
      <c r="AY138" s="63"/>
      <c r="AZ138" s="63"/>
      <c r="BA138" s="97"/>
      <c r="BB138" s="329"/>
      <c r="BC138" s="63"/>
      <c r="BD138" s="63"/>
      <c r="BE138" s="97"/>
      <c r="BF138" s="329"/>
      <c r="BG138" s="63"/>
      <c r="BH138" s="63"/>
      <c r="BI138" s="97"/>
      <c r="BJ138" s="329"/>
      <c r="BK138" s="63"/>
      <c r="BL138" s="63"/>
      <c r="BM138" s="97"/>
      <c r="BN138" s="76"/>
      <c r="BO138" s="96"/>
      <c r="BP138" s="96"/>
      <c r="BQ138" s="97"/>
      <c r="BR138" s="76"/>
      <c r="BS138" s="96"/>
      <c r="BT138" s="96"/>
      <c r="BU138" s="97"/>
      <c r="BV138" s="76"/>
      <c r="BW138" s="96"/>
      <c r="BX138" s="96"/>
      <c r="BY138" s="97"/>
      <c r="BZ138" s="76"/>
      <c r="CA138" s="96"/>
      <c r="CB138" s="96"/>
      <c r="CC138" s="97"/>
      <c r="CD138" s="12"/>
      <c r="CE138" s="96"/>
      <c r="CF138" s="96"/>
      <c r="CG138" s="96"/>
      <c r="CH138" s="96"/>
      <c r="CI138" s="96"/>
      <c r="CJ138" s="96"/>
      <c r="CK138" s="96"/>
      <c r="CL138" s="96"/>
      <c r="CM138" s="96"/>
      <c r="CN138" s="96"/>
      <c r="CO138" s="96"/>
      <c r="CP138" s="96"/>
      <c r="CQ138" s="96"/>
      <c r="CR138" s="76"/>
      <c r="CS138" s="96"/>
      <c r="CT138" s="96"/>
      <c r="CU138" s="96"/>
      <c r="CV138" s="96"/>
      <c r="CW138" s="96"/>
      <c r="CX138" s="96"/>
      <c r="CY138" s="96"/>
      <c r="CZ138" s="96"/>
      <c r="DA138" s="96"/>
      <c r="DB138" s="96"/>
      <c r="DC138" s="96"/>
      <c r="DD138" s="97"/>
      <c r="DE138" s="24"/>
      <c r="DF138" s="24"/>
      <c r="DG138" s="24"/>
      <c r="DH138" s="24"/>
      <c r="DI138" s="24"/>
      <c r="DJ138" s="24"/>
      <c r="DK138" s="24"/>
      <c r="DL138" s="24"/>
      <c r="DM138" s="24"/>
      <c r="DN138" s="24"/>
      <c r="DO138" s="24"/>
      <c r="DP138" s="24"/>
      <c r="DQ138" s="24"/>
      <c r="DR138" s="24"/>
    </row>
    <row r="139" spans="1:122" hidden="1" outlineLevel="1">
      <c r="A139" s="3"/>
      <c r="B139" s="256" t="s">
        <v>18</v>
      </c>
      <c r="C139" s="3"/>
      <c r="D139" s="3"/>
      <c r="E139" s="139"/>
      <c r="F139" s="431"/>
      <c r="G139" s="431"/>
      <c r="H139" s="431"/>
      <c r="I139" s="588"/>
      <c r="J139" s="431"/>
      <c r="K139" s="431"/>
      <c r="L139" s="431"/>
      <c r="M139" s="588">
        <f t="shared" ref="M139:AG139" si="377">M117</f>
        <v>-8.0296695040772832</v>
      </c>
      <c r="N139" s="431">
        <f t="shared" si="377"/>
        <v>-9.6059648319748447</v>
      </c>
      <c r="O139" s="431">
        <f t="shared" si="377"/>
        <v>-7.140063206343271</v>
      </c>
      <c r="P139" s="431">
        <f t="shared" si="377"/>
        <v>-11.939844870689015</v>
      </c>
      <c r="Q139" s="588">
        <f t="shared" si="377"/>
        <v>-8.1939106478319346</v>
      </c>
      <c r="R139" s="431">
        <f t="shared" si="377"/>
        <v>0.68671772653243579</v>
      </c>
      <c r="S139" s="431">
        <f t="shared" si="377"/>
        <v>-2.096962120116892</v>
      </c>
      <c r="T139" s="431">
        <f t="shared" si="377"/>
        <v>-2.0146818290900441</v>
      </c>
      <c r="U139" s="588">
        <f t="shared" si="377"/>
        <v>-2.1854079470891605</v>
      </c>
      <c r="V139" s="431">
        <f t="shared" si="377"/>
        <v>-5.8440807196164997</v>
      </c>
      <c r="W139" s="431">
        <f t="shared" si="377"/>
        <v>-8.3927853613316685</v>
      </c>
      <c r="X139" s="431">
        <f t="shared" si="377"/>
        <v>-10.907156344115812</v>
      </c>
      <c r="Y139" s="588">
        <f t="shared" si="377"/>
        <v>-9.6163050749951324</v>
      </c>
      <c r="Z139" s="431">
        <f t="shared" si="377"/>
        <v>-9.5186172397493891</v>
      </c>
      <c r="AA139" s="431">
        <f t="shared" si="377"/>
        <v>-7.2817479231633868</v>
      </c>
      <c r="AB139" s="431">
        <f t="shared" si="377"/>
        <v>-3.0163393218147192</v>
      </c>
      <c r="AC139" s="588">
        <f t="shared" si="377"/>
        <v>-3.0979826363270249</v>
      </c>
      <c r="AD139" s="431">
        <f t="shared" si="377"/>
        <v>-2.2280679363866653</v>
      </c>
      <c r="AE139" s="431">
        <f t="shared" si="377"/>
        <v>-0.17642912816064893</v>
      </c>
      <c r="AF139" s="431">
        <f t="shared" si="377"/>
        <v>-0.43267790320766153</v>
      </c>
      <c r="AG139" s="588">
        <f t="shared" si="377"/>
        <v>-2.4067124580359121</v>
      </c>
      <c r="AH139" s="431">
        <f t="shared" ref="AH139:AS139" si="378">AH117</f>
        <v>9.9698225928559339</v>
      </c>
      <c r="AI139" s="431">
        <f t="shared" si="378"/>
        <v>4.0950229830697111</v>
      </c>
      <c r="AJ139" s="431">
        <f t="shared" si="378"/>
        <v>5.4664183827425035</v>
      </c>
      <c r="AK139" s="588">
        <f t="shared" si="378"/>
        <v>4.0833971798203663</v>
      </c>
      <c r="AL139" s="431">
        <f t="shared" si="378"/>
        <v>6.755368520044172</v>
      </c>
      <c r="AM139" s="431">
        <f t="shared" si="378"/>
        <v>8.8912904124339533</v>
      </c>
      <c r="AN139" s="431">
        <f t="shared" si="378"/>
        <v>5.297198357467451</v>
      </c>
      <c r="AO139" s="588">
        <f t="shared" si="378"/>
        <v>1.3711499364583233</v>
      </c>
      <c r="AP139" s="431">
        <f t="shared" si="378"/>
        <v>-4.2405227431557933</v>
      </c>
      <c r="AQ139" s="431">
        <f t="shared" si="378"/>
        <v>-2.240687804689685</v>
      </c>
      <c r="AR139" s="431">
        <f t="shared" si="378"/>
        <v>-2.8371067622587418</v>
      </c>
      <c r="AS139" s="588">
        <f t="shared" si="378"/>
        <v>1.299937417457059</v>
      </c>
      <c r="AT139" s="431">
        <f t="shared" ref="AT139:BA139" si="379">AT117</f>
        <v>-2.6561206815610632</v>
      </c>
      <c r="AU139" s="431">
        <f t="shared" si="379"/>
        <v>-2.2844471028012379</v>
      </c>
      <c r="AV139" s="431">
        <f t="shared" si="379"/>
        <v>2.2865636206818181</v>
      </c>
      <c r="AW139" s="588">
        <f t="shared" si="379"/>
        <v>0.11723902214251325</v>
      </c>
      <c r="AX139" s="431">
        <f t="shared" si="379"/>
        <v>0.85602520350043676</v>
      </c>
      <c r="AY139" s="431">
        <f t="shared" si="379"/>
        <v>5.8942701523353591</v>
      </c>
      <c r="AZ139" s="431">
        <f t="shared" si="379"/>
        <v>1.943690856079769</v>
      </c>
      <c r="BA139" s="588">
        <f t="shared" si="379"/>
        <v>1.4066255621474255</v>
      </c>
      <c r="BB139" s="431">
        <f t="shared" ref="BB139:BE142" si="380">BB117</f>
        <v>3.6787985769697258</v>
      </c>
      <c r="BC139" s="431">
        <f t="shared" si="380"/>
        <v>8.4815163186901827</v>
      </c>
      <c r="BD139" s="431">
        <f t="shared" si="380"/>
        <v>12.553417086529251</v>
      </c>
      <c r="BE139" s="588">
        <f>BE117</f>
        <v>16.331114603061962</v>
      </c>
      <c r="BF139" s="431">
        <f>BF117</f>
        <v>14.824067885383741</v>
      </c>
      <c r="BG139" s="431">
        <f t="shared" ref="BF139:BI142" si="381">BG117</f>
        <v>18.230565807898117</v>
      </c>
      <c r="BH139" s="431">
        <f t="shared" si="381"/>
        <v>22.552082039393667</v>
      </c>
      <c r="BI139" s="588">
        <f>BI117</f>
        <v>23.481996680293832</v>
      </c>
      <c r="BJ139" s="431">
        <f>BJ117</f>
        <v>19.359023733422134</v>
      </c>
      <c r="BK139" s="431">
        <f t="shared" ref="BK139:BM142" si="382">BK117</f>
        <v>17.337714315088448</v>
      </c>
      <c r="BL139" s="431">
        <f t="shared" si="382"/>
        <v>18.060177154756545</v>
      </c>
      <c r="BM139" s="588">
        <f>BM117</f>
        <v>23.07852633461863</v>
      </c>
      <c r="BN139" s="966">
        <f t="shared" ref="BN139:BQ142" si="383">BN117</f>
        <v>23.438989097741711</v>
      </c>
      <c r="BO139" s="431">
        <f t="shared" si="383"/>
        <v>22.49126913614225</v>
      </c>
      <c r="BP139" s="431">
        <f>BP117</f>
        <v>25.260492561937255</v>
      </c>
      <c r="BQ139" s="588">
        <f t="shared" si="383"/>
        <v>41.253071386489253</v>
      </c>
      <c r="BR139" s="966">
        <f t="shared" ref="BR139:BU142" si="384">BR117</f>
        <v>38.684226200948771</v>
      </c>
      <c r="BS139" s="431">
        <f>BS117</f>
        <v>34.68763042704272</v>
      </c>
      <c r="BT139" s="431">
        <f t="shared" si="384"/>
        <v>34.475575299764117</v>
      </c>
      <c r="BU139" s="588">
        <f t="shared" si="384"/>
        <v>36.721657503005929</v>
      </c>
      <c r="BV139" s="966">
        <f t="shared" ref="BV139:BY142" si="385">BV117</f>
        <v>37.615636974442737</v>
      </c>
      <c r="BW139" s="431">
        <f t="shared" si="385"/>
        <v>38.719641209220725</v>
      </c>
      <c r="BX139" s="431">
        <f t="shared" si="385"/>
        <v>37</v>
      </c>
      <c r="BY139" s="588">
        <f t="shared" si="385"/>
        <v>34</v>
      </c>
      <c r="BZ139" s="966">
        <f t="shared" ref="BZ139:CC142" si="386">BZ117</f>
        <v>37</v>
      </c>
      <c r="CA139" s="431">
        <f t="shared" si="386"/>
        <v>36</v>
      </c>
      <c r="CB139" s="431">
        <f t="shared" si="386"/>
        <v>37</v>
      </c>
      <c r="CC139" s="588">
        <f t="shared" si="386"/>
        <v>42.410000000000011</v>
      </c>
      <c r="CD139" s="415"/>
      <c r="CE139" s="431"/>
      <c r="CF139" s="431">
        <f t="shared" ref="CF139:CK139" si="387">CF117</f>
        <v>-7.6956632894911792</v>
      </c>
      <c r="CG139" s="431">
        <f t="shared" si="387"/>
        <v>-8.4087652153734567</v>
      </c>
      <c r="CH139" s="431">
        <f t="shared" si="387"/>
        <v>-2.9204256969940161</v>
      </c>
      <c r="CI139" s="431">
        <f t="shared" si="387"/>
        <v>-9.4356331385739196</v>
      </c>
      <c r="CJ139" s="431">
        <f t="shared" si="387"/>
        <v>-3.6950728507857988</v>
      </c>
      <c r="CK139" s="431">
        <f t="shared" si="387"/>
        <v>-3.248953706199714</v>
      </c>
      <c r="CL139" s="431">
        <f>CL117</f>
        <v>3.904674245528895</v>
      </c>
      <c r="CM139" s="431">
        <f>CM117</f>
        <v>2.0817510336113827</v>
      </c>
      <c r="CN139" s="431">
        <f>CN117</f>
        <v>0.11249760558602873</v>
      </c>
      <c r="CO139" s="431">
        <f>CO117</f>
        <v>0.52062280838870834</v>
      </c>
      <c r="CP139" s="431">
        <f>CP117</f>
        <v>3.5855187303554459</v>
      </c>
      <c r="CQ139" s="431">
        <f t="shared" ref="CQ139:CR142" si="388">CQ117</f>
        <v>15.624204116943361</v>
      </c>
      <c r="CR139" s="966">
        <f t="shared" si="388"/>
        <v>22.344349028531781</v>
      </c>
      <c r="CS139" s="431">
        <f t="shared" ref="CS139:DA139" si="389">CS117</f>
        <v>19.944522646750983</v>
      </c>
      <c r="CT139" s="431">
        <f t="shared" si="389"/>
        <v>44.061087671603659</v>
      </c>
      <c r="CU139" s="431">
        <f t="shared" ref="CU139:CV142" si="390">CU117</f>
        <v>37.064543846848139</v>
      </c>
      <c r="CV139" s="431">
        <f t="shared" si="390"/>
        <v>32.601781188380599</v>
      </c>
      <c r="CW139" s="431">
        <f>CW117</f>
        <v>38.807884220346274</v>
      </c>
      <c r="CX139" s="431">
        <f t="shared" si="389"/>
        <v>43</v>
      </c>
      <c r="CY139" s="431">
        <f t="shared" si="389"/>
        <v>43</v>
      </c>
      <c r="CZ139" s="431">
        <f t="shared" si="389"/>
        <v>43</v>
      </c>
      <c r="DA139" s="431">
        <f t="shared" si="389"/>
        <v>43</v>
      </c>
      <c r="DB139" s="431">
        <f t="shared" ref="DB139:DC142" si="391">DB117</f>
        <v>43</v>
      </c>
      <c r="DC139" s="431">
        <f t="shared" si="391"/>
        <v>43</v>
      </c>
      <c r="DD139" s="588"/>
      <c r="DE139" s="24"/>
      <c r="DF139" s="24"/>
      <c r="DG139" s="19"/>
      <c r="DH139" s="19"/>
      <c r="DI139" s="19"/>
      <c r="DJ139" s="19"/>
      <c r="DK139" s="24"/>
      <c r="DL139" s="24"/>
      <c r="DM139" s="24"/>
      <c r="DN139" s="24"/>
      <c r="DO139" s="24"/>
      <c r="DP139" s="24"/>
      <c r="DQ139" s="24"/>
      <c r="DR139" s="24"/>
    </row>
    <row r="140" spans="1:122" hidden="1" outlineLevel="1">
      <c r="A140" s="3"/>
      <c r="B140" s="76"/>
      <c r="C140" s="3" t="s">
        <v>49</v>
      </c>
      <c r="D140" s="3"/>
      <c r="E140" s="97"/>
      <c r="F140" s="524"/>
      <c r="G140" s="524"/>
      <c r="H140" s="524"/>
      <c r="I140" s="525"/>
      <c r="J140" s="524"/>
      <c r="K140" s="524"/>
      <c r="L140" s="524"/>
      <c r="M140" s="525">
        <f t="shared" ref="M140:AG140" si="392">M118</f>
        <v>37.23615056818182</v>
      </c>
      <c r="N140" s="524">
        <f t="shared" si="392"/>
        <v>35.980436004453033</v>
      </c>
      <c r="O140" s="524">
        <f t="shared" si="392"/>
        <v>29.905284649403836</v>
      </c>
      <c r="P140" s="524">
        <f t="shared" si="392"/>
        <v>25.512769723902807</v>
      </c>
      <c r="Q140" s="525">
        <f t="shared" si="392"/>
        <v>32.985508436385906</v>
      </c>
      <c r="R140" s="524">
        <f t="shared" si="392"/>
        <v>41.419727435270303</v>
      </c>
      <c r="S140" s="524">
        <f t="shared" si="392"/>
        <v>39.38385036496949</v>
      </c>
      <c r="T140" s="524">
        <f t="shared" si="392"/>
        <v>38.285813141371399</v>
      </c>
      <c r="U140" s="525">
        <f t="shared" si="392"/>
        <v>38.468820143763644</v>
      </c>
      <c r="V140" s="524">
        <f t="shared" si="392"/>
        <v>44.274818659311563</v>
      </c>
      <c r="W140" s="524">
        <f t="shared" si="392"/>
        <v>37.203337417343619</v>
      </c>
      <c r="X140" s="524">
        <f t="shared" si="392"/>
        <v>39.86452648228876</v>
      </c>
      <c r="Y140" s="525">
        <f t="shared" si="392"/>
        <v>39.417374013236397</v>
      </c>
      <c r="Z140" s="524">
        <f t="shared" si="392"/>
        <v>41.920776699644541</v>
      </c>
      <c r="AA140" s="524">
        <f t="shared" si="392"/>
        <v>34.890731824811418</v>
      </c>
      <c r="AB140" s="524">
        <f t="shared" si="392"/>
        <v>39.383045901590705</v>
      </c>
      <c r="AC140" s="525">
        <f t="shared" si="392"/>
        <v>40.808068140990947</v>
      </c>
      <c r="AD140" s="524">
        <f t="shared" si="392"/>
        <v>43.718394778718498</v>
      </c>
      <c r="AE140" s="524">
        <f t="shared" si="392"/>
        <v>42.569521425974045</v>
      </c>
      <c r="AF140" s="524">
        <f t="shared" si="392"/>
        <v>46.651497180967418</v>
      </c>
      <c r="AG140" s="525">
        <f t="shared" si="392"/>
        <v>46.918588746783357</v>
      </c>
      <c r="AH140" s="524">
        <f t="shared" ref="AH140:AS140" si="393">AH118</f>
        <v>50.198512821546167</v>
      </c>
      <c r="AI140" s="524">
        <f>AI118</f>
        <v>44.837275171382927</v>
      </c>
      <c r="AJ140" s="524">
        <f t="shared" si="393"/>
        <v>44.671151560261137</v>
      </c>
      <c r="AK140" s="525">
        <f t="shared" si="393"/>
        <v>46.621662485942821</v>
      </c>
      <c r="AL140" s="524">
        <f t="shared" si="393"/>
        <v>46.173766146156929</v>
      </c>
      <c r="AM140" s="524">
        <f t="shared" si="393"/>
        <v>46.229189955812956</v>
      </c>
      <c r="AN140" s="524">
        <f t="shared" si="393"/>
        <v>47.621320836929748</v>
      </c>
      <c r="AO140" s="525">
        <f>AO118</f>
        <v>44.182446470476293</v>
      </c>
      <c r="AP140" s="524">
        <f t="shared" si="393"/>
        <v>46.100543478260867</v>
      </c>
      <c r="AQ140" s="524">
        <f t="shared" si="393"/>
        <v>47.428407789232537</v>
      </c>
      <c r="AR140" s="524">
        <f t="shared" si="393"/>
        <v>43.787959106399093</v>
      </c>
      <c r="AS140" s="525">
        <f t="shared" si="393"/>
        <v>48.510495382031905</v>
      </c>
      <c r="AT140" s="524">
        <f t="shared" ref="AT140:BA140" si="394">AT118</f>
        <v>48.733142623620758</v>
      </c>
      <c r="AU140" s="524">
        <f t="shared" si="394"/>
        <v>45.959595959595966</v>
      </c>
      <c r="AV140" s="524">
        <f t="shared" si="394"/>
        <v>47.838365896980463</v>
      </c>
      <c r="AW140" s="525">
        <f t="shared" si="394"/>
        <v>46.172284644194754</v>
      </c>
      <c r="AX140" s="524">
        <f t="shared" si="394"/>
        <v>45.300668151447667</v>
      </c>
      <c r="AY140" s="524">
        <f t="shared" si="394"/>
        <v>34.073684210526316</v>
      </c>
      <c r="AZ140" s="524">
        <f t="shared" si="394"/>
        <v>72.054036243822068</v>
      </c>
      <c r="BA140" s="525">
        <f t="shared" si="394"/>
        <v>45.748422381152714</v>
      </c>
      <c r="BB140" s="524">
        <f t="shared" si="380"/>
        <v>43.516728624535318</v>
      </c>
      <c r="BC140" s="524">
        <f t="shared" si="380"/>
        <v>41.21652719665272</v>
      </c>
      <c r="BD140" s="524">
        <f t="shared" si="380"/>
        <v>41.551540913921365</v>
      </c>
      <c r="BE140" s="525">
        <f>BE118</f>
        <v>44.247854077253223</v>
      </c>
      <c r="BF140" s="524">
        <f>BF118</f>
        <v>42.373817034700316</v>
      </c>
      <c r="BG140" s="524">
        <f t="shared" si="381"/>
        <v>44.881419939577036</v>
      </c>
      <c r="BH140" s="524">
        <f t="shared" si="381"/>
        <v>44.770186335403729</v>
      </c>
      <c r="BI140" s="525">
        <f>BI118</f>
        <v>50.119967132292523</v>
      </c>
      <c r="BJ140" s="524">
        <f>BJ118</f>
        <v>43.710372812579259</v>
      </c>
      <c r="BK140" s="524">
        <f t="shared" si="382"/>
        <v>44.002057613168724</v>
      </c>
      <c r="BL140" s="524">
        <f t="shared" si="382"/>
        <v>43.952676056338028</v>
      </c>
      <c r="BM140" s="525">
        <f>BM118</f>
        <v>44.169225947978688</v>
      </c>
      <c r="BN140" s="1151">
        <f t="shared" si="383"/>
        <v>44.247619047619047</v>
      </c>
      <c r="BO140" s="524">
        <f t="shared" si="383"/>
        <v>45.764244799517634</v>
      </c>
      <c r="BP140" s="524">
        <f>BP118</f>
        <v>40.881644223954638</v>
      </c>
      <c r="BQ140" s="525">
        <f t="shared" si="383"/>
        <v>38.458369098712446</v>
      </c>
      <c r="BR140" s="1151">
        <f t="shared" si="384"/>
        <v>39.481544336020363</v>
      </c>
      <c r="BS140" s="524">
        <f>BS118</f>
        <v>37.718494271685756</v>
      </c>
      <c r="BT140" s="524">
        <f t="shared" si="384"/>
        <v>38.549365454936549</v>
      </c>
      <c r="BU140" s="525">
        <f t="shared" si="384"/>
        <v>37.012804626187531</v>
      </c>
      <c r="BV140" s="1151">
        <f t="shared" si="385"/>
        <v>37.307855626326969</v>
      </c>
      <c r="BW140" s="524">
        <f t="shared" si="385"/>
        <v>35.379310344827587</v>
      </c>
      <c r="BX140" s="524">
        <f t="shared" si="385"/>
        <v>38</v>
      </c>
      <c r="BY140" s="525">
        <f t="shared" si="385"/>
        <v>36</v>
      </c>
      <c r="BZ140" s="1151">
        <f t="shared" si="386"/>
        <v>38</v>
      </c>
      <c r="CA140" s="524">
        <f t="shared" si="386"/>
        <v>37</v>
      </c>
      <c r="CB140" s="524">
        <f t="shared" si="386"/>
        <v>38</v>
      </c>
      <c r="CC140" s="525">
        <f t="shared" si="386"/>
        <v>41.36</v>
      </c>
      <c r="CD140" s="415"/>
      <c r="CE140" s="524"/>
      <c r="CF140" s="524">
        <f t="shared" ref="CF140:CL140" si="395">CF118</f>
        <v>37.130658645561667</v>
      </c>
      <c r="CG140" s="524">
        <f t="shared" si="395"/>
        <v>32.747304200008109</v>
      </c>
      <c r="CH140" s="524">
        <f t="shared" si="395"/>
        <v>37.612373521990158</v>
      </c>
      <c r="CI140" s="524">
        <f t="shared" si="395"/>
        <v>40.525132454049015</v>
      </c>
      <c r="CJ140" s="524">
        <f t="shared" si="395"/>
        <v>40.483034598014335</v>
      </c>
      <c r="CK140" s="524">
        <f t="shared" si="395"/>
        <v>46.520142376094</v>
      </c>
      <c r="CL140" s="524">
        <f t="shared" si="395"/>
        <v>45.78295498704356</v>
      </c>
      <c r="CM140" s="524">
        <f t="shared" ref="CM140:CN142" si="396">CM118</f>
        <v>45.356485293627735</v>
      </c>
      <c r="CN140" s="524">
        <f t="shared" si="396"/>
        <v>46.542131979695426</v>
      </c>
      <c r="CO140" s="524">
        <f t="shared" ref="CO140:CT140" si="397">CO118</f>
        <v>45.963245275138348</v>
      </c>
      <c r="CP140" s="524">
        <f t="shared" si="397"/>
        <v>69.339958326654909</v>
      </c>
      <c r="CQ140" s="524">
        <f t="shared" si="388"/>
        <v>42.632076086248453</v>
      </c>
      <c r="CR140" s="1151">
        <f t="shared" si="388"/>
        <v>47.983146067415731</v>
      </c>
      <c r="CS140" s="524">
        <f t="shared" si="397"/>
        <v>38.373593192423826</v>
      </c>
      <c r="CT140" s="524">
        <f t="shared" si="397"/>
        <v>41.151762351854707</v>
      </c>
      <c r="CU140" s="524">
        <f t="shared" si="390"/>
        <v>37.341853035143771</v>
      </c>
      <c r="CV140" s="524">
        <f t="shared" si="390"/>
        <v>34.600253630622298</v>
      </c>
      <c r="CW140" s="524">
        <f>CW118</f>
        <v>37.823582275378477</v>
      </c>
      <c r="CX140" s="524">
        <f t="shared" ref="CX140:DA142" si="398">CX118</f>
        <v>41</v>
      </c>
      <c r="CY140" s="524">
        <f t="shared" si="398"/>
        <v>41</v>
      </c>
      <c r="CZ140" s="524">
        <f t="shared" si="398"/>
        <v>41</v>
      </c>
      <c r="DA140" s="524">
        <f t="shared" si="398"/>
        <v>41</v>
      </c>
      <c r="DB140" s="524">
        <f t="shared" si="391"/>
        <v>41</v>
      </c>
      <c r="DC140" s="524">
        <f t="shared" si="391"/>
        <v>41</v>
      </c>
      <c r="DD140" s="525"/>
      <c r="DE140" s="24"/>
      <c r="DF140" s="24"/>
      <c r="DG140" s="159"/>
      <c r="DH140" s="159"/>
      <c r="DI140" s="159"/>
      <c r="DJ140" s="159"/>
      <c r="DK140" s="24"/>
      <c r="DL140" s="24"/>
      <c r="DM140" s="24"/>
      <c r="DN140" s="24"/>
      <c r="DO140" s="24"/>
      <c r="DP140" s="24"/>
      <c r="DQ140" s="24"/>
      <c r="DR140" s="24"/>
    </row>
    <row r="141" spans="1:122" hidden="1" outlineLevel="1">
      <c r="A141" s="3"/>
      <c r="B141" s="76"/>
      <c r="C141" s="3" t="s">
        <v>23</v>
      </c>
      <c r="D141" s="3"/>
      <c r="E141" s="97"/>
      <c r="F141" s="524"/>
      <c r="G141" s="524"/>
      <c r="H141" s="524"/>
      <c r="I141" s="525"/>
      <c r="J141" s="524"/>
      <c r="K141" s="524"/>
      <c r="L141" s="524"/>
      <c r="M141" s="525">
        <f t="shared" ref="M141:AG141" si="399">M119</f>
        <v>14.46969274880318</v>
      </c>
      <c r="N141" s="524">
        <f t="shared" si="399"/>
        <v>16.494754299311388</v>
      </c>
      <c r="O141" s="524">
        <f t="shared" si="399"/>
        <v>15.901765583266851</v>
      </c>
      <c r="P141" s="524">
        <f t="shared" si="399"/>
        <v>17.438617105644042</v>
      </c>
      <c r="Q141" s="525">
        <f t="shared" si="399"/>
        <v>15.824546901518682</v>
      </c>
      <c r="R141" s="524">
        <f t="shared" si="399"/>
        <v>17.898058252427184</v>
      </c>
      <c r="S141" s="524">
        <f t="shared" si="399"/>
        <v>20.458089854942887</v>
      </c>
      <c r="T141" s="524">
        <f t="shared" si="399"/>
        <v>22.140028740220345</v>
      </c>
      <c r="U141" s="525">
        <f t="shared" si="399"/>
        <v>21.101006965772712</v>
      </c>
      <c r="V141" s="524">
        <f t="shared" si="399"/>
        <v>18.482384820800718</v>
      </c>
      <c r="W141" s="524">
        <f t="shared" si="399"/>
        <v>13.378029079159933</v>
      </c>
      <c r="X141" s="524">
        <f t="shared" si="399"/>
        <v>16.557311727985123</v>
      </c>
      <c r="Y141" s="525">
        <f t="shared" si="399"/>
        <v>18.013574081188374</v>
      </c>
      <c r="Z141" s="524">
        <f t="shared" si="399"/>
        <v>18.7012987012987</v>
      </c>
      <c r="AA141" s="524">
        <f t="shared" si="399"/>
        <v>17.23143564356436</v>
      </c>
      <c r="AB141" s="524">
        <f t="shared" si="399"/>
        <v>17.93742452519486</v>
      </c>
      <c r="AC141" s="525">
        <f t="shared" si="399"/>
        <v>21.104127055139244</v>
      </c>
      <c r="AD141" s="524">
        <f t="shared" si="399"/>
        <v>18.585086042065008</v>
      </c>
      <c r="AE141" s="524">
        <f t="shared" si="399"/>
        <v>20.558397271952259</v>
      </c>
      <c r="AF141" s="524">
        <f t="shared" si="399"/>
        <v>18.818181818181817</v>
      </c>
      <c r="AG141" s="525">
        <f t="shared" si="399"/>
        <v>20.506024096385541</v>
      </c>
      <c r="AH141" s="524">
        <f t="shared" ref="AH141:AS141" si="400">AH119</f>
        <v>28.752598752598754</v>
      </c>
      <c r="AI141" s="524">
        <f t="shared" si="400"/>
        <v>24.703690560681334</v>
      </c>
      <c r="AJ141" s="524">
        <f t="shared" si="400"/>
        <v>25.889918136097208</v>
      </c>
      <c r="AK141" s="525">
        <f t="shared" si="400"/>
        <v>26.755102040816325</v>
      </c>
      <c r="AL141" s="524">
        <f t="shared" si="400"/>
        <v>25.47774480712166</v>
      </c>
      <c r="AM141" s="524">
        <f t="shared" si="400"/>
        <v>26.474885844748862</v>
      </c>
      <c r="AN141" s="524">
        <f t="shared" si="400"/>
        <v>26.452576549663927</v>
      </c>
      <c r="AO141" s="525">
        <f t="shared" si="400"/>
        <v>22.202824133504496</v>
      </c>
      <c r="AP141" s="524">
        <f t="shared" si="400"/>
        <v>20.997593619281499</v>
      </c>
      <c r="AQ141" s="524">
        <f t="shared" si="400"/>
        <v>21.347343741979852</v>
      </c>
      <c r="AR141" s="524">
        <f t="shared" si="400"/>
        <v>23.615293102307213</v>
      </c>
      <c r="AS141" s="525">
        <f t="shared" si="400"/>
        <v>27.917542196580694</v>
      </c>
      <c r="AT141" s="524">
        <f t="shared" ref="AT141:BA141" si="401">AT119</f>
        <v>25.244638103508763</v>
      </c>
      <c r="AU141" s="524">
        <f t="shared" si="401"/>
        <v>25.851524961737372</v>
      </c>
      <c r="AV141" s="524">
        <f t="shared" si="401"/>
        <v>28.669665029161646</v>
      </c>
      <c r="AW141" s="525">
        <f t="shared" si="401"/>
        <v>27.452232772648905</v>
      </c>
      <c r="AX141" s="524">
        <f t="shared" si="401"/>
        <v>26.967821920438343</v>
      </c>
      <c r="AY141" s="524">
        <f t="shared" si="401"/>
        <v>31.490664151359677</v>
      </c>
      <c r="AZ141" s="524">
        <f t="shared" si="401"/>
        <v>60.242267283569483</v>
      </c>
      <c r="BA141" s="525">
        <f t="shared" si="401"/>
        <v>34.32730271976736</v>
      </c>
      <c r="BB141" s="524">
        <f t="shared" si="380"/>
        <v>41.860322950866653</v>
      </c>
      <c r="BC141" s="524">
        <f t="shared" si="380"/>
        <v>40.176302851240465</v>
      </c>
      <c r="BD141" s="524">
        <f t="shared" si="380"/>
        <v>41.322326454033771</v>
      </c>
      <c r="BE141" s="525">
        <f t="shared" si="380"/>
        <v>41.352975679974101</v>
      </c>
      <c r="BF141" s="524">
        <f t="shared" si="381"/>
        <v>41.948455253059748</v>
      </c>
      <c r="BG141" s="524">
        <f t="shared" si="381"/>
        <v>42.385675759238417</v>
      </c>
      <c r="BH141" s="524">
        <f t="shared" si="381"/>
        <v>45.396030697607785</v>
      </c>
      <c r="BI141" s="525">
        <f t="shared" si="381"/>
        <v>43.836445334430032</v>
      </c>
      <c r="BJ141" s="524">
        <f>BJ119</f>
        <v>41.632951651462179</v>
      </c>
      <c r="BK141" s="524">
        <f t="shared" si="382"/>
        <v>43.325333470391513</v>
      </c>
      <c r="BL141" s="524">
        <f t="shared" si="382"/>
        <v>49.039947776347738</v>
      </c>
      <c r="BM141" s="525">
        <f t="shared" si="382"/>
        <v>56.241865635626816</v>
      </c>
      <c r="BN141" s="1151">
        <f t="shared" si="383"/>
        <v>48.64355053218079</v>
      </c>
      <c r="BO141" s="524">
        <f t="shared" si="383"/>
        <v>48.019906452097842</v>
      </c>
      <c r="BP141" s="524">
        <f>BP119</f>
        <v>55.718468282835275</v>
      </c>
      <c r="BQ141" s="525">
        <f t="shared" si="383"/>
        <v>81.505769461326238</v>
      </c>
      <c r="BR141" s="1151">
        <f t="shared" si="384"/>
        <v>62.279405439481501</v>
      </c>
      <c r="BS141" s="524">
        <f>BS119</f>
        <v>61.95442270667381</v>
      </c>
      <c r="BT141" s="524">
        <f t="shared" si="384"/>
        <v>73.458584078069407</v>
      </c>
      <c r="BU141" s="525">
        <f t="shared" si="384"/>
        <v>75.730601707570827</v>
      </c>
      <c r="BV141" s="1151">
        <f t="shared" si="385"/>
        <v>70.851266336247775</v>
      </c>
      <c r="BW141" s="524">
        <f t="shared" si="385"/>
        <v>69.266315469824804</v>
      </c>
      <c r="BX141" s="524">
        <f t="shared" si="385"/>
        <v>73</v>
      </c>
      <c r="BY141" s="525">
        <f t="shared" si="385"/>
        <v>72</v>
      </c>
      <c r="BZ141" s="1151">
        <f t="shared" si="386"/>
        <v>74</v>
      </c>
      <c r="CA141" s="524">
        <f t="shared" si="386"/>
        <v>74</v>
      </c>
      <c r="CB141" s="524">
        <f t="shared" si="386"/>
        <v>73</v>
      </c>
      <c r="CC141" s="525">
        <f t="shared" si="386"/>
        <v>68.150000000000006</v>
      </c>
      <c r="CD141" s="415"/>
      <c r="CE141" s="524"/>
      <c r="CF141" s="524">
        <f t="shared" ref="CF141:CL141" si="402">CF119</f>
        <v>14.329202573238174</v>
      </c>
      <c r="CG141" s="524">
        <f t="shared" si="402"/>
        <v>15.815574022885333</v>
      </c>
      <c r="CH141" s="524">
        <f t="shared" si="402"/>
        <v>21.037981012717594</v>
      </c>
      <c r="CI141" s="524">
        <f t="shared" si="402"/>
        <v>18.354159200173104</v>
      </c>
      <c r="CJ141" s="524">
        <f t="shared" si="402"/>
        <v>21.234895331026266</v>
      </c>
      <c r="CK141" s="524">
        <f t="shared" si="402"/>
        <v>20.690523090391771</v>
      </c>
      <c r="CL141" s="524">
        <f t="shared" si="402"/>
        <v>26.339994507766459</v>
      </c>
      <c r="CM141" s="524">
        <f t="shared" si="396"/>
        <v>22.443172526573996</v>
      </c>
      <c r="CN141" s="524">
        <f t="shared" si="396"/>
        <v>27.455749999473351</v>
      </c>
      <c r="CO141" s="524">
        <f t="shared" ref="CO141:CT141" si="403">CO119</f>
        <v>27.087183019953041</v>
      </c>
      <c r="CP141" s="524">
        <f t="shared" si="403"/>
        <v>50.903948759771176</v>
      </c>
      <c r="CQ141" s="524">
        <f t="shared" si="388"/>
        <v>40.006673191439468</v>
      </c>
      <c r="CR141" s="1151">
        <f t="shared" si="388"/>
        <v>42.192168012982187</v>
      </c>
      <c r="CS141" s="524">
        <f t="shared" si="403"/>
        <v>49.144188121794244</v>
      </c>
      <c r="CT141" s="524">
        <f t="shared" si="403"/>
        <v>84.848679530759981</v>
      </c>
      <c r="CU141" s="524">
        <f t="shared" si="390"/>
        <v>72.131201088897384</v>
      </c>
      <c r="CV141" s="524">
        <f t="shared" si="390"/>
        <v>71.945007920701016</v>
      </c>
      <c r="CW141" s="524">
        <f>CW119</f>
        <v>63.885883380528576</v>
      </c>
      <c r="CX141" s="524">
        <f t="shared" si="398"/>
        <v>66</v>
      </c>
      <c r="CY141" s="524">
        <f t="shared" si="398"/>
        <v>67</v>
      </c>
      <c r="CZ141" s="524">
        <f t="shared" si="398"/>
        <v>67</v>
      </c>
      <c r="DA141" s="524">
        <f t="shared" si="398"/>
        <v>67</v>
      </c>
      <c r="DB141" s="524">
        <f t="shared" si="391"/>
        <v>67</v>
      </c>
      <c r="DC141" s="524">
        <f t="shared" si="391"/>
        <v>67</v>
      </c>
      <c r="DD141" s="525"/>
      <c r="DE141" s="24"/>
      <c r="DF141" s="24"/>
      <c r="DG141" s="159"/>
      <c r="DH141" s="159"/>
      <c r="DI141" s="159"/>
      <c r="DJ141" s="159"/>
      <c r="DK141" s="24"/>
      <c r="DL141" s="24"/>
      <c r="DM141" s="24"/>
      <c r="DN141" s="24"/>
      <c r="DO141" s="24"/>
      <c r="DP141" s="24"/>
      <c r="DQ141" s="24"/>
      <c r="DR141" s="24"/>
    </row>
    <row r="142" spans="1:122" hidden="1" outlineLevel="1">
      <c r="A142" s="3"/>
      <c r="B142" s="76"/>
      <c r="C142" s="3" t="s">
        <v>82</v>
      </c>
      <c r="D142" s="3"/>
      <c r="E142" s="97"/>
      <c r="F142" s="524"/>
      <c r="G142" s="524"/>
      <c r="H142" s="524"/>
      <c r="I142" s="525"/>
      <c r="J142" s="524"/>
      <c r="K142" s="524"/>
      <c r="L142" s="524"/>
      <c r="M142" s="525">
        <f t="shared" ref="M142:AG142" si="404">M120</f>
        <v>59.735512821062279</v>
      </c>
      <c r="N142" s="524">
        <f t="shared" si="404"/>
        <v>62.081155135739266</v>
      </c>
      <c r="O142" s="524">
        <f t="shared" si="404"/>
        <v>52.947113439013961</v>
      </c>
      <c r="P142" s="524">
        <f t="shared" si="404"/>
        <v>54.891231700235863</v>
      </c>
      <c r="Q142" s="525">
        <f t="shared" si="404"/>
        <v>57.003965985736521</v>
      </c>
      <c r="R142" s="524">
        <f t="shared" si="404"/>
        <v>58.631067961165051</v>
      </c>
      <c r="S142" s="524">
        <f t="shared" si="404"/>
        <v>61.938902340029266</v>
      </c>
      <c r="T142" s="524">
        <f t="shared" si="404"/>
        <v>62.440523710681788</v>
      </c>
      <c r="U142" s="525">
        <f t="shared" si="404"/>
        <v>61.755235056625516</v>
      </c>
      <c r="V142" s="524">
        <f t="shared" si="404"/>
        <v>68.601284199728781</v>
      </c>
      <c r="W142" s="524">
        <f t="shared" si="404"/>
        <v>58.974151857835217</v>
      </c>
      <c r="X142" s="524">
        <f t="shared" si="404"/>
        <v>67.328994554389695</v>
      </c>
      <c r="Y142" s="525">
        <f t="shared" si="404"/>
        <v>67.047253169419903</v>
      </c>
      <c r="Z142" s="524">
        <f t="shared" si="404"/>
        <v>70.140692640692635</v>
      </c>
      <c r="AA142" s="524">
        <f t="shared" si="404"/>
        <v>59.403915391539165</v>
      </c>
      <c r="AB142" s="524">
        <f t="shared" si="404"/>
        <v>60.336809748600281</v>
      </c>
      <c r="AC142" s="525">
        <f t="shared" si="404"/>
        <v>65.010177832457217</v>
      </c>
      <c r="AD142" s="524">
        <f t="shared" si="404"/>
        <v>64.531548757170171</v>
      </c>
      <c r="AE142" s="524">
        <f t="shared" si="404"/>
        <v>63.304347826086953</v>
      </c>
      <c r="AF142" s="524">
        <f t="shared" si="404"/>
        <v>65.9023569023569</v>
      </c>
      <c r="AG142" s="525">
        <f t="shared" si="404"/>
        <v>69.831325301204814</v>
      </c>
      <c r="AH142" s="524">
        <f t="shared" ref="AH142:AS142" si="405">AH120</f>
        <v>68.981288981288984</v>
      </c>
      <c r="AI142" s="524">
        <f>AI120</f>
        <v>65.445942748994554</v>
      </c>
      <c r="AJ142" s="524">
        <f t="shared" si="405"/>
        <v>65.094651313615842</v>
      </c>
      <c r="AK142" s="525">
        <f t="shared" si="405"/>
        <v>69.29336734693878</v>
      </c>
      <c r="AL142" s="524">
        <f t="shared" si="405"/>
        <v>64.896142433234417</v>
      </c>
      <c r="AM142" s="524">
        <f t="shared" si="405"/>
        <v>63.812785388127857</v>
      </c>
      <c r="AN142" s="524">
        <f t="shared" si="405"/>
        <v>68.77669902912622</v>
      </c>
      <c r="AO142" s="525">
        <f t="shared" si="405"/>
        <v>65.014120667522462</v>
      </c>
      <c r="AP142" s="524">
        <f t="shared" si="405"/>
        <v>71.338659840698156</v>
      </c>
      <c r="AQ142" s="524">
        <f t="shared" si="405"/>
        <v>71.016439335902078</v>
      </c>
      <c r="AR142" s="524">
        <f t="shared" si="405"/>
        <v>70.240358970965048</v>
      </c>
      <c r="AS142" s="525">
        <f t="shared" si="405"/>
        <v>75.128100161155544</v>
      </c>
      <c r="AT142" s="524">
        <f t="shared" ref="AT142:BA142" si="406">AT120</f>
        <v>76.633901408690591</v>
      </c>
      <c r="AU142" s="524">
        <f t="shared" si="406"/>
        <v>74.095568024134579</v>
      </c>
      <c r="AV142" s="524">
        <f t="shared" si="406"/>
        <v>74.221467305460294</v>
      </c>
      <c r="AW142" s="525">
        <f t="shared" si="406"/>
        <v>73.507278394701146</v>
      </c>
      <c r="AX142" s="524">
        <f t="shared" si="406"/>
        <v>71.41246486838557</v>
      </c>
      <c r="AY142" s="524">
        <f t="shared" si="406"/>
        <v>59.670078209550631</v>
      </c>
      <c r="AZ142" s="524">
        <f t="shared" si="406"/>
        <v>130.35261267131179</v>
      </c>
      <c r="BA142" s="525">
        <f t="shared" si="406"/>
        <v>78.669099538772642</v>
      </c>
      <c r="BB142" s="524">
        <f t="shared" si="380"/>
        <v>81.698252998432238</v>
      </c>
      <c r="BC142" s="524">
        <f t="shared" si="380"/>
        <v>72.911313729203002</v>
      </c>
      <c r="BD142" s="524">
        <f t="shared" si="380"/>
        <v>70.320450281425892</v>
      </c>
      <c r="BE142" s="525">
        <f>BE120</f>
        <v>69.269715154165368</v>
      </c>
      <c r="BF142" s="524">
        <f>BF120</f>
        <v>69.498204402376317</v>
      </c>
      <c r="BG142" s="524">
        <f t="shared" si="381"/>
        <v>69.036529890917336</v>
      </c>
      <c r="BH142" s="524">
        <f t="shared" si="381"/>
        <v>67.614134993617853</v>
      </c>
      <c r="BI142" s="525">
        <f>BI120</f>
        <v>70.474415786428722</v>
      </c>
      <c r="BJ142" s="524">
        <f>BJ120</f>
        <v>65.98430073061931</v>
      </c>
      <c r="BK142" s="524">
        <f t="shared" si="382"/>
        <v>69.989676768471782</v>
      </c>
      <c r="BL142" s="524">
        <f t="shared" si="382"/>
        <v>74.932446677929221</v>
      </c>
      <c r="BM142" s="525">
        <f>BM120</f>
        <v>77.332565248986867</v>
      </c>
      <c r="BN142" s="1151">
        <f t="shared" si="383"/>
        <v>69.452180482058125</v>
      </c>
      <c r="BO142" s="524">
        <f t="shared" si="383"/>
        <v>71.292882115473219</v>
      </c>
      <c r="BP142" s="524">
        <f>BP120</f>
        <v>71.339619944852657</v>
      </c>
      <c r="BQ142" s="525">
        <f t="shared" si="383"/>
        <v>78.711067173549438</v>
      </c>
      <c r="BR142" s="1151">
        <f t="shared" si="384"/>
        <v>63.0767235745531</v>
      </c>
      <c r="BS142" s="524">
        <f>BS120</f>
        <v>64.985286551316847</v>
      </c>
      <c r="BT142" s="524">
        <f t="shared" si="384"/>
        <v>77.532374233241839</v>
      </c>
      <c r="BU142" s="525">
        <f t="shared" si="384"/>
        <v>76.021748830752429</v>
      </c>
      <c r="BV142" s="1151">
        <f t="shared" si="385"/>
        <v>70.543484988132008</v>
      </c>
      <c r="BW142" s="524">
        <f t="shared" si="385"/>
        <v>65.925984605431665</v>
      </c>
      <c r="BX142" s="524">
        <f t="shared" si="385"/>
        <v>74</v>
      </c>
      <c r="BY142" s="525">
        <f t="shared" si="385"/>
        <v>74</v>
      </c>
      <c r="BZ142" s="1151">
        <f t="shared" si="386"/>
        <v>75</v>
      </c>
      <c r="CA142" s="524">
        <f t="shared" si="386"/>
        <v>75</v>
      </c>
      <c r="CB142" s="524">
        <f t="shared" si="386"/>
        <v>74</v>
      </c>
      <c r="CC142" s="525">
        <f t="shared" si="386"/>
        <v>67.099999999999994</v>
      </c>
      <c r="CD142" s="415"/>
      <c r="CE142" s="524"/>
      <c r="CF142" s="524">
        <f t="shared" ref="CF142:CL142" si="407">CF120</f>
        <v>59.155524508291023</v>
      </c>
      <c r="CG142" s="524">
        <f t="shared" si="407"/>
        <v>56.971643438266902</v>
      </c>
      <c r="CH142" s="524">
        <f t="shared" si="407"/>
        <v>61.570780231701768</v>
      </c>
      <c r="CI142" s="524">
        <f t="shared" si="407"/>
        <v>68.314924792796035</v>
      </c>
      <c r="CJ142" s="524">
        <f t="shared" si="407"/>
        <v>65.4130027798264</v>
      </c>
      <c r="CK142" s="524">
        <f t="shared" si="407"/>
        <v>70.459619172685493</v>
      </c>
      <c r="CL142" s="524">
        <f t="shared" si="407"/>
        <v>68.21827524928112</v>
      </c>
      <c r="CM142" s="524">
        <f t="shared" si="396"/>
        <v>65.717906786590348</v>
      </c>
      <c r="CN142" s="524">
        <f t="shared" si="396"/>
        <v>73.885384373582752</v>
      </c>
      <c r="CO142" s="524">
        <f t="shared" ref="CO142:CT142" si="408">CO120</f>
        <v>72.529805486702685</v>
      </c>
      <c r="CP142" s="524">
        <f t="shared" si="408"/>
        <v>116.65838835607063</v>
      </c>
      <c r="CQ142" s="524">
        <f t="shared" si="388"/>
        <v>67.014545160744561</v>
      </c>
      <c r="CR142" s="1151">
        <f t="shared" si="388"/>
        <v>67.830965051866144</v>
      </c>
      <c r="CS142" s="524">
        <f t="shared" si="408"/>
        <v>67.573258667467087</v>
      </c>
      <c r="CT142" s="524">
        <f t="shared" si="408"/>
        <v>81.939354211011036</v>
      </c>
      <c r="CU142" s="524">
        <f t="shared" si="390"/>
        <v>72.408510277193017</v>
      </c>
      <c r="CV142" s="524">
        <f t="shared" si="390"/>
        <v>73.943480362942708</v>
      </c>
      <c r="CW142" s="524">
        <f>CW120</f>
        <v>62.901581435560779</v>
      </c>
      <c r="CX142" s="524">
        <f t="shared" si="398"/>
        <v>64</v>
      </c>
      <c r="CY142" s="524">
        <f t="shared" si="398"/>
        <v>65</v>
      </c>
      <c r="CZ142" s="524">
        <f t="shared" si="398"/>
        <v>65</v>
      </c>
      <c r="DA142" s="524">
        <f t="shared" si="398"/>
        <v>65</v>
      </c>
      <c r="DB142" s="524">
        <f t="shared" si="391"/>
        <v>65</v>
      </c>
      <c r="DC142" s="524">
        <f t="shared" si="391"/>
        <v>65</v>
      </c>
      <c r="DD142" s="525"/>
      <c r="DE142" s="24"/>
      <c r="DF142" s="24"/>
      <c r="DG142" s="159"/>
      <c r="DH142" s="159"/>
      <c r="DI142" s="159"/>
      <c r="DJ142" s="159"/>
      <c r="DK142" s="24"/>
      <c r="DL142" s="24"/>
      <c r="DM142" s="24"/>
      <c r="DN142" s="24"/>
      <c r="DO142" s="24"/>
      <c r="DP142" s="24"/>
      <c r="DQ142" s="24"/>
      <c r="DR142" s="24"/>
    </row>
    <row r="143" spans="1:122" hidden="1" outlineLevel="1">
      <c r="A143" s="3"/>
      <c r="B143" s="76"/>
      <c r="C143" s="3"/>
      <c r="D143" s="3"/>
      <c r="E143" s="97"/>
      <c r="F143" s="96"/>
      <c r="G143" s="96"/>
      <c r="H143" s="96"/>
      <c r="I143" s="97"/>
      <c r="J143" s="96"/>
      <c r="K143" s="96"/>
      <c r="L143" s="96"/>
      <c r="M143" s="97"/>
      <c r="N143" s="96"/>
      <c r="O143" s="96"/>
      <c r="P143" s="96"/>
      <c r="Q143" s="97"/>
      <c r="R143" s="96"/>
      <c r="S143" s="96"/>
      <c r="T143" s="96"/>
      <c r="U143" s="97"/>
      <c r="V143" s="96"/>
      <c r="W143" s="96"/>
      <c r="X143" s="96"/>
      <c r="Y143" s="97"/>
      <c r="Z143" s="96"/>
      <c r="AA143" s="96"/>
      <c r="AB143" s="96"/>
      <c r="AC143" s="97"/>
      <c r="AD143" s="96"/>
      <c r="AE143" s="96"/>
      <c r="AF143" s="96"/>
      <c r="AG143" s="97"/>
      <c r="AH143" s="96"/>
      <c r="AI143" s="96"/>
      <c r="AJ143" s="96"/>
      <c r="AK143" s="97"/>
      <c r="AL143" s="96"/>
      <c r="AM143" s="96"/>
      <c r="AN143" s="96"/>
      <c r="AO143" s="97"/>
      <c r="AP143" s="96"/>
      <c r="AQ143" s="96"/>
      <c r="AR143" s="96"/>
      <c r="AS143" s="97"/>
      <c r="AT143" s="96"/>
      <c r="AU143" s="96"/>
      <c r="AV143" s="96"/>
      <c r="AW143" s="97"/>
      <c r="AX143" s="96"/>
      <c r="AY143" s="96"/>
      <c r="AZ143" s="96"/>
      <c r="BA143" s="97"/>
      <c r="BB143" s="96"/>
      <c r="BC143" s="96"/>
      <c r="BD143" s="96"/>
      <c r="BE143" s="97"/>
      <c r="BF143" s="96"/>
      <c r="BG143" s="96"/>
      <c r="BH143" s="96"/>
      <c r="BI143" s="97"/>
      <c r="BJ143" s="96"/>
      <c r="BK143" s="96"/>
      <c r="BL143" s="96"/>
      <c r="BM143" s="97"/>
      <c r="BN143" s="76"/>
      <c r="BO143" s="96"/>
      <c r="BP143" s="96"/>
      <c r="BQ143" s="97"/>
      <c r="BR143" s="76"/>
      <c r="BS143" s="96"/>
      <c r="BT143" s="96"/>
      <c r="BU143" s="97"/>
      <c r="BV143" s="76"/>
      <c r="BW143" s="96"/>
      <c r="BX143" s="96"/>
      <c r="BY143" s="97"/>
      <c r="BZ143" s="76"/>
      <c r="CA143" s="96"/>
      <c r="CB143" s="96"/>
      <c r="CC143" s="97"/>
      <c r="CD143" s="12"/>
      <c r="CE143" s="96"/>
      <c r="CF143" s="96"/>
      <c r="CG143" s="96"/>
      <c r="CH143" s="96"/>
      <c r="CI143" s="96"/>
      <c r="CJ143" s="96"/>
      <c r="CK143" s="96"/>
      <c r="CL143" s="96"/>
      <c r="CM143" s="96"/>
      <c r="CN143" s="96"/>
      <c r="CO143" s="96"/>
      <c r="CP143" s="96"/>
      <c r="CQ143" s="96"/>
      <c r="CR143" s="76"/>
      <c r="CS143" s="96"/>
      <c r="CT143" s="96"/>
      <c r="CU143" s="96"/>
      <c r="CV143" s="96"/>
      <c r="CW143" s="96"/>
      <c r="CX143" s="96"/>
      <c r="CY143" s="96"/>
      <c r="CZ143" s="96"/>
      <c r="DA143" s="96"/>
      <c r="DB143" s="96"/>
      <c r="DC143" s="96"/>
      <c r="DD143" s="97"/>
      <c r="DE143" s="24"/>
      <c r="DF143" s="24"/>
      <c r="DG143" s="24"/>
      <c r="DH143" s="24"/>
      <c r="DI143" s="24"/>
      <c r="DJ143" s="24"/>
      <c r="DK143" s="24"/>
      <c r="DL143" s="24"/>
      <c r="DM143" s="24"/>
      <c r="DN143" s="24"/>
      <c r="DO143" s="24"/>
      <c r="DP143" s="24"/>
      <c r="DQ143" s="24"/>
      <c r="DR143" s="24"/>
    </row>
    <row r="144" spans="1:122" hidden="1" outlineLevel="1">
      <c r="A144" s="3"/>
      <c r="B144" s="256" t="s">
        <v>637</v>
      </c>
      <c r="C144" s="3"/>
      <c r="D144" s="3"/>
      <c r="E144" s="139"/>
      <c r="F144" s="147"/>
      <c r="G144" s="147"/>
      <c r="H144" s="147"/>
      <c r="I144" s="139"/>
      <c r="J144" s="147"/>
      <c r="K144" s="147"/>
      <c r="L144" s="147"/>
      <c r="M144" s="139"/>
      <c r="N144" s="147"/>
      <c r="O144" s="147"/>
      <c r="P144" s="147"/>
      <c r="Q144" s="139"/>
      <c r="R144" s="147"/>
      <c r="S144" s="147"/>
      <c r="T144" s="147"/>
      <c r="U144" s="139"/>
      <c r="V144" s="147"/>
      <c r="W144" s="147"/>
      <c r="X144" s="147"/>
      <c r="Y144" s="139"/>
      <c r="Z144" s="147"/>
      <c r="AA144" s="147"/>
      <c r="AB144" s="147"/>
      <c r="AC144" s="139"/>
      <c r="AD144" s="147"/>
      <c r="AE144" s="147"/>
      <c r="AF144" s="147"/>
      <c r="AG144" s="139"/>
      <c r="AH144" s="147"/>
      <c r="AI144" s="147"/>
      <c r="AJ144" s="147"/>
      <c r="AK144" s="139"/>
      <c r="AL144" s="147"/>
      <c r="AM144" s="147"/>
      <c r="AN144" s="147"/>
      <c r="AO144" s="139"/>
      <c r="AP144" s="147"/>
      <c r="AQ144" s="147"/>
      <c r="AR144" s="147"/>
      <c r="AS144" s="139"/>
      <c r="AT144" s="147"/>
      <c r="AU144" s="147"/>
      <c r="AV144" s="147"/>
      <c r="AW144" s="139"/>
      <c r="AX144" s="147"/>
      <c r="AY144" s="147"/>
      <c r="AZ144" s="147"/>
      <c r="BA144" s="139"/>
      <c r="BB144" s="147"/>
      <c r="BC144" s="147"/>
      <c r="BD144" s="147"/>
      <c r="BE144" s="139"/>
      <c r="BF144" s="147"/>
      <c r="BG144" s="147"/>
      <c r="BH144" s="147"/>
      <c r="BI144" s="139"/>
      <c r="BJ144" s="147"/>
      <c r="BK144" s="147"/>
      <c r="BL144" s="147"/>
      <c r="BM144" s="139"/>
      <c r="BN144" s="256"/>
      <c r="BO144" s="147"/>
      <c r="BP144" s="147"/>
      <c r="BQ144" s="139"/>
      <c r="BR144" s="256"/>
      <c r="BS144" s="147"/>
      <c r="BT144" s="147"/>
      <c r="BU144" s="139"/>
      <c r="BV144" s="256"/>
      <c r="BW144" s="147"/>
      <c r="BX144" s="147"/>
      <c r="BY144" s="139"/>
      <c r="BZ144" s="256"/>
      <c r="CA144" s="147"/>
      <c r="CB144" s="147"/>
      <c r="CC144" s="139"/>
      <c r="CD144" s="12"/>
      <c r="CE144" s="147"/>
      <c r="CF144" s="147"/>
      <c r="CG144" s="147"/>
      <c r="CH144" s="147"/>
      <c r="CI144" s="147"/>
      <c r="CJ144" s="147"/>
      <c r="CK144" s="147"/>
      <c r="CL144" s="147"/>
      <c r="CM144" s="147"/>
      <c r="CN144" s="147"/>
      <c r="CO144" s="147"/>
      <c r="CP144" s="147"/>
      <c r="CQ144" s="147"/>
      <c r="CR144" s="256"/>
      <c r="CS144" s="147"/>
      <c r="CT144" s="147"/>
      <c r="CU144" s="147"/>
      <c r="CV144" s="147"/>
      <c r="CW144" s="147"/>
      <c r="CX144" s="147"/>
      <c r="CY144" s="147"/>
      <c r="CZ144" s="147"/>
      <c r="DA144" s="147"/>
      <c r="DB144" s="147"/>
      <c r="DC144" s="147"/>
      <c r="DD144" s="139"/>
      <c r="DE144" s="24"/>
      <c r="DF144" s="24"/>
      <c r="DG144" s="19"/>
      <c r="DH144" s="19"/>
      <c r="DI144" s="19"/>
      <c r="DJ144" s="19"/>
      <c r="DK144" s="24"/>
      <c r="DL144" s="24"/>
      <c r="DM144" s="24"/>
      <c r="DN144" s="24"/>
      <c r="DO144" s="24"/>
      <c r="DP144" s="24"/>
      <c r="DQ144" s="24"/>
      <c r="DR144" s="24"/>
    </row>
    <row r="145" spans="1:122" hidden="1" outlineLevel="1">
      <c r="A145" s="3"/>
      <c r="B145" s="76"/>
      <c r="C145" s="3" t="s">
        <v>635</v>
      </c>
      <c r="D145" s="3"/>
      <c r="E145" s="97"/>
      <c r="F145" s="94"/>
      <c r="G145" s="94"/>
      <c r="H145" s="94"/>
      <c r="I145" s="95"/>
      <c r="J145" s="94"/>
      <c r="K145" s="94"/>
      <c r="L145" s="94"/>
      <c r="M145" s="95">
        <f>SUM(IS!J11:M11)/BS!M15</f>
        <v>9.8301515059073541</v>
      </c>
      <c r="N145" s="94">
        <f>SUM(IS!K11:N11)/BS!N15</f>
        <v>9.8401455265805851</v>
      </c>
      <c r="O145" s="94">
        <f>SUM(IS!L11:O11)/BS!O15</f>
        <v>10.019879478082062</v>
      </c>
      <c r="P145" s="94">
        <f>SUM(IS!M11:P11)/BS!P15</f>
        <v>13.175306866346453</v>
      </c>
      <c r="Q145" s="95">
        <f>SUM(IS!N11:Q11)/BS!Q15</f>
        <v>11.145955641744386</v>
      </c>
      <c r="R145" s="94">
        <f>SUM(IS!O11:R11)/BS!R15</f>
        <v>8.6699549307415129</v>
      </c>
      <c r="S145" s="94">
        <f>SUM(IS!P11:S11)/BS!S15</f>
        <v>8.1238377678797864</v>
      </c>
      <c r="T145" s="94">
        <f>SUM(IS!Q11:T11)/BS!T15</f>
        <v>9.6600552303993119</v>
      </c>
      <c r="U145" s="95">
        <f>SUM(IS!R11:U11)/BS!U15</f>
        <v>9.7308402987654397</v>
      </c>
      <c r="V145" s="94">
        <f>SUM(IS!S11:V11)/BS!V15</f>
        <v>7.8764105560555544</v>
      </c>
      <c r="W145" s="94">
        <f>SUM(IS!T11:W11)/BS!W15</f>
        <v>8.3918698494042925</v>
      </c>
      <c r="X145" s="94">
        <f>SUM(IS!U11:X11)/BS!X15</f>
        <v>8.6482452321692236</v>
      </c>
      <c r="Y145" s="95">
        <f>SUM(IS!V11:Y11)/BS!Y15</f>
        <v>9.0314325416456871</v>
      </c>
      <c r="Z145" s="94">
        <f>SUM(IS!W11:Z11)/BS!Z15</f>
        <v>8.1315744638013108</v>
      </c>
      <c r="AA145" s="94">
        <f>SUM(IS!X11:AA11)/BS!AA15</f>
        <v>9.3094442515710778</v>
      </c>
      <c r="AB145" s="94">
        <f>SUM(IS!Y11:AB11)/BS!AB15</f>
        <v>8.684001277934728</v>
      </c>
      <c r="AC145" s="95">
        <f>SUM(IS!Z11:AC11)/BS!AC15</f>
        <v>9.0161225220478656</v>
      </c>
      <c r="AD145" s="94">
        <f>SUM(IS!AA11:AD11)/BS!AD15</f>
        <v>7.4842945852455314</v>
      </c>
      <c r="AE145" s="94">
        <f>SUM(IS!AB11:AE11)/BS!AE15</f>
        <v>7.3446997912760272</v>
      </c>
      <c r="AF145" s="94">
        <f>SUM(IS!AC11:AF11)/BS!AF15</f>
        <v>7.2552716815921539</v>
      </c>
      <c r="AG145" s="95">
        <f>SUM(IS!AD11:AG11)/BS!AG15</f>
        <v>7.8460636910597259</v>
      </c>
      <c r="AH145" s="94">
        <f>SUM(IS!AE11:AH11)/BS!AH15</f>
        <v>6.0616204383203547</v>
      </c>
      <c r="AI145" s="94">
        <f>SUM(IS!AF11:AI11)/BS!AI15</f>
        <v>6.2125503947862519</v>
      </c>
      <c r="AJ145" s="94">
        <f>SUM(IS!AG11:AJ11)/BS!AJ15</f>
        <v>7.3449968413825095</v>
      </c>
      <c r="AK145" s="95">
        <f>SUM(IS!AH11:AK11)/BS!AK15</f>
        <v>7.994241527301523</v>
      </c>
      <c r="AL145" s="94">
        <f>SUM(IS!AI11:AL11)/BS!AL15</f>
        <v>7.7792838543736389</v>
      </c>
      <c r="AM145" s="94">
        <f>SUM(IS!AJ11:AM11)/BS!AM15</f>
        <v>8.6780445434135522</v>
      </c>
      <c r="AN145" s="94">
        <f>SUM(IS!AK11:AN11)/BS!AN15</f>
        <v>9.1222505003487893</v>
      </c>
      <c r="AO145" s="95">
        <f>SUM(IS!AL11:AO11)/BS!AO15</f>
        <v>8.0473607608056863</v>
      </c>
      <c r="AP145" s="94">
        <f>SUM(IS!AM11:AP11)/BS!AP15</f>
        <v>6.6762743626306662</v>
      </c>
      <c r="AQ145" s="94">
        <f>SUM(IS!AN11:AQ11)/BS!AQ15</f>
        <v>6.1150758819625892</v>
      </c>
      <c r="AR145" s="94">
        <f>SUM(IS!AO11:AR11)/BS!AR15</f>
        <v>7.4750887604962948</v>
      </c>
      <c r="AS145" s="95">
        <f>SUM(IS!AP11:AS11)/BS!AS15</f>
        <v>7.8423566878980893</v>
      </c>
      <c r="AT145" s="94">
        <f>SUM(IS!AQ11:AT11)/BS!AT15</f>
        <v>7.6143396226415092</v>
      </c>
      <c r="AU145" s="94">
        <f>SUM(IS!AR11:AU11)/BS!AU15</f>
        <v>7.9560000000000004</v>
      </c>
      <c r="AV145" s="94">
        <f>SUM(IS!AS11:AV11)/BS!AV15</f>
        <v>8.1605465414175917</v>
      </c>
      <c r="AW145" s="95">
        <f>SUM(IS!AT11:AW11)/BS!AW15</f>
        <v>7.9411276948590386</v>
      </c>
      <c r="AX145" s="94">
        <f>SUM(IS!AU11:AX11)/BS!AX15</f>
        <v>7.2448377581120944</v>
      </c>
      <c r="AY145" s="94">
        <f>SUM(IS!AV11:AY11)/BS!AY15</f>
        <v>12.508701472556893</v>
      </c>
      <c r="AZ145" s="94">
        <f>SUM(IS!AW11:AZ11)/BS!AZ15</f>
        <v>4.2604122843920909</v>
      </c>
      <c r="BA145" s="95">
        <f>SUM(IS!AX11:BA11)/BS!BA15</f>
        <v>5.2783417935702204</v>
      </c>
      <c r="BB145" s="94">
        <f>SUM(IS!AY11:BB11)/BS!BB15</f>
        <v>7.0830343413634038</v>
      </c>
      <c r="BC145" s="94">
        <f>SUM(IS!AZ11:BC11)/BS!BC15</f>
        <v>9.0346420323325631</v>
      </c>
      <c r="BD145" s="94">
        <f>SUM(IS!BA11:BD11)/BS!BD15</f>
        <v>9.6335294117647052</v>
      </c>
      <c r="BE145" s="95">
        <f>SUM(IS!BB11:BE11)/BS!BE15</f>
        <v>8.561628555493586</v>
      </c>
      <c r="BF145" s="94">
        <f>SUM(IS!BC11:BF11)/BS!BF15</f>
        <v>8.4422110552763812</v>
      </c>
      <c r="BG145" s="94">
        <f>SUM(IS!BD11:BG11)/BS!BG15</f>
        <v>7.7937723328228685</v>
      </c>
      <c r="BH145" s="94">
        <f>SUM(IS!BE11:BH11)/BS!BH15</f>
        <v>8.4389567147613764</v>
      </c>
      <c r="BI145" s="95">
        <f>SUM(IS!BF11:BI11)/BS!BI15</f>
        <v>7.6068376068376065</v>
      </c>
      <c r="BJ145" s="94">
        <f>SUM(IS!BG11:BJ11)/BS!BJ15</f>
        <v>7.9733681462140993</v>
      </c>
      <c r="BK145" s="94">
        <f>SUM(IS!BH11:BK11)/BS!BK15</f>
        <v>8.0771276595744688</v>
      </c>
      <c r="BL145" s="94">
        <f>SUM(IS!BI11:BL11)/BS!BL15</f>
        <v>8.8632075471698109</v>
      </c>
      <c r="BM145" s="95">
        <f>SUM(IS!BJ11:BM11)/BS!BM15</f>
        <v>9.5117493472584851</v>
      </c>
      <c r="BN145" s="93">
        <f>SUM(IS!BK11:BN11)/BS!BN15</f>
        <v>8.6565594059405946</v>
      </c>
      <c r="BO145" s="94">
        <f>SUM(IS!BL11:BO11)/BS!BO15</f>
        <v>8.1321212121212127</v>
      </c>
      <c r="BP145" s="94">
        <f>SUM(IS!BM11:BP11)/BS!BP15</f>
        <v>10.119617224880383</v>
      </c>
      <c r="BQ145" s="95">
        <f>SUM(IS!BN11:BQ11)/BS!BQ15</f>
        <v>8.8939082819986304</v>
      </c>
      <c r="BR145" s="93">
        <f>SUM(IS!BO11:BR11)/BS!BR15</f>
        <v>7.0924369747899156</v>
      </c>
      <c r="BS145" s="94">
        <f>SUM(IS!BP11:BS11)/BS!BS15</f>
        <v>7.9436127744510978</v>
      </c>
      <c r="BT145" s="94">
        <f>SUM(IS!BQ11:BT11)/BS!BT15</f>
        <v>9.1098562628336754</v>
      </c>
      <c r="BU145" s="95">
        <f>SUM(IS!BR11:BU11)/BS!BU15</f>
        <v>9.8013347022587265</v>
      </c>
      <c r="BV145" s="93">
        <f>SUM(IS!BS11:BV11)/BS!BV15</f>
        <v>9.3098524512137075</v>
      </c>
      <c r="BW145" s="94">
        <f>SUM(IS!BT11:BW11)/BS!BW15</f>
        <v>9.7504873294346979</v>
      </c>
      <c r="BX145" s="94">
        <f>SUM(IS!BU11:BX11)/BS!BX15</f>
        <v>9.9957521883745848</v>
      </c>
      <c r="BY145" s="95">
        <f>SUM(IS!BV11:BY11)/BS!BY15</f>
        <v>10.577957141796169</v>
      </c>
      <c r="BZ145" s="93">
        <f>SUM(IS!BW11:BZ11)/BS!BZ15</f>
        <v>9.6591840013708943</v>
      </c>
      <c r="CA145" s="94">
        <f>SUM(IS!BX11:CA11)/BS!CA15</f>
        <v>9.9077320150347195</v>
      </c>
      <c r="CB145" s="94">
        <f>SUM(IS!BY11:CB11)/BS!CB15</f>
        <v>10.244793880215894</v>
      </c>
      <c r="CC145" s="95">
        <f>SUM(IS!BZ11:CC11)/BS!CC15</f>
        <v>9.6765028054534703</v>
      </c>
      <c r="CD145" s="12"/>
      <c r="CE145" s="94"/>
      <c r="CF145" s="94">
        <f>IS!CF11/BS!CF15</f>
        <v>9.8301515059073541</v>
      </c>
      <c r="CG145" s="94">
        <f>IS!CG11/BS!CG15</f>
        <v>11.145955641744386</v>
      </c>
      <c r="CH145" s="94">
        <f>IS!CH11/BS!CH15</f>
        <v>9.7308402987654397</v>
      </c>
      <c r="CI145" s="94">
        <f>IS!CI11/BS!CI15</f>
        <v>9.0314325416456871</v>
      </c>
      <c r="CJ145" s="94">
        <f>IS!CJ11/BS!CJ15</f>
        <v>9.0161225220478656</v>
      </c>
      <c r="CK145" s="94">
        <f>IS!CK11/BS!CK15</f>
        <v>7.8460636910597259</v>
      </c>
      <c r="CL145" s="94">
        <f>IS!CL11/BS!CL15</f>
        <v>7.994241527301523</v>
      </c>
      <c r="CM145" s="94">
        <f>IS!CM11/BS!CM15</f>
        <v>8.0473607608056863</v>
      </c>
      <c r="CN145" s="94">
        <f>IS!CN11/BS!CN15</f>
        <v>7.8423566878980893</v>
      </c>
      <c r="CO145" s="94">
        <f>IS!CO11/BS!CO15</f>
        <v>7.9411276948590386</v>
      </c>
      <c r="CP145" s="94">
        <f>IS!CP11/BS!CP15</f>
        <v>5.2783417935702204</v>
      </c>
      <c r="CQ145" s="94">
        <f>IS!CQ11/BS!CQ15</f>
        <v>8.561628555493586</v>
      </c>
      <c r="CR145" s="93">
        <f>IS!CR11/BS!CR15</f>
        <v>7.6068376068376065</v>
      </c>
      <c r="CS145" s="94">
        <f>IS!CS11/BS!CS15</f>
        <v>9.5117493472584851</v>
      </c>
      <c r="CT145" s="94">
        <f>IS!CT11/BS!CT15</f>
        <v>8.8939082819986304</v>
      </c>
      <c r="CU145" s="94">
        <f>IS!CU11/BS!CU15</f>
        <v>9.8013347022587265</v>
      </c>
      <c r="CV145" s="94">
        <f>IS!CV11/BS!CV15</f>
        <v>10.577957141796169</v>
      </c>
      <c r="CW145" s="94">
        <f>IS!CW11/BS!CW15</f>
        <v>9.6765028054534703</v>
      </c>
      <c r="CX145" s="94">
        <f>IS!CX11/BS!CX15</f>
        <v>8.9268292682926838</v>
      </c>
      <c r="CY145" s="94">
        <f>IS!CY11/BS!CY15</f>
        <v>8.9268292682926838</v>
      </c>
      <c r="CZ145" s="94">
        <f>IS!CZ11/BS!CZ15</f>
        <v>8.9268292682926838</v>
      </c>
      <c r="DA145" s="94">
        <f>IS!DA11/BS!DA15</f>
        <v>8.9268292682926838</v>
      </c>
      <c r="DB145" s="94">
        <f>IS!DB11/BS!DB15</f>
        <v>8.926829268292682</v>
      </c>
      <c r="DC145" s="94">
        <f>IS!DC11/BS!DC15</f>
        <v>8.9268292682926838</v>
      </c>
      <c r="DD145" s="95"/>
      <c r="DE145" s="24"/>
      <c r="DF145" s="24"/>
      <c r="DG145" s="159"/>
      <c r="DH145" s="159"/>
      <c r="DI145" s="159"/>
      <c r="DJ145" s="159"/>
      <c r="DK145" s="24"/>
      <c r="DL145" s="24"/>
      <c r="DM145" s="24"/>
      <c r="DN145" s="24"/>
      <c r="DO145" s="24"/>
      <c r="DP145" s="24"/>
      <c r="DQ145" s="24"/>
      <c r="DR145" s="24"/>
    </row>
    <row r="146" spans="1:122" hidden="1" outlineLevel="1">
      <c r="A146" s="3"/>
      <c r="B146" s="76"/>
      <c r="C146" s="3" t="s">
        <v>22</v>
      </c>
      <c r="D146" s="3"/>
      <c r="E146" s="97"/>
      <c r="F146" s="94"/>
      <c r="G146" s="94"/>
      <c r="H146" s="94"/>
      <c r="I146" s="95"/>
      <c r="J146" s="94"/>
      <c r="K146" s="94"/>
      <c r="L146" s="94"/>
      <c r="M146" s="95">
        <f>(IS!M40)/M16*4</f>
        <v>25.43246815178146</v>
      </c>
      <c r="N146" s="94">
        <f>(IS!N40)/N16*4</f>
        <v>21.825120487852857</v>
      </c>
      <c r="O146" s="94">
        <f>(IS!O40)/O16*4</f>
        <v>22.890539927404717</v>
      </c>
      <c r="P146" s="94">
        <f>(IS!P40)/P16*4</f>
        <v>21.102590748488655</v>
      </c>
      <c r="Q146" s="95">
        <f>(IS!Q40)/Q16*4</f>
        <v>23.255010224948876</v>
      </c>
      <c r="R146" s="94">
        <f>(IS!R40)/R16*4</f>
        <v>20.113913751017087</v>
      </c>
      <c r="S146" s="94">
        <f>(IS!S40)/S16*4</f>
        <v>17.792472443953695</v>
      </c>
      <c r="T146" s="94">
        <f>(IS!T40)/T16*4</f>
        <v>16.802146210596913</v>
      </c>
      <c r="U146" s="95">
        <f>(IS!U40)/U16*4</f>
        <v>17.439925999594301</v>
      </c>
      <c r="V146" s="94">
        <f>(IS!V40)/V16*4</f>
        <v>19.694428155740042</v>
      </c>
      <c r="W146" s="94">
        <f>(IS!W40)/W16*4</f>
        <v>27.208791208791212</v>
      </c>
      <c r="X146" s="94">
        <f>(IS!X40)/X16*4</f>
        <v>22.225830258302583</v>
      </c>
      <c r="Y146" s="95">
        <f>(IS!Y40)/Y16*4</f>
        <v>20.429038587311968</v>
      </c>
      <c r="Z146" s="94">
        <f>(IS!Z40)/Z16*4</f>
        <v>19.25</v>
      </c>
      <c r="AA146" s="94">
        <f>(IS!AA40)/AA16*4</f>
        <v>21.124183006535944</v>
      </c>
      <c r="AB146" s="94">
        <f>(IS!AB40)/AB16*4</f>
        <v>20.515765765765767</v>
      </c>
      <c r="AC146" s="95">
        <f>(IS!AC40)/AC16*4</f>
        <v>17.437347635299854</v>
      </c>
      <c r="AD146" s="94">
        <f>(IS!AD40)/AD16*4</f>
        <v>19.37037037037037</v>
      </c>
      <c r="AE146" s="94">
        <f>(IS!AE40)/AE16*4</f>
        <v>17.705660377358491</v>
      </c>
      <c r="AF146" s="94">
        <f>(IS!AF40)/AF16*4</f>
        <v>19.555555555555557</v>
      </c>
      <c r="AG146" s="95">
        <f>(IS!AG40)/AG16*4</f>
        <v>17.945945945945947</v>
      </c>
      <c r="AH146" s="94">
        <f>(IS!AH40)/AH16*4</f>
        <v>12.520607375271149</v>
      </c>
      <c r="AI146" s="94">
        <f>(IS!AI40)/AI16*4</f>
        <v>14.734640522875816</v>
      </c>
      <c r="AJ146" s="94">
        <f>(IS!AJ40)/AJ16*4</f>
        <v>14.368527472527473</v>
      </c>
      <c r="AK146" s="95">
        <f>(IS!AK40)/AK16*4</f>
        <v>13.754385964912281</v>
      </c>
      <c r="AL146" s="94">
        <f>(IS!AL40)/AL16*4</f>
        <v>14.129979035639414</v>
      </c>
      <c r="AM146" s="94">
        <f>(IS!AM40)/AM16*4</f>
        <v>13.748878923766815</v>
      </c>
      <c r="AN146" s="94">
        <f>(IS!AN40)/AN16*4</f>
        <v>13.911688311688312</v>
      </c>
      <c r="AO146" s="95">
        <f>(IS!AO40)/AO16*4</f>
        <v>16.574468085106382</v>
      </c>
      <c r="AP146" s="94">
        <f>(IS!AP40)/AP16*4</f>
        <v>17.144821760405065</v>
      </c>
      <c r="AQ146" s="94">
        <f>(IS!AQ40)/AQ16*4</f>
        <v>17.051301763796911</v>
      </c>
      <c r="AR146" s="94">
        <f>(IS!AR40)/AR16*4</f>
        <v>15.583122276134121</v>
      </c>
      <c r="AS146" s="95">
        <f>(IS!AS40)/AS16*4</f>
        <v>13.181676145010794</v>
      </c>
      <c r="AT146" s="94">
        <f>(IS!AT40)/AT16*4</f>
        <v>14.260453983294118</v>
      </c>
      <c r="AU146" s="94">
        <f>(IS!AU40)/AU16*4</f>
        <v>14.080407269542256</v>
      </c>
      <c r="AV146" s="94">
        <f>(IS!AV40)/AV16*4</f>
        <v>12.835866747158887</v>
      </c>
      <c r="AW146" s="95">
        <f>(IS!AW40)/AW16*4</f>
        <v>13.405102712324522</v>
      </c>
      <c r="AX146" s="94">
        <f>(IS!AX40)/AX16*4</f>
        <v>13.349242703474083</v>
      </c>
      <c r="AY146" s="94">
        <f>(IS!AY40)/AY16*4</f>
        <v>11.55898136191845</v>
      </c>
      <c r="AZ146" s="94">
        <f>(IS!AZ40)/AZ16*4</f>
        <v>6.1086678273207786</v>
      </c>
      <c r="BA146" s="95">
        <f>(IS!BA40)/BA16*4</f>
        <v>10.720329616462623</v>
      </c>
      <c r="BB146" s="94">
        <f>(IS!BB40)/BB16*4</f>
        <v>8.6000292071933657</v>
      </c>
      <c r="BC146" s="94">
        <f>(IS!BC40)/BC16*4</f>
        <v>9.0600671084089388</v>
      </c>
      <c r="BD146" s="94">
        <f>(IS!BD40)/BD16*4</f>
        <v>8.9055973266499588</v>
      </c>
      <c r="BE146" s="95">
        <f>(IS!BE40)/BE16*4</f>
        <v>8.8989968424016084</v>
      </c>
      <c r="BF146" s="94">
        <f>(IS!BF40)/BF16*4</f>
        <v>8.5819608333191564</v>
      </c>
      <c r="BG146" s="94">
        <f>(IS!BG40)/BG16*4</f>
        <v>8.5878069295771997</v>
      </c>
      <c r="BH146" s="94">
        <f>(IS!BH40)/BH16*4</f>
        <v>8.1064356144113798</v>
      </c>
      <c r="BI146" s="95">
        <f>(IS!BI40)/BI16*4</f>
        <v>8.3948412603374418</v>
      </c>
      <c r="BJ146" s="94">
        <f>(IS!BJ40)/BJ16*4</f>
        <v>8.6469968070917815</v>
      </c>
      <c r="BK146" s="94">
        <f>(IS!BK40)/BK16*4</f>
        <v>8.4015510290014781</v>
      </c>
      <c r="BL146" s="94">
        <f>(IS!BL40)/BL16*4</f>
        <v>7.5040862946735976</v>
      </c>
      <c r="BM146" s="95">
        <f>(IS!BM40)/BM16*4</f>
        <v>6.5431684358437741</v>
      </c>
      <c r="BN146" s="93">
        <f>(IS!BN40)/BN16*4</f>
        <v>7.565237240578166</v>
      </c>
      <c r="BO146" s="94">
        <f>(IS!BO40)/BO16*4</f>
        <v>7.6634884819506599</v>
      </c>
      <c r="BP146" s="94">
        <f>(IS!BP40)/BP16*4</f>
        <v>6.604632383861972</v>
      </c>
      <c r="BQ146" s="95">
        <f>(IS!BQ40)/BQ16*4</f>
        <v>4.5150178009743556</v>
      </c>
      <c r="BR146" s="93">
        <f>(IS!BR16)/BR16*4</f>
        <v>5.9088553816974869</v>
      </c>
      <c r="BS146" s="94">
        <f>(IS!BS16)/BS16*4</f>
        <v>5.9398503597122305</v>
      </c>
      <c r="BT146" s="94">
        <f>(IS!BT16)/BT16*4</f>
        <v>5.009625554569654</v>
      </c>
      <c r="BU146" s="95">
        <f>(IS!BU16)/BU16*4</f>
        <v>4.8593302007689037</v>
      </c>
      <c r="BV146" s="93">
        <f>(IS!BV16)/BV16*4</f>
        <v>5.1939791485664646</v>
      </c>
      <c r="BW146" s="94">
        <f>(IS!BW16)/BW16*4</f>
        <v>5.3128277071459884</v>
      </c>
      <c r="BX146" s="94">
        <f>(IS!BX16)/BX16*4</f>
        <v>5.0410958904109586</v>
      </c>
      <c r="BY146" s="95">
        <f>(IS!BY16)/BY16*4</f>
        <v>5.1111111111111116</v>
      </c>
      <c r="BZ146" s="93">
        <f>(IS!BZ16)/BZ16*4</f>
        <v>4.9729729729729728</v>
      </c>
      <c r="CA146" s="94">
        <f>(IS!CA16)/CA16*4</f>
        <v>4.9729729729729728</v>
      </c>
      <c r="CB146" s="94">
        <f>(IS!CB16)/CB16*4</f>
        <v>5.0410958904109586</v>
      </c>
      <c r="CC146" s="95">
        <f>(IS!CC16)/CC16*4</f>
        <v>5.3998532648569331</v>
      </c>
      <c r="CD146" s="12"/>
      <c r="CE146" s="94"/>
      <c r="CF146" s="94">
        <f>IS!CF40/CF16</f>
        <v>25.472457251856394</v>
      </c>
      <c r="CG146" s="94">
        <f>IS!CG40/CG16</f>
        <v>23.078517382413086</v>
      </c>
      <c r="CH146" s="94">
        <f>IS!CH40/CH16</f>
        <v>17.397106679521702</v>
      </c>
      <c r="CI146" s="94">
        <f>IS!CI40/CI16</f>
        <v>19.940984275463194</v>
      </c>
      <c r="CJ146" s="94">
        <f>IS!CJ40/CJ16</f>
        <v>17.188688444661143</v>
      </c>
      <c r="CK146" s="94">
        <f>IS!CK40/CK16</f>
        <v>17.64092664092664</v>
      </c>
      <c r="CL146" s="94">
        <f>IS!CL40/CL16</f>
        <v>13.895219298245614</v>
      </c>
      <c r="CM146" s="94">
        <f>IS!CM40/CM16</f>
        <v>16.263297872340427</v>
      </c>
      <c r="CN146" s="94">
        <f>IS!CN40/CN16</f>
        <v>13.294118718556271</v>
      </c>
      <c r="CO146" s="94">
        <f>IS!CO40/CO16</f>
        <v>13.475007708669175</v>
      </c>
      <c r="CP146" s="94">
        <f>IS!CP40/CP16</f>
        <v>7.1900119522602877</v>
      </c>
      <c r="CQ146" s="94">
        <f>IS!CQ40/CQ16</f>
        <v>9.1234779321291288</v>
      </c>
      <c r="CR146" s="93">
        <f>IS!CR40/CR16</f>
        <v>8.650894637310234</v>
      </c>
      <c r="CS146" s="94">
        <f>IS!CS40/CS16</f>
        <v>7.4271244260952889</v>
      </c>
      <c r="CT146" s="94">
        <f>IS!CT16/CT16</f>
        <v>4.3135615312353206</v>
      </c>
      <c r="CU146" s="94">
        <f>IS!CU16/CU16</f>
        <v>5.0740871422469027</v>
      </c>
      <c r="CV146" s="94">
        <f>IS!CV16/CV16</f>
        <v>5.0872188436397323</v>
      </c>
      <c r="CW146" s="94">
        <f>IS!CW16/CW16</f>
        <v>5.7289651583897658</v>
      </c>
      <c r="CX146" s="94">
        <f>IS!CX16/CX16</f>
        <v>5.545454545454545</v>
      </c>
      <c r="CY146" s="94">
        <f>IS!CY16/CY16</f>
        <v>5.4626865671641784</v>
      </c>
      <c r="CZ146" s="94">
        <f>IS!CZ16/CZ16</f>
        <v>5.4626865671641793</v>
      </c>
      <c r="DA146" s="94">
        <f>IS!DA16/DA16</f>
        <v>5.4626865671641793</v>
      </c>
      <c r="DB146" s="94">
        <f>IS!DB16/DB16</f>
        <v>5.4626865671641793</v>
      </c>
      <c r="DC146" s="94">
        <f>IS!DC16/DC16</f>
        <v>5.4626865671641793</v>
      </c>
      <c r="DD146" s="95"/>
      <c r="DE146" s="24"/>
      <c r="DF146" s="24"/>
      <c r="DG146" s="159"/>
      <c r="DH146" s="159"/>
      <c r="DI146" s="159"/>
      <c r="DJ146" s="159"/>
      <c r="DK146" s="24"/>
      <c r="DL146" s="24"/>
      <c r="DM146" s="24"/>
      <c r="DN146" s="24"/>
      <c r="DO146" s="24"/>
      <c r="DP146" s="24"/>
      <c r="DQ146" s="24"/>
      <c r="DR146" s="24"/>
    </row>
    <row r="147" spans="1:122" hidden="1" outlineLevel="1">
      <c r="A147" s="3"/>
      <c r="B147" s="76"/>
      <c r="C147" s="3" t="s">
        <v>636</v>
      </c>
      <c r="D147" s="3"/>
      <c r="E147" s="97"/>
      <c r="F147" s="94"/>
      <c r="G147" s="94"/>
      <c r="H147" s="94"/>
      <c r="I147" s="95"/>
      <c r="J147" s="94"/>
      <c r="K147" s="94"/>
      <c r="L147" s="94"/>
      <c r="M147" s="95">
        <f>SUM(IS!J11:M11)/M206</f>
        <v>-62.06080763777959</v>
      </c>
      <c r="N147" s="94">
        <f>SUM(IS!K11:N11)/N206</f>
        <v>-50.690083405052384</v>
      </c>
      <c r="O147" s="94">
        <f>SUM(IS!L11:O11)/O206</f>
        <v>-55.733528939489332</v>
      </c>
      <c r="P147" s="94">
        <f>SUM(IS!M11:P11)/P206</f>
        <v>-36.059064240340632</v>
      </c>
      <c r="Q147" s="95">
        <f>SUM(IS!N11:Q11)/Q206</f>
        <v>-41.314568100629984</v>
      </c>
      <c r="R147" s="94">
        <f>SUM(IS!O11:R11)/R206</f>
        <v>40.365640024571306</v>
      </c>
      <c r="S147" s="94">
        <f>SUM(IS!P11:S11)/S206</f>
        <v>25.701773953896375</v>
      </c>
      <c r="T147" s="94">
        <f>SUM(IS!Q11:T11)/T206</f>
        <v>22.96218217064078</v>
      </c>
      <c r="U147" s="95">
        <f>SUM(IS!R11:U11)/U206</f>
        <v>20.244027226202387</v>
      </c>
      <c r="V147" s="94">
        <f>SUM(IS!S11:V11)/V206</f>
        <v>21.557907853903437</v>
      </c>
      <c r="W147" s="94">
        <f>SUM(IS!T11:W11)/W206</f>
        <v>27.623827902254931</v>
      </c>
      <c r="X147" s="94">
        <f>SUM(IS!U11:X11)/X206</f>
        <v>26.537263660836462</v>
      </c>
      <c r="Y147" s="95">
        <f>SUM(IS!V11:Y11)/Y206</f>
        <v>25.269195632146179</v>
      </c>
      <c r="Z147" s="94">
        <f>SUM(IS!W11:Z11)/Z206</f>
        <v>15.884936161844417</v>
      </c>
      <c r="AA147" s="94">
        <f>SUM(IS!X11:AA11)/AA206</f>
        <v>13.941381024293337</v>
      </c>
      <c r="AB147" s="94">
        <f>SUM(IS!Y11:AB11)/AB206</f>
        <v>10.856686720564193</v>
      </c>
      <c r="AC147" s="95">
        <f>SUM(IS!Z11:AC11)/AC206</f>
        <v>9.2367297752469106</v>
      </c>
      <c r="AD147" s="94">
        <f>SUM(IS!AA11:AD11)/AD206</f>
        <v>9.9037863692688717</v>
      </c>
      <c r="AE147" s="94">
        <f>SUM(IS!AB11:AE11)/AE206</f>
        <v>9.2396600010779402</v>
      </c>
      <c r="AF147" s="94">
        <f>SUM(IS!AC11:AF11)/AF206</f>
        <v>9.2140661675637485</v>
      </c>
      <c r="AG147" s="95">
        <f>SUM(IS!AD11:AG11)/AG206</f>
        <v>8.5850963778157432</v>
      </c>
      <c r="AH147" s="94">
        <f>SUM(IS!AE11:AH11)/AH206</f>
        <v>3.9778122130216853</v>
      </c>
      <c r="AI147" s="94">
        <f>SUM(IS!AF11:AI11)/AI206</f>
        <v>4.4357854889795334</v>
      </c>
      <c r="AJ147" s="94">
        <f>SUM(IS!AG11:AJ11)/AJ206</f>
        <v>4.7711894920960054</v>
      </c>
      <c r="AK147" s="95">
        <f>SUM(IS!AH11:AK11)/AK206</f>
        <v>5.0909104303748665</v>
      </c>
      <c r="AL147" s="94">
        <f>SUM(IS!AI11:AL11)/AL206</f>
        <v>4.925210725823451</v>
      </c>
      <c r="AM147" s="94">
        <f>SUM(IS!AJ11:AM11)/AM206</f>
        <v>5.0444879141248897</v>
      </c>
      <c r="AN147" s="94">
        <f>SUM(IS!AK11:AN11)/AN206</f>
        <v>5.3121797966695423</v>
      </c>
      <c r="AO147" s="95">
        <f>SUM(IS!AL11:AO11)/AO206</f>
        <v>5.3113728186073175</v>
      </c>
      <c r="AP147" s="94">
        <f>SUM(IS!AM11:AP11)/AP206</f>
        <v>5.1860345495434643</v>
      </c>
      <c r="AQ147" s="94">
        <f>SUM(IS!AN11:AQ11)/AQ206</f>
        <v>5.4663251990038866</v>
      </c>
      <c r="AR147" s="94">
        <f>SUM(IS!AO11:AR11)/AR206</f>
        <v>6.0077919257952956</v>
      </c>
      <c r="AS147" s="95">
        <f>SUM(IS!AP11:AS11)/AS206</f>
        <v>5.1142263759086193</v>
      </c>
      <c r="AT147" s="94">
        <f>SUM(IS!AQ11:AT11)/AT206</f>
        <v>5.0980293077311778</v>
      </c>
      <c r="AU147" s="94">
        <f>SUM(IS!AR11:AU11)/AU206</f>
        <v>5.0921658986175116</v>
      </c>
      <c r="AV147" s="94">
        <f>SUM(IS!AS11:AV11)/AV206</f>
        <v>4.8409321175278626</v>
      </c>
      <c r="AW147" s="95">
        <f>SUM(IS!AT11:AW11)/AW206</f>
        <v>5.0806366047745355</v>
      </c>
      <c r="AX147" s="94">
        <f>SUM(IS!AU11:AX11)/AX206</f>
        <v>4.9641232945932288</v>
      </c>
      <c r="AY147" s="94">
        <f>SUM(IS!AV11:AY11)/AY206</f>
        <v>4.8870292887029292</v>
      </c>
      <c r="AZ147" s="94">
        <f>SUM(IS!AW11:AZ11)/AZ206</f>
        <v>2.6046810699588478</v>
      </c>
      <c r="BA147" s="95">
        <f>SUM(IS!AX11:BA11)/BA206</f>
        <v>3.4205043859649122</v>
      </c>
      <c r="BB147" s="94">
        <f>SUM(IS!AY11:BB11)/BB206</f>
        <v>3.7664213682202234</v>
      </c>
      <c r="BC147" s="94">
        <f>SUM(IS!AZ11:BC11)/BC206</f>
        <v>4.1806037937483298</v>
      </c>
      <c r="BD147" s="94">
        <f>SUM(IS!BA11:BD11)/BD206</f>
        <v>4.5592984409799557</v>
      </c>
      <c r="BE147" s="95">
        <f>SUM(IS!BB11:BE11)/BE206</f>
        <v>5.4805426633345231</v>
      </c>
      <c r="BF147" s="94">
        <f>SUM(IS!BC11:BF11)/BF206</f>
        <v>5.2591304347826089</v>
      </c>
      <c r="BG147" s="94">
        <f>SUM(IS!BD11:BG11)/BG206</f>
        <v>5.4940626124505219</v>
      </c>
      <c r="BH147" s="94">
        <f>SUM(IS!BE11:BH11)/BH206</f>
        <v>5.5257994186046515</v>
      </c>
      <c r="BI147" s="95">
        <f>SUM(IS!BF11:BI11)/BI206</f>
        <v>5.5912786400591274</v>
      </c>
      <c r="BJ147" s="94">
        <f>SUM(IS!BG11:BJ11)/BJ206</f>
        <v>6.0399525316455698</v>
      </c>
      <c r="BK147" s="94">
        <f>SUM(IS!BH11:BK11)/BK206</f>
        <v>5.1755282890252214</v>
      </c>
      <c r="BL147" s="94">
        <f>SUM(IS!BI11:BL11)/BL206</f>
        <v>5.3041637261820744</v>
      </c>
      <c r="BM147" s="95">
        <f>SUM(IS!BJ11:BM11)/BM206</f>
        <v>5.2024277043912885</v>
      </c>
      <c r="BN147" s="93">
        <f>SUM(IS!BK11:BN11)/BN206</f>
        <v>5.1279325513196481</v>
      </c>
      <c r="BO147" s="94">
        <f>SUM(IS!BL11:BO11)/BO206</f>
        <v>5.3995975855130789</v>
      </c>
      <c r="BP147" s="94">
        <f>SUM(IS!BM11:BP11)/BP206</f>
        <v>5.617529880478088</v>
      </c>
      <c r="BQ147" s="95">
        <f>SUM(IS!BN11:BQ11)/BQ206</f>
        <v>4.3516409912926992</v>
      </c>
      <c r="BR147" s="93">
        <f>SUM(IS!BO11:BR11)/BR206</f>
        <v>4.6965630114566288</v>
      </c>
      <c r="BS147" s="94">
        <f>SUM(IS!BP11:BS11)/BS206</f>
        <v>6.1869413136416638</v>
      </c>
      <c r="BT147" s="94">
        <f>SUM(IS!BQ11:BT11)/BT206</f>
        <v>7.3757273482959267</v>
      </c>
      <c r="BU147" s="95">
        <f>SUM(IS!BR11:BU11)/BU206</f>
        <v>7.8896694214876035</v>
      </c>
      <c r="BV147" s="93">
        <f>SUM(IS!BS11:BV11)/BV206</f>
        <v>7.4316109422492405</v>
      </c>
      <c r="BW147" s="94">
        <f>SUM(IS!BT11:BW11)/BW206</f>
        <v>14.766051660516606</v>
      </c>
      <c r="BX147" s="94">
        <f>SUM(IS!BU11:BX11)/BX206</f>
        <v>8.9046329724969286</v>
      </c>
      <c r="BY147" s="95">
        <f>SUM(IS!BV11:BY11)/BY206</f>
        <v>9.7149073408890541</v>
      </c>
      <c r="BZ147" s="93">
        <f>SUM(IS!BW11:BZ11)/BZ206</f>
        <v>10.174498604323627</v>
      </c>
      <c r="CA147" s="94">
        <f>SUM(IS!BX11:CA11)/CA206</f>
        <v>12.045402129847213</v>
      </c>
      <c r="CB147" s="94">
        <f>SUM(IS!BY11:CB11)/CB206</f>
        <v>11.275341845616344</v>
      </c>
      <c r="CC147" s="95">
        <f>SUM(IS!BZ11:CC11)/CC206</f>
        <v>10.328948499529382</v>
      </c>
      <c r="CD147" s="12"/>
      <c r="CE147" s="94"/>
      <c r="CF147" s="94">
        <f>IS!CF11/CF206</f>
        <v>-62.06080763777959</v>
      </c>
      <c r="CG147" s="94">
        <f>IS!CG11/CG206</f>
        <v>-41.314568100629948</v>
      </c>
      <c r="CH147" s="94">
        <f>IS!CH11/CH206</f>
        <v>20.244027226202387</v>
      </c>
      <c r="CI147" s="94">
        <f>IS!CI11/CI206</f>
        <v>25.269195632146179</v>
      </c>
      <c r="CJ147" s="94">
        <f>IS!CJ11/CJ206</f>
        <v>9.2367297752469106</v>
      </c>
      <c r="CK147" s="94">
        <f>IS!CK11/CK206</f>
        <v>8.5850963778157432</v>
      </c>
      <c r="CL147" s="94">
        <f>IS!CL11/CL206</f>
        <v>5.0909104303748665</v>
      </c>
      <c r="CM147" s="94">
        <f>IS!CM11/CM206</f>
        <v>5.3113728186073175</v>
      </c>
      <c r="CN147" s="94">
        <f>IS!CN11/CN206</f>
        <v>5.1142263759086193</v>
      </c>
      <c r="CO147" s="94">
        <f>IS!CO11/CO206</f>
        <v>5.0806366047745355</v>
      </c>
      <c r="CP147" s="94">
        <f>IS!CP11/CP206</f>
        <v>3.4205043859649122</v>
      </c>
      <c r="CQ147" s="94">
        <f>IS!CQ11/CQ206</f>
        <v>5.4805426633345231</v>
      </c>
      <c r="CR147" s="93">
        <f>IS!CR11/CR206</f>
        <v>5.5912786400591274</v>
      </c>
      <c r="CS147" s="94">
        <f>IS!CS11/CS206</f>
        <v>5.2024277043912885</v>
      </c>
      <c r="CT147" s="94">
        <f>IS!CT11/CT206</f>
        <v>4.3516409912926992</v>
      </c>
      <c r="CU147" s="94">
        <f>IS!CU11/CU206</f>
        <v>7.8896694214876035</v>
      </c>
      <c r="CV147" s="94">
        <f>IS!CV11/CV206</f>
        <v>9.7149073408890541</v>
      </c>
      <c r="CW147" s="94">
        <f>IS!CW11/CW206</f>
        <v>10.328948499529382</v>
      </c>
      <c r="CX147" s="94">
        <f>IS!CX11/CX206</f>
        <v>13.531965618873809</v>
      </c>
      <c r="CY147" s="94">
        <f>IS!CY11/CY206</f>
        <v>14.697027193741414</v>
      </c>
      <c r="CZ147" s="94">
        <f>IS!CZ11/CZ206</f>
        <v>15.644528622618674</v>
      </c>
      <c r="DA147" s="94">
        <f>IS!DA11/DA206</f>
        <v>14.807741154545619</v>
      </c>
      <c r="DB147" s="94">
        <f>IS!DB11/DB206</f>
        <v>14.761033497693196</v>
      </c>
      <c r="DC147" s="94">
        <f>IS!DC11/DC206</f>
        <v>15.322470780564105</v>
      </c>
      <c r="DD147" s="95"/>
      <c r="DE147" s="24"/>
      <c r="DF147" s="24"/>
      <c r="DG147" s="159"/>
      <c r="DH147" s="159"/>
      <c r="DI147" s="159"/>
      <c r="DJ147" s="159"/>
      <c r="DK147" s="24"/>
      <c r="DL147" s="24"/>
      <c r="DM147" s="24"/>
      <c r="DN147" s="24"/>
      <c r="DO147" s="24"/>
      <c r="DP147" s="24"/>
      <c r="DQ147" s="24"/>
      <c r="DR147" s="24"/>
    </row>
    <row r="148" spans="1:122" hidden="1" outlineLevel="1">
      <c r="A148" s="3"/>
      <c r="B148" s="76"/>
      <c r="C148" s="3"/>
      <c r="D148" s="3"/>
      <c r="E148" s="97"/>
      <c r="F148" s="96"/>
      <c r="G148" s="96"/>
      <c r="H148" s="96"/>
      <c r="I148" s="97"/>
      <c r="J148" s="96"/>
      <c r="K148" s="96"/>
      <c r="L148" s="96"/>
      <c r="M148" s="97"/>
      <c r="N148" s="96"/>
      <c r="O148" s="96"/>
      <c r="P148" s="96"/>
      <c r="Q148" s="97"/>
      <c r="R148" s="96"/>
      <c r="S148" s="96"/>
      <c r="T148" s="96"/>
      <c r="U148" s="97"/>
      <c r="V148" s="96"/>
      <c r="W148" s="96"/>
      <c r="X148" s="96"/>
      <c r="Y148" s="97"/>
      <c r="Z148" s="96"/>
      <c r="AA148" s="96"/>
      <c r="AB148" s="96"/>
      <c r="AC148" s="97"/>
      <c r="AD148" s="96"/>
      <c r="AE148" s="96"/>
      <c r="AF148" s="96"/>
      <c r="AG148" s="97"/>
      <c r="AH148" s="96"/>
      <c r="AI148" s="96"/>
      <c r="AJ148" s="96"/>
      <c r="AK148" s="97"/>
      <c r="AL148" s="96"/>
      <c r="AM148" s="96"/>
      <c r="AN148" s="96"/>
      <c r="AO148" s="97"/>
      <c r="AP148" s="96"/>
      <c r="AQ148" s="96"/>
      <c r="AR148" s="96"/>
      <c r="AS148" s="97"/>
      <c r="AT148" s="96"/>
      <c r="AU148" s="96"/>
      <c r="AV148" s="96"/>
      <c r="AW148" s="97"/>
      <c r="AX148" s="96"/>
      <c r="AY148" s="96"/>
      <c r="AZ148" s="96"/>
      <c r="BA148" s="97"/>
      <c r="BB148" s="96"/>
      <c r="BC148" s="96"/>
      <c r="BD148" s="96"/>
      <c r="BE148" s="97"/>
      <c r="BF148" s="96"/>
      <c r="BG148" s="96"/>
      <c r="BH148" s="96"/>
      <c r="BI148" s="97"/>
      <c r="BJ148" s="96"/>
      <c r="BK148" s="96"/>
      <c r="BL148" s="96"/>
      <c r="BM148" s="97"/>
      <c r="BN148" s="76"/>
      <c r="BO148" s="96"/>
      <c r="BP148" s="96"/>
      <c r="BQ148" s="97"/>
      <c r="BR148" s="76"/>
      <c r="BS148" s="96"/>
      <c r="BT148" s="96"/>
      <c r="BU148" s="97"/>
      <c r="BV148" s="76"/>
      <c r="BW148" s="96"/>
      <c r="BX148" s="96"/>
      <c r="BY148" s="97"/>
      <c r="BZ148" s="76"/>
      <c r="CA148" s="96"/>
      <c r="CB148" s="96"/>
      <c r="CC148" s="97"/>
      <c r="CD148" s="12"/>
      <c r="CE148" s="96"/>
      <c r="CF148" s="96"/>
      <c r="CG148" s="96"/>
      <c r="CH148" s="96"/>
      <c r="CI148" s="96"/>
      <c r="CJ148" s="96"/>
      <c r="CK148" s="96"/>
      <c r="CL148" s="96"/>
      <c r="CM148" s="96"/>
      <c r="CN148" s="96"/>
      <c r="CO148" s="96"/>
      <c r="CP148" s="96"/>
      <c r="CQ148" s="96"/>
      <c r="CR148" s="76"/>
      <c r="CS148" s="96"/>
      <c r="CT148" s="96"/>
      <c r="CU148" s="96"/>
      <c r="CV148" s="96"/>
      <c r="CW148" s="96"/>
      <c r="CX148" s="96"/>
      <c r="CY148" s="96"/>
      <c r="CZ148" s="96"/>
      <c r="DA148" s="96"/>
      <c r="DB148" s="96"/>
      <c r="DC148" s="96"/>
      <c r="DD148" s="97"/>
      <c r="DE148" s="24"/>
      <c r="DF148" s="24"/>
      <c r="DG148" s="24"/>
      <c r="DH148" s="24"/>
      <c r="DI148" s="24"/>
      <c r="DJ148" s="24"/>
      <c r="DK148" s="24"/>
      <c r="DL148" s="24"/>
      <c r="DM148" s="24"/>
      <c r="DN148" s="24"/>
      <c r="DO148" s="24"/>
      <c r="DP148" s="24"/>
      <c r="DQ148" s="24"/>
      <c r="DR148" s="24"/>
    </row>
    <row r="149" spans="1:122" hidden="1" outlineLevel="1">
      <c r="A149" s="3"/>
      <c r="B149" s="92" t="s">
        <v>6</v>
      </c>
      <c r="C149" s="3"/>
      <c r="D149" s="3"/>
      <c r="E149" s="55"/>
      <c r="F149" s="31"/>
      <c r="G149" s="31"/>
      <c r="H149" s="31"/>
      <c r="I149" s="55"/>
      <c r="J149" s="31"/>
      <c r="K149" s="31"/>
      <c r="L149" s="31"/>
      <c r="M149" s="55"/>
      <c r="N149" s="31"/>
      <c r="O149" s="31"/>
      <c r="P149" s="31"/>
      <c r="Q149" s="55"/>
      <c r="R149" s="31"/>
      <c r="S149" s="31"/>
      <c r="T149" s="31"/>
      <c r="U149" s="55"/>
      <c r="V149" s="31"/>
      <c r="W149" s="31"/>
      <c r="X149" s="31"/>
      <c r="Y149" s="55"/>
      <c r="Z149" s="31"/>
      <c r="AA149" s="31"/>
      <c r="AB149" s="31"/>
      <c r="AC149" s="55"/>
      <c r="AD149" s="31"/>
      <c r="AE149" s="31"/>
      <c r="AF149" s="31"/>
      <c r="AG149" s="55"/>
      <c r="AH149" s="31"/>
      <c r="AI149" s="31"/>
      <c r="AJ149" s="31"/>
      <c r="AK149" s="55"/>
      <c r="AL149" s="31"/>
      <c r="AM149" s="31"/>
      <c r="AN149" s="31"/>
      <c r="AO149" s="55"/>
      <c r="AP149" s="31"/>
      <c r="AQ149" s="31"/>
      <c r="AR149" s="31"/>
      <c r="AS149" s="55"/>
      <c r="AT149" s="31"/>
      <c r="AU149" s="31"/>
      <c r="AV149" s="31"/>
      <c r="AW149" s="55"/>
      <c r="AX149" s="31"/>
      <c r="AY149" s="31"/>
      <c r="AZ149" s="31"/>
      <c r="BA149" s="55"/>
      <c r="BB149" s="31"/>
      <c r="BC149" s="31"/>
      <c r="BD149" s="31"/>
      <c r="BE149" s="55"/>
      <c r="BF149" s="31"/>
      <c r="BG149" s="31"/>
      <c r="BH149" s="31"/>
      <c r="BI149" s="55"/>
      <c r="BJ149" s="31"/>
      <c r="BK149" s="31"/>
      <c r="BL149" s="31"/>
      <c r="BM149" s="55"/>
      <c r="BN149" s="92"/>
      <c r="BO149" s="31"/>
      <c r="BP149" s="31"/>
      <c r="BQ149" s="55"/>
      <c r="BR149" s="92"/>
      <c r="BS149" s="31"/>
      <c r="BT149" s="31"/>
      <c r="BU149" s="55"/>
      <c r="BV149" s="92"/>
      <c r="BW149" s="31"/>
      <c r="BX149" s="31"/>
      <c r="BY149" s="55"/>
      <c r="BZ149" s="92"/>
      <c r="CA149" s="31"/>
      <c r="CB149" s="31"/>
      <c r="CC149" s="55"/>
      <c r="CD149" s="12"/>
      <c r="CE149" s="31"/>
      <c r="CF149" s="31"/>
      <c r="CG149" s="31"/>
      <c r="CH149" s="31"/>
      <c r="CI149" s="31"/>
      <c r="CJ149" s="31"/>
      <c r="CK149" s="31"/>
      <c r="CL149" s="31"/>
      <c r="CM149" s="31"/>
      <c r="CN149" s="31"/>
      <c r="CO149" s="31"/>
      <c r="CP149" s="31"/>
      <c r="CQ149" s="31"/>
      <c r="CR149" s="92"/>
      <c r="CS149" s="31"/>
      <c r="CT149" s="31"/>
      <c r="CU149" s="31"/>
      <c r="CV149" s="31"/>
      <c r="CW149" s="31"/>
      <c r="CX149" s="31"/>
      <c r="CY149" s="31"/>
      <c r="CZ149" s="31"/>
      <c r="DA149" s="31"/>
      <c r="DB149" s="31"/>
      <c r="DC149" s="31"/>
      <c r="DD149" s="55"/>
      <c r="DE149" s="24"/>
      <c r="DF149" s="24"/>
      <c r="DG149" s="24"/>
      <c r="DH149" s="24"/>
      <c r="DI149" s="24"/>
      <c r="DJ149" s="24"/>
      <c r="DK149" s="24"/>
      <c r="DL149" s="24"/>
      <c r="DM149" s="24"/>
      <c r="DN149" s="24"/>
      <c r="DO149" s="24"/>
      <c r="DP149" s="24"/>
      <c r="DQ149" s="24"/>
      <c r="DR149" s="24"/>
    </row>
    <row r="150" spans="1:122" hidden="1" outlineLevel="1">
      <c r="A150" s="3"/>
      <c r="B150" s="295"/>
      <c r="C150" s="3" t="s">
        <v>638</v>
      </c>
      <c r="D150" s="3"/>
      <c r="E150" s="711"/>
      <c r="F150" s="584"/>
      <c r="G150" s="584"/>
      <c r="H150" s="584"/>
      <c r="I150" s="586"/>
      <c r="J150" s="584"/>
      <c r="K150" s="584"/>
      <c r="L150" s="584"/>
      <c r="M150" s="586">
        <f>IS!M85/IS!M11</f>
        <v>2.9977509469696913E-2</v>
      </c>
      <c r="N150" s="584">
        <f>IS!N85/IS!N11</f>
        <v>3.8111039826256098E-2</v>
      </c>
      <c r="O150" s="584">
        <f>IS!O85/IS!O11</f>
        <v>9.7451010192299528E-2</v>
      </c>
      <c r="P150" s="584">
        <f>IS!P85/IS!P11</f>
        <v>7.7215300795957426E-2</v>
      </c>
      <c r="Q150" s="586">
        <f>IS!Q85/IS!Q11</f>
        <v>6.6255856408702768E-2</v>
      </c>
      <c r="R150" s="584">
        <f>IS!R85/IS!R11</f>
        <v>7.035435990477565E-3</v>
      </c>
      <c r="S150" s="584">
        <f>IS!S85/IS!S11</f>
        <v>8.2413290988582244E-2</v>
      </c>
      <c r="T150" s="584">
        <f>IS!T85/IS!T11</f>
        <v>6.3949197224413223E-2</v>
      </c>
      <c r="U150" s="586">
        <f>IS!U85/IS!U11</f>
        <v>3.9530507793697343E-2</v>
      </c>
      <c r="V150" s="584">
        <f>IS!V85/IS!V11</f>
        <v>3.691217532074563E-2</v>
      </c>
      <c r="W150" s="584">
        <f>IS!W85/IS!W11</f>
        <v>5.8669608954181093E-2</v>
      </c>
      <c r="X150" s="584">
        <f>IS!X85/IS!X11</f>
        <v>7.6960409364531635E-2</v>
      </c>
      <c r="Y150" s="586">
        <f>IS!Y85/IS!Y11</f>
        <v>6.3876181816288402E-2</v>
      </c>
      <c r="Z150" s="584">
        <f>IS!Z85/IS!Z11</f>
        <v>6.8130126794324425E-2</v>
      </c>
      <c r="AA150" s="584">
        <f>IS!AA85/IS!AA11</f>
        <v>9.3340315734093043E-2</v>
      </c>
      <c r="AB150" s="584">
        <f>IS!AB85/IS!AB11</f>
        <v>9.1134583068449848E-2</v>
      </c>
      <c r="AC150" s="586">
        <f>IS!AC85/IS!AC11</f>
        <v>7.8230326834720768E-2</v>
      </c>
      <c r="AD150" s="584">
        <f>IS!AD85/IS!AD11</f>
        <v>8.1486494062754766E-2</v>
      </c>
      <c r="AE150" s="584">
        <f>IS!AE85/IS!AE11</f>
        <v>9.241791524540427E-2</v>
      </c>
      <c r="AF150" s="584">
        <f>IS!AF85/IS!AF11</f>
        <v>8.7253316024550526E-2</v>
      </c>
      <c r="AG150" s="586">
        <f>IS!AG85/IS!AG11</f>
        <v>6.4269781453827224E-2</v>
      </c>
      <c r="AH150" s="584">
        <f>IS!AH85/IS!AH11</f>
        <v>0.10059423011334491</v>
      </c>
      <c r="AI150" s="584">
        <f>IS!AI85/IS!AI11</f>
        <v>0.13851599684878582</v>
      </c>
      <c r="AJ150" s="584">
        <f>IS!AJ85/IS!AJ11</f>
        <v>0.13245063317327896</v>
      </c>
      <c r="AK150" s="586">
        <f>IS!AK85/IS!AK11</f>
        <v>0.11442924787248089</v>
      </c>
      <c r="AL150" s="584">
        <f>IS!AL85/IS!AL11</f>
        <v>0.1000430463605889</v>
      </c>
      <c r="AM150" s="584">
        <f>IS!AM85/IS!AM11</f>
        <v>5.035568540678053E-2</v>
      </c>
      <c r="AN150" s="584">
        <f>IS!AN85/IS!AN11</f>
        <v>4.2648626062144562E-2</v>
      </c>
      <c r="AO150" s="586">
        <f>IS!AO85/IS!AO11</f>
        <v>8.9818368442038082E-2</v>
      </c>
      <c r="AP150" s="584">
        <f>IS!AP85/IS!AP11</f>
        <v>0.13086451592391293</v>
      </c>
      <c r="AQ150" s="584">
        <f>IS!AQ85/IS!AQ11</f>
        <v>0.16416192258495613</v>
      </c>
      <c r="AR150" s="584">
        <f>IS!AR85/IS!AR11</f>
        <v>0.15177555906853465</v>
      </c>
      <c r="AS150" s="586">
        <f>IS!AS85/IS!AS11</f>
        <v>0.12332717871473078</v>
      </c>
      <c r="AT150" s="584">
        <f>IS!AT85/IS!AT11</f>
        <v>8.458166278831214E-2</v>
      </c>
      <c r="AU150" s="584">
        <f>IS!AU85/IS!AU11</f>
        <v>9.1144310191919042E-2</v>
      </c>
      <c r="AV150" s="584">
        <f>IS!AV85/IS!AV11</f>
        <v>6.9295347150399506E-2</v>
      </c>
      <c r="AW150" s="586">
        <f>IS!AW85/IS!AW11</f>
        <v>8.086306023603311E-2</v>
      </c>
      <c r="AX150" s="584">
        <f>IS!AX85/IS!AX11</f>
        <v>9.6672091338086116E-2</v>
      </c>
      <c r="AY150" s="584">
        <f>IS!AY85/IS!AY11</f>
        <v>0.17963843174761929</v>
      </c>
      <c r="AZ150" s="584">
        <f>IS!AZ85/IS!AZ11</f>
        <v>0.20401053092049104</v>
      </c>
      <c r="BA150" s="586">
        <f>IS!BA85/IS!BA11</f>
        <v>0.18344558077830392</v>
      </c>
      <c r="BB150" s="584">
        <f>IS!BB85/IS!BB11</f>
        <v>0.14718711276332097</v>
      </c>
      <c r="BC150" s="584">
        <f>IS!BC85/IS!BC11</f>
        <v>0.13416723326359831</v>
      </c>
      <c r="BD150" s="584">
        <f>IS!BD85/IS!BD11</f>
        <v>0.13648246546227424</v>
      </c>
      <c r="BE150" s="586">
        <f>IS!BE85/IS!BE11</f>
        <v>0.12801448497854073</v>
      </c>
      <c r="BF150" s="584">
        <f>IS!BF85/IS!BF11</f>
        <v>0.13513937960042063</v>
      </c>
      <c r="BG150" s="584">
        <f>IS!BG85/IS!BG11</f>
        <v>0.13389325276938571</v>
      </c>
      <c r="BH150" s="584">
        <f>IS!BH85/IS!BH11</f>
        <v>0.12692627599243853</v>
      </c>
      <c r="BI150" s="586">
        <f>IS!BI85/IS!BI11</f>
        <v>0.12196932347302107</v>
      </c>
      <c r="BJ150" s="584">
        <f>IS!BJ85/IS!BJ11</f>
        <v>0.13928328683743341</v>
      </c>
      <c r="BK150" s="584">
        <f>IS!BK85/IS!BK11</f>
        <v>0.15198148148148147</v>
      </c>
      <c r="BL150" s="584">
        <f>IS!BL85/IS!BL11</f>
        <v>0.13264676056338026</v>
      </c>
      <c r="BM150" s="586">
        <f>IS!BM85/IS!BM11</f>
        <v>0.12284001880288306</v>
      </c>
      <c r="BN150" s="1413">
        <f>IS!BN85/IS!BN11</f>
        <v>0.12268601190476187</v>
      </c>
      <c r="BO150" s="584">
        <f>IS!BO85/IS!BO11</f>
        <v>0.12155939101597829</v>
      </c>
      <c r="BP150" s="584">
        <f>IS!BP85/IS!BP11</f>
        <v>0.1124238128986534</v>
      </c>
      <c r="BQ150" s="586">
        <f>IS!BQ85/IS!BQ11</f>
        <v>7.6889842632331909E-2</v>
      </c>
      <c r="BR150" s="1413">
        <f>IS!BR85/IS!BR11</f>
        <v>9.4941875265167591E-2</v>
      </c>
      <c r="BS150" s="584">
        <f>IS!BS85/IS!BS11</f>
        <v>0.13806321603927985</v>
      </c>
      <c r="BT150" s="584">
        <f>IS!BT85/IS!BT11</f>
        <v>0.15402796300279631</v>
      </c>
      <c r="BU150" s="586">
        <f>IS!BU85/IS!BU11</f>
        <v>0.18196551011978518</v>
      </c>
      <c r="BV150" s="1413">
        <f>IS!BV85/IS!BV11</f>
        <v>0.21016502605674575</v>
      </c>
      <c r="BW150" s="584">
        <f>IS!BW85/IS!BW11</f>
        <v>0.22645427286356823</v>
      </c>
      <c r="BX150" s="584">
        <f>IS!BX85/IS!BX11</f>
        <v>0.20428228028560802</v>
      </c>
      <c r="BY150" s="586">
        <f>IS!BY85/IS!BY11</f>
        <v>0.18335968842396447</v>
      </c>
      <c r="BZ150" s="1413">
        <f>IS!BZ85/IS!BZ11</f>
        <v>0.18877612913530631</v>
      </c>
      <c r="CA150" s="584">
        <f>IS!CA85/IS!CA11</f>
        <v>0.17571215612631</v>
      </c>
      <c r="CB150" s="584">
        <f>IS!CB85/IS!CB11</f>
        <v>0.15369232848885836</v>
      </c>
      <c r="CC150" s="586">
        <f>IS!CC85/IS!CC11</f>
        <v>0.15136062213555432</v>
      </c>
      <c r="CD150" s="12"/>
      <c r="CE150" s="584"/>
      <c r="CF150" s="584">
        <f>IS!CF85/IS!CF11</f>
        <v>2.2618448534500582E-2</v>
      </c>
      <c r="CG150" s="584">
        <f>IS!CG85/IS!CG11</f>
        <v>7.1666979111775497E-2</v>
      </c>
      <c r="CH150" s="584">
        <f>IS!CH85/IS!CH11</f>
        <v>4.9665129099901346E-2</v>
      </c>
      <c r="CI150" s="584">
        <f>IS!CI85/IS!CI11</f>
        <v>5.9714690234864871E-2</v>
      </c>
      <c r="CJ150" s="584">
        <f>IS!CJ85/IS!CJ11</f>
        <v>8.3123965268716515E-2</v>
      </c>
      <c r="CK150" s="584">
        <f>IS!CK85/IS!CK11</f>
        <v>8.1525062109775337E-2</v>
      </c>
      <c r="CL150" s="584">
        <f>IS!CL85/IS!CL11</f>
        <v>0.12269024807311225</v>
      </c>
      <c r="CM150" s="584">
        <f>IS!CM85/IS!CM11</f>
        <v>7.2982631414005267E-2</v>
      </c>
      <c r="CN150" s="584">
        <f>IS!CN85/IS!CN11</f>
        <v>0.14350187996025263</v>
      </c>
      <c r="CO150" s="584">
        <f>IS!CO85/IS!CO11</f>
        <v>8.1750083752520269E-2</v>
      </c>
      <c r="CP150" s="584">
        <f>IS!CP85/IS!CP11</f>
        <v>0.16910446688291805</v>
      </c>
      <c r="CQ150" s="584">
        <f>IS!CQ85/IS!CQ11</f>
        <v>0.13666298612468247</v>
      </c>
      <c r="CR150" s="1413">
        <f>IS!CR85/IS!CR11</f>
        <v>0.12962407138136153</v>
      </c>
      <c r="CS150" s="584">
        <f>IS!CS85/IS!CS11</f>
        <v>0.13745378122426569</v>
      </c>
      <c r="CT150" s="584">
        <f>IS!CT85/IS!CT11</f>
        <v>0.10785189318146836</v>
      </c>
      <c r="CU150" s="584">
        <f>IS!CU85/IS!CU11</f>
        <v>0.14243764730529512</v>
      </c>
      <c r="CV150" s="584">
        <f>IS!CV85/IS!CV11</f>
        <v>0.20654255194431814</v>
      </c>
      <c r="CW150" s="584">
        <f>IS!CW85/IS!CW11</f>
        <v>0.16823831931624836</v>
      </c>
      <c r="CX150" s="584">
        <f>IS!CX85/IS!CX11</f>
        <v>0.17291603959516053</v>
      </c>
      <c r="CY150" s="584">
        <f>IS!CY85/IS!CY11</f>
        <v>0.17375335356645225</v>
      </c>
      <c r="CZ150" s="584">
        <f>IS!CZ85/IS!CZ11</f>
        <v>0.17770443310915179</v>
      </c>
      <c r="DA150" s="584">
        <f>IS!DA85/IS!DA11</f>
        <v>0.17077586485977064</v>
      </c>
      <c r="DB150" s="584">
        <f>IS!DB85/IS!DB11</f>
        <v>0.17133100602150911</v>
      </c>
      <c r="DC150" s="584">
        <f>IS!DC85/IS!DC11</f>
        <v>0.17180013429530822</v>
      </c>
      <c r="DD150" s="586"/>
      <c r="DE150" s="24"/>
      <c r="DF150" s="24"/>
      <c r="DG150" s="132"/>
      <c r="DH150" s="132"/>
      <c r="DI150" s="132"/>
      <c r="DJ150" s="132"/>
      <c r="DK150" s="24"/>
      <c r="DL150" s="24"/>
      <c r="DM150" s="24"/>
      <c r="DN150" s="24"/>
      <c r="DO150" s="24"/>
      <c r="DP150" s="24"/>
      <c r="DQ150" s="24"/>
      <c r="DR150" s="24"/>
    </row>
    <row r="151" spans="1:122" hidden="1" outlineLevel="1">
      <c r="A151" s="3"/>
      <c r="B151" s="23"/>
      <c r="C151" s="3" t="s">
        <v>639</v>
      </c>
      <c r="D151" s="3"/>
      <c r="E151" s="25"/>
      <c r="F151" s="585"/>
      <c r="G151" s="585"/>
      <c r="H151" s="585"/>
      <c r="I151" s="587"/>
      <c r="J151" s="585"/>
      <c r="K151" s="585"/>
      <c r="L151" s="585"/>
      <c r="M151" s="587"/>
      <c r="N151" s="585">
        <f>IS!N11/BS!M33</f>
        <v>0.91554513843224472</v>
      </c>
      <c r="O151" s="585">
        <f>IS!O11/BS!N33</f>
        <v>1.088760249527903</v>
      </c>
      <c r="P151" s="585">
        <f>IS!P11/BS!O33</f>
        <v>0.87419980007222531</v>
      </c>
      <c r="Q151" s="587">
        <f>IS!Q11/BS!P33</f>
        <v>0.86708436232255015</v>
      </c>
      <c r="R151" s="585">
        <f>IS!R11/BS!Q33</f>
        <v>0.82454962300891366</v>
      </c>
      <c r="S151" s="585">
        <f>IS!S11/BS!R33</f>
        <v>0.83348322852635426</v>
      </c>
      <c r="T151" s="585">
        <f>IS!T11/BS!S33</f>
        <v>0.67116954362184655</v>
      </c>
      <c r="U151" s="587">
        <f>IS!U11/BS!T33</f>
        <v>0.67635573627304291</v>
      </c>
      <c r="V151" s="585">
        <f>IS!V11/BS!U33</f>
        <v>0.71046971680324544</v>
      </c>
      <c r="W151" s="585">
        <f>IS!W11/BS!V33</f>
        <v>0.73739388501001624</v>
      </c>
      <c r="X151" s="585">
        <f>IS!X11/BS!W33</f>
        <v>0.6720943501924993</v>
      </c>
      <c r="Y151" s="587">
        <f>IS!Y11/BS!X33</f>
        <v>0.63107647615212392</v>
      </c>
      <c r="Z151" s="585">
        <f>IS!Z11/BS!Y33</f>
        <v>0.63572010100806509</v>
      </c>
      <c r="AA151" s="585">
        <f>IS!AA11/BS!Z33</f>
        <v>0.65690527860260339</v>
      </c>
      <c r="AB151" s="585">
        <f>IS!AB11/BS!AA33</f>
        <v>0.63471096584494047</v>
      </c>
      <c r="AC151" s="587">
        <f>IS!AC11/BS!AB33</f>
        <v>0.56195094164842685</v>
      </c>
      <c r="AD151" s="585">
        <f>IS!AD11/BS!AC33</f>
        <v>0.60965554113544651</v>
      </c>
      <c r="AE151" s="585">
        <f>IS!AE11/BS!AD33</f>
        <v>0.6141806501055298</v>
      </c>
      <c r="AF151" s="585">
        <f>IS!AF11/BS!AE33</f>
        <v>0.55512983205694721</v>
      </c>
      <c r="AG151" s="587">
        <f>IS!AG11/BS!AF33</f>
        <v>0.51515558775443071</v>
      </c>
      <c r="AH151" s="585">
        <f>IS!AH11/BS!AG33</f>
        <v>0.60875166236230371</v>
      </c>
      <c r="AI151" s="585">
        <f>IS!AI11/BS!AH33</f>
        <v>0.50391029000632748</v>
      </c>
      <c r="AJ151" s="585">
        <f>IS!AJ11/BS!AI33</f>
        <v>0.45891887866274778</v>
      </c>
      <c r="AK151" s="587">
        <f>IS!AK11/BS!AJ33</f>
        <v>0.43871118638018464</v>
      </c>
      <c r="AL151" s="585">
        <f>IS!AL11/BS!AK33</f>
        <v>0.43261328417862183</v>
      </c>
      <c r="AM151" s="585">
        <f>IS!AM11/BS!AL33</f>
        <v>0.35797088084374507</v>
      </c>
      <c r="AN151" s="585">
        <f>IS!AN11/BS!AM33</f>
        <v>0.32023576884632698</v>
      </c>
      <c r="AO151" s="587">
        <f>IS!AO11/BS!AN33</f>
        <v>0.38625532290541714</v>
      </c>
      <c r="AP151" s="585">
        <f>IS!AP11/BS!AO33</f>
        <v>0.41731241731241731</v>
      </c>
      <c r="AQ151" s="585">
        <f>IS!AQ11/BS!AP33</f>
        <v>0.44776884937596173</v>
      </c>
      <c r="AR151" s="585">
        <f>IS!AR11/BS!AQ33</f>
        <v>0.40106302201974181</v>
      </c>
      <c r="AS151" s="587">
        <f>IS!AS11/BS!AR33</f>
        <v>0.3402857142857143</v>
      </c>
      <c r="AT151" s="585">
        <f>IS!AT11/BS!AS33</f>
        <v>0.33392467248908297</v>
      </c>
      <c r="AU151" s="585">
        <f>IS!AU11/BS!AT33</f>
        <v>0.32331809274983669</v>
      </c>
      <c r="AV151" s="585">
        <f>IS!AV11/BS!AU33</f>
        <v>0.28713502486293513</v>
      </c>
      <c r="AW151" s="587">
        <f>IS!AW11/BS!AV33</f>
        <v>0.30654420206659011</v>
      </c>
      <c r="AX151" s="585">
        <f>IS!AX11/BS!AW33</f>
        <v>0.33185513673318551</v>
      </c>
      <c r="AY151" s="585">
        <f>IS!AY11/BS!AX33</f>
        <v>0.23562064485650172</v>
      </c>
      <c r="AZ151" s="585">
        <f>IS!AZ11/BS!AY33</f>
        <v>0.38875368259254517</v>
      </c>
      <c r="BA151" s="587">
        <f>IS!BA11/BS!AZ33</f>
        <v>0.32763611302549966</v>
      </c>
      <c r="BB151" s="585">
        <f>IS!BB11/BS!BA33</f>
        <v>0.28403491482472193</v>
      </c>
      <c r="BC151" s="585">
        <f>IS!BC11/BS!BB33</f>
        <v>0.2698278295230031</v>
      </c>
      <c r="BD151" s="585">
        <f>IS!BD11/BS!BC33</f>
        <v>0.27022758274104386</v>
      </c>
      <c r="BE151" s="587">
        <f>IS!BE11/BS!BD33</f>
        <v>0.26768148201335534</v>
      </c>
      <c r="BF151" s="585">
        <f>IS!BF11/BS!BE33</f>
        <v>0.27101738387004842</v>
      </c>
      <c r="BG151" s="585">
        <f>IS!BG11/BS!BF33</f>
        <v>0.26826962042415237</v>
      </c>
      <c r="BH151" s="585">
        <f>IS!BH11/BS!BG33</f>
        <v>0.24231121580944903</v>
      </c>
      <c r="BI151" s="587">
        <f>IS!BI11/BS!BH33</f>
        <v>0.23812940255674406</v>
      </c>
      <c r="BJ151" s="585">
        <f>IS!BJ11/BS!BI33</f>
        <v>0.25440350990386479</v>
      </c>
      <c r="BK151" s="585">
        <f>IS!BK11/BS!BJ33</f>
        <v>0.248402760030667</v>
      </c>
      <c r="BL151" s="585">
        <f>IS!BL11/BS!BK33</f>
        <v>0.23449369178941806</v>
      </c>
      <c r="BM151" s="587">
        <f>IS!BM11/BS!BL33</f>
        <v>0.2102662098049552</v>
      </c>
      <c r="BN151" s="946">
        <f>IS!BN11/BS!BM33</f>
        <v>0.22132929319544167</v>
      </c>
      <c r="BO151" s="585">
        <f>IS!BO11/BS!BN33</f>
        <v>0.21735141864884347</v>
      </c>
      <c r="BP151" s="585">
        <f>IS!BP11/BS!BO33</f>
        <v>0.18246476141212983</v>
      </c>
      <c r="BQ151" s="587">
        <f>IS!BQ11/BS!BP33</f>
        <v>0.23382618585669365</v>
      </c>
      <c r="BR151" s="946">
        <f>IS!BR11/BS!BQ33</f>
        <v>0.14344835980768061</v>
      </c>
      <c r="BS151" s="585">
        <f>IS!BS11/BS!BR33</f>
        <v>0.16849362288865907</v>
      </c>
      <c r="BT151" s="585">
        <f>IS!BT11/BS!BS33</f>
        <v>0.16044866264020707</v>
      </c>
      <c r="BU151" s="587">
        <f>IS!BU11/BS!BT33</f>
        <v>0.16442542787286063</v>
      </c>
      <c r="BV151" s="946">
        <f>IS!BV11/BS!BU33</f>
        <v>0.17350971198928333</v>
      </c>
      <c r="BW151" s="585">
        <f>IS!BW11/BS!BV33</f>
        <v>0.1749221439108343</v>
      </c>
      <c r="BX151" s="585">
        <f>IS!BX11/BS!BW33</f>
        <v>0.16451402982573723</v>
      </c>
      <c r="BY151" s="587">
        <f>IS!BY11/BS!BX33</f>
        <v>0.16950363103523602</v>
      </c>
      <c r="BZ151" s="946">
        <f>IS!BZ11/BS!BY33</f>
        <v>0.17257596608313819</v>
      </c>
      <c r="CA151" s="585">
        <f>IS!CA11/BS!BZ33</f>
        <v>0.16542454451523206</v>
      </c>
      <c r="CB151" s="585">
        <f>IS!CB11/BS!CA33</f>
        <v>0.1521945081993229</v>
      </c>
      <c r="CC151" s="587">
        <f>IS!CC11/BS!CB33</f>
        <v>0.14618310888691702</v>
      </c>
      <c r="CD151" s="12"/>
      <c r="CE151" s="585"/>
      <c r="CF151" s="585"/>
      <c r="CG151" s="585">
        <f>IS!CG11/BS!CF33</f>
        <v>4.2698036392245013</v>
      </c>
      <c r="CH151" s="585">
        <f>IS!CH11/BS!CG33</f>
        <v>3.5173471456285603</v>
      </c>
      <c r="CI151" s="585">
        <f>IS!CI11/BS!CH33</f>
        <v>3.1390305133100815</v>
      </c>
      <c r="CJ151" s="585">
        <f>IS!CJ11/BS!CI33</f>
        <v>2.732760288534589</v>
      </c>
      <c r="CK151" s="585">
        <f>IS!CK11/BS!CJ33</f>
        <v>2.6376821456946069</v>
      </c>
      <c r="CL151" s="585">
        <f>IS!CL11/BS!CK33</f>
        <v>2.7832416210184552</v>
      </c>
      <c r="CM151" s="585">
        <f>IS!CM11/BS!CL33</f>
        <v>1.5285858593858597</v>
      </c>
      <c r="CN151" s="585">
        <f>IS!CN11/BS!CM33</f>
        <v>1.8616518616518616</v>
      </c>
      <c r="CO151" s="585">
        <f>IS!CO11/BS!CN33</f>
        <v>1.3069050218340612</v>
      </c>
      <c r="CP151" s="585">
        <f>IS!CP11/BS!CO33</f>
        <v>1.5370780980537078</v>
      </c>
      <c r="CQ151" s="585">
        <f>IS!CQ11/BS!CP33</f>
        <v>1.0805997465859496</v>
      </c>
      <c r="CR151" s="946">
        <f>IS!CR11/BS!CQ33</f>
        <v>1.0779424337418069</v>
      </c>
      <c r="CS151" s="585">
        <f>IS!CS11/BS!CR33</f>
        <v>0.94018968965739724</v>
      </c>
      <c r="CT151" s="585">
        <f>IS!CT11/BS!CS33</f>
        <v>0.85593834398260982</v>
      </c>
      <c r="CU151" s="585">
        <f>IS!CU11/BS!CT33</f>
        <v>0.58100541659059091</v>
      </c>
      <c r="CV151" s="585">
        <f>IS!CV11/BS!CU33</f>
        <v>0.68118285094641662</v>
      </c>
      <c r="CW151" s="585">
        <f>IS!CW11/BS!CV33</f>
        <v>0.64941405572181954</v>
      </c>
      <c r="CX151" s="585">
        <f>IS!CX11/BS!CW33</f>
        <v>0.6907807168214789</v>
      </c>
      <c r="CY151" s="585">
        <f>IS!CY11/BS!CX33</f>
        <v>0.68220396628174862</v>
      </c>
      <c r="CZ151" s="585">
        <f>IS!CZ11/BS!CY33</f>
        <v>0.67667514571578802</v>
      </c>
      <c r="DA151" s="585">
        <f>IS!DA11/BS!CZ33</f>
        <v>0.67426037392809668</v>
      </c>
      <c r="DB151" s="585">
        <f>IS!DB11/BS!DA33</f>
        <v>0.67388172341622532</v>
      </c>
      <c r="DC151" s="585">
        <f>IS!DC11/BS!DB33</f>
        <v>0.67295114640472953</v>
      </c>
      <c r="DD151" s="587"/>
      <c r="DE151" s="24"/>
      <c r="DF151" s="24"/>
      <c r="DG151" s="24"/>
      <c r="DH151" s="24"/>
      <c r="DI151" s="24"/>
      <c r="DJ151" s="24"/>
      <c r="DK151" s="24"/>
      <c r="DL151" s="24"/>
      <c r="DM151" s="24"/>
      <c r="DN151" s="24"/>
      <c r="DO151" s="24"/>
      <c r="DP151" s="24"/>
      <c r="DQ151" s="24"/>
      <c r="DR151" s="24"/>
    </row>
    <row r="152" spans="1:122" hidden="1" outlineLevel="1">
      <c r="A152" s="3"/>
      <c r="B152" s="23"/>
      <c r="C152" s="3" t="s">
        <v>645</v>
      </c>
      <c r="D152" s="3"/>
      <c r="E152" s="25"/>
      <c r="F152" s="585"/>
      <c r="G152" s="585"/>
      <c r="H152" s="585"/>
      <c r="I152" s="587"/>
      <c r="J152" s="585"/>
      <c r="K152" s="585"/>
      <c r="L152" s="585"/>
      <c r="M152" s="587"/>
      <c r="N152" s="585">
        <f t="shared" ref="N152:AS152" si="409">M33/M60</f>
        <v>6.1896521553148922</v>
      </c>
      <c r="O152" s="585">
        <f t="shared" si="409"/>
        <v>5.3842910888456075</v>
      </c>
      <c r="P152" s="585">
        <f t="shared" si="409"/>
        <v>3.8453636233747668</v>
      </c>
      <c r="Q152" s="587">
        <f t="shared" si="409"/>
        <v>2.8416713753785081</v>
      </c>
      <c r="R152" s="585">
        <f t="shared" si="409"/>
        <v>2.6456933414783141</v>
      </c>
      <c r="S152" s="585">
        <f t="shared" si="409"/>
        <v>2.9090909090909087</v>
      </c>
      <c r="T152" s="585">
        <f t="shared" si="409"/>
        <v>2.6764212041256896</v>
      </c>
      <c r="U152" s="587">
        <f t="shared" si="409"/>
        <v>2.3510299426629864</v>
      </c>
      <c r="V152" s="585">
        <f t="shared" si="409"/>
        <v>2.3773584905660368</v>
      </c>
      <c r="W152" s="585">
        <f t="shared" si="409"/>
        <v>2.5517241379310343</v>
      </c>
      <c r="X152" s="585">
        <f t="shared" si="409"/>
        <v>2.4084110505014955</v>
      </c>
      <c r="Y152" s="587">
        <f t="shared" si="409"/>
        <v>2.2481894990947495</v>
      </c>
      <c r="Z152" s="585">
        <f t="shared" si="409"/>
        <v>2.2626406494801308</v>
      </c>
      <c r="AA152" s="585">
        <f t="shared" si="409"/>
        <v>2.1893910132612335</v>
      </c>
      <c r="AB152" s="585">
        <f t="shared" si="409"/>
        <v>1.9892617449664425</v>
      </c>
      <c r="AC152" s="587">
        <f t="shared" si="409"/>
        <v>1.8790856031128402</v>
      </c>
      <c r="AD152" s="585">
        <f t="shared" si="409"/>
        <v>1.7916522640857242</v>
      </c>
      <c r="AE152" s="585">
        <f t="shared" si="409"/>
        <v>1.8278301886792452</v>
      </c>
      <c r="AF152" s="585">
        <f t="shared" si="409"/>
        <v>1.7824561403508772</v>
      </c>
      <c r="AG152" s="587">
        <f t="shared" si="409"/>
        <v>1.7272135416666667</v>
      </c>
      <c r="AH152" s="585">
        <f t="shared" si="409"/>
        <v>1.6905594405594406</v>
      </c>
      <c r="AI152" s="585">
        <f t="shared" si="409"/>
        <v>2.4476776720761051</v>
      </c>
      <c r="AJ152" s="585">
        <f t="shared" si="409"/>
        <v>2.1626704278326283</v>
      </c>
      <c r="AK152" s="587">
        <f t="shared" si="409"/>
        <v>1.8796028134050475</v>
      </c>
      <c r="AL152" s="585">
        <f t="shared" si="409"/>
        <v>1.8082344213649852</v>
      </c>
      <c r="AM152" s="585">
        <f t="shared" si="409"/>
        <v>1.7637686179425009</v>
      </c>
      <c r="AN152" s="585">
        <f t="shared" si="409"/>
        <v>1.701814447107155</v>
      </c>
      <c r="AO152" s="587">
        <f t="shared" si="409"/>
        <v>1.6684491978609626</v>
      </c>
      <c r="AP152" s="585">
        <f t="shared" si="409"/>
        <v>1.6575814536340852</v>
      </c>
      <c r="AQ152" s="585">
        <f t="shared" si="409"/>
        <v>1.6602327561737156</v>
      </c>
      <c r="AR152" s="585">
        <f t="shared" si="409"/>
        <v>1.6499624154347281</v>
      </c>
      <c r="AS152" s="587">
        <f t="shared" si="409"/>
        <v>1.5797788309636651</v>
      </c>
      <c r="AT152" s="585">
        <f t="shared" ref="AT152:BY152" si="410">AS33/AS60</f>
        <v>1.5561690380123168</v>
      </c>
      <c r="AU152" s="585">
        <f t="shared" si="410"/>
        <v>1.5587456729790268</v>
      </c>
      <c r="AV152" s="585">
        <f t="shared" si="410"/>
        <v>1.5202558635394456</v>
      </c>
      <c r="AW152" s="587">
        <f t="shared" si="410"/>
        <v>1.474604966139955</v>
      </c>
      <c r="AX152" s="585">
        <f t="shared" si="410"/>
        <v>1.4792274052478134</v>
      </c>
      <c r="AY152" s="585">
        <f t="shared" si="410"/>
        <v>1.4794688100646514</v>
      </c>
      <c r="AZ152" s="585">
        <f t="shared" si="410"/>
        <v>1.3180820530136754</v>
      </c>
      <c r="BA152" s="587">
        <f t="shared" si="410"/>
        <v>1.9565803667745416</v>
      </c>
      <c r="BB152" s="585">
        <f t="shared" si="410"/>
        <v>1.8523927500325987</v>
      </c>
      <c r="BC152" s="585">
        <f t="shared" si="410"/>
        <v>1.7633445315416201</v>
      </c>
      <c r="BD152" s="585">
        <f t="shared" si="410"/>
        <v>1.6889778101127684</v>
      </c>
      <c r="BE152" s="587">
        <f t="shared" si="410"/>
        <v>1.6534488899442004</v>
      </c>
      <c r="BF152" s="585">
        <f t="shared" si="410"/>
        <v>1.7782845559356393</v>
      </c>
      <c r="BG152" s="585">
        <f t="shared" si="410"/>
        <v>1.7940142978310918</v>
      </c>
      <c r="BH152" s="585">
        <f t="shared" si="410"/>
        <v>1.7813264949294789</v>
      </c>
      <c r="BI152" s="587">
        <f t="shared" si="410"/>
        <v>1.7486313868613139</v>
      </c>
      <c r="BJ152" s="585">
        <f t="shared" si="410"/>
        <v>1.7528839629043202</v>
      </c>
      <c r="BK152" s="585">
        <f t="shared" si="410"/>
        <v>1.7462903045855183</v>
      </c>
      <c r="BL152" s="585">
        <f t="shared" si="410"/>
        <v>1.6669235851134112</v>
      </c>
      <c r="BM152" s="587">
        <f t="shared" si="410"/>
        <v>1.644916540212443</v>
      </c>
      <c r="BN152" s="946">
        <f t="shared" si="410"/>
        <v>1.6467078858878403</v>
      </c>
      <c r="BO152" s="585">
        <f t="shared" si="410"/>
        <v>1.6346401028277635</v>
      </c>
      <c r="BP152" s="585">
        <f t="shared" si="410"/>
        <v>1.6182902584493042</v>
      </c>
      <c r="BQ152" s="587">
        <f t="shared" si="410"/>
        <v>1.5555208658549278</v>
      </c>
      <c r="BR152" s="946">
        <f t="shared" si="410"/>
        <v>2.948586810228802</v>
      </c>
      <c r="BS152" s="585">
        <f>BR33/BR60</f>
        <v>2.6923433874709977</v>
      </c>
      <c r="BT152" s="585">
        <f t="shared" si="410"/>
        <v>2.6998695490122997</v>
      </c>
      <c r="BU152" s="587">
        <f t="shared" si="410"/>
        <v>2.6695675822681535</v>
      </c>
      <c r="BV152" s="946">
        <f t="shared" si="410"/>
        <v>2.6151690313540024</v>
      </c>
      <c r="BW152" s="585">
        <f t="shared" si="410"/>
        <v>2.5296459076208642</v>
      </c>
      <c r="BX152" s="585">
        <f t="shared" si="410"/>
        <v>2.6472675656493969</v>
      </c>
      <c r="BY152" s="587">
        <f t="shared" si="410"/>
        <v>2.4602632629740877</v>
      </c>
      <c r="BZ152" s="946">
        <f>BY33/BY60</f>
        <v>2.4068181996679292</v>
      </c>
      <c r="CA152" s="585">
        <f>BZ33/BZ60</f>
        <v>2.3586881622086726</v>
      </c>
      <c r="CB152" s="585">
        <f>CA33/CA60</f>
        <v>2.29055096599566</v>
      </c>
      <c r="CC152" s="587">
        <f>CB33/CB60</f>
        <v>2.2020824490089788</v>
      </c>
      <c r="CD152" s="12"/>
      <c r="CE152" s="585"/>
      <c r="CF152" s="585"/>
      <c r="CG152" s="585">
        <f t="shared" ref="CG152:DC152" si="411">CF33/CF60</f>
        <v>6.1896521553148922</v>
      </c>
      <c r="CH152" s="585">
        <f t="shared" si="411"/>
        <v>2.6456933414783141</v>
      </c>
      <c r="CI152" s="585">
        <f t="shared" si="411"/>
        <v>2.3773584905660368</v>
      </c>
      <c r="CJ152" s="585">
        <f t="shared" si="411"/>
        <v>2.2626406494801308</v>
      </c>
      <c r="CK152" s="585">
        <f t="shared" si="411"/>
        <v>1.7916522640857242</v>
      </c>
      <c r="CL152" s="585">
        <f t="shared" si="411"/>
        <v>1.6905594405594406</v>
      </c>
      <c r="CM152" s="585">
        <f t="shared" si="411"/>
        <v>1.8082344213649852</v>
      </c>
      <c r="CN152" s="585">
        <f t="shared" si="411"/>
        <v>1.6575814536340852</v>
      </c>
      <c r="CO152" s="585">
        <f t="shared" si="411"/>
        <v>1.5561690380123168</v>
      </c>
      <c r="CP152" s="585">
        <f t="shared" si="411"/>
        <v>1.4792274052478134</v>
      </c>
      <c r="CQ152" s="585">
        <f t="shared" si="411"/>
        <v>1.8523927500325987</v>
      </c>
      <c r="CR152" s="946">
        <f t="shared" si="411"/>
        <v>1.7782845559356393</v>
      </c>
      <c r="CS152" s="585">
        <f t="shared" si="411"/>
        <v>1.7528839629043202</v>
      </c>
      <c r="CT152" s="585">
        <f t="shared" si="411"/>
        <v>1.6467078858878403</v>
      </c>
      <c r="CU152" s="585">
        <f t="shared" si="411"/>
        <v>2.948586810228802</v>
      </c>
      <c r="CV152" s="585">
        <f t="shared" si="411"/>
        <v>2.6151690313540024</v>
      </c>
      <c r="CW152" s="585">
        <f t="shared" si="411"/>
        <v>2.4068181996679292</v>
      </c>
      <c r="CX152" s="585">
        <f t="shared" si="411"/>
        <v>2.1319704345945447</v>
      </c>
      <c r="CY152" s="585">
        <f t="shared" si="411"/>
        <v>1.9519789110407617</v>
      </c>
      <c r="CZ152" s="585">
        <f t="shared" si="411"/>
        <v>1.7973265205418185</v>
      </c>
      <c r="DA152" s="585">
        <f t="shared" si="411"/>
        <v>1.6661927849090676</v>
      </c>
      <c r="DB152" s="585">
        <f t="shared" si="411"/>
        <v>1.5654733512463785</v>
      </c>
      <c r="DC152" s="585">
        <f t="shared" si="411"/>
        <v>1.4816568060950366</v>
      </c>
      <c r="DD152" s="587"/>
      <c r="DE152" s="24"/>
      <c r="DF152" s="24"/>
      <c r="DG152" s="24"/>
      <c r="DH152" s="24"/>
      <c r="DI152" s="24"/>
      <c r="DJ152" s="24"/>
      <c r="DK152" s="24"/>
      <c r="DL152" s="24"/>
      <c r="DM152" s="24"/>
      <c r="DN152" s="24"/>
      <c r="DO152" s="24"/>
      <c r="DP152" s="24"/>
      <c r="DQ152" s="24"/>
      <c r="DR152" s="24"/>
    </row>
    <row r="153" spans="1:122" hidden="1" outlineLevel="1">
      <c r="A153" s="3"/>
      <c r="B153" s="297"/>
      <c r="C153" s="3" t="s">
        <v>646</v>
      </c>
      <c r="D153" s="3"/>
      <c r="E153" s="299"/>
      <c r="F153" s="446"/>
      <c r="G153" s="446"/>
      <c r="H153" s="446"/>
      <c r="I153" s="299"/>
      <c r="J153" s="446"/>
      <c r="K153" s="446"/>
      <c r="L153" s="446"/>
      <c r="M153" s="299"/>
      <c r="N153" s="446">
        <f t="shared" ref="N153:AG153" si="412">N150*N151*N152</f>
        <v>0.21597167794755714</v>
      </c>
      <c r="O153" s="446">
        <f t="shared" si="412"/>
        <v>0.57127751751464284</v>
      </c>
      <c r="P153" s="446">
        <f t="shared" si="412"/>
        <v>0.25956819915281043</v>
      </c>
      <c r="Q153" s="299">
        <f t="shared" si="412"/>
        <v>0.16325236383323014</v>
      </c>
      <c r="R153" s="297">
        <f t="shared" si="412"/>
        <v>1.5347841937449704E-2</v>
      </c>
      <c r="S153" s="446">
        <f t="shared" si="412"/>
        <v>0.19982573337205939</v>
      </c>
      <c r="T153" s="446">
        <f t="shared" si="412"/>
        <v>0.11487401480752324</v>
      </c>
      <c r="U153" s="299">
        <f t="shared" si="412"/>
        <v>6.2858748657799016E-2</v>
      </c>
      <c r="V153" s="297">
        <f t="shared" si="412"/>
        <v>6.234618539786712E-2</v>
      </c>
      <c r="W153" s="446">
        <f t="shared" si="412"/>
        <v>0.11039424844920379</v>
      </c>
      <c r="X153" s="446">
        <f t="shared" si="412"/>
        <v>0.12457423387026893</v>
      </c>
      <c r="Y153" s="299">
        <f t="shared" si="412"/>
        <v>9.0626217734278522E-2</v>
      </c>
      <c r="Z153" s="297">
        <f t="shared" si="412"/>
        <v>9.7998792852032737E-2</v>
      </c>
      <c r="AA153" s="446">
        <f t="shared" si="412"/>
        <v>0.13424414350936911</v>
      </c>
      <c r="AB153" s="446">
        <f t="shared" si="412"/>
        <v>0.11506709357789945</v>
      </c>
      <c r="AC153" s="299">
        <f t="shared" si="412"/>
        <v>8.2607620605317095E-2</v>
      </c>
      <c r="AD153" s="446">
        <f t="shared" si="412"/>
        <v>8.9006942132839134E-2</v>
      </c>
      <c r="AE153" s="446">
        <f t="shared" si="412"/>
        <v>0.10375000903723021</v>
      </c>
      <c r="AF153" s="446">
        <f t="shared" si="412"/>
        <v>8.6336683105014744E-2</v>
      </c>
      <c r="AG153" s="299">
        <f t="shared" si="412"/>
        <v>5.7186204405150591E-2</v>
      </c>
      <c r="AH153" s="446">
        <f t="shared" ref="AH153:AS153" si="413">AH150*AH151*AH152</f>
        <v>0.10352462752967048</v>
      </c>
      <c r="AI153" s="446">
        <f t="shared" si="413"/>
        <v>0.17084701090524701</v>
      </c>
      <c r="AJ153" s="446">
        <f t="shared" si="413"/>
        <v>0.13145596701863646</v>
      </c>
      <c r="AK153" s="299">
        <f t="shared" si="413"/>
        <v>9.4358675930980018E-2</v>
      </c>
      <c r="AL153" s="446">
        <f t="shared" si="413"/>
        <v>7.826029687343522E-2</v>
      </c>
      <c r="AM153" s="446">
        <f t="shared" si="413"/>
        <v>3.1793462160148896E-2</v>
      </c>
      <c r="AN153" s="446">
        <f t="shared" si="413"/>
        <v>2.3242727468364106E-2</v>
      </c>
      <c r="AO153" s="299">
        <f t="shared" si="413"/>
        <v>5.7883212548075672E-2</v>
      </c>
      <c r="AP153" s="446">
        <f t="shared" si="413"/>
        <v>9.0522823045112694E-2</v>
      </c>
      <c r="AQ153" s="446">
        <f t="shared" si="413"/>
        <v>0.12203805712460973</v>
      </c>
      <c r="AR153" s="446">
        <f t="shared" si="413"/>
        <v>0.10043579341017289</v>
      </c>
      <c r="AS153" s="299">
        <f t="shared" si="413"/>
        <v>6.629775213236036E-2</v>
      </c>
      <c r="AT153" s="446">
        <f t="shared" ref="AT153:BA153" si="414">AT150*AT151*AT152</f>
        <v>4.3952288987683115E-2</v>
      </c>
      <c r="AU153" s="446">
        <f t="shared" si="414"/>
        <v>4.5934059809611003E-2</v>
      </c>
      <c r="AV153" s="446">
        <f t="shared" si="414"/>
        <v>3.0248715212773739E-2</v>
      </c>
      <c r="AW153" s="299">
        <f t="shared" si="414"/>
        <v>3.6552658718432572E-2</v>
      </c>
      <c r="AX153" s="446">
        <f t="shared" si="414"/>
        <v>4.745528681938848E-2</v>
      </c>
      <c r="AY153" s="446">
        <f t="shared" si="414"/>
        <v>6.2620770808404766E-2</v>
      </c>
      <c r="AZ153" s="446">
        <f t="shared" si="414"/>
        <v>0.10453688356300699</v>
      </c>
      <c r="BA153" s="299">
        <f t="shared" si="414"/>
        <v>0.11759712662082752</v>
      </c>
      <c r="BB153" s="446">
        <f t="shared" ref="BB153:BH153" si="415">BB150*BB151*BB152</f>
        <v>7.7441648194027907E-2</v>
      </c>
      <c r="BC153" s="446">
        <f t="shared" si="415"/>
        <v>6.3836692795819328E-2</v>
      </c>
      <c r="BD153" s="446">
        <f t="shared" si="415"/>
        <v>6.2291742451800691E-2</v>
      </c>
      <c r="BE153" s="299">
        <f>BE150*BE151*BE152</f>
        <v>5.6658910127033106E-2</v>
      </c>
      <c r="BF153" s="446">
        <f>BF150*BF151*BF152</f>
        <v>6.5129887241859877E-2</v>
      </c>
      <c r="BG153" s="446">
        <f t="shared" si="415"/>
        <v>6.4440082394280868E-2</v>
      </c>
      <c r="BH153" s="446">
        <f t="shared" si="415"/>
        <v>5.4785872479309931E-2</v>
      </c>
      <c r="BI153" s="299">
        <f>BI150*BI151*BI152</f>
        <v>5.0788093065693422E-2</v>
      </c>
      <c r="BJ153" s="446">
        <f t="shared" ref="BJ153:BQ153" si="416">BJ150*BJ151*BJ152</f>
        <v>6.2111965618638312E-2</v>
      </c>
      <c r="BK153" s="446">
        <f>BK150*BK151*BK152</f>
        <v>6.5927033359366269E-2</v>
      </c>
      <c r="BL153" s="446">
        <f>BL150*BL151*BL152</f>
        <v>5.1849372384937233E-2</v>
      </c>
      <c r="BM153" s="299">
        <f>BM150*BM151*BM152</f>
        <v>4.2486722306525018E-2</v>
      </c>
      <c r="BN153" s="297">
        <f t="shared" si="416"/>
        <v>4.4714719600824376E-2</v>
      </c>
      <c r="BO153" s="446">
        <f t="shared" si="416"/>
        <v>4.3188999571550986E-2</v>
      </c>
      <c r="BP153" s="446">
        <f>BP150*BP151*BP152</f>
        <v>3.3196609814795427E-2</v>
      </c>
      <c r="BQ153" s="299">
        <f t="shared" si="416"/>
        <v>2.7966489749193468E-2</v>
      </c>
      <c r="BR153" s="297">
        <f t="shared" ref="BR153:BY153" si="417">BR150*BR151*BR152</f>
        <v>4.0157559443696728E-2</v>
      </c>
      <c r="BS153" s="446">
        <f>BS150*BS151*BS152</f>
        <v>6.263136890951275E-2</v>
      </c>
      <c r="BT153" s="446">
        <f t="shared" si="417"/>
        <v>6.6723443906075292E-2</v>
      </c>
      <c r="BU153" s="299">
        <f t="shared" si="417"/>
        <v>7.9872812981597305E-2</v>
      </c>
      <c r="BV153" s="297">
        <f t="shared" si="417"/>
        <v>9.5363899106673658E-2</v>
      </c>
      <c r="BW153" s="446">
        <f t="shared" si="417"/>
        <v>0.10020399701467785</v>
      </c>
      <c r="BX153" s="446">
        <f t="shared" si="417"/>
        <v>8.8967518308108576E-2</v>
      </c>
      <c r="BY153" s="299">
        <f t="shared" si="417"/>
        <v>7.6465309362686321E-2</v>
      </c>
      <c r="BZ153" s="297">
        <f>BZ150*BZ151*BZ152</f>
        <v>7.840985968978445E-2</v>
      </c>
      <c r="CA153" s="446">
        <f>CA150*CA151*CA152</f>
        <v>6.8560232682727318E-2</v>
      </c>
      <c r="CB153" s="446">
        <f>CB150*CB151*CB152</f>
        <v>5.3578571634088704E-2</v>
      </c>
      <c r="CC153" s="299">
        <f>CC150*CC151*CC152</f>
        <v>4.8724082904621095E-2</v>
      </c>
      <c r="CD153" s="22"/>
      <c r="CE153" s="446"/>
      <c r="CF153" s="446"/>
      <c r="CG153" s="446">
        <f t="shared" ref="CG153:CN153" si="418">CG150*CG151*CG152</f>
        <v>1.8940578738645575</v>
      </c>
      <c r="CH153" s="446">
        <f t="shared" si="418"/>
        <v>0.46217484717939683</v>
      </c>
      <c r="CI153" s="446">
        <f t="shared" si="418"/>
        <v>0.44562689768401204</v>
      </c>
      <c r="CJ153" s="446">
        <f t="shared" si="418"/>
        <v>0.51397663347962907</v>
      </c>
      <c r="CK153" s="446">
        <f t="shared" si="418"/>
        <v>0.38527188759284081</v>
      </c>
      <c r="CL153" s="446">
        <f t="shared" si="418"/>
        <v>0.57728649819487743</v>
      </c>
      <c r="CM153" s="446">
        <f t="shared" si="418"/>
        <v>0.20172702689394142</v>
      </c>
      <c r="CN153" s="446">
        <f t="shared" si="418"/>
        <v>0.44282378371193243</v>
      </c>
      <c r="CO153" s="446">
        <f t="shared" ref="CO153:CT153" si="419">CO150*CO151*CO152</f>
        <v>0.16626046975958517</v>
      </c>
      <c r="CP153" s="446">
        <f t="shared" si="419"/>
        <v>0.38449080498634319</v>
      </c>
      <c r="CQ153" s="446">
        <f>CQ150*CQ151*CQ152</f>
        <v>0.27355763463293792</v>
      </c>
      <c r="CR153" s="297">
        <f>CR150*CR151*CR152</f>
        <v>0.24847487647282404</v>
      </c>
      <c r="CS153" s="446">
        <f t="shared" si="419"/>
        <v>0.22652980095001127</v>
      </c>
      <c r="CT153" s="446">
        <f t="shared" si="419"/>
        <v>0.15201513179303611</v>
      </c>
      <c r="CU153" s="446">
        <f t="shared" ref="CU153:DA153" si="420">CU150*CU151*CU152</f>
        <v>0.24401633019291155</v>
      </c>
      <c r="CV153" s="446">
        <f t="shared" si="420"/>
        <v>0.36793661561068874</v>
      </c>
      <c r="CW153" s="446">
        <f>CW150*CW151*CW152</f>
        <v>0.26296012172795158</v>
      </c>
      <c r="CX153" s="446">
        <f t="shared" si="420"/>
        <v>0.25465761274517701</v>
      </c>
      <c r="CY153" s="446">
        <f t="shared" si="420"/>
        <v>0.23137826323703398</v>
      </c>
      <c r="CZ153" s="446">
        <f t="shared" si="420"/>
        <v>0.21612523068240844</v>
      </c>
      <c r="DA153" s="446">
        <f t="shared" si="420"/>
        <v>0.19185776457882178</v>
      </c>
      <c r="DB153" s="446">
        <f>DB150*DB151*DB152</f>
        <v>0.18074459623951539</v>
      </c>
      <c r="DC153" s="446">
        <f>DC150*DC151*DC152</f>
        <v>0.17129893252755757</v>
      </c>
      <c r="DD153" s="299"/>
      <c r="DE153" s="24"/>
      <c r="DF153" s="24"/>
      <c r="DG153" s="24"/>
      <c r="DH153" s="24"/>
      <c r="DI153" s="24"/>
      <c r="DJ153" s="24"/>
      <c r="DK153" s="24"/>
      <c r="DL153" s="24"/>
      <c r="DM153" s="24"/>
      <c r="DN153" s="24"/>
      <c r="DO153" s="24"/>
      <c r="DP153" s="24"/>
      <c r="DQ153" s="24"/>
      <c r="DR153" s="24"/>
    </row>
    <row r="154" spans="1:122" hidden="1" outlineLevel="1">
      <c r="A154" s="3"/>
      <c r="B154" s="23"/>
      <c r="C154" s="3"/>
      <c r="D154" s="3"/>
      <c r="E154" s="25"/>
      <c r="F154" s="24"/>
      <c r="G154" s="24"/>
      <c r="H154" s="24"/>
      <c r="I154" s="25"/>
      <c r="J154" s="23"/>
      <c r="K154" s="24"/>
      <c r="L154" s="24"/>
      <c r="M154" s="25"/>
      <c r="N154" s="24"/>
      <c r="O154" s="24"/>
      <c r="P154" s="24"/>
      <c r="Q154" s="25"/>
      <c r="R154" s="23"/>
      <c r="S154" s="24"/>
      <c r="T154" s="24"/>
      <c r="U154" s="25"/>
      <c r="V154" s="23"/>
      <c r="W154" s="24"/>
      <c r="X154" s="24"/>
      <c r="Y154" s="25"/>
      <c r="Z154" s="23"/>
      <c r="AA154" s="24"/>
      <c r="AB154" s="24"/>
      <c r="AC154" s="25"/>
      <c r="AD154" s="23"/>
      <c r="AE154" s="24"/>
      <c r="AF154" s="24"/>
      <c r="AG154" s="25"/>
      <c r="AH154" s="23"/>
      <c r="AI154" s="96"/>
      <c r="AJ154" s="96"/>
      <c r="AK154" s="25"/>
      <c r="AL154" s="76"/>
      <c r="AM154" s="96"/>
      <c r="AN154" s="96"/>
      <c r="AO154" s="25"/>
      <c r="AP154" s="76"/>
      <c r="AQ154" s="96"/>
      <c r="AR154" s="96"/>
      <c r="AS154" s="25"/>
      <c r="AT154" s="76"/>
      <c r="AU154" s="96"/>
      <c r="AV154" s="96"/>
      <c r="AW154" s="25"/>
      <c r="AX154" s="76"/>
      <c r="AY154" s="96"/>
      <c r="AZ154" s="96"/>
      <c r="BA154" s="25"/>
      <c r="BB154" s="76"/>
      <c r="BC154" s="96"/>
      <c r="BD154" s="96"/>
      <c r="BE154" s="25"/>
      <c r="BF154" s="76"/>
      <c r="BG154" s="96"/>
      <c r="BH154" s="96"/>
      <c r="BI154" s="25"/>
      <c r="BJ154" s="76"/>
      <c r="BK154" s="96"/>
      <c r="BL154" s="96"/>
      <c r="BM154" s="25"/>
      <c r="BN154" s="23"/>
      <c r="BO154" s="24"/>
      <c r="BP154" s="24"/>
      <c r="BQ154" s="25"/>
      <c r="BR154" s="23"/>
      <c r="BS154" s="24"/>
      <c r="BT154" s="24"/>
      <c r="BU154" s="25"/>
      <c r="BV154" s="23"/>
      <c r="BW154" s="24"/>
      <c r="BX154" s="24"/>
      <c r="BY154" s="25"/>
      <c r="BZ154" s="23"/>
      <c r="CA154" s="24"/>
      <c r="CB154" s="24"/>
      <c r="CC154" s="25"/>
      <c r="CD154" s="12"/>
      <c r="CE154" s="24"/>
      <c r="CF154" s="24"/>
      <c r="CG154" s="24"/>
      <c r="CH154" s="24"/>
      <c r="CI154" s="24"/>
      <c r="CJ154" s="24"/>
      <c r="CK154" s="24"/>
      <c r="CL154" s="24"/>
      <c r="CM154" s="24"/>
      <c r="CN154" s="24"/>
      <c r="CO154" s="24"/>
      <c r="CP154" s="24"/>
      <c r="CQ154" s="24"/>
      <c r="CR154" s="23"/>
      <c r="CS154" s="24"/>
      <c r="CT154" s="24"/>
      <c r="CU154" s="24"/>
      <c r="CV154" s="24"/>
      <c r="CW154" s="24"/>
      <c r="CX154" s="24"/>
      <c r="CY154" s="24"/>
      <c r="CZ154" s="24"/>
      <c r="DA154" s="24"/>
      <c r="DB154" s="24"/>
      <c r="DC154" s="24"/>
      <c r="DD154" s="25"/>
      <c r="DE154" s="24"/>
      <c r="DF154" s="24"/>
      <c r="DG154" s="24"/>
      <c r="DH154" s="24"/>
      <c r="DI154" s="24"/>
      <c r="DJ154" s="24"/>
      <c r="DK154" s="24"/>
      <c r="DL154" s="24"/>
      <c r="DM154" s="24"/>
      <c r="DN154" s="24"/>
      <c r="DO154" s="24"/>
      <c r="DP154" s="24"/>
      <c r="DQ154" s="24"/>
      <c r="DR154" s="24"/>
    </row>
    <row r="155" spans="1:122" hidden="1" outlineLevel="1">
      <c r="A155" s="3"/>
      <c r="B155" s="92" t="s">
        <v>91</v>
      </c>
      <c r="C155" s="3"/>
      <c r="D155" s="3"/>
      <c r="E155" s="55"/>
      <c r="F155" s="31"/>
      <c r="G155" s="31"/>
      <c r="H155" s="31"/>
      <c r="I155" s="55"/>
      <c r="J155" s="92"/>
      <c r="K155" s="31"/>
      <c r="L155" s="31"/>
      <c r="M155" s="55"/>
      <c r="N155" s="92"/>
      <c r="O155" s="31"/>
      <c r="P155" s="31"/>
      <c r="Q155" s="55"/>
      <c r="R155" s="92"/>
      <c r="S155" s="31"/>
      <c r="T155" s="31"/>
      <c r="U155" s="55"/>
      <c r="V155" s="92"/>
      <c r="W155" s="31"/>
      <c r="X155" s="31"/>
      <c r="Y155" s="55"/>
      <c r="Z155" s="92"/>
      <c r="AA155" s="31"/>
      <c r="AB155" s="31"/>
      <c r="AC155" s="55"/>
      <c r="AD155" s="92"/>
      <c r="AE155" s="31"/>
      <c r="AF155" s="31"/>
      <c r="AG155" s="55"/>
      <c r="AH155" s="92"/>
      <c r="AI155" s="96"/>
      <c r="AJ155" s="96"/>
      <c r="AK155" s="55"/>
      <c r="AL155" s="76"/>
      <c r="AM155" s="96"/>
      <c r="AN155" s="96"/>
      <c r="AO155" s="55"/>
      <c r="AP155" s="76"/>
      <c r="AQ155" s="96"/>
      <c r="AR155" s="96"/>
      <c r="AS155" s="55"/>
      <c r="AT155" s="76"/>
      <c r="AU155" s="96"/>
      <c r="AV155" s="96"/>
      <c r="AW155" s="55"/>
      <c r="AX155" s="76"/>
      <c r="AY155" s="96"/>
      <c r="AZ155" s="96"/>
      <c r="BA155" s="55"/>
      <c r="BB155" s="76"/>
      <c r="BC155" s="96"/>
      <c r="BD155" s="96"/>
      <c r="BE155" s="55"/>
      <c r="BF155" s="76"/>
      <c r="BG155" s="96"/>
      <c r="BH155" s="96"/>
      <c r="BI155" s="55"/>
      <c r="BJ155" s="76"/>
      <c r="BK155" s="96"/>
      <c r="BL155" s="96"/>
      <c r="BM155" s="55"/>
      <c r="BN155" s="92"/>
      <c r="BO155" s="31"/>
      <c r="BP155" s="31"/>
      <c r="BQ155" s="55"/>
      <c r="BR155" s="92"/>
      <c r="BS155" s="31"/>
      <c r="BT155" s="31"/>
      <c r="BU155" s="55"/>
      <c r="BV155" s="92"/>
      <c r="BW155" s="31"/>
      <c r="BX155" s="31"/>
      <c r="BY155" s="55"/>
      <c r="BZ155" s="92"/>
      <c r="CA155" s="31"/>
      <c r="CB155" s="31"/>
      <c r="CC155" s="55"/>
      <c r="CD155" s="12"/>
      <c r="CE155" s="31"/>
      <c r="CF155" s="31"/>
      <c r="CG155" s="31"/>
      <c r="CH155" s="31"/>
      <c r="CI155" s="31"/>
      <c r="CJ155" s="31"/>
      <c r="CK155" s="31"/>
      <c r="CL155" s="31"/>
      <c r="CM155" s="31"/>
      <c r="CN155" s="31"/>
      <c r="CO155" s="31"/>
      <c r="CP155" s="31"/>
      <c r="CQ155" s="31"/>
      <c r="CR155" s="92"/>
      <c r="CS155" s="31"/>
      <c r="CT155" s="31"/>
      <c r="CU155" s="31"/>
      <c r="CV155" s="31"/>
      <c r="CW155" s="31"/>
      <c r="CX155" s="31"/>
      <c r="CY155" s="31"/>
      <c r="CZ155" s="31"/>
      <c r="DA155" s="31"/>
      <c r="DB155" s="31"/>
      <c r="DC155" s="31"/>
      <c r="DD155" s="55"/>
      <c r="DE155" s="24"/>
      <c r="DF155" s="24"/>
      <c r="DG155" s="24"/>
      <c r="DH155" s="24"/>
      <c r="DI155" s="24"/>
      <c r="DJ155" s="24"/>
      <c r="DK155" s="24"/>
      <c r="DL155" s="24"/>
      <c r="DM155" s="24"/>
      <c r="DN155" s="24"/>
      <c r="DO155" s="24"/>
      <c r="DP155" s="24"/>
      <c r="DQ155" s="24"/>
      <c r="DR155" s="24"/>
    </row>
    <row r="156" spans="1:122" hidden="1" outlineLevel="1">
      <c r="A156" s="3"/>
      <c r="B156" s="8"/>
      <c r="C156" s="3" t="s">
        <v>92</v>
      </c>
      <c r="D156" s="3"/>
      <c r="E156" s="9"/>
      <c r="F156" s="436"/>
      <c r="G156" s="436"/>
      <c r="H156" s="436"/>
      <c r="I156" s="437"/>
      <c r="J156" s="436"/>
      <c r="K156" s="436"/>
      <c r="L156" s="436"/>
      <c r="M156" s="437"/>
      <c r="N156" s="436">
        <f>SUM(IS!N71)*(1-IS!N83)/BS!M206</f>
        <v>-0.49604724312469778</v>
      </c>
      <c r="O156" s="436">
        <f>SUM(IS!O71)*(1-IS!O83)/BS!N206</f>
        <v>-1.1430247421725086</v>
      </c>
      <c r="P156" s="436">
        <f>SUM(IS!P71)*(1-IS!P83)/BS!O206</f>
        <v>-0.87667856750657536</v>
      </c>
      <c r="Q156" s="437">
        <f>SUM(IS!Q71)*(1-IS!Q83)/BS!P206</f>
        <v>-0.44596496901862137</v>
      </c>
      <c r="R156" s="436">
        <f>SUM(IS!R71)*(1-IS!R83)/BS!Q206</f>
        <v>-5.0895452070186913E-2</v>
      </c>
      <c r="S156" s="436">
        <f>SUM(IS!S71)*(1-IS!S83)/BS!R206</f>
        <v>0.6867422096317285</v>
      </c>
      <c r="T156" s="436">
        <f>SUM(IS!T71)*(1-IS!T83)/BS!S206</f>
        <v>0.29111965153953034</v>
      </c>
      <c r="U156" s="437">
        <f>SUM(IS!U71)*(1-IS!U83)/BS!T206</f>
        <v>0.15623843967009365</v>
      </c>
      <c r="V156" s="436">
        <f>SUM(IS!V71)*(1-IS!V83)/BS!U206</f>
        <v>0.14097009966777413</v>
      </c>
      <c r="W156" s="436">
        <f>SUM(IS!W71)*(1-IS!W83)/BS!V206</f>
        <v>0.2630126717200838</v>
      </c>
      <c r="X156" s="436">
        <f>SUM(IS!X71)*(1-IS!X83)/BS!W206</f>
        <v>0.40533697498956328</v>
      </c>
      <c r="Y156" s="437">
        <f>SUM(IS!Y71)*(1-IS!Y83)/BS!X206</f>
        <v>0.30030484093695375</v>
      </c>
      <c r="Z156" s="436">
        <f>SUM(IS!Z71)*(1-IS!Z83)/BS!Y206</f>
        <v>0.32066227551222443</v>
      </c>
      <c r="AA156" s="436">
        <f>SUM(IS!AA71)*(1-IS!AA83)/BS!Z206</f>
        <v>0.29444289808693652</v>
      </c>
      <c r="AB156" s="436">
        <f>SUM(IS!AB71)*(1-IS!AB83)/BS!AA206</f>
        <v>0.23935520114642192</v>
      </c>
      <c r="AC156" s="437">
        <f>SUM(IS!AC71)*(1-IS!AC83)/BS!AB206</f>
        <v>0.14254600545392199</v>
      </c>
      <c r="AD156" s="436">
        <f>SUM(IS!AD71)*(1-IS!AD83)/BS!AC206</f>
        <v>0.14323235475864382</v>
      </c>
      <c r="AE156" s="436">
        <f>SUM(IS!AE71)*(1-IS!AE83)/BS!AD206</f>
        <v>0.17874915477767814</v>
      </c>
      <c r="AF156" s="436">
        <f>SUM(IS!AF71)*(1-IS!AF83)/BS!AE206</f>
        <v>0.14730743112760694</v>
      </c>
      <c r="AG156" s="437">
        <f>SUM(IS!AG71)*(1-IS!AG83)/BS!AF206</f>
        <v>9.5064452100360811E-2</v>
      </c>
      <c r="AH156" s="436">
        <f>SUM(IS!AH71)*(1-IS!AH83)/BS!AG206</f>
        <v>0.19640852324783237</v>
      </c>
      <c r="AI156" s="436">
        <f>SUM(IS!AI71)*(1-IS!AI83)/BS!AH206</f>
        <v>0.15054393988782144</v>
      </c>
      <c r="AJ156" s="436">
        <f>SUM(IS!AJ71)*(1-IS!AJ83)/BS!AI206</f>
        <v>0.13305236847933927</v>
      </c>
      <c r="AK156" s="437">
        <f>SUM(IS!AK71)*(1-IS!AK83)/BS!AJ206</f>
        <v>0.10501226483864286</v>
      </c>
      <c r="AL156" s="436">
        <f>SUM(IS!AL71)*(1-IS!AL83)/BS!AK206</f>
        <v>0.10032347859529087</v>
      </c>
      <c r="AM156" s="436">
        <f>SUM(IS!AM71)*(1-IS!AM83)/BS!AL206</f>
        <v>4.2490142290414215E-2</v>
      </c>
      <c r="AN156" s="436">
        <f>SUM(IS!AN71)*(1-IS!AN83)/BS!AM206</f>
        <v>3.3676437360867707E-2</v>
      </c>
      <c r="AO156" s="437">
        <f>SUM(IS!AO71)*(1-IS!AO83)/BS!AN206</f>
        <v>8.9474819026016131E-2</v>
      </c>
      <c r="AP156" s="436">
        <f>SUM(IS!AP71)*(1-IS!AP83)/BS!AO206</f>
        <v>0.15507143178104049</v>
      </c>
      <c r="AQ156" s="436">
        <f>SUM(IS!AQ71)*(1-IS!AQ83)/BS!AP206</f>
        <v>0.22134563953983516</v>
      </c>
      <c r="AR156" s="436">
        <f>SUM(IS!AR71)*(1-IS!AR83)/BS!AQ206</f>
        <v>0.19675880223968567</v>
      </c>
      <c r="AS156" s="437">
        <f>SUM(IS!AS71)*(1-IS!AS83)/BS!AR206</f>
        <v>0.13981101726021247</v>
      </c>
      <c r="AT156" s="436">
        <f>SUM(IS!AT71)*(1-IS!AT83)/BS!AS206</f>
        <v>7.8016876227019652E-2</v>
      </c>
      <c r="AU156" s="436">
        <f>SUM(IS!AU71)*(1-IS!AU83)/BS!AT206</f>
        <v>8.2665929283981671E-2</v>
      </c>
      <c r="AV156" s="436">
        <f>SUM(IS!AV71)*(1-IS!AV83)/BS!AU206</f>
        <v>5.8513119719526774E-2</v>
      </c>
      <c r="AW156" s="437">
        <f>SUM(IS!AW71)*(1-IS!AW83)/BS!AV206</f>
        <v>7.1415134218889328E-2</v>
      </c>
      <c r="AX156" s="436">
        <f>SUM(IS!AX71)*(1-IS!AX83)/BS!AW206</f>
        <v>0.101164741413298</v>
      </c>
      <c r="AY156" s="436">
        <f>SUM(IS!AY71)*(1-IS!AY83)/BS!AX206</f>
        <v>0.1289830704946035</v>
      </c>
      <c r="AZ156" s="436">
        <f>SUM(IS!AZ71)*(1-IS!AZ83)/BS!AY206</f>
        <v>0.24688124148206558</v>
      </c>
      <c r="BA156" s="437">
        <f>SUM(IS!BA71)*(1-IS!BA83)/BS!AZ206</f>
        <v>0.16424593567223214</v>
      </c>
      <c r="BB156" s="436">
        <f>SUM(IS!BB71)*(1-IS!BB83)/BS!BA206</f>
        <v>0.12431250000000001</v>
      </c>
      <c r="BC156" s="436">
        <f>SUM(IS!BC71)*(1-IS!BC83)/BS!BB206</f>
        <v>0.10528147724175523</v>
      </c>
      <c r="BD156" s="436">
        <f>SUM(IS!BD71)*(1-IS!BD83)/BS!BC206</f>
        <v>9.8052257547421889E-2</v>
      </c>
      <c r="BE156" s="437">
        <f>SUM(IS!BE71)*(1-IS!BE83)/BS!BD206</f>
        <v>9.867534521158125E-2</v>
      </c>
      <c r="BF156" s="436">
        <f>SUM(IS!BF71)*(1-IS!BF83)/BS!BE206</f>
        <v>0.13621125883612997</v>
      </c>
      <c r="BG156" s="436">
        <f>SUM(IS!BG71)*(1-IS!BG83)/BS!BF206</f>
        <v>0.13714098086956522</v>
      </c>
      <c r="BH156" s="436">
        <f>SUM(IS!BH71)*(1-IS!BH83)/BS!BG206</f>
        <v>0.12577381792011508</v>
      </c>
      <c r="BI156" s="437">
        <f>SUM(IS!BI71)*(1-IS!BI83)/BS!BH206</f>
        <v>0.11868124999999997</v>
      </c>
      <c r="BJ156" s="436">
        <f>SUM(IS!BJ71)*(1-IS!BJ83)/BS!BI206</f>
        <v>0.14906575018477455</v>
      </c>
      <c r="BK156" s="436">
        <f>SUM(IS!BK71)*(1-IS!BK83)/BS!BJ206</f>
        <v>0.16567037974683543</v>
      </c>
      <c r="BL156" s="436">
        <f>SUM(IS!BL71)*(1-IS!BL83)/BS!BK206</f>
        <v>0.11724924335378321</v>
      </c>
      <c r="BM156" s="437">
        <f>SUM(IS!BM71)*(1-IS!BM83)/BS!BL206</f>
        <v>0.10221175017642903</v>
      </c>
      <c r="BN156" s="435">
        <f>SUM(IS!BN71)*(1-IS!BN83)/BS!BM206</f>
        <v>0.10833023920028559</v>
      </c>
      <c r="BO156" s="436">
        <f>SUM(IS!BO71)*(1-IS!BO83)/BS!BN206</f>
        <v>0.10648991935483869</v>
      </c>
      <c r="BP156" s="436">
        <f>SUM(IS!BP71)*(1-IS!BP83)/BS!BO206</f>
        <v>9.5024869215291713E-2</v>
      </c>
      <c r="BQ156" s="437">
        <f>SUM(IS!BQ71)*(1-IS!BQ83)/BS!BP206</f>
        <v>0.13567791057990261</v>
      </c>
      <c r="BR156" s="435">
        <f>SUM(IS!BR71)*(1-IS!BR83)/BS!BQ206</f>
        <v>0.16750772940388478</v>
      </c>
      <c r="BS156" s="436">
        <f>SUM(IS!BS71)*(1-IS!BS83)/BS!BR206</f>
        <v>0.22144027495908339</v>
      </c>
      <c r="BT156" s="436">
        <f>SUM(IS!BT71)*(1-IS!BT83)/BS!BS206</f>
        <v>0.26826726778080062</v>
      </c>
      <c r="BU156" s="437">
        <f>SUM(IS!BU71)*(1-IS!BU83)/BS!BT206</f>
        <v>0.33521710723192011</v>
      </c>
      <c r="BV156" s="435">
        <f>SUM(IS!BV71)*(1-IS!BV83)/BS!BU206</f>
        <v>0.38576371900826434</v>
      </c>
      <c r="BW156" s="436">
        <f>SUM(IS!BW71)*(1-IS!BW83)/BS!BV206</f>
        <v>0.37238784194528879</v>
      </c>
      <c r="BX156" s="436">
        <f>SUM(IS!BX71)*(1-IS!BX83)/BS!BW206</f>
        <v>0.73318882609594072</v>
      </c>
      <c r="BY156" s="437">
        <f>SUM(IS!BY71)*(1-IS!BY83)/BS!BX206</f>
        <v>0.39634713117320874</v>
      </c>
      <c r="BZ156" s="435">
        <f>SUM(IS!BZ71)*(1-IS!BZ83)/BS!BY206</f>
        <v>0.44105329211270344</v>
      </c>
      <c r="CA156" s="436">
        <f>SUM(IS!CA71)*(1-IS!CA83)/BS!BZ206</f>
        <v>0.42887681985208187</v>
      </c>
      <c r="CB156" s="436">
        <f>SUM(IS!CB71)*(1-IS!CB83)/BS!CA206</f>
        <v>0.43048622732138736</v>
      </c>
      <c r="CC156" s="437">
        <f>SUM(IS!CC71)*(1-IS!CC83)/BS!CB206</f>
        <v>0.38366969667773565</v>
      </c>
      <c r="CD156" s="12"/>
      <c r="CE156" s="436"/>
      <c r="CF156" s="436"/>
      <c r="CG156" s="436">
        <f>SUM(IS!CG71)*(1-IS!CG83)/BS!CF206</f>
        <v>-4.0279647768331293</v>
      </c>
      <c r="CH156" s="436">
        <f>SUM(IS!CH71)*(1-IS!CH83)/BS!CG206</f>
        <v>-1.6009560878000495</v>
      </c>
      <c r="CI156" s="436">
        <f>SUM(IS!CI71)*(1-IS!CI83)/BS!CH206</f>
        <v>0.97543933030759178</v>
      </c>
      <c r="CJ156" s="436">
        <f>SUM(IS!CJ71)*(1-IS!CJ83)/BS!CI206</f>
        <v>1.6710196956174481</v>
      </c>
      <c r="CK156" s="436">
        <f>SUM(IS!CK71)*(1-IS!CK83)/BS!CJ206</f>
        <v>0.60000073832907985</v>
      </c>
      <c r="CL156" s="436">
        <f>SUM(IS!CL71)*(1-IS!CL83)/BS!CK206</f>
        <v>1.1261781490591616</v>
      </c>
      <c r="CM156" s="436">
        <f>SUM(IS!CM71)*(1-IS!CM83)/BS!CL206</f>
        <v>0.25976174266338264</v>
      </c>
      <c r="CN156" s="436">
        <f>SUM(IS!CN71)*(1-IS!CN83)/BS!CM206</f>
        <v>0.75478231787154093</v>
      </c>
      <c r="CO156" s="436">
        <f>SUM(IS!CO71)*(1-IS!CO83)/BS!CN206</f>
        <v>0.29548596854961728</v>
      </c>
      <c r="CP156" s="436">
        <f>SUM(IS!CP71)*(1-IS!CP83)/BS!CO206</f>
        <v>0.82577091017519089</v>
      </c>
      <c r="CQ156" s="436">
        <f>SUM(IS!CQ71)*(1-IS!CQ83)/BS!CP206</f>
        <v>0.42796633223684216</v>
      </c>
      <c r="CR156" s="435">
        <f>SUM(IS!CR71)*(1-IS!CR83)/BS!CQ206</f>
        <v>0.5183664034273473</v>
      </c>
      <c r="CS156" s="436">
        <f>SUM(IS!CS71)*(1-IS!CS83)/BS!CR206</f>
        <v>0.5380133111603842</v>
      </c>
      <c r="CT156" s="436">
        <f>SUM(IS!CT71)*(1-IS!CT83)/BS!CS206</f>
        <v>0.40577318814709024</v>
      </c>
      <c r="CU156" s="436">
        <f>SUM(IS!CU71)*(1-IS!CU83)/BS!CT206</f>
        <v>0.89533227059611509</v>
      </c>
      <c r="CV156" s="436">
        <f>SUM(IS!CV71)*(1-IS!CV83)/BS!CU206</f>
        <v>1.4565867977966289</v>
      </c>
      <c r="CW156" s="436">
        <f>SUM(IS!CW71)*(1-IS!CW83)/BS!CV206</f>
        <v>1.5064225929188564</v>
      </c>
      <c r="CX156" s="436">
        <f>SUM(IS!CX71)*(1-IS!CX83)/BS!CW206</f>
        <v>1.8298308845417155</v>
      </c>
      <c r="CY156" s="436">
        <f>SUM(IS!CY71)*(1-IS!CY83)/BS!CX206</f>
        <v>1.9360729406181383</v>
      </c>
      <c r="CZ156" s="436">
        <f>SUM(IS!CZ71)*(1-IS!CZ83)/BS!CY206</f>
        <v>2.117497800678366</v>
      </c>
      <c r="DA156" s="436">
        <f>SUM(IS!DA71)*(1-IS!DA83)/BS!CZ206</f>
        <v>2.2571534732597605</v>
      </c>
      <c r="DB156" s="436">
        <f>SUM(IS!DB71)*(1-IS!DB83)/BS!DA206</f>
        <v>2.1209837221109091</v>
      </c>
      <c r="DC156" s="436">
        <f>SUM(IS!DC71)*(1-IS!DC83)/BS!DB206</f>
        <v>2.0998302513028855</v>
      </c>
      <c r="DD156" s="437"/>
      <c r="DE156" s="24"/>
      <c r="DF156" s="24"/>
      <c r="DG156" s="19"/>
      <c r="DH156" s="19"/>
      <c r="DI156" s="19"/>
      <c r="DJ156" s="19"/>
      <c r="DK156" s="24"/>
      <c r="DL156" s="24"/>
      <c r="DM156" s="24"/>
      <c r="DN156" s="24"/>
      <c r="DO156" s="24"/>
      <c r="DP156" s="24"/>
      <c r="DQ156" s="24"/>
      <c r="DR156" s="24"/>
    </row>
    <row r="157" spans="1:122" hidden="1" outlineLevel="1">
      <c r="A157" s="3"/>
      <c r="B157" s="8"/>
      <c r="C157" s="3" t="s">
        <v>70</v>
      </c>
      <c r="D157" s="3"/>
      <c r="E157" s="9"/>
      <c r="F157" s="17"/>
      <c r="G157" s="18"/>
      <c r="H157" s="18"/>
      <c r="I157" s="437"/>
      <c r="J157" s="17"/>
      <c r="K157" s="18"/>
      <c r="L157" s="18"/>
      <c r="M157" s="437">
        <f>SUM(IS!J85:M85)/BS!M33</f>
        <v>7.6420987530184795E-2</v>
      </c>
      <c r="N157" s="17">
        <f>SUM(IS!K85:N85)/BS!N33</f>
        <v>0.10376139159769092</v>
      </c>
      <c r="O157" s="18">
        <f>SUM(IS!L85:O85)/BS!O33</f>
        <v>0.15979642953777487</v>
      </c>
      <c r="P157" s="18">
        <f>SUM(IS!M85:P85)/BS!P33</f>
        <v>0.21154206975415124</v>
      </c>
      <c r="Q157" s="437">
        <f>SUM(IS!N85:Q85)/BS!Q33</f>
        <v>0.22492101249302168</v>
      </c>
      <c r="R157" s="17">
        <f>SUM(IS!O85:R85)/BS!R33</f>
        <v>0.17735242185975916</v>
      </c>
      <c r="S157" s="18">
        <f>SUM(IS!P85:S85)/BS!S33</f>
        <v>0.15540220814032105</v>
      </c>
      <c r="T157" s="18">
        <f>SUM(IS!Q85:T85)/BS!T33</f>
        <v>0.15065235826945264</v>
      </c>
      <c r="U157" s="437">
        <f>SUM(IS!R85:U85)/BS!U33</f>
        <v>0.13053489041281494</v>
      </c>
      <c r="V157" s="17">
        <f>SUM(IS!S85:V85)/BS!V33</f>
        <v>0.13644105136387186</v>
      </c>
      <c r="W157" s="18">
        <f>SUM(IS!T85:W85)/BS!W33</f>
        <v>0.11976053379424631</v>
      </c>
      <c r="X157" s="18">
        <f>SUM(IS!U85:X85)/BS!X33</f>
        <v>0.12537467481336984</v>
      </c>
      <c r="Y157" s="437">
        <f>SUM(IS!V85:Y85)/BS!Y33</f>
        <v>0.13677934993750762</v>
      </c>
      <c r="Z157" s="17">
        <f>SUM(IS!W85:Z85)/BS!Z33</f>
        <v>0.15036320362960118</v>
      </c>
      <c r="AA157" s="18">
        <f>SUM(IS!X85:AA85)/BS!AA33</f>
        <v>0.17090360602108232</v>
      </c>
      <c r="AB157" s="18">
        <f>SUM(IS!Y85:AB85)/BS!AB33</f>
        <v>0.17394492804165301</v>
      </c>
      <c r="AC157" s="437">
        <f>SUM(IS!Z85:AC85)/BS!AC33</f>
        <v>0.17405247401053742</v>
      </c>
      <c r="AD157" s="17">
        <f>SUM(IS!AA85:AD85)/BS!AD33</f>
        <v>0.16991693563043292</v>
      </c>
      <c r="AE157" s="18">
        <f>SUM(IS!AB85:AE85)/BS!AE33</f>
        <v>0.16644073250881353</v>
      </c>
      <c r="AF157" s="18">
        <f>SUM(IS!AC85:AF85)/BS!AF33</f>
        <v>0.16695034012001142</v>
      </c>
      <c r="AG157" s="437">
        <f>SUM(IS!AD85:AG85)/BS!AG33</f>
        <v>0.1536837739822253</v>
      </c>
      <c r="AH157" s="17">
        <f>SUM(IS!AE85:AH85)/BS!AD33</f>
        <v>0.22386497020525964</v>
      </c>
      <c r="AI157" s="18">
        <f>SUM(IS!AF85:AI85)/BS!AE33</f>
        <v>0.2731573435903733</v>
      </c>
      <c r="AJ157" s="18">
        <f>SUM(IS!AG85:AJ85)/BS!AF33</f>
        <v>0.32054154585131622</v>
      </c>
      <c r="AK157" s="437">
        <f>SUM(IS!AH85:AK85)/BS!AG33</f>
        <v>0.3414766049301653</v>
      </c>
      <c r="AL157" s="17">
        <f>SUM(IS!AI85:AL85)/BS!AH33</f>
        <v>0.23410268185465849</v>
      </c>
      <c r="AM157" s="18">
        <f>SUM(IS!AJ85:AM85)/BS!AI33</f>
        <v>0.17618461895672818</v>
      </c>
      <c r="AN157" s="18">
        <f>SUM(IS!AK85:AN85)/BS!AJ33</f>
        <v>0.13179273878217071</v>
      </c>
      <c r="AO157" s="437">
        <f>SUM(IS!AL85:AO85)/BS!AK33</f>
        <v>0.1115602183602185</v>
      </c>
      <c r="AP157" s="17">
        <f>SUM(IS!AM85:AP85)/BS!AL33</f>
        <v>0.1221160949126637</v>
      </c>
      <c r="AQ157" s="18">
        <f>SUM(IS!AN85:AQ85)/BS!AM33</f>
        <v>0.19311355970407038</v>
      </c>
      <c r="AR157" s="18">
        <f>SUM(IS!AO85:AR85)/BS!AN33</f>
        <v>0.25899734572392674</v>
      </c>
      <c r="AS157" s="437">
        <f>SUM(IS!AP85:AS85)/BS!AO33</f>
        <v>0.26715054197854632</v>
      </c>
      <c r="AT157" s="17">
        <f>SUM(IS!AQ85:AT85)/BS!AP33</f>
        <v>0.22764848611582983</v>
      </c>
      <c r="AU157" s="18">
        <f>SUM(IS!AR85:AU85)/BS!AQ33</f>
        <v>0.17117055243226853</v>
      </c>
      <c r="AV157" s="18">
        <f>SUM(IS!AS85:AV85)/BS!AR33</f>
        <v>0.12605313686416969</v>
      </c>
      <c r="AW157" s="437">
        <f>SUM(IS!AT85:AW85)/BS!AS33</f>
        <v>0.10683959499152383</v>
      </c>
      <c r="AX157" s="17">
        <f>SUM(IS!AU85:AX85)/BS!AT33</f>
        <v>0.10925980892484531</v>
      </c>
      <c r="AY157" s="18">
        <f>SUM(IS!AV85:AY85)/BS!AU33</f>
        <v>0.12357265599020677</v>
      </c>
      <c r="AZ157" s="18">
        <f>SUM(IS!AW85:AZ85)/BS!AV33</f>
        <v>0.18271452742597044</v>
      </c>
      <c r="BA157" s="437">
        <f>SUM(IS!AX85:BA85)/BS!AW33</f>
        <v>0.25992677232878192</v>
      </c>
      <c r="BB157" s="17">
        <f>SUM(IS!AY85:BB85)/BS!AX33</f>
        <v>0.28859701472779592</v>
      </c>
      <c r="BC157" s="18">
        <f>SUM(IS!AZ85:BC85)/BS!AY33</f>
        <v>0.33280744874647716</v>
      </c>
      <c r="BD157" s="18">
        <f>SUM(IS!BA85:BD85)/BS!AZ33</f>
        <v>0.17179709104204391</v>
      </c>
      <c r="BE157" s="437">
        <f>SUM(IS!BB85:BE85)/BS!BA33</f>
        <v>0.14767798817401098</v>
      </c>
      <c r="BF157" s="17">
        <f>SUM(IS!BC85:BF85)/BS!BB33</f>
        <v>0.14239935788879482</v>
      </c>
      <c r="BG157" s="18">
        <f>SUM(IS!BD85:BG85)/BS!BC33</f>
        <v>0.14623104314739035</v>
      </c>
      <c r="BH157" s="18">
        <f>SUM(IS!BE85:BH85)/BS!BD33</f>
        <v>0.14311339125439793</v>
      </c>
      <c r="BI157" s="437">
        <f>SUM(IS!BF85:BI85)/BS!BE33</f>
        <v>0.13972728697634654</v>
      </c>
      <c r="BJ157" s="17">
        <f>SUM(IS!BG85:BJ85)/BS!BF33</f>
        <v>0.13483290557881938</v>
      </c>
      <c r="BK157" s="18">
        <f>SUM(IS!BH85:BK85)/BS!BG33</f>
        <v>0.13449914932600443</v>
      </c>
      <c r="BL157" s="18">
        <f>SUM(IS!BI85:BL85)/BS!BH33</f>
        <v>0.13411844508218107</v>
      </c>
      <c r="BM157" s="437">
        <f>SUM(IS!BJ85:BM85)/BS!BI33</f>
        <v>0.12923262791147813</v>
      </c>
      <c r="BN157" s="435">
        <f>SUM(IS!BK85:BN85)/BS!BJ33</f>
        <v>0.11921847048300535</v>
      </c>
      <c r="BO157" s="436">
        <f>SUM(IS!BL85:BO85)/BS!BK33</f>
        <v>0.11086042671246449</v>
      </c>
      <c r="BP157" s="436">
        <f>SUM(IS!BM85:BP85)/BS!BL33</f>
        <v>0.10046652609383233</v>
      </c>
      <c r="BQ157" s="437">
        <f>SUM(IS!BN85:BQ85)/BS!BM33</f>
        <v>9.2314570845135349E-2</v>
      </c>
      <c r="BR157" s="435">
        <f>SUM(IS!BO85:BR85)/BS!BN33</f>
        <v>9.4145763711421263E-2</v>
      </c>
      <c r="BS157" s="436">
        <f>SUM(IS!BP85:BS85)/BS!BO33</f>
        <v>0.11046159317211947</v>
      </c>
      <c r="BT157" s="436">
        <f>SUM(IS!BQ85:BT85)/BS!BP33</f>
        <v>0.14097912624606945</v>
      </c>
      <c r="BU157" s="437">
        <f>SUM(IS!BR85:BU85)/BS!BQ33</f>
        <v>8.2757044610796665E-2</v>
      </c>
      <c r="BV157" s="435">
        <f>SUM(IS!BS85:BV85)/BS!BR33</f>
        <v>0.11585215442950704</v>
      </c>
      <c r="BW157" s="436">
        <f>SUM(IS!BT85:BW85)/BS!BS33</f>
        <v>0.13440476272648835</v>
      </c>
      <c r="BX157" s="436">
        <f>SUM(IS!BU85:BX85)/BS!BT33</f>
        <v>0.14198396720894457</v>
      </c>
      <c r="BY157" s="437">
        <f>SUM(IS!BV85:BY85)/BS!BU33</f>
        <v>0.14069324437517897</v>
      </c>
      <c r="BZ157" s="435">
        <f>SUM(IS!BW85:BZ85)/BS!BV33</f>
        <v>0.13340195970191238</v>
      </c>
      <c r="CA157" s="436">
        <f>SUM(IS!BX85:CA85)/BS!BW33</f>
        <v>0.12526438762926248</v>
      </c>
      <c r="CB157" s="436">
        <f>SUM(IS!BY85:CB85)/BS!BX33</f>
        <v>0.11890871415715443</v>
      </c>
      <c r="CC157" s="437">
        <f>SUM(IS!BZ85:CC85)/BS!BY33</f>
        <v>0.10925632927498746</v>
      </c>
      <c r="CD157" s="12"/>
      <c r="CE157" s="436"/>
      <c r="CF157" s="436">
        <f>IS!CF85/BS!CF33</f>
        <v>7.6420987530185072E-2</v>
      </c>
      <c r="CG157" s="436">
        <f>IS!CG85/BS!CG33</f>
        <v>0.22492101249302235</v>
      </c>
      <c r="CH157" s="436">
        <f>IS!CH85/BS!CH33</f>
        <v>0.13053489041281446</v>
      </c>
      <c r="CI157" s="436">
        <f>IS!CI85/BS!CI33</f>
        <v>0.13677934993750748</v>
      </c>
      <c r="CJ157" s="436">
        <f>IS!CJ85/BS!CJ33</f>
        <v>0.17405247401053758</v>
      </c>
      <c r="CK157" s="436">
        <f>IS!CK85/BS!CK33</f>
        <v>0.15368377398222524</v>
      </c>
      <c r="CL157" s="436">
        <f>IS!CL85/BS!CL33</f>
        <v>0.20320484736459685</v>
      </c>
      <c r="CM157" s="436">
        <f>IS!CM85/BS!CM33</f>
        <v>0.10278889898054547</v>
      </c>
      <c r="CN157" s="436">
        <f>IS!CN85/BS!CN33</f>
        <v>0.19288939923696621</v>
      </c>
      <c r="CO157" s="436">
        <f>IS!CO85/BS!CO33</f>
        <v>9.6442541524745837E-2</v>
      </c>
      <c r="CP157" s="436">
        <f>IS!CP85/BS!CP33</f>
        <v>0.14853481189392168</v>
      </c>
      <c r="CQ157" s="436">
        <f>IS!CQ85/BS!CQ33</f>
        <v>0.14946662154459964</v>
      </c>
      <c r="CR157" s="435">
        <f>IS!CR85/BS!CR33</f>
        <v>0.12653798309568359</v>
      </c>
      <c r="CS157" s="436">
        <f>IS!CS85/BS!CS33</f>
        <v>0.13193969435478556</v>
      </c>
      <c r="CT157" s="436">
        <f>IS!CT85/BS!CT33</f>
        <v>4.2645837137118857E-2</v>
      </c>
      <c r="CU157" s="436">
        <f>IS!CU85/BS!CU33</f>
        <v>9.1077093101138637E-2</v>
      </c>
      <c r="CV157" s="436">
        <f>IS!CV85/BS!CV33</f>
        <v>0.14298536975562998</v>
      </c>
      <c r="CW157" s="436">
        <f>IS!CW85/BS!CW33</f>
        <v>0.10831688236126299</v>
      </c>
      <c r="CX157" s="436">
        <f>SUM(IS!CU85:CX85)/BS!CT33</f>
        <v>0.41600360880749832</v>
      </c>
      <c r="CY157" s="436">
        <f>SUM(IS!CV85:CY85)/BS!CU33</f>
        <v>0.49019407086294831</v>
      </c>
      <c r="CZ157" s="436">
        <f>SUM(IS!CW85:CZ85)/BS!CV33</f>
        <v>0.48838685299869478</v>
      </c>
      <c r="DA157" s="436">
        <f>SUM(IS!CX85:DA85)/BS!CW33</f>
        <v>0.50865037914822986</v>
      </c>
      <c r="DB157" s="436">
        <f>SUM(IS!CY85:DB85)/BS!CX33</f>
        <v>0.50425248221839369</v>
      </c>
      <c r="DC157" s="436">
        <f>SUM(IS!CZ85:DC85)/BS!CY33</f>
        <v>0.50322572460749737</v>
      </c>
      <c r="DD157" s="437"/>
      <c r="DE157" s="24"/>
      <c r="DF157" s="24"/>
      <c r="DG157" s="19"/>
      <c r="DH157" s="19"/>
      <c r="DI157" s="19"/>
      <c r="DJ157" s="19"/>
      <c r="DK157" s="24"/>
      <c r="DL157" s="24"/>
      <c r="DM157" s="24"/>
      <c r="DN157" s="24"/>
      <c r="DO157" s="24"/>
      <c r="DP157" s="24"/>
      <c r="DQ157" s="24"/>
      <c r="DR157" s="24"/>
    </row>
    <row r="158" spans="1:122" hidden="1" outlineLevel="1">
      <c r="A158" s="3"/>
      <c r="B158" s="8"/>
      <c r="C158" s="3" t="s">
        <v>81</v>
      </c>
      <c r="D158" s="3"/>
      <c r="E158" s="9"/>
      <c r="F158" s="436"/>
      <c r="G158" s="436"/>
      <c r="H158" s="436"/>
      <c r="I158" s="437"/>
      <c r="J158" s="436"/>
      <c r="K158" s="436"/>
      <c r="L158" s="436"/>
      <c r="M158" s="437"/>
      <c r="N158" s="436">
        <f>IS!N85/BS!M168</f>
        <v>0.21597167794755717</v>
      </c>
      <c r="O158" s="436">
        <f>IS!O85/BS!N168</f>
        <v>0.57127751751464284</v>
      </c>
      <c r="P158" s="436">
        <f>IS!P85/BS!O168</f>
        <v>0.25956819915281037</v>
      </c>
      <c r="Q158" s="437">
        <f>IS!Q85/BS!P168</f>
        <v>0.16325236383323014</v>
      </c>
      <c r="R158" s="436">
        <f>IS!R85/BS!Q168</f>
        <v>1.5347841937449704E-2</v>
      </c>
      <c r="S158" s="436">
        <f>IS!S85/BS!R168</f>
        <v>0.19982573337205942</v>
      </c>
      <c r="T158" s="436">
        <f>IS!T85/BS!S168</f>
        <v>0.11487401480752325</v>
      </c>
      <c r="U158" s="437">
        <f>IS!U85/BS!T168</f>
        <v>6.2858748657799016E-2</v>
      </c>
      <c r="V158" s="436">
        <f>IS!V85/BS!U168</f>
        <v>6.2346185397867113E-2</v>
      </c>
      <c r="W158" s="436">
        <f>IS!W85/BS!V168</f>
        <v>0.11039424844920379</v>
      </c>
      <c r="X158" s="436">
        <f>IS!X85/BS!W168</f>
        <v>0.12457423387026895</v>
      </c>
      <c r="Y158" s="437">
        <f>IS!Y85/BS!X168</f>
        <v>9.0626217734278508E-2</v>
      </c>
      <c r="Z158" s="436">
        <f>IS!Z85/BS!Y168</f>
        <v>9.7998792852032751E-2</v>
      </c>
      <c r="AA158" s="436">
        <f>IS!AA85/BS!Z168</f>
        <v>0.13424414350936911</v>
      </c>
      <c r="AB158" s="436">
        <f>IS!AB85/BS!AA168</f>
        <v>0.11506709357789946</v>
      </c>
      <c r="AC158" s="437">
        <f>IS!AC85/BS!AB168</f>
        <v>8.2607620605317081E-2</v>
      </c>
      <c r="AD158" s="436">
        <f>IS!AD85/BS!AC168</f>
        <v>8.9006942132839148E-2</v>
      </c>
      <c r="AE158" s="436">
        <f>IS!AE85/BS!AD168</f>
        <v>0.10375000903723024</v>
      </c>
      <c r="AF158" s="436">
        <f>IS!AF85/BS!AE168</f>
        <v>8.6336683105014744E-2</v>
      </c>
      <c r="AG158" s="437">
        <f>IS!AG85/BS!AF168</f>
        <v>5.7186204405150577E-2</v>
      </c>
      <c r="AH158" s="436">
        <f>IS!AH85/BS!AG168</f>
        <v>0.10352462752967047</v>
      </c>
      <c r="AI158" s="436">
        <f>IS!AI85/BS!AH168</f>
        <v>0.17084701090524704</v>
      </c>
      <c r="AJ158" s="436">
        <f>IS!AJ85/BS!AI168</f>
        <v>0.13145596701863646</v>
      </c>
      <c r="AK158" s="437">
        <f>IS!AK85/BS!AJ168</f>
        <v>9.4358675930980018E-2</v>
      </c>
      <c r="AL158" s="436">
        <f>IS!AL85/BS!AK168</f>
        <v>7.826029687343522E-2</v>
      </c>
      <c r="AM158" s="436">
        <f>IS!AM85/BS!AL168</f>
        <v>3.1793462160148896E-2</v>
      </c>
      <c r="AN158" s="436">
        <f>IS!AN85/BS!AM168</f>
        <v>2.3242727468364109E-2</v>
      </c>
      <c r="AO158" s="437">
        <f>IS!AO85/BS!AN168</f>
        <v>5.7883212548075672E-2</v>
      </c>
      <c r="AP158" s="436">
        <f>IS!AP85/BS!AO168</f>
        <v>9.0522823045112707E-2</v>
      </c>
      <c r="AQ158" s="436">
        <f>IS!AQ85/BS!AP168</f>
        <v>0.12203805712460973</v>
      </c>
      <c r="AR158" s="436">
        <f>IS!AR85/BS!AQ168</f>
        <v>0.1004357934101729</v>
      </c>
      <c r="AS158" s="437">
        <f>IS!AS85/BS!AR168</f>
        <v>6.629775213236036E-2</v>
      </c>
      <c r="AT158" s="436">
        <f>IS!AT85/BS!AS168</f>
        <v>4.3952288987683122E-2</v>
      </c>
      <c r="AU158" s="436">
        <f>IS!AU85/BS!AT168</f>
        <v>4.5934059809611003E-2</v>
      </c>
      <c r="AV158" s="436">
        <f>IS!AV85/BS!AU168</f>
        <v>3.0248715212773735E-2</v>
      </c>
      <c r="AW158" s="437">
        <f>IS!AW85/BS!AV168</f>
        <v>3.6552658718432572E-2</v>
      </c>
      <c r="AX158" s="436">
        <f>IS!AX85/BS!AW168</f>
        <v>4.7455286819388487E-2</v>
      </c>
      <c r="AY158" s="436">
        <f>IS!AY85/BS!AX168</f>
        <v>6.2620770808404766E-2</v>
      </c>
      <c r="AZ158" s="436">
        <f>IS!AZ85/BS!AY168</f>
        <v>0.10453688356300697</v>
      </c>
      <c r="BA158" s="437">
        <f>IS!BA85/BS!AZ168</f>
        <v>0.11759712662082751</v>
      </c>
      <c r="BB158" s="436">
        <f>IS!BB85/BS!BA168</f>
        <v>7.7441648194027921E-2</v>
      </c>
      <c r="BC158" s="436">
        <f>IS!BC85/BS!BB168</f>
        <v>6.3836692795819328E-2</v>
      </c>
      <c r="BD158" s="436">
        <f>IS!BD85/BS!BC168</f>
        <v>6.2291742451800684E-2</v>
      </c>
      <c r="BE158" s="437">
        <f>IS!BE85/BS!BD168</f>
        <v>5.6658910127033106E-2</v>
      </c>
      <c r="BF158" s="436">
        <f>IS!BF85/BS!BE168</f>
        <v>6.5129887241859891E-2</v>
      </c>
      <c r="BG158" s="436">
        <f>IS!BG85/BS!BF168</f>
        <v>6.4440082394280881E-2</v>
      </c>
      <c r="BH158" s="436">
        <f>IS!BH85/BS!BG168</f>
        <v>5.4785872479309917E-2</v>
      </c>
      <c r="BI158" s="437">
        <f>IS!BI85/BS!BH168</f>
        <v>5.0788093065693422E-2</v>
      </c>
      <c r="BJ158" s="436">
        <f>IS!BJ85/BS!BI168</f>
        <v>6.2111965618638312E-2</v>
      </c>
      <c r="BK158" s="436">
        <f>IS!BK85/BS!BJ168</f>
        <v>6.5927033359366283E-2</v>
      </c>
      <c r="BL158" s="436">
        <f>IS!BL85/BS!BK168</f>
        <v>5.1849372384937233E-2</v>
      </c>
      <c r="BM158" s="437">
        <f>IS!BM85/BS!BL168</f>
        <v>4.2486722306525018E-2</v>
      </c>
      <c r="BN158" s="435">
        <f>IS!BN85/BS!BM168</f>
        <v>4.4714719600824376E-2</v>
      </c>
      <c r="BO158" s="436">
        <f>IS!BO85/BS!BN168</f>
        <v>4.3188999571550986E-2</v>
      </c>
      <c r="BP158" s="436">
        <f>IS!BP85/BS!BO168</f>
        <v>3.3196609814795427E-2</v>
      </c>
      <c r="BQ158" s="437">
        <f>IS!BQ85/BS!BP168</f>
        <v>2.7966489749193465E-2</v>
      </c>
      <c r="BR158" s="435">
        <f>IS!BR85/BS!BQ168</f>
        <v>4.0157559443696728E-2</v>
      </c>
      <c r="BS158" s="436">
        <f>IS!BS85/BS!BR168</f>
        <v>6.263136890951275E-2</v>
      </c>
      <c r="BT158" s="436">
        <f>IS!BT85/BS!BS168</f>
        <v>6.6723443906075292E-2</v>
      </c>
      <c r="BU158" s="437">
        <f>IS!BU85/BS!BT168</f>
        <v>7.9872812981597291E-2</v>
      </c>
      <c r="BV158" s="435">
        <f>IS!BV85/BS!BU168</f>
        <v>9.5363899106673658E-2</v>
      </c>
      <c r="BW158" s="436">
        <f>IS!BW85/BS!BV168</f>
        <v>0.10020399701467785</v>
      </c>
      <c r="BX158" s="436">
        <f>IS!BX85/BS!BW168</f>
        <v>8.8967518308108562E-2</v>
      </c>
      <c r="BY158" s="437">
        <f>IS!BY85/BS!BX168</f>
        <v>7.6465309362686334E-2</v>
      </c>
      <c r="BZ158" s="435">
        <f>IS!BZ85/BS!BY168</f>
        <v>7.8409859689784464E-2</v>
      </c>
      <c r="CA158" s="436">
        <f>IS!CA85/BS!BZ168</f>
        <v>6.8560232682727304E-2</v>
      </c>
      <c r="CB158" s="436">
        <f>IS!CB85/BS!CA168</f>
        <v>5.3578571634088711E-2</v>
      </c>
      <c r="CC158" s="437">
        <f>IS!CC85/BS!CB168</f>
        <v>4.8724082904621095E-2</v>
      </c>
      <c r="CD158" s="12"/>
      <c r="CE158" s="436"/>
      <c r="CF158" s="436"/>
      <c r="CG158" s="436">
        <f>IS!CG85/BS!CF168</f>
        <v>1.8940578738645573</v>
      </c>
      <c r="CH158" s="436">
        <f>IS!CH85/BS!CG168</f>
        <v>0.46217484717939683</v>
      </c>
      <c r="CI158" s="436">
        <f>IS!CI85/BS!CH168</f>
        <v>0.44562689768401209</v>
      </c>
      <c r="CJ158" s="436">
        <f>IS!CJ85/BS!CI168</f>
        <v>0.51397663347962907</v>
      </c>
      <c r="CK158" s="436">
        <f>IS!CK85/BS!CJ168</f>
        <v>0.38527188759284081</v>
      </c>
      <c r="CL158" s="436">
        <f>IS!CL85/BS!CK168</f>
        <v>0.57728649819487743</v>
      </c>
      <c r="CM158" s="436">
        <f>IS!CM85/BS!CL168</f>
        <v>0.20172702689394142</v>
      </c>
      <c r="CN158" s="436">
        <f>IS!CN85/BS!CM168</f>
        <v>0.44282378371193248</v>
      </c>
      <c r="CO158" s="436">
        <f>IS!CO85/BS!CN168</f>
        <v>0.16626046975958519</v>
      </c>
      <c r="CP158" s="436">
        <f>IS!CP85/BS!CO168</f>
        <v>0.38449080498634319</v>
      </c>
      <c r="CQ158" s="436">
        <f>IS!CQ85/BS!CP168</f>
        <v>0.27355763463293786</v>
      </c>
      <c r="CR158" s="435">
        <f>IS!CR85/BS!CQ168</f>
        <v>0.24847487647282401</v>
      </c>
      <c r="CS158" s="436">
        <f>IS!CS85/BS!CR168</f>
        <v>0.2265298009500113</v>
      </c>
      <c r="CT158" s="436">
        <f>IS!CT85/BS!CS168</f>
        <v>0.15201513179303611</v>
      </c>
      <c r="CU158" s="436">
        <f>IS!CU85/BS!CT168</f>
        <v>0.24401633019291161</v>
      </c>
      <c r="CV158" s="436">
        <f>IS!CV85/BS!CU168</f>
        <v>0.36793661561068874</v>
      </c>
      <c r="CW158" s="436">
        <f>IS!CW85/BS!CV168</f>
        <v>0.26296012172795163</v>
      </c>
      <c r="CX158" s="436">
        <f>IS!CX85/BS!CW168</f>
        <v>0.25465761274517706</v>
      </c>
      <c r="CY158" s="436">
        <f>IS!CY85/BS!CX168</f>
        <v>0.231378263237034</v>
      </c>
      <c r="CZ158" s="436">
        <f>IS!CZ85/BS!CY168</f>
        <v>0.21612523068240846</v>
      </c>
      <c r="DA158" s="436">
        <f>IS!DA85/BS!CZ168</f>
        <v>0.19185776457882178</v>
      </c>
      <c r="DB158" s="436">
        <f>IS!DB85/BS!DA168</f>
        <v>0.18074459623951536</v>
      </c>
      <c r="DC158" s="436">
        <f>IS!DC85/BS!DB168</f>
        <v>0.17129893252755757</v>
      </c>
      <c r="DD158" s="437"/>
      <c r="DE158" s="24"/>
      <c r="DF158" s="24"/>
      <c r="DG158" s="157"/>
      <c r="DH158" s="157"/>
      <c r="DI158" s="157"/>
      <c r="DJ158" s="157"/>
      <c r="DK158" s="24"/>
      <c r="DL158" s="24"/>
      <c r="DM158" s="24"/>
      <c r="DN158" s="24"/>
      <c r="DO158" s="24"/>
      <c r="DP158" s="24"/>
      <c r="DQ158" s="24"/>
      <c r="DR158" s="24"/>
    </row>
    <row r="159" spans="1:122" hidden="1" outlineLevel="1">
      <c r="A159" s="3"/>
      <c r="B159" s="76"/>
      <c r="C159" s="3"/>
      <c r="D159" s="3"/>
      <c r="E159" s="97"/>
      <c r="F159" s="76"/>
      <c r="G159" s="96"/>
      <c r="H159" s="96"/>
      <c r="I159" s="97"/>
      <c r="J159" s="76"/>
      <c r="K159" s="96"/>
      <c r="L159" s="96"/>
      <c r="M159" s="97"/>
      <c r="N159" s="76"/>
      <c r="O159" s="96"/>
      <c r="P159" s="96"/>
      <c r="Q159" s="97"/>
      <c r="R159" s="76"/>
      <c r="S159" s="96"/>
      <c r="T159" s="96"/>
      <c r="U159" s="97"/>
      <c r="V159" s="76"/>
      <c r="W159" s="96"/>
      <c r="X159" s="96"/>
      <c r="Y159" s="97"/>
      <c r="Z159" s="76"/>
      <c r="AA159" s="96"/>
      <c r="AB159" s="96"/>
      <c r="AC159" s="97"/>
      <c r="AD159" s="76"/>
      <c r="AE159" s="96"/>
      <c r="AF159" s="96"/>
      <c r="AG159" s="97"/>
      <c r="AH159" s="76"/>
      <c r="AI159" s="96"/>
      <c r="AJ159" s="96"/>
      <c r="AK159" s="97"/>
      <c r="AL159" s="76"/>
      <c r="AM159" s="96"/>
      <c r="AN159" s="96"/>
      <c r="AO159" s="97"/>
      <c r="AP159" s="76"/>
      <c r="AQ159" s="96"/>
      <c r="AR159" s="96"/>
      <c r="AS159" s="97"/>
      <c r="AT159" s="76"/>
      <c r="AU159" s="96"/>
      <c r="AV159" s="96"/>
      <c r="AW159" s="97"/>
      <c r="AX159" s="76"/>
      <c r="AY159" s="96"/>
      <c r="AZ159" s="96"/>
      <c r="BA159" s="97"/>
      <c r="BB159" s="76"/>
      <c r="BC159" s="96"/>
      <c r="BD159" s="96"/>
      <c r="BE159" s="97"/>
      <c r="BF159" s="76"/>
      <c r="BG159" s="96"/>
      <c r="BH159" s="96"/>
      <c r="BI159" s="97"/>
      <c r="BJ159" s="76"/>
      <c r="BK159" s="96"/>
      <c r="BL159" s="96"/>
      <c r="BM159" s="97"/>
      <c r="BN159" s="76"/>
      <c r="BO159" s="96"/>
      <c r="BP159" s="96"/>
      <c r="BQ159" s="97"/>
      <c r="BR159" s="76"/>
      <c r="BS159" s="96"/>
      <c r="BT159" s="96"/>
      <c r="BU159" s="97"/>
      <c r="BV159" s="76"/>
      <c r="BW159" s="96"/>
      <c r="BX159" s="96"/>
      <c r="BY159" s="97"/>
      <c r="BZ159" s="76"/>
      <c r="CA159" s="96"/>
      <c r="CB159" s="96"/>
      <c r="CC159" s="97"/>
      <c r="CD159" s="12"/>
      <c r="CE159" s="96"/>
      <c r="CF159" s="96"/>
      <c r="CG159" s="96"/>
      <c r="CH159" s="96"/>
      <c r="CI159" s="96"/>
      <c r="CJ159" s="96"/>
      <c r="CK159" s="96"/>
      <c r="CL159" s="96"/>
      <c r="CM159" s="96"/>
      <c r="CN159" s="96"/>
      <c r="CO159" s="96"/>
      <c r="CP159" s="96"/>
      <c r="CQ159" s="96"/>
      <c r="CR159" s="76"/>
      <c r="CS159" s="96"/>
      <c r="CT159" s="96"/>
      <c r="CU159" s="96"/>
      <c r="CV159" s="96"/>
      <c r="CW159" s="96"/>
      <c r="CX159" s="96"/>
      <c r="CY159" s="96"/>
      <c r="CZ159" s="96"/>
      <c r="DA159" s="96"/>
      <c r="DB159" s="96"/>
      <c r="DC159" s="96"/>
      <c r="DD159" s="97"/>
      <c r="DE159" s="24"/>
      <c r="DF159" s="24"/>
      <c r="DG159" s="24"/>
      <c r="DH159" s="24"/>
      <c r="DI159" s="24"/>
      <c r="DJ159" s="24"/>
      <c r="DK159" s="24"/>
      <c r="DL159" s="24"/>
      <c r="DM159" s="24"/>
      <c r="DN159" s="24"/>
      <c r="DO159" s="24"/>
      <c r="DP159" s="24"/>
      <c r="DQ159" s="24"/>
      <c r="DR159" s="24"/>
    </row>
    <row r="160" spans="1:122" hidden="1" outlineLevel="1">
      <c r="A160" s="3"/>
      <c r="B160" s="429" t="s">
        <v>317</v>
      </c>
      <c r="C160" s="3"/>
      <c r="D160" s="3"/>
      <c r="E160" s="294"/>
      <c r="F160" s="293"/>
      <c r="G160" s="447"/>
      <c r="H160" s="447"/>
      <c r="I160" s="294"/>
      <c r="J160" s="293"/>
      <c r="K160" s="447"/>
      <c r="L160" s="447"/>
      <c r="M160" s="294"/>
      <c r="N160" s="293"/>
      <c r="O160" s="447"/>
      <c r="P160" s="447"/>
      <c r="Q160" s="294"/>
      <c r="R160" s="293"/>
      <c r="S160" s="447"/>
      <c r="T160" s="447"/>
      <c r="U160" s="294"/>
      <c r="V160" s="293"/>
      <c r="W160" s="447"/>
      <c r="X160" s="447"/>
      <c r="Y160" s="294"/>
      <c r="Z160" s="293"/>
      <c r="AA160" s="447"/>
      <c r="AB160" s="447"/>
      <c r="AC160" s="294"/>
      <c r="AD160" s="293"/>
      <c r="AE160" s="447"/>
      <c r="AF160" s="447"/>
      <c r="AG160" s="294"/>
      <c r="AH160" s="293"/>
      <c r="AI160" s="35"/>
      <c r="AJ160" s="35"/>
      <c r="AK160" s="294"/>
      <c r="AL160" s="34"/>
      <c r="AM160" s="35"/>
      <c r="AN160" s="35"/>
      <c r="AO160" s="294"/>
      <c r="AP160" s="34"/>
      <c r="AQ160" s="35"/>
      <c r="AR160" s="35"/>
      <c r="AS160" s="294"/>
      <c r="AT160" s="34"/>
      <c r="AU160" s="35"/>
      <c r="AV160" s="35"/>
      <c r="AW160" s="294"/>
      <c r="AX160" s="34"/>
      <c r="AY160" s="35"/>
      <c r="AZ160" s="35"/>
      <c r="BA160" s="294"/>
      <c r="BB160" s="34"/>
      <c r="BC160" s="35"/>
      <c r="BD160" s="35"/>
      <c r="BE160" s="294"/>
      <c r="BF160" s="34"/>
      <c r="BG160" s="35"/>
      <c r="BH160" s="35"/>
      <c r="BI160" s="294"/>
      <c r="BJ160" s="34"/>
      <c r="BK160" s="35"/>
      <c r="BL160" s="35"/>
      <c r="BM160" s="294"/>
      <c r="BN160" s="293"/>
      <c r="BO160" s="447"/>
      <c r="BP160" s="447"/>
      <c r="BQ160" s="294"/>
      <c r="BR160" s="293"/>
      <c r="BS160" s="447"/>
      <c r="BT160" s="447"/>
      <c r="BU160" s="294"/>
      <c r="BV160" s="293"/>
      <c r="BW160" s="447"/>
      <c r="BX160" s="447"/>
      <c r="BY160" s="294"/>
      <c r="BZ160" s="293"/>
      <c r="CA160" s="447"/>
      <c r="CB160" s="447"/>
      <c r="CC160" s="294"/>
      <c r="CD160" s="12"/>
      <c r="CE160" s="447"/>
      <c r="CF160" s="447"/>
      <c r="CG160" s="447"/>
      <c r="CH160" s="447"/>
      <c r="CI160" s="447"/>
      <c r="CJ160" s="447"/>
      <c r="CK160" s="447"/>
      <c r="CL160" s="447"/>
      <c r="CM160" s="447"/>
      <c r="CN160" s="447"/>
      <c r="CO160" s="447"/>
      <c r="CP160" s="447"/>
      <c r="CQ160" s="447"/>
      <c r="CR160" s="293"/>
      <c r="CS160" s="447"/>
      <c r="CT160" s="447"/>
      <c r="CU160" s="447"/>
      <c r="CV160" s="447"/>
      <c r="CW160" s="447"/>
      <c r="CX160" s="447"/>
      <c r="CY160" s="447"/>
      <c r="CZ160" s="447"/>
      <c r="DA160" s="447"/>
      <c r="DB160" s="447"/>
      <c r="DC160" s="447"/>
      <c r="DD160" s="294"/>
      <c r="DE160" s="24"/>
      <c r="DF160" s="24"/>
      <c r="DG160" s="29"/>
      <c r="DH160" s="29"/>
      <c r="DI160" s="29"/>
      <c r="DJ160" s="29"/>
      <c r="DK160" s="24"/>
      <c r="DL160" s="24"/>
      <c r="DM160" s="24"/>
      <c r="DN160" s="24"/>
      <c r="DO160" s="24"/>
      <c r="DP160" s="24"/>
      <c r="DQ160" s="24"/>
      <c r="DR160" s="24"/>
    </row>
    <row r="161" spans="1:122" hidden="1" outlineLevel="1">
      <c r="A161" s="3"/>
      <c r="B161" s="293"/>
      <c r="C161" s="3" t="s">
        <v>579</v>
      </c>
      <c r="D161" s="3"/>
      <c r="E161" s="294"/>
      <c r="F161" s="297"/>
      <c r="G161" s="446"/>
      <c r="H161" s="446"/>
      <c r="I161" s="299"/>
      <c r="J161" s="297"/>
      <c r="K161" s="446"/>
      <c r="L161" s="446"/>
      <c r="M161" s="299">
        <f t="shared" ref="M161:AG161" si="421">M171/M168</f>
        <v>-1.3369757539227323</v>
      </c>
      <c r="N161" s="297">
        <f t="shared" si="421"/>
        <v>-1.3441349696130644</v>
      </c>
      <c r="O161" s="446">
        <f t="shared" si="421"/>
        <v>-1.2067819212268416</v>
      </c>
      <c r="P161" s="446">
        <f t="shared" si="421"/>
        <v>-1.2570811781921445</v>
      </c>
      <c r="Q161" s="299">
        <f t="shared" si="421"/>
        <v>-1.2009773976786806</v>
      </c>
      <c r="R161" s="297">
        <f t="shared" si="421"/>
        <v>-0.68486784780714483</v>
      </c>
      <c r="S161" s="446">
        <f t="shared" si="421"/>
        <v>-0.64379947229551449</v>
      </c>
      <c r="T161" s="446">
        <f t="shared" si="421"/>
        <v>-0.65788914843915902</v>
      </c>
      <c r="U161" s="299">
        <f t="shared" si="421"/>
        <v>-0.63556193601312516</v>
      </c>
      <c r="V161" s="297">
        <f t="shared" si="421"/>
        <v>-0.66541871921182261</v>
      </c>
      <c r="W161" s="446">
        <f t="shared" si="421"/>
        <v>-0.75646665493577325</v>
      </c>
      <c r="X161" s="446">
        <f t="shared" si="421"/>
        <v>-0.77957151478575748</v>
      </c>
      <c r="Y161" s="299">
        <f t="shared" si="421"/>
        <v>-0.77723970944309917</v>
      </c>
      <c r="Z161" s="297">
        <f t="shared" si="421"/>
        <v>-0.67632290459636923</v>
      </c>
      <c r="AA161" s="446">
        <f t="shared" si="421"/>
        <v>-0.65760626398210298</v>
      </c>
      <c r="AB161" s="446">
        <f t="shared" si="421"/>
        <v>-0.60690661478599206</v>
      </c>
      <c r="AC161" s="299">
        <f t="shared" si="421"/>
        <v>-0.56576218458347738</v>
      </c>
      <c r="AD161" s="297">
        <f t="shared" si="421"/>
        <v>-0.54402515723270439</v>
      </c>
      <c r="AE161" s="446">
        <f t="shared" si="421"/>
        <v>-0.54807017543859649</v>
      </c>
      <c r="AF161" s="446">
        <f t="shared" si="421"/>
        <v>-0.55208333333333337</v>
      </c>
      <c r="AG161" s="299">
        <f t="shared" si="421"/>
        <v>-0.51573426573426573</v>
      </c>
      <c r="AH161" s="297">
        <f t="shared" ref="AH161:AS161" si="422">AH171/AH168</f>
        <v>-0.4655847789591494</v>
      </c>
      <c r="AI161" s="446">
        <f t="shared" si="422"/>
        <v>-0.44757874941231784</v>
      </c>
      <c r="AJ161" s="446">
        <f t="shared" si="422"/>
        <v>-0.17997517583781547</v>
      </c>
      <c r="AK161" s="299">
        <f t="shared" si="422"/>
        <v>-0.22181008902077151</v>
      </c>
      <c r="AL161" s="446">
        <f t="shared" si="422"/>
        <v>-0.24523727052303429</v>
      </c>
      <c r="AM161" s="446">
        <f t="shared" si="422"/>
        <v>-0.29852790140362889</v>
      </c>
      <c r="AN161" s="446">
        <f t="shared" si="422"/>
        <v>-0.35995989304812837</v>
      </c>
      <c r="AO161" s="299">
        <f t="shared" si="422"/>
        <v>-0.41102756892230574</v>
      </c>
      <c r="AP161" s="446">
        <f t="shared" si="422"/>
        <v>-0.452171444791371</v>
      </c>
      <c r="AQ161" s="446">
        <f t="shared" si="422"/>
        <v>-0.49887246304184413</v>
      </c>
      <c r="AR161" s="446">
        <f t="shared" si="422"/>
        <v>-0.54186413902053709</v>
      </c>
      <c r="AS161" s="299">
        <f t="shared" si="422"/>
        <v>-0.4956466341049055</v>
      </c>
      <c r="AT161" s="446">
        <f t="shared" ref="AT161:BA161" si="423">AT171/AT168</f>
        <v>-0.50559967420077379</v>
      </c>
      <c r="AU161" s="446">
        <f>AU171/AU168</f>
        <v>-0.53498740065904249</v>
      </c>
      <c r="AV161" s="446">
        <f t="shared" si="423"/>
        <v>-0.54646350639578634</v>
      </c>
      <c r="AW161" s="299">
        <f t="shared" si="423"/>
        <v>-0.58236151603498543</v>
      </c>
      <c r="AX161" s="446">
        <f t="shared" si="423"/>
        <v>-0.59619080901625021</v>
      </c>
      <c r="AY161" s="446">
        <f t="shared" si="423"/>
        <v>-0.62350160391693399</v>
      </c>
      <c r="AZ161" s="446">
        <f t="shared" si="423"/>
        <v>-0.15291262135922329</v>
      </c>
      <c r="BA161" s="299">
        <f t="shared" si="423"/>
        <v>-0.13339418437866737</v>
      </c>
      <c r="BB161" s="446">
        <f t="shared" ref="BB161:BH161" si="424">BB171/BB168</f>
        <v>-0.17531417195470947</v>
      </c>
      <c r="BC161" s="446">
        <f t="shared" si="424"/>
        <v>-0.20468048987510609</v>
      </c>
      <c r="BD161" s="446">
        <f t="shared" si="424"/>
        <v>-0.24302505045708181</v>
      </c>
      <c r="BE161" s="299">
        <f>BE171/BE168</f>
        <v>-0.29823894590143163</v>
      </c>
      <c r="BF161" s="446">
        <f>BF171/BF168</f>
        <v>-0.35999030655519204</v>
      </c>
      <c r="BG161" s="446">
        <f t="shared" si="424"/>
        <v>-0.32812682130784476</v>
      </c>
      <c r="BH161" s="446">
        <f t="shared" si="424"/>
        <v>-0.27326642335766421</v>
      </c>
      <c r="BI161" s="299">
        <f>BI171/BI168</f>
        <v>-0.2997059488803438</v>
      </c>
      <c r="BJ161" s="446">
        <f t="shared" ref="BJ161:BQ161" si="425">BJ171/BJ168</f>
        <v>-0.33192011603257837</v>
      </c>
      <c r="BK161" s="446">
        <f>BK171/BK168</f>
        <v>-0.30477868310944728</v>
      </c>
      <c r="BL161" s="446">
        <f t="shared" si="425"/>
        <v>-0.29221764578365489</v>
      </c>
      <c r="BM161" s="299">
        <f t="shared" si="425"/>
        <v>-0.32259464150124745</v>
      </c>
      <c r="BN161" s="297">
        <f t="shared" si="425"/>
        <v>-0.3370822622107969</v>
      </c>
      <c r="BO161" s="446">
        <f t="shared" si="425"/>
        <v>-0.37773359840954274</v>
      </c>
      <c r="BP161" s="446">
        <f t="shared" si="425"/>
        <v>-0.39858466021438232</v>
      </c>
      <c r="BQ161" s="299">
        <f t="shared" si="425"/>
        <v>0.77308209959623153</v>
      </c>
      <c r="BR161" s="297">
        <f t="shared" ref="BR161:BY161" si="426">BR171/BR168</f>
        <v>0.81744779582366589</v>
      </c>
      <c r="BS161" s="446">
        <f>BS171/BS168</f>
        <v>0.74282519567648153</v>
      </c>
      <c r="BT161" s="446">
        <f t="shared" si="426"/>
        <v>0.67183392258181485</v>
      </c>
      <c r="BU161" s="299">
        <f t="shared" si="426"/>
        <v>0.59318619723244004</v>
      </c>
      <c r="BV161" s="297">
        <f t="shared" si="426"/>
        <v>0.51496807363794672</v>
      </c>
      <c r="BW161" s="446">
        <f t="shared" si="426"/>
        <v>0.51064584811923353</v>
      </c>
      <c r="BX161" s="446">
        <f t="shared" si="426"/>
        <v>0.52323513322418913</v>
      </c>
      <c r="BY161" s="299">
        <f t="shared" si="426"/>
        <v>0.45538755574531453</v>
      </c>
      <c r="BZ161" s="297">
        <f>BZ171/BZ168</f>
        <v>0.3809643211016277</v>
      </c>
      <c r="CA161" s="446">
        <f>CA171/CA168</f>
        <v>0.30326961103037081</v>
      </c>
      <c r="CB161" s="446">
        <f>CB171/CB168</f>
        <v>0.27790629706992664</v>
      </c>
      <c r="CC161" s="299">
        <f>CC171/CC168</f>
        <v>0.26037788271963314</v>
      </c>
      <c r="CD161" s="12"/>
      <c r="CE161" s="446"/>
      <c r="CF161" s="446">
        <f t="shared" ref="CF161:CL161" si="427">CF171/CF168</f>
        <v>-1.3369757539227323</v>
      </c>
      <c r="CG161" s="446">
        <f t="shared" si="427"/>
        <v>-1.2009773976786806</v>
      </c>
      <c r="CH161" s="446">
        <f t="shared" si="427"/>
        <v>-0.63556193601312516</v>
      </c>
      <c r="CI161" s="446">
        <f t="shared" si="427"/>
        <v>-0.77723970944309917</v>
      </c>
      <c r="CJ161" s="446">
        <f t="shared" si="427"/>
        <v>-0.56576218458347738</v>
      </c>
      <c r="CK161" s="446">
        <f t="shared" si="427"/>
        <v>-0.51573426573426573</v>
      </c>
      <c r="CL161" s="446">
        <f t="shared" si="427"/>
        <v>-0.22181008902077151</v>
      </c>
      <c r="CM161" s="446">
        <f>CM171/CM168</f>
        <v>-0.41102756892230574</v>
      </c>
      <c r="CN161" s="446">
        <f>CN171/CN168</f>
        <v>-0.4956466341049055</v>
      </c>
      <c r="CO161" s="446">
        <f t="shared" ref="CO161:CT161" si="428">CO171/CO168</f>
        <v>-0.58236151603498543</v>
      </c>
      <c r="CP161" s="446">
        <f t="shared" si="428"/>
        <v>-0.13339418437866737</v>
      </c>
      <c r="CQ161" s="446">
        <f>CQ171/CQ168</f>
        <v>-0.29823894590143163</v>
      </c>
      <c r="CR161" s="297">
        <f>CR171/CR168</f>
        <v>-0.2997059488803438</v>
      </c>
      <c r="CS161" s="446">
        <f t="shared" si="428"/>
        <v>-0.32259464150124745</v>
      </c>
      <c r="CT161" s="446">
        <f t="shared" si="428"/>
        <v>0.77308209959623153</v>
      </c>
      <c r="CU161" s="446">
        <f t="shared" ref="CU161:DA161" si="429">CU171/CU168</f>
        <v>0.59318619723244004</v>
      </c>
      <c r="CV161" s="446">
        <f t="shared" si="429"/>
        <v>0.45538755574531453</v>
      </c>
      <c r="CW161" s="446">
        <f>CW171/CW168</f>
        <v>0.26037788271963314</v>
      </c>
      <c r="CX161" s="446">
        <f t="shared" si="429"/>
        <v>7.8780906413918536E-2</v>
      </c>
      <c r="CY161" s="446">
        <f t="shared" si="429"/>
        <v>-5.4701410679645832E-2</v>
      </c>
      <c r="CZ161" s="446">
        <f t="shared" si="429"/>
        <v>-0.16722188785495898</v>
      </c>
      <c r="DA161" s="446">
        <f t="shared" si="429"/>
        <v>-0.24890978215850745</v>
      </c>
      <c r="DB161" s="446">
        <f>DB171/DB168</f>
        <v>-0.32330778965644053</v>
      </c>
      <c r="DC161" s="446">
        <f>DC171/DC168</f>
        <v>-0.39109681430655291</v>
      </c>
      <c r="DD161" s="299"/>
      <c r="DE161" s="24"/>
      <c r="DF161" s="24"/>
      <c r="DG161" s="24"/>
      <c r="DH161" s="24"/>
      <c r="DI161" s="24"/>
      <c r="DJ161" s="24"/>
      <c r="DK161" s="24"/>
      <c r="DL161" s="24"/>
      <c r="DM161" s="24"/>
      <c r="DN161" s="24"/>
      <c r="DO161" s="24"/>
      <c r="DP161" s="24"/>
      <c r="DQ161" s="24"/>
      <c r="DR161" s="24"/>
    </row>
    <row r="162" spans="1:122" hidden="1" outlineLevel="1">
      <c r="A162" s="3"/>
      <c r="B162" s="298"/>
      <c r="C162" s="3" t="s">
        <v>580</v>
      </c>
      <c r="D162" s="3"/>
      <c r="E162" s="300"/>
      <c r="F162" s="297"/>
      <c r="G162" s="446"/>
      <c r="H162" s="446"/>
      <c r="I162" s="299"/>
      <c r="J162" s="297"/>
      <c r="K162" s="446"/>
      <c r="L162" s="446"/>
      <c r="M162" s="299">
        <f t="shared" ref="M162:AG162" si="430">M171/M170</f>
        <v>3.9675725578443148</v>
      </c>
      <c r="N162" s="297">
        <f t="shared" si="430"/>
        <v>3.9058366289376822</v>
      </c>
      <c r="O162" s="446">
        <f t="shared" si="430"/>
        <v>5.836012713621086</v>
      </c>
      <c r="P162" s="446">
        <f t="shared" si="430"/>
        <v>4.8898219116321009</v>
      </c>
      <c r="Q162" s="299">
        <f t="shared" si="430"/>
        <v>5.975683890577506</v>
      </c>
      <c r="R162" s="297">
        <f t="shared" si="430"/>
        <v>-2.1732718894009206</v>
      </c>
      <c r="S162" s="446">
        <f t="shared" si="430"/>
        <v>-1.8074074074074074</v>
      </c>
      <c r="T162" s="446">
        <f t="shared" si="430"/>
        <v>-1.9230291744258219</v>
      </c>
      <c r="U162" s="299">
        <f t="shared" si="430"/>
        <v>-1.743950478334269</v>
      </c>
      <c r="V162" s="297">
        <f t="shared" si="430"/>
        <v>-1.9888103651354532</v>
      </c>
      <c r="W162" s="446">
        <f t="shared" si="430"/>
        <v>-3.1062138728323676</v>
      </c>
      <c r="X162" s="446">
        <f t="shared" si="430"/>
        <v>-3.5366187542778942</v>
      </c>
      <c r="Y162" s="299">
        <f t="shared" si="430"/>
        <v>-3.4891304347826062</v>
      </c>
      <c r="Z162" s="297">
        <f t="shared" si="430"/>
        <v>-2.0894988066825775</v>
      </c>
      <c r="AA162" s="446">
        <f t="shared" si="430"/>
        <v>-1.9206141783730808</v>
      </c>
      <c r="AB162" s="446">
        <f t="shared" si="430"/>
        <v>-1.5439247710962625</v>
      </c>
      <c r="AC162" s="299">
        <f t="shared" si="430"/>
        <v>-1.3028855721393038</v>
      </c>
      <c r="AD162" s="297">
        <f t="shared" si="430"/>
        <v>-1.193103448275862</v>
      </c>
      <c r="AE162" s="446">
        <f t="shared" si="430"/>
        <v>-1.2127329192546583</v>
      </c>
      <c r="AF162" s="446">
        <f t="shared" si="430"/>
        <v>-1.2325581395348837</v>
      </c>
      <c r="AG162" s="299">
        <f t="shared" si="430"/>
        <v>-1.0649819494584838</v>
      </c>
      <c r="AH162" s="297">
        <f t="shared" ref="AH162:AS162" si="431">AH171/AH170</f>
        <v>-0.87120418848167536</v>
      </c>
      <c r="AI162" s="446">
        <f t="shared" si="431"/>
        <v>-0.81021276595744685</v>
      </c>
      <c r="AJ162" s="446">
        <f t="shared" si="431"/>
        <v>-0.21947527749747731</v>
      </c>
      <c r="AK162" s="299">
        <f t="shared" si="431"/>
        <v>-0.28503336510962823</v>
      </c>
      <c r="AL162" s="446">
        <f t="shared" si="431"/>
        <v>-0.32491968793024323</v>
      </c>
      <c r="AM162" s="446">
        <f t="shared" si="431"/>
        <v>-0.42557345046364081</v>
      </c>
      <c r="AN162" s="446">
        <f t="shared" si="431"/>
        <v>-0.56240208877284592</v>
      </c>
      <c r="AO162" s="299">
        <f t="shared" si="431"/>
        <v>-0.69787234042553192</v>
      </c>
      <c r="AP162" s="446">
        <f t="shared" si="431"/>
        <v>-0.82538860103626943</v>
      </c>
      <c r="AQ162" s="446">
        <f t="shared" si="431"/>
        <v>-0.99550000000000005</v>
      </c>
      <c r="AR162" s="446">
        <f t="shared" si="431"/>
        <v>-1.1827586206896552</v>
      </c>
      <c r="AS162" s="299">
        <f t="shared" si="431"/>
        <v>-0.98273684210526313</v>
      </c>
      <c r="AT162" s="446">
        <f t="shared" ref="AT162:BA162" si="432">AT171/AT170</f>
        <v>-1.022652388797364</v>
      </c>
      <c r="AU162" s="446">
        <f t="shared" si="432"/>
        <v>-1.1504793664026678</v>
      </c>
      <c r="AV162" s="446">
        <f t="shared" si="432"/>
        <v>-1.2048942347573621</v>
      </c>
      <c r="AW162" s="299">
        <f t="shared" si="432"/>
        <v>-1.3944153577661431</v>
      </c>
      <c r="AX162" s="446">
        <f t="shared" si="432"/>
        <v>-1.4764171354392037</v>
      </c>
      <c r="AY162" s="446">
        <f t="shared" si="432"/>
        <v>-1.6560538116591927</v>
      </c>
      <c r="AZ162" s="446">
        <f t="shared" si="432"/>
        <v>-0.18051575931232092</v>
      </c>
      <c r="BA162" s="299">
        <f t="shared" si="432"/>
        <v>-0.15392717424014446</v>
      </c>
      <c r="BB162" s="446">
        <f t="shared" ref="BB162:BH162" si="433">BB171/BB170</f>
        <v>-0.21258298129149064</v>
      </c>
      <c r="BC162" s="446">
        <f t="shared" si="433"/>
        <v>-0.25735630431468209</v>
      </c>
      <c r="BD162" s="446">
        <f t="shared" si="433"/>
        <v>-0.32104767879548307</v>
      </c>
      <c r="BE162" s="299">
        <f>BE171/BE170</f>
        <v>-0.42498645964975629</v>
      </c>
      <c r="BF162" s="446">
        <f>BF171/BF170</f>
        <v>-0.56247633472169634</v>
      </c>
      <c r="BG162" s="446">
        <f t="shared" si="433"/>
        <v>-0.48837612768910477</v>
      </c>
      <c r="BH162" s="446">
        <f t="shared" si="433"/>
        <v>-0.37602008788449465</v>
      </c>
      <c r="BI162" s="299">
        <f>BI171/BI170</f>
        <v>-0.42797157622739018</v>
      </c>
      <c r="BJ162" s="446">
        <f t="shared" ref="BJ162:BQ162" si="434">BJ171/BJ170</f>
        <v>-0.49682698730794922</v>
      </c>
      <c r="BK162" s="446">
        <f>BK171/BK170</f>
        <v>-0.43839087741526767</v>
      </c>
      <c r="BL162" s="446">
        <f t="shared" si="434"/>
        <v>-0.41286370597243494</v>
      </c>
      <c r="BM162" s="299">
        <f t="shared" si="434"/>
        <v>-0.47622097678142516</v>
      </c>
      <c r="BN162" s="297">
        <f t="shared" si="434"/>
        <v>-0.50848279205041202</v>
      </c>
      <c r="BO162" s="446">
        <f t="shared" si="434"/>
        <v>-0.60702875399361023</v>
      </c>
      <c r="BP162" s="446">
        <f t="shared" si="434"/>
        <v>-0.66274441944973184</v>
      </c>
      <c r="BQ162" s="299">
        <f t="shared" si="434"/>
        <v>0.4360103233642022</v>
      </c>
      <c r="BR162" s="297">
        <f t="shared" ref="BR162:BY162" si="435">BR171/BR170</f>
        <v>0.44977786855946483</v>
      </c>
      <c r="BS162" s="446">
        <f>BS171/BS170</f>
        <v>0.42621899059024809</v>
      </c>
      <c r="BT162" s="446">
        <f t="shared" si="435"/>
        <v>0.40185446263962693</v>
      </c>
      <c r="BU162" s="299">
        <f t="shared" si="435"/>
        <v>0.37232697487768679</v>
      </c>
      <c r="BV162" s="297">
        <f t="shared" si="435"/>
        <v>0.33992008320105094</v>
      </c>
      <c r="BW162" s="446">
        <f t="shared" si="435"/>
        <v>0.33803147756636126</v>
      </c>
      <c r="BX162" s="446">
        <f t="shared" si="435"/>
        <v>0.34350253733753627</v>
      </c>
      <c r="BY162" s="299">
        <f t="shared" si="435"/>
        <v>0.31289779409451335</v>
      </c>
      <c r="BZ162" s="297">
        <f>BZ171/BZ170</f>
        <v>0.2758683300360168</v>
      </c>
      <c r="CA162" s="446">
        <f>CA171/CA170</f>
        <v>0.23269905817155095</v>
      </c>
      <c r="CB162" s="446">
        <f>CB171/CB170</f>
        <v>0.21747001146103573</v>
      </c>
      <c r="CC162" s="299">
        <f>CC171/CC170</f>
        <v>0.20658715635170605</v>
      </c>
      <c r="CD162" s="12"/>
      <c r="CE162" s="446"/>
      <c r="CF162" s="446">
        <f t="shared" ref="CF162:CL162" si="436">CF171/CF170</f>
        <v>3.9675725578443148</v>
      </c>
      <c r="CG162" s="446">
        <f t="shared" si="436"/>
        <v>5.975683890577506</v>
      </c>
      <c r="CH162" s="446">
        <f t="shared" si="436"/>
        <v>-1.743950478334269</v>
      </c>
      <c r="CI162" s="446">
        <f t="shared" si="436"/>
        <v>-3.4891304347826062</v>
      </c>
      <c r="CJ162" s="446">
        <f t="shared" si="436"/>
        <v>-1.3028855721393038</v>
      </c>
      <c r="CK162" s="446">
        <f t="shared" si="436"/>
        <v>-1.0649819494584838</v>
      </c>
      <c r="CL162" s="446">
        <f t="shared" si="436"/>
        <v>-0.28503336510962823</v>
      </c>
      <c r="CM162" s="446">
        <f>CM171/CM170</f>
        <v>-0.69787234042553192</v>
      </c>
      <c r="CN162" s="446">
        <f>CN171/CN170</f>
        <v>-0.98273684210526313</v>
      </c>
      <c r="CO162" s="446">
        <f t="shared" ref="CO162:CT162" si="437">CO171/CO170</f>
        <v>-1.3944153577661431</v>
      </c>
      <c r="CP162" s="446">
        <f t="shared" si="437"/>
        <v>-0.15392717424014446</v>
      </c>
      <c r="CQ162" s="446">
        <f>CQ171/CQ170</f>
        <v>-0.42498645964975629</v>
      </c>
      <c r="CR162" s="297">
        <f>CR171/CR170</f>
        <v>-0.42797157622739018</v>
      </c>
      <c r="CS162" s="446">
        <f t="shared" si="437"/>
        <v>-0.47622097678142516</v>
      </c>
      <c r="CT162" s="446">
        <f t="shared" si="437"/>
        <v>0.4360103233642022</v>
      </c>
      <c r="CU162" s="446">
        <f t="shared" ref="CU162:DA162" si="438">CU171/CU170</f>
        <v>0.37232697487768679</v>
      </c>
      <c r="CV162" s="446">
        <f t="shared" si="438"/>
        <v>0.31289779409451335</v>
      </c>
      <c r="CW162" s="446">
        <f>CW171/CW170</f>
        <v>0.20658715635170605</v>
      </c>
      <c r="CX162" s="446">
        <f t="shared" si="438"/>
        <v>7.302771669903009E-2</v>
      </c>
      <c r="CY162" s="446">
        <f t="shared" si="438"/>
        <v>-5.7866806634054926E-2</v>
      </c>
      <c r="CZ162" s="446">
        <f t="shared" si="438"/>
        <v>-0.20080005155783293</v>
      </c>
      <c r="DA162" s="446">
        <f t="shared" si="438"/>
        <v>-0.33139798155517514</v>
      </c>
      <c r="DB162" s="446">
        <f>DB171/DB170</f>
        <v>-0.47777672731343512</v>
      </c>
      <c r="DC162" s="446">
        <f>DC171/DC170</f>
        <v>-0.64229720503293763</v>
      </c>
      <c r="DD162" s="299"/>
      <c r="DE162" s="24"/>
      <c r="DF162" s="24"/>
      <c r="DG162" s="24"/>
      <c r="DH162" s="24"/>
      <c r="DI162" s="24"/>
      <c r="DJ162" s="24"/>
      <c r="DK162" s="24"/>
      <c r="DL162" s="24"/>
      <c r="DM162" s="24"/>
      <c r="DN162" s="24"/>
      <c r="DO162" s="24"/>
      <c r="DP162" s="24"/>
      <c r="DQ162" s="24"/>
      <c r="DR162" s="24"/>
    </row>
    <row r="163" spans="1:122" hidden="1" outlineLevel="1">
      <c r="A163" s="3"/>
      <c r="B163" s="297"/>
      <c r="C163" s="3" t="s">
        <v>578</v>
      </c>
      <c r="D163" s="3"/>
      <c r="E163" s="299"/>
      <c r="F163" s="297"/>
      <c r="G163" s="446"/>
      <c r="H163" s="446"/>
      <c r="I163" s="299"/>
      <c r="J163" s="297"/>
      <c r="K163" s="446"/>
      <c r="L163" s="446"/>
      <c r="M163" s="299">
        <f t="shared" ref="M163:AG163" si="439">M167/M168</f>
        <v>0.83805486963115672</v>
      </c>
      <c r="N163" s="297">
        <f t="shared" si="439"/>
        <v>0.56784068955268219</v>
      </c>
      <c r="O163" s="446">
        <f t="shared" si="439"/>
        <v>0.35031671191122526</v>
      </c>
      <c r="P163" s="446">
        <f t="shared" si="439"/>
        <v>0</v>
      </c>
      <c r="Q163" s="299">
        <f t="shared" si="439"/>
        <v>0</v>
      </c>
      <c r="R163" s="297">
        <f t="shared" si="439"/>
        <v>0.14522218995062441</v>
      </c>
      <c r="S163" s="446">
        <f t="shared" si="439"/>
        <v>0.11993283761093788</v>
      </c>
      <c r="T163" s="446">
        <f t="shared" si="439"/>
        <v>0.10639201528987045</v>
      </c>
      <c r="U163" s="299">
        <f t="shared" si="439"/>
        <v>0.13925348646431496</v>
      </c>
      <c r="V163" s="297">
        <f t="shared" si="439"/>
        <v>0.13300492610837436</v>
      </c>
      <c r="W163" s="446">
        <f t="shared" si="439"/>
        <v>0.1101530881576632</v>
      </c>
      <c r="X163" s="446">
        <f t="shared" si="439"/>
        <v>8.690404345202174E-2</v>
      </c>
      <c r="Y163" s="299">
        <f t="shared" si="439"/>
        <v>7.5060532687651338E-2</v>
      </c>
      <c r="Z163" s="297">
        <f t="shared" si="439"/>
        <v>7.2099909875112667E-2</v>
      </c>
      <c r="AA163" s="446">
        <f t="shared" si="439"/>
        <v>6.3534675615212519E-2</v>
      </c>
      <c r="AB163" s="446">
        <f t="shared" si="439"/>
        <v>4.8832684824902724E-2</v>
      </c>
      <c r="AC163" s="299">
        <f t="shared" si="439"/>
        <v>3.8109229173867956E-2</v>
      </c>
      <c r="AD163" s="297">
        <f t="shared" si="439"/>
        <v>4.6383647798742135E-2</v>
      </c>
      <c r="AE163" s="446">
        <f t="shared" si="439"/>
        <v>3.43859649122807E-2</v>
      </c>
      <c r="AF163" s="446">
        <f t="shared" si="439"/>
        <v>1.7578125E-2</v>
      </c>
      <c r="AG163" s="299">
        <f t="shared" si="439"/>
        <v>1.282051282051282E-2</v>
      </c>
      <c r="AH163" s="297">
        <f t="shared" ref="AH163:AS163" si="440">AH167/AH168</f>
        <v>1.0632344711807499E-2</v>
      </c>
      <c r="AI163" s="446">
        <f t="shared" si="440"/>
        <v>7.052186177715092E-3</v>
      </c>
      <c r="AJ163" s="446">
        <f t="shared" si="440"/>
        <v>0.2126603227141084</v>
      </c>
      <c r="AK163" s="299">
        <f t="shared" si="440"/>
        <v>0.18879821958456974</v>
      </c>
      <c r="AL163" s="446">
        <f t="shared" si="440"/>
        <v>0.17561482507793558</v>
      </c>
      <c r="AM163" s="446">
        <f t="shared" si="440"/>
        <v>0.17254364943512496</v>
      </c>
      <c r="AN163" s="446">
        <f t="shared" si="440"/>
        <v>0.16778074866310161</v>
      </c>
      <c r="AO163" s="299">
        <f t="shared" si="440"/>
        <v>0.15100250626566417</v>
      </c>
      <c r="AP163" s="446">
        <f t="shared" si="440"/>
        <v>0.13142208345160375</v>
      </c>
      <c r="AQ163" s="446">
        <f t="shared" si="440"/>
        <v>0.1112503132047106</v>
      </c>
      <c r="AR163" s="446">
        <f t="shared" si="440"/>
        <v>9.5915143308508241E-2</v>
      </c>
      <c r="AS163" s="299">
        <f t="shared" si="440"/>
        <v>8.4943724782331712E-2</v>
      </c>
      <c r="AT163" s="446">
        <f t="shared" ref="AT163:BA163" si="441">AT167/AT168</f>
        <v>7.6359193646915083E-2</v>
      </c>
      <c r="AU163" s="446">
        <f t="shared" si="441"/>
        <v>6.7842605156037988E-2</v>
      </c>
      <c r="AV163" s="446">
        <f t="shared" si="441"/>
        <v>6.1136192626034612E-2</v>
      </c>
      <c r="AW163" s="299">
        <f t="shared" si="441"/>
        <v>5.3571428571428568E-2</v>
      </c>
      <c r="AX163" s="446">
        <f t="shared" si="441"/>
        <v>4.5954918748907912E-2</v>
      </c>
      <c r="AY163" s="446">
        <f t="shared" si="441"/>
        <v>3.9000506500084416E-2</v>
      </c>
      <c r="AZ163" s="446">
        <f t="shared" si="441"/>
        <v>0.3024541531823085</v>
      </c>
      <c r="BA163" s="299">
        <f t="shared" si="441"/>
        <v>0.284913287260399</v>
      </c>
      <c r="BB163" s="446">
        <f t="shared" ref="BB163:BH163" si="442">BB167/BB168</f>
        <v>0.26477541371158392</v>
      </c>
      <c r="BC163" s="446">
        <f t="shared" si="442"/>
        <v>0.25803322420274039</v>
      </c>
      <c r="BD163" s="446">
        <f t="shared" si="442"/>
        <v>0.2389884839130951</v>
      </c>
      <c r="BE163" s="299">
        <f>BE167/BE168</f>
        <v>0.24768782465475739</v>
      </c>
      <c r="BF163" s="446">
        <f>BF167/BF168</f>
        <v>0.22997697806858111</v>
      </c>
      <c r="BG163" s="446">
        <f t="shared" si="442"/>
        <v>0.21447721179624665</v>
      </c>
      <c r="BH163" s="446">
        <f t="shared" si="442"/>
        <v>0.28159215328467152</v>
      </c>
      <c r="BI163" s="299">
        <f>BI167/BI168</f>
        <v>0.27572947296991629</v>
      </c>
      <c r="BJ163" s="446">
        <f t="shared" ref="BJ163:BQ163" si="443">BJ167/BJ168</f>
        <v>0.26843690728550706</v>
      </c>
      <c r="BK163" s="446">
        <f>BK167/BK168</f>
        <v>0.2615062761506276</v>
      </c>
      <c r="BL163" s="446">
        <f t="shared" si="443"/>
        <v>0.25406460004335574</v>
      </c>
      <c r="BM163" s="299">
        <f t="shared" si="443"/>
        <v>0.25078641935133961</v>
      </c>
      <c r="BN163" s="297">
        <f t="shared" si="443"/>
        <v>0.24432305055698372</v>
      </c>
      <c r="BO163" s="446">
        <f t="shared" si="443"/>
        <v>0.23542952809459036</v>
      </c>
      <c r="BP163" s="446">
        <f t="shared" si="443"/>
        <v>0.22926423144968258</v>
      </c>
      <c r="BQ163" s="299">
        <f t="shared" si="443"/>
        <v>1.5248093315388067</v>
      </c>
      <c r="BR163" s="297">
        <f t="shared" ref="BR163:BY163" si="444">BR167/BR168</f>
        <v>1.2188399071925755</v>
      </c>
      <c r="BS163" s="446">
        <f>BS167/BS168</f>
        <v>1.2181326872903466</v>
      </c>
      <c r="BT163" s="446">
        <f t="shared" si="444"/>
        <v>1.1864744810080681</v>
      </c>
      <c r="BU163" s="299">
        <f t="shared" si="444"/>
        <v>1.151777894552461</v>
      </c>
      <c r="BV163" s="297">
        <f t="shared" si="444"/>
        <v>1.0888962600547309</v>
      </c>
      <c r="BW163" s="446">
        <f t="shared" si="444"/>
        <v>1.0691092973740242</v>
      </c>
      <c r="BX163" s="446">
        <f t="shared" si="444"/>
        <v>1.0014801949621592</v>
      </c>
      <c r="BY163" s="299">
        <f t="shared" si="444"/>
        <v>0.94621847959343819</v>
      </c>
      <c r="BZ163" s="297">
        <f>BZ167/BZ168</f>
        <v>0.88364423673777337</v>
      </c>
      <c r="CA163" s="446">
        <f>CA167/CA168</f>
        <v>0.83137004882266363</v>
      </c>
      <c r="CB163" s="446">
        <f>CB167/CB168</f>
        <v>0.79270707755831993</v>
      </c>
      <c r="CC163" s="299">
        <f>CC167/CC168</f>
        <v>0.75901944452282555</v>
      </c>
      <c r="CD163" s="12"/>
      <c r="CE163" s="446"/>
      <c r="CF163" s="446">
        <f t="shared" ref="CF163:CL163" si="445">CF167/CF168</f>
        <v>0.83805486963115672</v>
      </c>
      <c r="CG163" s="446">
        <f t="shared" si="445"/>
        <v>0</v>
      </c>
      <c r="CH163" s="446">
        <f t="shared" si="445"/>
        <v>0.13925348646431496</v>
      </c>
      <c r="CI163" s="446">
        <f t="shared" si="445"/>
        <v>7.5060532687651338E-2</v>
      </c>
      <c r="CJ163" s="446">
        <f t="shared" si="445"/>
        <v>3.8109229173867956E-2</v>
      </c>
      <c r="CK163" s="446">
        <f t="shared" si="445"/>
        <v>1.282051282051282E-2</v>
      </c>
      <c r="CL163" s="446">
        <f t="shared" si="445"/>
        <v>0.18879821958456974</v>
      </c>
      <c r="CM163" s="446">
        <f>CM167/CM168</f>
        <v>0.15100250626566417</v>
      </c>
      <c r="CN163" s="446">
        <f>CN167/CN168</f>
        <v>8.4943724782331712E-2</v>
      </c>
      <c r="CO163" s="446">
        <f t="shared" ref="CO163:CT163" si="446">CO167/CO168</f>
        <v>5.3571428571428568E-2</v>
      </c>
      <c r="CP163" s="446">
        <f t="shared" si="446"/>
        <v>0.284913287260399</v>
      </c>
      <c r="CQ163" s="446">
        <f>CQ167/CQ168</f>
        <v>0.24768782465475739</v>
      </c>
      <c r="CR163" s="297">
        <f>CR167/CR168</f>
        <v>0.27572947296991629</v>
      </c>
      <c r="CS163" s="446">
        <f t="shared" si="446"/>
        <v>0.25078641935133961</v>
      </c>
      <c r="CT163" s="446">
        <f t="shared" si="446"/>
        <v>1.5248093315388067</v>
      </c>
      <c r="CU163" s="446">
        <f t="shared" ref="CU163:DA163" si="447">CU167/CU168</f>
        <v>1.151777894552461</v>
      </c>
      <c r="CV163" s="446">
        <f t="shared" si="447"/>
        <v>0.94621847959343819</v>
      </c>
      <c r="CW163" s="446">
        <f>CW167/CW168</f>
        <v>0.75901944452282555</v>
      </c>
      <c r="CX163" s="446">
        <f t="shared" si="447"/>
        <v>0.59952957026213427</v>
      </c>
      <c r="CY163" s="446">
        <f t="shared" si="447"/>
        <v>0.47225061025449455</v>
      </c>
      <c r="CZ163" s="446">
        <f t="shared" si="447"/>
        <v>0.36815426718381855</v>
      </c>
      <c r="DA163" s="446">
        <f t="shared" si="447"/>
        <v>0.285586060083106</v>
      </c>
      <c r="DB163" s="446">
        <f>DB167/DB168</f>
        <v>0.21697279920492529</v>
      </c>
      <c r="DC163" s="446">
        <f>DC167/DC168</f>
        <v>0.1598308081021568</v>
      </c>
      <c r="DD163" s="299"/>
      <c r="DE163" s="24"/>
      <c r="DF163" s="24"/>
      <c r="DG163" s="24"/>
      <c r="DH163" s="24"/>
      <c r="DI163" s="24"/>
      <c r="DJ163" s="24"/>
      <c r="DK163" s="24"/>
      <c r="DL163" s="24"/>
      <c r="DM163" s="24"/>
      <c r="DN163" s="24"/>
      <c r="DO163" s="24"/>
      <c r="DP163" s="24"/>
      <c r="DQ163" s="24"/>
      <c r="DR163" s="24"/>
    </row>
    <row r="164" spans="1:122" hidden="1" outlineLevel="1">
      <c r="A164" s="3"/>
      <c r="B164" s="298"/>
      <c r="C164" s="3" t="s">
        <v>581</v>
      </c>
      <c r="D164" s="3"/>
      <c r="E164" s="300"/>
      <c r="F164" s="297"/>
      <c r="G164" s="446"/>
      <c r="H164" s="446"/>
      <c r="I164" s="299"/>
      <c r="J164" s="297"/>
      <c r="K164" s="446"/>
      <c r="L164" s="446"/>
      <c r="M164" s="299">
        <f t="shared" ref="M164:AG164" si="448">M167/M170</f>
        <v>-2.4869886330852164</v>
      </c>
      <c r="N164" s="297">
        <f t="shared" si="448"/>
        <v>-1.6500522751034152</v>
      </c>
      <c r="O164" s="446">
        <f t="shared" si="448"/>
        <v>-1.6941360725966208</v>
      </c>
      <c r="P164" s="446">
        <f t="shared" si="448"/>
        <v>0</v>
      </c>
      <c r="Q164" s="299">
        <f t="shared" si="448"/>
        <v>0</v>
      </c>
      <c r="R164" s="297">
        <f t="shared" si="448"/>
        <v>0.46082949308755738</v>
      </c>
      <c r="S164" s="446">
        <f t="shared" si="448"/>
        <v>0.33670033670033672</v>
      </c>
      <c r="T164" s="446">
        <f t="shared" si="448"/>
        <v>0.31098696461824943</v>
      </c>
      <c r="U164" s="299">
        <f t="shared" si="448"/>
        <v>0.38210467079347171</v>
      </c>
      <c r="V164" s="297">
        <f t="shared" si="448"/>
        <v>0.39752650176678445</v>
      </c>
      <c r="W164" s="446">
        <f t="shared" si="448"/>
        <v>0.45231213872832343</v>
      </c>
      <c r="X164" s="446">
        <f t="shared" si="448"/>
        <v>0.39425051334702282</v>
      </c>
      <c r="Y164" s="299">
        <f t="shared" si="448"/>
        <v>0.33695652173913027</v>
      </c>
      <c r="Z164" s="297">
        <f t="shared" si="448"/>
        <v>0.22275258552108196</v>
      </c>
      <c r="AA164" s="446">
        <f t="shared" si="448"/>
        <v>0.18556027442012413</v>
      </c>
      <c r="AB164" s="446">
        <f t="shared" si="448"/>
        <v>0.1242266765652066</v>
      </c>
      <c r="AC164" s="299">
        <f t="shared" si="448"/>
        <v>8.7761194029850775E-2</v>
      </c>
      <c r="AD164" s="297">
        <f t="shared" si="448"/>
        <v>0.10172413793103448</v>
      </c>
      <c r="AE164" s="446">
        <f t="shared" si="448"/>
        <v>7.6086956521739135E-2</v>
      </c>
      <c r="AF164" s="446">
        <f t="shared" si="448"/>
        <v>3.9244186046511628E-2</v>
      </c>
      <c r="AG164" s="299">
        <f t="shared" si="448"/>
        <v>2.6474127557160047E-2</v>
      </c>
      <c r="AH164" s="297">
        <f t="shared" ref="AH164:AS164" si="449">AH167/AH170</f>
        <v>1.9895287958115182E-2</v>
      </c>
      <c r="AI164" s="446">
        <f t="shared" si="449"/>
        <v>1.276595744680851E-2</v>
      </c>
      <c r="AJ164" s="446">
        <f t="shared" si="449"/>
        <v>0.25933400605449042</v>
      </c>
      <c r="AK164" s="299">
        <f t="shared" si="449"/>
        <v>0.24261201143946615</v>
      </c>
      <c r="AL164" s="446">
        <f t="shared" si="449"/>
        <v>0.23267553923818265</v>
      </c>
      <c r="AM164" s="446">
        <f t="shared" si="449"/>
        <v>0.24597364568081992</v>
      </c>
      <c r="AN164" s="446">
        <f t="shared" si="449"/>
        <v>0.26214099216710185</v>
      </c>
      <c r="AO164" s="299">
        <f t="shared" si="449"/>
        <v>0.25638297872340426</v>
      </c>
      <c r="AP164" s="446">
        <f t="shared" si="449"/>
        <v>0.23989637305699482</v>
      </c>
      <c r="AQ164" s="446">
        <f t="shared" si="449"/>
        <v>0.222</v>
      </c>
      <c r="AR164" s="446">
        <f t="shared" si="449"/>
        <v>0.20935960591133004</v>
      </c>
      <c r="AS164" s="299">
        <f t="shared" si="449"/>
        <v>0.16842105263157894</v>
      </c>
      <c r="AT164" s="446">
        <f t="shared" ref="AT164:BA164" si="450">AT167/AT170</f>
        <v>0.15444810543657331</v>
      </c>
      <c r="AU164" s="446">
        <f t="shared" si="450"/>
        <v>0.14589412255106293</v>
      </c>
      <c r="AV164" s="446">
        <f t="shared" si="450"/>
        <v>0.13479883865615927</v>
      </c>
      <c r="AW164" s="299">
        <f t="shared" si="450"/>
        <v>0.12827225130890052</v>
      </c>
      <c r="AX164" s="446">
        <f t="shared" si="450"/>
        <v>0.1138035482475119</v>
      </c>
      <c r="AY164" s="446">
        <f t="shared" si="450"/>
        <v>0.10358744394618834</v>
      </c>
      <c r="AZ164" s="446">
        <f t="shared" si="450"/>
        <v>0.35705189430117795</v>
      </c>
      <c r="BA164" s="299">
        <f t="shared" si="450"/>
        <v>0.32876918447186276</v>
      </c>
      <c r="BB164" s="446">
        <f t="shared" ref="BB164:BH164" si="451">BB167/BB170</f>
        <v>0.32106216053108028</v>
      </c>
      <c r="BC164" s="446">
        <f t="shared" si="451"/>
        <v>0.32443970117395943</v>
      </c>
      <c r="BD164" s="446">
        <f t="shared" si="451"/>
        <v>0.3157151819322459</v>
      </c>
      <c r="BE164" s="299">
        <f>BE167/BE170</f>
        <v>0.35295179635313234</v>
      </c>
      <c r="BF164" s="446">
        <f>BF167/BF170</f>
        <v>0.35933358576296859</v>
      </c>
      <c r="BG164" s="446">
        <f t="shared" si="451"/>
        <v>0.31922276197085359</v>
      </c>
      <c r="BH164" s="446">
        <f t="shared" si="451"/>
        <v>0.38747645951035781</v>
      </c>
      <c r="BI164" s="299">
        <f>BI167/BI170</f>
        <v>0.39373385012919898</v>
      </c>
      <c r="BJ164" s="446">
        <f t="shared" ref="BJ164:BQ164" si="452">BJ167/BJ170</f>
        <v>0.40180360721442887</v>
      </c>
      <c r="BK164" s="446">
        <f>BK167/BK170</f>
        <v>0.37614824200190056</v>
      </c>
      <c r="BL164" s="446">
        <f t="shared" si="452"/>
        <v>0.35895865237366004</v>
      </c>
      <c r="BM164" s="299">
        <f t="shared" si="452"/>
        <v>0.37021617293835068</v>
      </c>
      <c r="BN164" s="297">
        <f t="shared" si="452"/>
        <v>0.36855711746647279</v>
      </c>
      <c r="BO164" s="446">
        <f t="shared" si="452"/>
        <v>0.37834202118715321</v>
      </c>
      <c r="BP164" s="446">
        <f t="shared" si="452"/>
        <v>0.3812078214223914</v>
      </c>
      <c r="BQ164" s="299">
        <f t="shared" si="452"/>
        <v>0.85997672182581852</v>
      </c>
      <c r="BR164" s="297">
        <f t="shared" ref="BR164:BY164" si="453">BR167/BR170</f>
        <v>0.67063269162028294</v>
      </c>
      <c r="BS164" s="446">
        <f>BS167/BS170</f>
        <v>0.69894140290846873</v>
      </c>
      <c r="BT164" s="446">
        <f t="shared" si="453"/>
        <v>0.70968441600694065</v>
      </c>
      <c r="BU164" s="299">
        <f t="shared" si="453"/>
        <v>0.72293991534275193</v>
      </c>
      <c r="BV164" s="297">
        <f t="shared" si="453"/>
        <v>0.71875855273961353</v>
      </c>
      <c r="BW164" s="446">
        <f t="shared" si="453"/>
        <v>0.70771670190274838</v>
      </c>
      <c r="BX164" s="446">
        <f t="shared" si="453"/>
        <v>0.65746920689936694</v>
      </c>
      <c r="BY164" s="299">
        <f t="shared" si="453"/>
        <v>0.65014880459718705</v>
      </c>
      <c r="BZ164" s="297">
        <f>BZ167/BZ170</f>
        <v>0.63987477680297322</v>
      </c>
      <c r="CA164" s="446">
        <f>CA167/CA170</f>
        <v>0.63791102146959355</v>
      </c>
      <c r="CB164" s="446">
        <f>CB167/CB170</f>
        <v>0.62031706031646794</v>
      </c>
      <c r="CC164" s="299">
        <f>CC167/CC170</f>
        <v>0.60221577586320341</v>
      </c>
      <c r="CD164" s="12"/>
      <c r="CE164" s="446"/>
      <c r="CF164" s="446">
        <f t="shared" ref="CF164:CL164" si="454">CF167/CF170</f>
        <v>-2.4869886330852164</v>
      </c>
      <c r="CG164" s="446">
        <f t="shared" si="454"/>
        <v>0</v>
      </c>
      <c r="CH164" s="446">
        <f t="shared" si="454"/>
        <v>0.38210467079347171</v>
      </c>
      <c r="CI164" s="446">
        <f t="shared" si="454"/>
        <v>0.33695652173913027</v>
      </c>
      <c r="CJ164" s="446">
        <f t="shared" si="454"/>
        <v>8.7761194029850775E-2</v>
      </c>
      <c r="CK164" s="446">
        <f t="shared" si="454"/>
        <v>2.6474127557160047E-2</v>
      </c>
      <c r="CL164" s="446">
        <f t="shared" si="454"/>
        <v>0.24261201143946615</v>
      </c>
      <c r="CM164" s="446">
        <f>CM167/CM170</f>
        <v>0.25638297872340426</v>
      </c>
      <c r="CN164" s="446">
        <f>CN167/CN170</f>
        <v>0.16842105263157894</v>
      </c>
      <c r="CO164" s="446">
        <f t="shared" ref="CO164:CT164" si="455">CO167/CO170</f>
        <v>0.12827225130890052</v>
      </c>
      <c r="CP164" s="446">
        <f t="shared" si="455"/>
        <v>0.32876918447186276</v>
      </c>
      <c r="CQ164" s="446">
        <f>CQ167/CQ170</f>
        <v>0.35295179635313234</v>
      </c>
      <c r="CR164" s="297">
        <f>CR167/CR170</f>
        <v>0.39373385012919898</v>
      </c>
      <c r="CS164" s="446">
        <f t="shared" si="455"/>
        <v>0.37021617293835068</v>
      </c>
      <c r="CT164" s="446">
        <f t="shared" si="455"/>
        <v>0.85997672182581852</v>
      </c>
      <c r="CU164" s="446">
        <f t="shared" ref="CU164:DA164" si="456">CU167/CU170</f>
        <v>0.72293991534275193</v>
      </c>
      <c r="CV164" s="446">
        <f t="shared" si="456"/>
        <v>0.65014880459718705</v>
      </c>
      <c r="CW164" s="446">
        <f>CW167/CW170</f>
        <v>0.60221577586320341</v>
      </c>
      <c r="CX164" s="446">
        <f t="shared" si="456"/>
        <v>0.55574729465233996</v>
      </c>
      <c r="CY164" s="446">
        <f t="shared" si="456"/>
        <v>0.49957824500090581</v>
      </c>
      <c r="CZ164" s="446">
        <f t="shared" si="456"/>
        <v>0.44207966301556556</v>
      </c>
      <c r="DA164" s="446">
        <f t="shared" si="456"/>
        <v>0.38022870395494229</v>
      </c>
      <c r="DB164" s="446">
        <f>DB167/DB170</f>
        <v>0.32063735312508956</v>
      </c>
      <c r="DC164" s="446">
        <f>DC167/DC170</f>
        <v>0.26248968942432793</v>
      </c>
      <c r="DD164" s="299"/>
      <c r="DE164" s="24"/>
      <c r="DF164" s="24"/>
      <c r="DG164" s="24"/>
      <c r="DH164" s="24"/>
      <c r="DI164" s="24"/>
      <c r="DJ164" s="24"/>
      <c r="DK164" s="24"/>
      <c r="DL164" s="24"/>
      <c r="DM164" s="24"/>
      <c r="DN164" s="24"/>
      <c r="DO164" s="24"/>
      <c r="DP164" s="24"/>
      <c r="DQ164" s="24"/>
      <c r="DR164" s="24"/>
    </row>
    <row r="165" spans="1:122" hidden="1" outlineLevel="1">
      <c r="A165" s="3"/>
      <c r="B165" s="298"/>
      <c r="C165" s="3"/>
      <c r="D165" s="3"/>
      <c r="E165" s="300"/>
      <c r="F165" s="298"/>
      <c r="G165" s="448"/>
      <c r="H165" s="448"/>
      <c r="I165" s="300"/>
      <c r="J165" s="298"/>
      <c r="K165" s="448"/>
      <c r="L165" s="448"/>
      <c r="M165" s="300"/>
      <c r="N165" s="298"/>
      <c r="O165" s="448"/>
      <c r="P165" s="448"/>
      <c r="Q165" s="300"/>
      <c r="R165" s="298"/>
      <c r="S165" s="448"/>
      <c r="T165" s="448"/>
      <c r="U165" s="300"/>
      <c r="V165" s="298"/>
      <c r="W165" s="448"/>
      <c r="X165" s="448"/>
      <c r="Y165" s="300"/>
      <c r="Z165" s="298"/>
      <c r="AA165" s="448"/>
      <c r="AB165" s="448"/>
      <c r="AC165" s="300"/>
      <c r="AD165" s="298"/>
      <c r="AE165" s="448"/>
      <c r="AF165" s="448"/>
      <c r="AG165" s="300"/>
      <c r="AH165" s="298"/>
      <c r="AI165" s="337"/>
      <c r="AJ165" s="337"/>
      <c r="AK165" s="300"/>
      <c r="AL165" s="343"/>
      <c r="AM165" s="337"/>
      <c r="AN165" s="337"/>
      <c r="AO165" s="300"/>
      <c r="AP165" s="343"/>
      <c r="AQ165" s="337"/>
      <c r="AR165" s="337"/>
      <c r="AS165" s="300"/>
      <c r="AT165" s="343"/>
      <c r="AU165" s="337"/>
      <c r="AV165" s="337"/>
      <c r="AW165" s="300"/>
      <c r="AX165" s="343"/>
      <c r="AY165" s="337"/>
      <c r="AZ165" s="337"/>
      <c r="BA165" s="300"/>
      <c r="BB165" s="343"/>
      <c r="BC165" s="337"/>
      <c r="BD165" s="337"/>
      <c r="BE165" s="300"/>
      <c r="BF165" s="343"/>
      <c r="BG165" s="337"/>
      <c r="BH165" s="337"/>
      <c r="BI165" s="300"/>
      <c r="BJ165" s="343"/>
      <c r="BK165" s="337"/>
      <c r="BL165" s="337"/>
      <c r="BM165" s="300"/>
      <c r="BN165" s="298"/>
      <c r="BO165" s="448"/>
      <c r="BP165" s="448"/>
      <c r="BQ165" s="300"/>
      <c r="BR165" s="298"/>
      <c r="BS165" s="448"/>
      <c r="BT165" s="448"/>
      <c r="BU165" s="300"/>
      <c r="BV165" s="298"/>
      <c r="BW165" s="448"/>
      <c r="BX165" s="448"/>
      <c r="BY165" s="300"/>
      <c r="BZ165" s="298"/>
      <c r="CA165" s="448"/>
      <c r="CB165" s="448"/>
      <c r="CC165" s="300"/>
      <c r="CD165" s="12"/>
      <c r="CE165" s="448"/>
      <c r="CF165" s="448"/>
      <c r="CG165" s="448"/>
      <c r="CH165" s="448"/>
      <c r="CI165" s="448"/>
      <c r="CJ165" s="448"/>
      <c r="CK165" s="448"/>
      <c r="CL165" s="448"/>
      <c r="CM165" s="448"/>
      <c r="CN165" s="448"/>
      <c r="CO165" s="448"/>
      <c r="CP165" s="448"/>
      <c r="CQ165" s="448"/>
      <c r="CR165" s="298"/>
      <c r="CS165" s="448"/>
      <c r="CT165" s="448"/>
      <c r="CU165" s="448"/>
      <c r="CV165" s="448"/>
      <c r="CW165" s="448"/>
      <c r="CX165" s="448"/>
      <c r="CY165" s="448"/>
      <c r="CZ165" s="448"/>
      <c r="DA165" s="448"/>
      <c r="DB165" s="448"/>
      <c r="DC165" s="448"/>
      <c r="DD165" s="300"/>
      <c r="DE165" s="24"/>
      <c r="DF165" s="24"/>
      <c r="DG165" s="24"/>
      <c r="DH165" s="24"/>
      <c r="DI165" s="24"/>
      <c r="DJ165" s="24"/>
      <c r="DK165" s="24"/>
      <c r="DL165" s="24"/>
      <c r="DM165" s="24"/>
      <c r="DN165" s="24"/>
      <c r="DO165" s="24"/>
      <c r="DP165" s="24"/>
      <c r="DQ165" s="24"/>
      <c r="DR165" s="24"/>
    </row>
    <row r="166" spans="1:122" hidden="1" outlineLevel="1">
      <c r="A166" s="3"/>
      <c r="B166" s="92" t="s">
        <v>315</v>
      </c>
      <c r="C166" s="3"/>
      <c r="D166" s="3"/>
      <c r="E166" s="25"/>
      <c r="F166" s="23"/>
      <c r="G166" s="24"/>
      <c r="H166" s="24"/>
      <c r="I166" s="25"/>
      <c r="J166" s="23"/>
      <c r="K166" s="24"/>
      <c r="L166" s="24"/>
      <c r="M166" s="25"/>
      <c r="N166" s="23"/>
      <c r="O166" s="24"/>
      <c r="P166" s="24"/>
      <c r="Q166" s="25"/>
      <c r="R166" s="23"/>
      <c r="S166" s="24"/>
      <c r="T166" s="24"/>
      <c r="U166" s="25"/>
      <c r="V166" s="23"/>
      <c r="W166" s="24"/>
      <c r="X166" s="24"/>
      <c r="Y166" s="25"/>
      <c r="Z166" s="23"/>
      <c r="AA166" s="24"/>
      <c r="AB166" s="24"/>
      <c r="AC166" s="25"/>
      <c r="AD166" s="23"/>
      <c r="AE166" s="24"/>
      <c r="AF166" s="24"/>
      <c r="AG166" s="25"/>
      <c r="AH166" s="23"/>
      <c r="AI166" s="96"/>
      <c r="AJ166" s="96"/>
      <c r="AK166" s="25"/>
      <c r="AL166" s="76"/>
      <c r="AM166" s="96"/>
      <c r="AN166" s="96"/>
      <c r="AO166" s="25"/>
      <c r="AP166" s="76"/>
      <c r="AQ166" s="96"/>
      <c r="AR166" s="96"/>
      <c r="AS166" s="25"/>
      <c r="AT166" s="76"/>
      <c r="AU166" s="96"/>
      <c r="AV166" s="96"/>
      <c r="AW166" s="25"/>
      <c r="AX166" s="76"/>
      <c r="AY166" s="96"/>
      <c r="AZ166" s="96"/>
      <c r="BA166" s="25"/>
      <c r="BB166" s="76"/>
      <c r="BC166" s="96"/>
      <c r="BD166" s="96"/>
      <c r="BE166" s="25"/>
      <c r="BF166" s="76"/>
      <c r="BG166" s="96"/>
      <c r="BH166" s="96"/>
      <c r="BI166" s="25"/>
      <c r="BJ166" s="76"/>
      <c r="BK166" s="96"/>
      <c r="BL166" s="96"/>
      <c r="BM166" s="25"/>
      <c r="BN166" s="23"/>
      <c r="BO166" s="24"/>
      <c r="BP166" s="24"/>
      <c r="BQ166" s="25"/>
      <c r="BR166" s="23"/>
      <c r="BS166" s="24"/>
      <c r="BT166" s="24"/>
      <c r="BU166" s="25"/>
      <c r="BV166" s="23"/>
      <c r="BW166" s="24"/>
      <c r="BX166" s="24"/>
      <c r="BY166" s="25"/>
      <c r="BZ166" s="23"/>
      <c r="CA166" s="24"/>
      <c r="CB166" s="24"/>
      <c r="CC166" s="25"/>
      <c r="CD166" s="12"/>
      <c r="CE166" s="24"/>
      <c r="CF166" s="24"/>
      <c r="CG166" s="24"/>
      <c r="CH166" s="24"/>
      <c r="CI166" s="24"/>
      <c r="CJ166" s="24"/>
      <c r="CK166" s="24"/>
      <c r="CL166" s="24"/>
      <c r="CM166" s="24"/>
      <c r="CN166" s="24"/>
      <c r="CO166" s="24"/>
      <c r="CP166" s="24"/>
      <c r="CQ166" s="24"/>
      <c r="CR166" s="23"/>
      <c r="CS166" s="24"/>
      <c r="CT166" s="24"/>
      <c r="CU166" s="24"/>
      <c r="CV166" s="24"/>
      <c r="CW166" s="24"/>
      <c r="CX166" s="24"/>
      <c r="CY166" s="24"/>
      <c r="CZ166" s="24"/>
      <c r="DA166" s="24"/>
      <c r="DB166" s="24"/>
      <c r="DC166" s="24"/>
      <c r="DD166" s="25"/>
      <c r="DE166" s="24"/>
      <c r="DF166" s="24"/>
      <c r="DG166" s="24"/>
      <c r="DH166" s="24"/>
      <c r="DI166" s="24"/>
      <c r="DJ166" s="24"/>
      <c r="DK166" s="24"/>
      <c r="DL166" s="24"/>
      <c r="DM166" s="24"/>
      <c r="DN166" s="24"/>
      <c r="DO166" s="24"/>
      <c r="DP166" s="24"/>
      <c r="DQ166" s="24"/>
      <c r="DR166" s="24"/>
    </row>
    <row r="167" spans="1:122" hidden="1" outlineLevel="1">
      <c r="A167" s="3"/>
      <c r="B167" s="293"/>
      <c r="C167" s="3" t="s">
        <v>630</v>
      </c>
      <c r="D167" s="3"/>
      <c r="E167" s="294"/>
      <c r="F167" s="327"/>
      <c r="G167" s="323"/>
      <c r="H167" s="323"/>
      <c r="I167" s="325"/>
      <c r="J167" s="327"/>
      <c r="K167" s="323"/>
      <c r="L167" s="323"/>
      <c r="M167" s="325">
        <f t="shared" ref="M167:AR167" si="457">M42+M47</f>
        <v>86.203999999999994</v>
      </c>
      <c r="N167" s="327">
        <f t="shared" si="457"/>
        <v>72.599000000000004</v>
      </c>
      <c r="O167" s="323">
        <f t="shared" si="457"/>
        <v>73.555999999999997</v>
      </c>
      <c r="P167" s="323">
        <f t="shared" si="457"/>
        <v>0</v>
      </c>
      <c r="Q167" s="325">
        <f t="shared" si="457"/>
        <v>0</v>
      </c>
      <c r="R167" s="327">
        <f t="shared" si="457"/>
        <v>50</v>
      </c>
      <c r="S167" s="323">
        <f t="shared" si="457"/>
        <v>50</v>
      </c>
      <c r="T167" s="323">
        <f t="shared" si="457"/>
        <v>50.099999999999994</v>
      </c>
      <c r="U167" s="325">
        <f t="shared" si="457"/>
        <v>67.900000000000006</v>
      </c>
      <c r="V167" s="327">
        <f t="shared" si="457"/>
        <v>67.5</v>
      </c>
      <c r="W167" s="323">
        <f t="shared" si="457"/>
        <v>62.6</v>
      </c>
      <c r="X167" s="323">
        <f t="shared" si="457"/>
        <v>57.6</v>
      </c>
      <c r="Y167" s="325">
        <f t="shared" si="457"/>
        <v>52.7</v>
      </c>
      <c r="Z167" s="327">
        <f t="shared" si="457"/>
        <v>56</v>
      </c>
      <c r="AA167" s="323">
        <f t="shared" si="457"/>
        <v>56.8</v>
      </c>
      <c r="AB167" s="323">
        <f t="shared" si="457"/>
        <v>50.2</v>
      </c>
      <c r="AC167" s="325">
        <f t="shared" si="457"/>
        <v>44.1</v>
      </c>
      <c r="AD167" s="327">
        <f t="shared" si="457"/>
        <v>59</v>
      </c>
      <c r="AE167" s="323">
        <f t="shared" si="457"/>
        <v>49</v>
      </c>
      <c r="AF167" s="323">
        <f t="shared" si="457"/>
        <v>27</v>
      </c>
      <c r="AG167" s="325">
        <f t="shared" si="457"/>
        <v>22</v>
      </c>
      <c r="AH167" s="327">
        <f t="shared" si="457"/>
        <v>19</v>
      </c>
      <c r="AI167" s="323">
        <f t="shared" si="457"/>
        <v>15</v>
      </c>
      <c r="AJ167" s="323">
        <f t="shared" si="457"/>
        <v>514</v>
      </c>
      <c r="AK167" s="325">
        <f t="shared" si="457"/>
        <v>509</v>
      </c>
      <c r="AL167" s="327">
        <f t="shared" si="457"/>
        <v>507</v>
      </c>
      <c r="AM167" s="323">
        <f t="shared" si="457"/>
        <v>504</v>
      </c>
      <c r="AN167" s="323">
        <f t="shared" si="457"/>
        <v>502</v>
      </c>
      <c r="AO167" s="325">
        <f t="shared" si="457"/>
        <v>482</v>
      </c>
      <c r="AP167" s="327">
        <f t="shared" si="457"/>
        <v>463</v>
      </c>
      <c r="AQ167" s="323">
        <f t="shared" si="457"/>
        <v>444</v>
      </c>
      <c r="AR167" s="323">
        <f t="shared" si="457"/>
        <v>425</v>
      </c>
      <c r="AS167" s="325">
        <f t="shared" ref="AS167:BY167" si="458">AS42+AS47</f>
        <v>400</v>
      </c>
      <c r="AT167" s="327">
        <f t="shared" si="458"/>
        <v>375</v>
      </c>
      <c r="AU167" s="323">
        <f t="shared" si="458"/>
        <v>350</v>
      </c>
      <c r="AV167" s="323">
        <f t="shared" si="458"/>
        <v>325</v>
      </c>
      <c r="AW167" s="325">
        <f t="shared" si="458"/>
        <v>294</v>
      </c>
      <c r="AX167" s="327">
        <f t="shared" si="458"/>
        <v>263</v>
      </c>
      <c r="AY167" s="323">
        <f t="shared" si="458"/>
        <v>231</v>
      </c>
      <c r="AZ167" s="323">
        <f t="shared" si="458"/>
        <v>2243</v>
      </c>
      <c r="BA167" s="325">
        <f t="shared" si="458"/>
        <v>2185</v>
      </c>
      <c r="BB167" s="327">
        <f t="shared" si="458"/>
        <v>2128</v>
      </c>
      <c r="BC167" s="323">
        <f t="shared" si="458"/>
        <v>2128</v>
      </c>
      <c r="BD167" s="323">
        <f t="shared" si="458"/>
        <v>2013</v>
      </c>
      <c r="BE167" s="325">
        <f t="shared" si="458"/>
        <v>1955</v>
      </c>
      <c r="BF167" s="327">
        <f t="shared" si="458"/>
        <v>1898</v>
      </c>
      <c r="BG167" s="323">
        <f t="shared" si="458"/>
        <v>1840</v>
      </c>
      <c r="BH167" s="323">
        <f t="shared" si="458"/>
        <v>2469</v>
      </c>
      <c r="BI167" s="325">
        <f t="shared" si="458"/>
        <v>2438</v>
      </c>
      <c r="BJ167" s="327">
        <f t="shared" si="458"/>
        <v>2406</v>
      </c>
      <c r="BK167" s="323">
        <f t="shared" si="458"/>
        <v>2375</v>
      </c>
      <c r="BL167" s="323">
        <f t="shared" si="458"/>
        <v>2344</v>
      </c>
      <c r="BM167" s="325">
        <f t="shared" si="458"/>
        <v>2312</v>
      </c>
      <c r="BN167" s="327">
        <f t="shared" si="458"/>
        <v>2281</v>
      </c>
      <c r="BO167" s="323">
        <f t="shared" si="458"/>
        <v>2250</v>
      </c>
      <c r="BP167" s="323">
        <f t="shared" si="458"/>
        <v>2203</v>
      </c>
      <c r="BQ167" s="325">
        <f t="shared" si="458"/>
        <v>16994</v>
      </c>
      <c r="BR167" s="327">
        <f t="shared" si="458"/>
        <v>13133</v>
      </c>
      <c r="BS167" s="323">
        <f>BS42+BS47</f>
        <v>13073</v>
      </c>
      <c r="BT167" s="323">
        <f t="shared" si="458"/>
        <v>13088</v>
      </c>
      <c r="BU167" s="325">
        <f t="shared" si="458"/>
        <v>13151</v>
      </c>
      <c r="BV167" s="327">
        <f t="shared" si="458"/>
        <v>13131</v>
      </c>
      <c r="BW167" s="323">
        <f t="shared" si="458"/>
        <v>12051</v>
      </c>
      <c r="BX167" s="323">
        <f t="shared" si="458"/>
        <v>11801</v>
      </c>
      <c r="BY167" s="325">
        <f t="shared" si="458"/>
        <v>11551</v>
      </c>
      <c r="BZ167" s="327">
        <f>BZ42+BZ47</f>
        <v>11301</v>
      </c>
      <c r="CA167" s="323">
        <f>CA42+CA47</f>
        <v>11051</v>
      </c>
      <c r="CB167" s="323">
        <f>CB42+CB47</f>
        <v>10801</v>
      </c>
      <c r="CC167" s="325">
        <f>CC42+CC47</f>
        <v>10551</v>
      </c>
      <c r="CD167" s="12"/>
      <c r="CE167" s="323"/>
      <c r="CF167" s="323">
        <f t="shared" ref="CF167:DA167" si="459">CF42+CF47</f>
        <v>86.203999999999994</v>
      </c>
      <c r="CG167" s="323">
        <f t="shared" si="459"/>
        <v>0</v>
      </c>
      <c r="CH167" s="323">
        <f t="shared" si="459"/>
        <v>67.900000000000006</v>
      </c>
      <c r="CI167" s="323">
        <f t="shared" si="459"/>
        <v>52.7</v>
      </c>
      <c r="CJ167" s="323">
        <f t="shared" si="459"/>
        <v>44.1</v>
      </c>
      <c r="CK167" s="323">
        <f t="shared" si="459"/>
        <v>22</v>
      </c>
      <c r="CL167" s="323">
        <f t="shared" si="459"/>
        <v>509</v>
      </c>
      <c r="CM167" s="323">
        <f t="shared" si="459"/>
        <v>482</v>
      </c>
      <c r="CN167" s="323">
        <f t="shared" si="459"/>
        <v>400</v>
      </c>
      <c r="CO167" s="323">
        <f t="shared" si="459"/>
        <v>294</v>
      </c>
      <c r="CP167" s="323">
        <f t="shared" si="459"/>
        <v>2185</v>
      </c>
      <c r="CQ167" s="323">
        <f t="shared" si="459"/>
        <v>1955</v>
      </c>
      <c r="CR167" s="327">
        <f t="shared" si="459"/>
        <v>2438</v>
      </c>
      <c r="CS167" s="323">
        <f t="shared" si="459"/>
        <v>2312</v>
      </c>
      <c r="CT167" s="323">
        <f t="shared" si="459"/>
        <v>16994</v>
      </c>
      <c r="CU167" s="323">
        <f t="shared" si="459"/>
        <v>13151</v>
      </c>
      <c r="CV167" s="323">
        <f t="shared" si="459"/>
        <v>11551</v>
      </c>
      <c r="CW167" s="323">
        <f>CW42+CW47</f>
        <v>10551</v>
      </c>
      <c r="CX167" s="323">
        <f t="shared" si="459"/>
        <v>9551</v>
      </c>
      <c r="CY167" s="323">
        <f t="shared" si="459"/>
        <v>8551</v>
      </c>
      <c r="CZ167" s="323">
        <f t="shared" si="459"/>
        <v>7551</v>
      </c>
      <c r="DA167" s="323">
        <f t="shared" si="459"/>
        <v>6551</v>
      </c>
      <c r="DB167" s="323">
        <f>DB42+DB47</f>
        <v>5551</v>
      </c>
      <c r="DC167" s="323">
        <f>DC42+DC47</f>
        <v>4551</v>
      </c>
      <c r="DD167" s="325"/>
      <c r="DE167" s="24"/>
      <c r="DF167" s="24"/>
      <c r="DG167" s="29"/>
      <c r="DH167" s="29"/>
      <c r="DI167" s="29"/>
      <c r="DJ167" s="29"/>
      <c r="DK167" s="24"/>
      <c r="DL167" s="24"/>
      <c r="DM167" s="24"/>
      <c r="DN167" s="24"/>
      <c r="DO167" s="24"/>
      <c r="DP167" s="24"/>
      <c r="DQ167" s="24"/>
      <c r="DR167" s="24"/>
    </row>
    <row r="168" spans="1:122" hidden="1" outlineLevel="1">
      <c r="A168" s="3"/>
      <c r="B168" s="293"/>
      <c r="C168" s="3" t="s">
        <v>20</v>
      </c>
      <c r="D168" s="3"/>
      <c r="E168" s="294"/>
      <c r="F168" s="327"/>
      <c r="G168" s="323"/>
      <c r="H168" s="323"/>
      <c r="I168" s="325"/>
      <c r="J168" s="327"/>
      <c r="K168" s="323"/>
      <c r="L168" s="323"/>
      <c r="M168" s="325">
        <f t="shared" ref="M168:AR168" si="460">M60</f>
        <v>102.86199999999994</v>
      </c>
      <c r="N168" s="327">
        <f t="shared" si="460"/>
        <v>127.85100000000006</v>
      </c>
      <c r="O168" s="323">
        <f t="shared" si="460"/>
        <v>209.97000000000008</v>
      </c>
      <c r="P168" s="323">
        <f t="shared" si="460"/>
        <v>276.084</v>
      </c>
      <c r="Q168" s="325">
        <f t="shared" si="460"/>
        <v>327.39999999999998</v>
      </c>
      <c r="R168" s="327">
        <f t="shared" si="460"/>
        <v>344.30000000000007</v>
      </c>
      <c r="S168" s="323">
        <f t="shared" si="460"/>
        <v>416.9</v>
      </c>
      <c r="T168" s="323">
        <f t="shared" si="460"/>
        <v>470.9</v>
      </c>
      <c r="U168" s="325">
        <f t="shared" si="460"/>
        <v>487.60000000000019</v>
      </c>
      <c r="V168" s="327">
        <f t="shared" si="460"/>
        <v>507.50000000000006</v>
      </c>
      <c r="W168" s="323">
        <f t="shared" si="460"/>
        <v>568.30000000000007</v>
      </c>
      <c r="X168" s="323">
        <f t="shared" si="460"/>
        <v>662.8</v>
      </c>
      <c r="Y168" s="325">
        <f t="shared" si="460"/>
        <v>702.1</v>
      </c>
      <c r="Z168" s="327">
        <f t="shared" si="460"/>
        <v>776.69999999999993</v>
      </c>
      <c r="AA168" s="323">
        <f t="shared" si="460"/>
        <v>894.00000000000011</v>
      </c>
      <c r="AB168" s="323">
        <f t="shared" si="460"/>
        <v>1028</v>
      </c>
      <c r="AC168" s="325">
        <f t="shared" si="460"/>
        <v>1157.2</v>
      </c>
      <c r="AD168" s="327">
        <f t="shared" si="460"/>
        <v>1272</v>
      </c>
      <c r="AE168" s="323">
        <f t="shared" si="460"/>
        <v>1425</v>
      </c>
      <c r="AF168" s="323">
        <f t="shared" si="460"/>
        <v>1536</v>
      </c>
      <c r="AG168" s="325">
        <f t="shared" si="460"/>
        <v>1716</v>
      </c>
      <c r="AH168" s="327">
        <f t="shared" si="460"/>
        <v>1787</v>
      </c>
      <c r="AI168" s="323">
        <f t="shared" si="460"/>
        <v>2127</v>
      </c>
      <c r="AJ168" s="323">
        <f t="shared" si="460"/>
        <v>2417</v>
      </c>
      <c r="AK168" s="325">
        <f t="shared" si="460"/>
        <v>2696</v>
      </c>
      <c r="AL168" s="327">
        <f t="shared" si="460"/>
        <v>2887</v>
      </c>
      <c r="AM168" s="323">
        <f t="shared" si="460"/>
        <v>2921</v>
      </c>
      <c r="AN168" s="323">
        <f t="shared" si="460"/>
        <v>2992</v>
      </c>
      <c r="AO168" s="325">
        <f t="shared" si="460"/>
        <v>3192</v>
      </c>
      <c r="AP168" s="327">
        <f t="shared" si="460"/>
        <v>3523</v>
      </c>
      <c r="AQ168" s="323">
        <f t="shared" si="460"/>
        <v>3991</v>
      </c>
      <c r="AR168" s="323">
        <f t="shared" si="460"/>
        <v>4431</v>
      </c>
      <c r="AS168" s="325">
        <f t="shared" ref="AS168:BY168" si="461">AS60</f>
        <v>4709</v>
      </c>
      <c r="AT168" s="327">
        <f t="shared" si="461"/>
        <v>4911</v>
      </c>
      <c r="AU168" s="323">
        <f t="shared" si="461"/>
        <v>5159</v>
      </c>
      <c r="AV168" s="323">
        <f t="shared" si="461"/>
        <v>5316</v>
      </c>
      <c r="AW168" s="325">
        <f t="shared" si="461"/>
        <v>5488</v>
      </c>
      <c r="AX168" s="327">
        <f t="shared" si="461"/>
        <v>5723</v>
      </c>
      <c r="AY168" s="323">
        <f t="shared" si="461"/>
        <v>5923</v>
      </c>
      <c r="AZ168" s="323">
        <f t="shared" si="461"/>
        <v>7416</v>
      </c>
      <c r="BA168" s="325">
        <f t="shared" si="461"/>
        <v>7669</v>
      </c>
      <c r="BB168" s="327">
        <f t="shared" si="461"/>
        <v>8037</v>
      </c>
      <c r="BC168" s="323">
        <f t="shared" si="461"/>
        <v>8247</v>
      </c>
      <c r="BD168" s="323">
        <f t="shared" si="461"/>
        <v>8423</v>
      </c>
      <c r="BE168" s="325">
        <f t="shared" si="461"/>
        <v>7893</v>
      </c>
      <c r="BF168" s="327">
        <f t="shared" si="461"/>
        <v>8253</v>
      </c>
      <c r="BG168" s="323">
        <f t="shared" si="461"/>
        <v>8579</v>
      </c>
      <c r="BH168" s="323">
        <f t="shared" si="461"/>
        <v>8768</v>
      </c>
      <c r="BI168" s="325">
        <f t="shared" si="461"/>
        <v>8842</v>
      </c>
      <c r="BJ168" s="327">
        <f t="shared" si="461"/>
        <v>8963</v>
      </c>
      <c r="BK168" s="323">
        <f t="shared" si="461"/>
        <v>9082</v>
      </c>
      <c r="BL168" s="323">
        <f t="shared" si="461"/>
        <v>9226</v>
      </c>
      <c r="BM168" s="325">
        <f t="shared" si="461"/>
        <v>9219</v>
      </c>
      <c r="BN168" s="327">
        <f t="shared" si="461"/>
        <v>9336</v>
      </c>
      <c r="BO168" s="323">
        <f t="shared" si="461"/>
        <v>9557</v>
      </c>
      <c r="BP168" s="323">
        <f t="shared" si="461"/>
        <v>9609</v>
      </c>
      <c r="BQ168" s="325">
        <f t="shared" si="461"/>
        <v>11145</v>
      </c>
      <c r="BR168" s="327">
        <f t="shared" si="461"/>
        <v>10775</v>
      </c>
      <c r="BS168" s="323">
        <f>BS60</f>
        <v>10732</v>
      </c>
      <c r="BT168" s="323">
        <f t="shared" si="461"/>
        <v>11031</v>
      </c>
      <c r="BU168" s="325">
        <f t="shared" si="461"/>
        <v>11418</v>
      </c>
      <c r="BV168" s="327">
        <f t="shared" si="461"/>
        <v>12059</v>
      </c>
      <c r="BW168" s="323">
        <f t="shared" si="461"/>
        <v>11272</v>
      </c>
      <c r="BX168" s="323">
        <f t="shared" si="461"/>
        <v>11783.55803675768</v>
      </c>
      <c r="BY168" s="325">
        <f t="shared" si="461"/>
        <v>12207.540065126523</v>
      </c>
      <c r="BZ168" s="327">
        <f>BZ60</f>
        <v>12789.083581556406</v>
      </c>
      <c r="CA168" s="323">
        <f>CA60</f>
        <v>13292.516389843202</v>
      </c>
      <c r="CB168" s="323">
        <f>CB60</f>
        <v>13625.461795129948</v>
      </c>
      <c r="CC168" s="325">
        <f>CC60</f>
        <v>13900.829650857127</v>
      </c>
      <c r="CD168" s="12"/>
      <c r="CE168" s="323"/>
      <c r="CF168" s="323">
        <f t="shared" ref="CF168:DA168" si="462">CF60</f>
        <v>102.86199999999994</v>
      </c>
      <c r="CG168" s="323">
        <f t="shared" si="462"/>
        <v>327.39999999999998</v>
      </c>
      <c r="CH168" s="323">
        <f t="shared" si="462"/>
        <v>487.60000000000019</v>
      </c>
      <c r="CI168" s="323">
        <f t="shared" si="462"/>
        <v>702.1</v>
      </c>
      <c r="CJ168" s="323">
        <f t="shared" si="462"/>
        <v>1157.2</v>
      </c>
      <c r="CK168" s="323">
        <f t="shared" si="462"/>
        <v>1716</v>
      </c>
      <c r="CL168" s="323">
        <f t="shared" si="462"/>
        <v>2696</v>
      </c>
      <c r="CM168" s="323">
        <f t="shared" si="462"/>
        <v>3192</v>
      </c>
      <c r="CN168" s="323">
        <f t="shared" si="462"/>
        <v>4709</v>
      </c>
      <c r="CO168" s="323">
        <f t="shared" si="462"/>
        <v>5488</v>
      </c>
      <c r="CP168" s="323">
        <f t="shared" si="462"/>
        <v>7669</v>
      </c>
      <c r="CQ168" s="323">
        <f t="shared" si="462"/>
        <v>7893</v>
      </c>
      <c r="CR168" s="327">
        <f t="shared" si="462"/>
        <v>8842</v>
      </c>
      <c r="CS168" s="323">
        <f t="shared" si="462"/>
        <v>9219</v>
      </c>
      <c r="CT168" s="323">
        <f t="shared" si="462"/>
        <v>11145</v>
      </c>
      <c r="CU168" s="323">
        <f t="shared" si="462"/>
        <v>11418</v>
      </c>
      <c r="CV168" s="323">
        <f t="shared" si="462"/>
        <v>12207.540065126523</v>
      </c>
      <c r="CW168" s="323">
        <f>CW60</f>
        <v>13900.829650857127</v>
      </c>
      <c r="CX168" s="323">
        <f t="shared" si="462"/>
        <v>15930.823888843355</v>
      </c>
      <c r="CY168" s="323">
        <f t="shared" si="462"/>
        <v>18106.91148793199</v>
      </c>
      <c r="CZ168" s="323">
        <f t="shared" si="462"/>
        <v>20510.423681249369</v>
      </c>
      <c r="DA168" s="323">
        <f t="shared" si="462"/>
        <v>22938.794694998938</v>
      </c>
      <c r="DB168" s="323">
        <f>DB60</f>
        <v>25583.852078883039</v>
      </c>
      <c r="DC168" s="323">
        <f>DC60</f>
        <v>28473.859664722469</v>
      </c>
      <c r="DD168" s="325"/>
      <c r="DE168" s="24"/>
      <c r="DF168" s="24"/>
      <c r="DG168" s="29"/>
      <c r="DH168" s="29"/>
      <c r="DI168" s="29"/>
      <c r="DJ168" s="29"/>
      <c r="DK168" s="24"/>
      <c r="DL168" s="24"/>
      <c r="DM168" s="24"/>
      <c r="DN168" s="24"/>
      <c r="DO168" s="24"/>
      <c r="DP168" s="24"/>
      <c r="DQ168" s="24"/>
      <c r="DR168" s="24"/>
    </row>
    <row r="169" spans="1:122" hidden="1" outlineLevel="1">
      <c r="A169" s="24"/>
      <c r="B169" s="293"/>
      <c r="C169" s="24" t="s">
        <v>264</v>
      </c>
      <c r="D169" s="24"/>
      <c r="E169" s="294"/>
      <c r="F169" s="615"/>
      <c r="G169" s="614"/>
      <c r="H169" s="614"/>
      <c r="I169" s="616"/>
      <c r="J169" s="615"/>
      <c r="K169" s="614"/>
      <c r="L169" s="614"/>
      <c r="M169" s="616">
        <f t="shared" ref="M169:AR169" si="463">M13+M14</f>
        <v>223.72800000000001</v>
      </c>
      <c r="N169" s="615">
        <f t="shared" si="463"/>
        <v>244.44800000000001</v>
      </c>
      <c r="O169" s="614">
        <f t="shared" si="463"/>
        <v>326.94400000000002</v>
      </c>
      <c r="P169" s="614">
        <f t="shared" si="463"/>
        <v>347.06</v>
      </c>
      <c r="Q169" s="616">
        <f t="shared" si="463"/>
        <v>393.2</v>
      </c>
      <c r="R169" s="615">
        <f t="shared" si="463"/>
        <v>285.8</v>
      </c>
      <c r="S169" s="614">
        <f t="shared" si="463"/>
        <v>318.39999999999998</v>
      </c>
      <c r="T169" s="614">
        <f t="shared" si="463"/>
        <v>359.9</v>
      </c>
      <c r="U169" s="616">
        <f t="shared" si="463"/>
        <v>377.8</v>
      </c>
      <c r="V169" s="615">
        <f t="shared" si="463"/>
        <v>405.2</v>
      </c>
      <c r="W169" s="614">
        <f t="shared" si="463"/>
        <v>492.5</v>
      </c>
      <c r="X169" s="614">
        <f t="shared" si="463"/>
        <v>574.30000000000007</v>
      </c>
      <c r="Y169" s="616">
        <f t="shared" si="463"/>
        <v>598.4</v>
      </c>
      <c r="Z169" s="615">
        <f t="shared" si="463"/>
        <v>581.29999999999995</v>
      </c>
      <c r="AA169" s="614">
        <f t="shared" si="463"/>
        <v>644.70000000000005</v>
      </c>
      <c r="AB169" s="614">
        <f t="shared" si="463"/>
        <v>674.09999999999991</v>
      </c>
      <c r="AC169" s="616">
        <f t="shared" si="463"/>
        <v>698.80000000000007</v>
      </c>
      <c r="AD169" s="615">
        <f t="shared" si="463"/>
        <v>751</v>
      </c>
      <c r="AE169" s="614">
        <f t="shared" si="463"/>
        <v>830</v>
      </c>
      <c r="AF169" s="614">
        <f t="shared" si="463"/>
        <v>875</v>
      </c>
      <c r="AG169" s="616">
        <f t="shared" si="463"/>
        <v>907</v>
      </c>
      <c r="AH169" s="615">
        <f t="shared" si="463"/>
        <v>851</v>
      </c>
      <c r="AI169" s="614">
        <f t="shared" si="463"/>
        <v>967</v>
      </c>
      <c r="AJ169" s="614">
        <f t="shared" si="463"/>
        <v>949</v>
      </c>
      <c r="AK169" s="616">
        <f t="shared" si="463"/>
        <v>1107</v>
      </c>
      <c r="AL169" s="615">
        <f t="shared" si="463"/>
        <v>1215</v>
      </c>
      <c r="AM169" s="614">
        <f t="shared" si="463"/>
        <v>1376</v>
      </c>
      <c r="AN169" s="614">
        <f t="shared" si="463"/>
        <v>1579</v>
      </c>
      <c r="AO169" s="616">
        <f t="shared" si="463"/>
        <v>1794</v>
      </c>
      <c r="AP169" s="615">
        <f t="shared" si="463"/>
        <v>2056</v>
      </c>
      <c r="AQ169" s="614">
        <f t="shared" si="463"/>
        <v>2435</v>
      </c>
      <c r="AR169" s="614">
        <f t="shared" si="463"/>
        <v>2826</v>
      </c>
      <c r="AS169" s="616">
        <f t="shared" ref="AS169:BY169" si="464">AS13+AS14</f>
        <v>2734</v>
      </c>
      <c r="AT169" s="615">
        <f t="shared" si="464"/>
        <v>2858</v>
      </c>
      <c r="AU169" s="614">
        <f t="shared" si="464"/>
        <v>3110</v>
      </c>
      <c r="AV169" s="614">
        <f t="shared" si="464"/>
        <v>3230</v>
      </c>
      <c r="AW169" s="616">
        <f t="shared" si="464"/>
        <v>3490</v>
      </c>
      <c r="AX169" s="615">
        <f t="shared" si="464"/>
        <v>3675</v>
      </c>
      <c r="AY169" s="614">
        <f t="shared" si="464"/>
        <v>3924</v>
      </c>
      <c r="AZ169" s="614">
        <f t="shared" si="464"/>
        <v>3377</v>
      </c>
      <c r="BA169" s="616">
        <f t="shared" si="464"/>
        <v>3208</v>
      </c>
      <c r="BB169" s="615">
        <f t="shared" si="464"/>
        <v>3537</v>
      </c>
      <c r="BC169" s="614">
        <f t="shared" si="464"/>
        <v>3816</v>
      </c>
      <c r="BD169" s="614">
        <f t="shared" si="464"/>
        <v>4060</v>
      </c>
      <c r="BE169" s="616">
        <f t="shared" si="464"/>
        <v>4309</v>
      </c>
      <c r="BF169" s="615">
        <f t="shared" si="464"/>
        <v>4869</v>
      </c>
      <c r="BG169" s="614">
        <f t="shared" si="464"/>
        <v>4655</v>
      </c>
      <c r="BH169" s="614">
        <f t="shared" si="464"/>
        <v>4865</v>
      </c>
      <c r="BI169" s="616">
        <f t="shared" si="464"/>
        <v>5088</v>
      </c>
      <c r="BJ169" s="615">
        <f t="shared" si="464"/>
        <v>5381</v>
      </c>
      <c r="BK169" s="614">
        <f t="shared" si="464"/>
        <v>5143</v>
      </c>
      <c r="BL169" s="614">
        <f t="shared" si="464"/>
        <v>5040</v>
      </c>
      <c r="BM169" s="616">
        <f t="shared" si="464"/>
        <v>5286</v>
      </c>
      <c r="BN169" s="615">
        <f t="shared" si="464"/>
        <v>5428</v>
      </c>
      <c r="BO169" s="614">
        <f t="shared" si="464"/>
        <v>5860</v>
      </c>
      <c r="BP169" s="614">
        <f t="shared" si="464"/>
        <v>6033</v>
      </c>
      <c r="BQ169" s="616">
        <f t="shared" si="464"/>
        <v>8378</v>
      </c>
      <c r="BR169" s="615">
        <f t="shared" si="464"/>
        <v>4325</v>
      </c>
      <c r="BS169" s="614">
        <f>BS13+BS14</f>
        <v>5101</v>
      </c>
      <c r="BT169" s="614">
        <f t="shared" si="464"/>
        <v>5677</v>
      </c>
      <c r="BU169" s="616">
        <f t="shared" si="464"/>
        <v>6378</v>
      </c>
      <c r="BV169" s="615">
        <f t="shared" si="464"/>
        <v>6921</v>
      </c>
      <c r="BW169" s="614">
        <f t="shared" si="464"/>
        <v>6295</v>
      </c>
      <c r="BX169" s="614">
        <f t="shared" si="464"/>
        <v>5635.4284407821306</v>
      </c>
      <c r="BY169" s="616">
        <f t="shared" si="464"/>
        <v>5991.8381680790353</v>
      </c>
      <c r="BZ169" s="615">
        <f>BZ13+BZ14</f>
        <v>6428.8154558403903</v>
      </c>
      <c r="CA169" s="614">
        <f>CA13+CA14</f>
        <v>7019.7837248374235</v>
      </c>
      <c r="CB169" s="614">
        <f>CB13+CB14</f>
        <v>7014.3983666476806</v>
      </c>
      <c r="CC169" s="616">
        <f>CC13+CC14</f>
        <v>6931.5314074635244</v>
      </c>
      <c r="CD169" s="58"/>
      <c r="CE169" s="614"/>
      <c r="CF169" s="614">
        <f t="shared" ref="CF169:DA169" si="465">CF13+CF14</f>
        <v>223.72800000000001</v>
      </c>
      <c r="CG169" s="614">
        <f t="shared" si="465"/>
        <v>393.2</v>
      </c>
      <c r="CH169" s="614">
        <f t="shared" si="465"/>
        <v>377.8</v>
      </c>
      <c r="CI169" s="614">
        <f t="shared" si="465"/>
        <v>598.4</v>
      </c>
      <c r="CJ169" s="614">
        <f t="shared" si="465"/>
        <v>698.80000000000007</v>
      </c>
      <c r="CK169" s="614">
        <f t="shared" si="465"/>
        <v>907</v>
      </c>
      <c r="CL169" s="614">
        <f t="shared" si="465"/>
        <v>1107</v>
      </c>
      <c r="CM169" s="614">
        <f t="shared" si="465"/>
        <v>1794</v>
      </c>
      <c r="CN169" s="614">
        <f t="shared" si="465"/>
        <v>2734</v>
      </c>
      <c r="CO169" s="614">
        <f t="shared" si="465"/>
        <v>3490</v>
      </c>
      <c r="CP169" s="614">
        <f t="shared" si="465"/>
        <v>3208</v>
      </c>
      <c r="CQ169" s="614">
        <f t="shared" si="465"/>
        <v>4309</v>
      </c>
      <c r="CR169" s="615">
        <f t="shared" si="465"/>
        <v>5088</v>
      </c>
      <c r="CS169" s="614">
        <f t="shared" si="465"/>
        <v>5286</v>
      </c>
      <c r="CT169" s="614">
        <f t="shared" si="465"/>
        <v>8378</v>
      </c>
      <c r="CU169" s="614">
        <f t="shared" si="465"/>
        <v>6378</v>
      </c>
      <c r="CV169" s="614">
        <f t="shared" si="465"/>
        <v>5991.8381680790353</v>
      </c>
      <c r="CW169" s="614">
        <f>CW13+CW14</f>
        <v>6931.5314074635244</v>
      </c>
      <c r="CX169" s="614">
        <f t="shared" si="465"/>
        <v>8295.9552541164139</v>
      </c>
      <c r="CY169" s="614">
        <f t="shared" si="465"/>
        <v>9541.4736014413647</v>
      </c>
      <c r="CZ169" s="614">
        <f t="shared" si="465"/>
        <v>10980.791768683577</v>
      </c>
      <c r="DA169" s="614">
        <f t="shared" si="465"/>
        <v>12260.690390510912</v>
      </c>
      <c r="DB169" s="614">
        <f>DB13+DB14</f>
        <v>13822.458666521006</v>
      </c>
      <c r="DC169" s="614">
        <f>DC13+DC14</f>
        <v>15687.035805884811</v>
      </c>
      <c r="DD169" s="616"/>
      <c r="DE169" s="24"/>
      <c r="DF169" s="24"/>
      <c r="DG169" s="29"/>
      <c r="DH169" s="29"/>
      <c r="DI169" s="29"/>
      <c r="DJ169" s="29"/>
      <c r="DK169" s="24"/>
      <c r="DL169" s="24"/>
      <c r="DM169" s="24"/>
      <c r="DN169" s="24"/>
      <c r="DO169" s="24"/>
      <c r="DP169" s="24"/>
      <c r="DQ169" s="24"/>
      <c r="DR169" s="24"/>
    </row>
    <row r="170" spans="1:122" hidden="1" outlineLevel="1">
      <c r="A170" s="3"/>
      <c r="B170" s="293"/>
      <c r="C170" s="3" t="s">
        <v>21</v>
      </c>
      <c r="D170" s="3"/>
      <c r="E170" s="294"/>
      <c r="F170" s="327"/>
      <c r="G170" s="323"/>
      <c r="H170" s="323"/>
      <c r="I170" s="325"/>
      <c r="J170" s="327"/>
      <c r="K170" s="323"/>
      <c r="L170" s="323"/>
      <c r="M170" s="325">
        <f t="shared" ref="M170:AS170" si="466">M167+M168-M169</f>
        <v>-34.662000000000091</v>
      </c>
      <c r="N170" s="327">
        <f t="shared" si="466"/>
        <v>-43.997999999999962</v>
      </c>
      <c r="O170" s="323">
        <f t="shared" si="466"/>
        <v>-43.41799999999995</v>
      </c>
      <c r="P170" s="323">
        <f t="shared" si="466"/>
        <v>-70.975999999999999</v>
      </c>
      <c r="Q170" s="325">
        <f t="shared" si="466"/>
        <v>-65.800000000000011</v>
      </c>
      <c r="R170" s="327">
        <f t="shared" si="466"/>
        <v>108.50000000000006</v>
      </c>
      <c r="S170" s="323">
        <f t="shared" si="466"/>
        <v>148.5</v>
      </c>
      <c r="T170" s="323">
        <f t="shared" si="466"/>
        <v>161.10000000000002</v>
      </c>
      <c r="U170" s="325">
        <f t="shared" si="466"/>
        <v>177.70000000000022</v>
      </c>
      <c r="V170" s="327">
        <f t="shared" si="466"/>
        <v>169.8</v>
      </c>
      <c r="W170" s="323">
        <f t="shared" si="466"/>
        <v>138.40000000000009</v>
      </c>
      <c r="X170" s="323">
        <f t="shared" si="466"/>
        <v>146.09999999999991</v>
      </c>
      <c r="Y170" s="325">
        <f t="shared" si="466"/>
        <v>156.40000000000009</v>
      </c>
      <c r="Z170" s="327">
        <f t="shared" si="466"/>
        <v>251.39999999999998</v>
      </c>
      <c r="AA170" s="323">
        <f t="shared" si="466"/>
        <v>306.10000000000002</v>
      </c>
      <c r="AB170" s="323">
        <f t="shared" si="466"/>
        <v>404.10000000000014</v>
      </c>
      <c r="AC170" s="325">
        <f t="shared" si="466"/>
        <v>502.49999999999989</v>
      </c>
      <c r="AD170" s="327">
        <f t="shared" si="466"/>
        <v>580</v>
      </c>
      <c r="AE170" s="323">
        <f t="shared" si="466"/>
        <v>644</v>
      </c>
      <c r="AF170" s="323">
        <f t="shared" si="466"/>
        <v>688</v>
      </c>
      <c r="AG170" s="325">
        <f t="shared" si="466"/>
        <v>831</v>
      </c>
      <c r="AH170" s="327">
        <f t="shared" si="466"/>
        <v>955</v>
      </c>
      <c r="AI170" s="323">
        <f t="shared" si="466"/>
        <v>1175</v>
      </c>
      <c r="AJ170" s="323">
        <f t="shared" si="466"/>
        <v>1982</v>
      </c>
      <c r="AK170" s="325">
        <f t="shared" si="466"/>
        <v>2098</v>
      </c>
      <c r="AL170" s="327">
        <f t="shared" si="466"/>
        <v>2179</v>
      </c>
      <c r="AM170" s="323">
        <f t="shared" si="466"/>
        <v>2049</v>
      </c>
      <c r="AN170" s="323">
        <f t="shared" si="466"/>
        <v>1915</v>
      </c>
      <c r="AO170" s="325">
        <f t="shared" si="466"/>
        <v>1880</v>
      </c>
      <c r="AP170" s="327">
        <f t="shared" si="466"/>
        <v>1930</v>
      </c>
      <c r="AQ170" s="323">
        <f t="shared" si="466"/>
        <v>2000</v>
      </c>
      <c r="AR170" s="323">
        <f t="shared" si="466"/>
        <v>2030</v>
      </c>
      <c r="AS170" s="325">
        <f t="shared" si="466"/>
        <v>2375</v>
      </c>
      <c r="AT170" s="327">
        <f t="shared" ref="AT170:BA170" si="467">AT167+AT168-AT169</f>
        <v>2428</v>
      </c>
      <c r="AU170" s="323">
        <f t="shared" si="467"/>
        <v>2399</v>
      </c>
      <c r="AV170" s="323">
        <f t="shared" si="467"/>
        <v>2411</v>
      </c>
      <c r="AW170" s="325">
        <f t="shared" si="467"/>
        <v>2292</v>
      </c>
      <c r="AX170" s="327">
        <f t="shared" si="467"/>
        <v>2311</v>
      </c>
      <c r="AY170" s="323">
        <f t="shared" si="467"/>
        <v>2230</v>
      </c>
      <c r="AZ170" s="323">
        <f t="shared" si="467"/>
        <v>6282</v>
      </c>
      <c r="BA170" s="325">
        <f t="shared" si="467"/>
        <v>6646</v>
      </c>
      <c r="BB170" s="327">
        <f t="shared" ref="BB170:BH170" si="468">BB167+BB168-BB169</f>
        <v>6628</v>
      </c>
      <c r="BC170" s="323">
        <f t="shared" si="468"/>
        <v>6559</v>
      </c>
      <c r="BD170" s="323">
        <f t="shared" si="468"/>
        <v>6376</v>
      </c>
      <c r="BE170" s="325">
        <f t="shared" si="468"/>
        <v>5539</v>
      </c>
      <c r="BF170" s="327">
        <f t="shared" si="468"/>
        <v>5282</v>
      </c>
      <c r="BG170" s="323">
        <f t="shared" si="468"/>
        <v>5764</v>
      </c>
      <c r="BH170" s="323">
        <f t="shared" si="468"/>
        <v>6372</v>
      </c>
      <c r="BI170" s="325">
        <f>BI167+BI168-BI169</f>
        <v>6192</v>
      </c>
      <c r="BJ170" s="327">
        <f t="shared" ref="BJ170:BQ170" si="469">BJ167+BJ168-BJ169</f>
        <v>5988</v>
      </c>
      <c r="BK170" s="323">
        <f t="shared" si="469"/>
        <v>6314</v>
      </c>
      <c r="BL170" s="323">
        <f t="shared" si="469"/>
        <v>6530</v>
      </c>
      <c r="BM170" s="325">
        <f t="shared" si="469"/>
        <v>6245</v>
      </c>
      <c r="BN170" s="327">
        <f t="shared" si="469"/>
        <v>6189</v>
      </c>
      <c r="BO170" s="323">
        <f t="shared" si="469"/>
        <v>5947</v>
      </c>
      <c r="BP170" s="323">
        <f t="shared" si="469"/>
        <v>5779</v>
      </c>
      <c r="BQ170" s="325">
        <f t="shared" si="469"/>
        <v>19761</v>
      </c>
      <c r="BR170" s="327">
        <f t="shared" ref="BR170:BY170" si="470">BR167+BR168-BR169</f>
        <v>19583</v>
      </c>
      <c r="BS170" s="323">
        <f>BS167+BS168-BS169</f>
        <v>18704</v>
      </c>
      <c r="BT170" s="323">
        <f t="shared" si="470"/>
        <v>18442</v>
      </c>
      <c r="BU170" s="325">
        <f t="shared" si="470"/>
        <v>18191</v>
      </c>
      <c r="BV170" s="327">
        <f t="shared" si="470"/>
        <v>18269</v>
      </c>
      <c r="BW170" s="323">
        <f t="shared" si="470"/>
        <v>17028</v>
      </c>
      <c r="BX170" s="323">
        <f t="shared" si="470"/>
        <v>17949.129595975552</v>
      </c>
      <c r="BY170" s="325">
        <f t="shared" si="470"/>
        <v>17766.701897047489</v>
      </c>
      <c r="BZ170" s="327">
        <f>BZ167+BZ168-BZ169</f>
        <v>17661.268125716015</v>
      </c>
      <c r="CA170" s="323">
        <f>CA167+CA168-CA169</f>
        <v>17323.732665005777</v>
      </c>
      <c r="CB170" s="323">
        <f>CB167+CB168-CB169</f>
        <v>17412.063428482266</v>
      </c>
      <c r="CC170" s="325">
        <f>CC167+CC168-CC169</f>
        <v>17520.298243393605</v>
      </c>
      <c r="CD170" s="12"/>
      <c r="CE170" s="323"/>
      <c r="CF170" s="323">
        <f t="shared" ref="CF170:CT170" si="471">CF167+CF168-CF169</f>
        <v>-34.662000000000091</v>
      </c>
      <c r="CG170" s="323">
        <f t="shared" si="471"/>
        <v>-65.800000000000011</v>
      </c>
      <c r="CH170" s="323">
        <f t="shared" si="471"/>
        <v>177.70000000000022</v>
      </c>
      <c r="CI170" s="323">
        <f t="shared" si="471"/>
        <v>156.40000000000009</v>
      </c>
      <c r="CJ170" s="323">
        <f t="shared" si="471"/>
        <v>502.49999999999989</v>
      </c>
      <c r="CK170" s="323">
        <f t="shared" si="471"/>
        <v>831</v>
      </c>
      <c r="CL170" s="323">
        <f t="shared" si="471"/>
        <v>2098</v>
      </c>
      <c r="CM170" s="323">
        <f t="shared" si="471"/>
        <v>1880</v>
      </c>
      <c r="CN170" s="323">
        <f t="shared" si="471"/>
        <v>2375</v>
      </c>
      <c r="CO170" s="323">
        <f t="shared" si="471"/>
        <v>2292</v>
      </c>
      <c r="CP170" s="323">
        <f t="shared" si="471"/>
        <v>6646</v>
      </c>
      <c r="CQ170" s="323">
        <f>CQ167+CQ168-CQ169</f>
        <v>5539</v>
      </c>
      <c r="CR170" s="327">
        <f>CR167+CR168-CR169</f>
        <v>6192</v>
      </c>
      <c r="CS170" s="323">
        <f t="shared" si="471"/>
        <v>6245</v>
      </c>
      <c r="CT170" s="323">
        <f t="shared" si="471"/>
        <v>19761</v>
      </c>
      <c r="CU170" s="323">
        <f t="shared" ref="CU170:DA170" si="472">CU167+CU168-CU169</f>
        <v>18191</v>
      </c>
      <c r="CV170" s="323">
        <f t="shared" si="472"/>
        <v>17766.701897047489</v>
      </c>
      <c r="CW170" s="323">
        <f>CW167+CW168-CW169</f>
        <v>17520.298243393605</v>
      </c>
      <c r="CX170" s="323">
        <f t="shared" si="472"/>
        <v>17185.868634726939</v>
      </c>
      <c r="CY170" s="323">
        <f t="shared" si="472"/>
        <v>17116.437886490625</v>
      </c>
      <c r="CZ170" s="323">
        <f t="shared" si="472"/>
        <v>17080.63191256579</v>
      </c>
      <c r="DA170" s="323">
        <f t="shared" si="472"/>
        <v>17229.104304488028</v>
      </c>
      <c r="DB170" s="323">
        <f>DB167+DB168-DB169</f>
        <v>17312.393412362035</v>
      </c>
      <c r="DC170" s="323">
        <f>DC167+DC168-DC169</f>
        <v>17337.823858837659</v>
      </c>
      <c r="DD170" s="325"/>
      <c r="DE170" s="24"/>
      <c r="DF170" s="24"/>
      <c r="DG170" s="29"/>
      <c r="DH170" s="29"/>
      <c r="DI170" s="29"/>
      <c r="DJ170" s="29"/>
      <c r="DK170" s="24"/>
      <c r="DL170" s="24"/>
      <c r="DM170" s="24"/>
      <c r="DN170" s="24"/>
      <c r="DO170" s="24"/>
      <c r="DP170" s="24"/>
      <c r="DQ170" s="24"/>
      <c r="DR170" s="24"/>
    </row>
    <row r="171" spans="1:122" hidden="1" outlineLevel="1">
      <c r="A171" s="3"/>
      <c r="B171" s="293"/>
      <c r="C171" s="3" t="s">
        <v>316</v>
      </c>
      <c r="D171" s="3"/>
      <c r="E171" s="294"/>
      <c r="F171" s="327"/>
      <c r="G171" s="323"/>
      <c r="H171" s="323"/>
      <c r="I171" s="325"/>
      <c r="J171" s="327"/>
      <c r="K171" s="323"/>
      <c r="L171" s="323"/>
      <c r="M171" s="325">
        <f>M167-M169</f>
        <v>-137.524</v>
      </c>
      <c r="N171" s="327">
        <f>N167-N169</f>
        <v>-171.84899999999999</v>
      </c>
      <c r="O171" s="323">
        <f>O167-O169</f>
        <v>-253.38800000000003</v>
      </c>
      <c r="P171" s="323">
        <f>P167-P169</f>
        <v>-347.06</v>
      </c>
      <c r="Q171" s="325">
        <f>Q167-Q169</f>
        <v>-393.2</v>
      </c>
      <c r="R171" s="327">
        <f t="shared" ref="R171:AS171" si="473">R167-R169</f>
        <v>-235.8</v>
      </c>
      <c r="S171" s="323">
        <f t="shared" si="473"/>
        <v>-268.39999999999998</v>
      </c>
      <c r="T171" s="323">
        <f t="shared" si="473"/>
        <v>-309.79999999999995</v>
      </c>
      <c r="U171" s="325">
        <f t="shared" si="473"/>
        <v>-309.89999999999998</v>
      </c>
      <c r="V171" s="327">
        <f t="shared" si="473"/>
        <v>-337.7</v>
      </c>
      <c r="W171" s="323">
        <f t="shared" si="473"/>
        <v>-429.9</v>
      </c>
      <c r="X171" s="323">
        <f t="shared" si="473"/>
        <v>-516.70000000000005</v>
      </c>
      <c r="Y171" s="325">
        <f t="shared" si="473"/>
        <v>-545.69999999999993</v>
      </c>
      <c r="Z171" s="327">
        <f t="shared" si="473"/>
        <v>-525.29999999999995</v>
      </c>
      <c r="AA171" s="323">
        <f t="shared" si="473"/>
        <v>-587.90000000000009</v>
      </c>
      <c r="AB171" s="323">
        <f t="shared" si="473"/>
        <v>-623.89999999999986</v>
      </c>
      <c r="AC171" s="325">
        <f t="shared" si="473"/>
        <v>-654.70000000000005</v>
      </c>
      <c r="AD171" s="327">
        <f t="shared" si="473"/>
        <v>-692</v>
      </c>
      <c r="AE171" s="323">
        <f t="shared" si="473"/>
        <v>-781</v>
      </c>
      <c r="AF171" s="323">
        <f t="shared" si="473"/>
        <v>-848</v>
      </c>
      <c r="AG171" s="325">
        <f t="shared" si="473"/>
        <v>-885</v>
      </c>
      <c r="AH171" s="327">
        <f t="shared" si="473"/>
        <v>-832</v>
      </c>
      <c r="AI171" s="323">
        <f t="shared" si="473"/>
        <v>-952</v>
      </c>
      <c r="AJ171" s="323">
        <f t="shared" si="473"/>
        <v>-435</v>
      </c>
      <c r="AK171" s="325">
        <f t="shared" si="473"/>
        <v>-598</v>
      </c>
      <c r="AL171" s="327">
        <f t="shared" si="473"/>
        <v>-708</v>
      </c>
      <c r="AM171" s="323">
        <f t="shared" si="473"/>
        <v>-872</v>
      </c>
      <c r="AN171" s="323">
        <f t="shared" si="473"/>
        <v>-1077</v>
      </c>
      <c r="AO171" s="325">
        <f t="shared" si="473"/>
        <v>-1312</v>
      </c>
      <c r="AP171" s="327">
        <f t="shared" si="473"/>
        <v>-1593</v>
      </c>
      <c r="AQ171" s="323">
        <f t="shared" si="473"/>
        <v>-1991</v>
      </c>
      <c r="AR171" s="323">
        <f t="shared" si="473"/>
        <v>-2401</v>
      </c>
      <c r="AS171" s="325">
        <f t="shared" si="473"/>
        <v>-2334</v>
      </c>
      <c r="AT171" s="327">
        <f t="shared" ref="AT171:BA171" si="474">AT167-AT169</f>
        <v>-2483</v>
      </c>
      <c r="AU171" s="323">
        <f>AU167-AU169</f>
        <v>-2760</v>
      </c>
      <c r="AV171" s="323">
        <f t="shared" si="474"/>
        <v>-2905</v>
      </c>
      <c r="AW171" s="325">
        <f t="shared" si="474"/>
        <v>-3196</v>
      </c>
      <c r="AX171" s="327">
        <f t="shared" si="474"/>
        <v>-3412</v>
      </c>
      <c r="AY171" s="323">
        <f t="shared" si="474"/>
        <v>-3693</v>
      </c>
      <c r="AZ171" s="323">
        <f t="shared" si="474"/>
        <v>-1134</v>
      </c>
      <c r="BA171" s="325">
        <f t="shared" si="474"/>
        <v>-1023</v>
      </c>
      <c r="BB171" s="327">
        <f t="shared" ref="BB171:BH171" si="475">BB167-BB169</f>
        <v>-1409</v>
      </c>
      <c r="BC171" s="323">
        <f t="shared" si="475"/>
        <v>-1688</v>
      </c>
      <c r="BD171" s="323">
        <f t="shared" si="475"/>
        <v>-2047</v>
      </c>
      <c r="BE171" s="325">
        <f t="shared" si="475"/>
        <v>-2354</v>
      </c>
      <c r="BF171" s="327">
        <f t="shared" si="475"/>
        <v>-2971</v>
      </c>
      <c r="BG171" s="323">
        <f t="shared" si="475"/>
        <v>-2815</v>
      </c>
      <c r="BH171" s="323">
        <f t="shared" si="475"/>
        <v>-2396</v>
      </c>
      <c r="BI171" s="325">
        <f>BI167-BI169</f>
        <v>-2650</v>
      </c>
      <c r="BJ171" s="327">
        <f t="shared" ref="BJ171:BQ171" si="476">BJ167-BJ169</f>
        <v>-2975</v>
      </c>
      <c r="BK171" s="323">
        <f t="shared" si="476"/>
        <v>-2768</v>
      </c>
      <c r="BL171" s="323">
        <f t="shared" si="476"/>
        <v>-2696</v>
      </c>
      <c r="BM171" s="325">
        <f t="shared" si="476"/>
        <v>-2974</v>
      </c>
      <c r="BN171" s="327">
        <f t="shared" si="476"/>
        <v>-3147</v>
      </c>
      <c r="BO171" s="323">
        <f t="shared" si="476"/>
        <v>-3610</v>
      </c>
      <c r="BP171" s="323">
        <f t="shared" si="476"/>
        <v>-3830</v>
      </c>
      <c r="BQ171" s="325">
        <f t="shared" si="476"/>
        <v>8616</v>
      </c>
      <c r="BR171" s="327">
        <f t="shared" ref="BR171:BY171" si="477">BR167-BR169</f>
        <v>8808</v>
      </c>
      <c r="BS171" s="323">
        <f>BS167-BS169</f>
        <v>7972</v>
      </c>
      <c r="BT171" s="323">
        <f t="shared" si="477"/>
        <v>7411</v>
      </c>
      <c r="BU171" s="325">
        <f t="shared" si="477"/>
        <v>6773</v>
      </c>
      <c r="BV171" s="327">
        <f t="shared" si="477"/>
        <v>6210</v>
      </c>
      <c r="BW171" s="323">
        <f t="shared" si="477"/>
        <v>5756</v>
      </c>
      <c r="BX171" s="323">
        <f t="shared" si="477"/>
        <v>6165.5715592178694</v>
      </c>
      <c r="BY171" s="325">
        <f t="shared" si="477"/>
        <v>5559.1618319209647</v>
      </c>
      <c r="BZ171" s="327">
        <f>BZ167-BZ169</f>
        <v>4872.1845441596097</v>
      </c>
      <c r="CA171" s="323">
        <f>CA167-CA169</f>
        <v>4031.2162751625765</v>
      </c>
      <c r="CB171" s="323">
        <f>CB167-CB169</f>
        <v>3786.6016333523194</v>
      </c>
      <c r="CC171" s="325">
        <f>CC167-CC169</f>
        <v>3619.4685925364756</v>
      </c>
      <c r="CD171" s="12"/>
      <c r="CE171" s="323"/>
      <c r="CF171" s="323">
        <f t="shared" ref="CF171:CM171" si="478">CF167-CF169</f>
        <v>-137.524</v>
      </c>
      <c r="CG171" s="323">
        <f t="shared" si="478"/>
        <v>-393.2</v>
      </c>
      <c r="CH171" s="323">
        <f t="shared" si="478"/>
        <v>-309.89999999999998</v>
      </c>
      <c r="CI171" s="323">
        <f t="shared" si="478"/>
        <v>-545.69999999999993</v>
      </c>
      <c r="CJ171" s="323">
        <f t="shared" si="478"/>
        <v>-654.70000000000005</v>
      </c>
      <c r="CK171" s="323">
        <f t="shared" si="478"/>
        <v>-885</v>
      </c>
      <c r="CL171" s="323">
        <f t="shared" si="478"/>
        <v>-598</v>
      </c>
      <c r="CM171" s="323">
        <f t="shared" si="478"/>
        <v>-1312</v>
      </c>
      <c r="CN171" s="323">
        <f t="shared" ref="CN171:CT171" si="479">CN167-CN169</f>
        <v>-2334</v>
      </c>
      <c r="CO171" s="323">
        <f t="shared" si="479"/>
        <v>-3196</v>
      </c>
      <c r="CP171" s="323">
        <f t="shared" si="479"/>
        <v>-1023</v>
      </c>
      <c r="CQ171" s="323">
        <f>CQ167-CQ169</f>
        <v>-2354</v>
      </c>
      <c r="CR171" s="327">
        <f>CR167-CR169</f>
        <v>-2650</v>
      </c>
      <c r="CS171" s="323">
        <f t="shared" si="479"/>
        <v>-2974</v>
      </c>
      <c r="CT171" s="323">
        <f t="shared" si="479"/>
        <v>8616</v>
      </c>
      <c r="CU171" s="323">
        <f t="shared" ref="CU171:DA171" si="480">CU167-CU169</f>
        <v>6773</v>
      </c>
      <c r="CV171" s="323">
        <f t="shared" si="480"/>
        <v>5559.1618319209647</v>
      </c>
      <c r="CW171" s="323">
        <f>CW167-CW169</f>
        <v>3619.4685925364756</v>
      </c>
      <c r="CX171" s="323">
        <f t="shared" si="480"/>
        <v>1255.0447458835861</v>
      </c>
      <c r="CY171" s="323">
        <f t="shared" si="480"/>
        <v>-990.47360144136474</v>
      </c>
      <c r="CZ171" s="323">
        <f t="shared" si="480"/>
        <v>-3429.7917686835772</v>
      </c>
      <c r="DA171" s="323">
        <f t="shared" si="480"/>
        <v>-5709.690390510912</v>
      </c>
      <c r="DB171" s="323">
        <f>DB167-DB169</f>
        <v>-8271.4586665210063</v>
      </c>
      <c r="DC171" s="323">
        <f>DC167-DC169</f>
        <v>-11136.035805884811</v>
      </c>
      <c r="DD171" s="325"/>
      <c r="DE171" s="24"/>
      <c r="DF171" s="24"/>
      <c r="DG171" s="29"/>
      <c r="DH171" s="29"/>
      <c r="DI171" s="29"/>
      <c r="DJ171" s="29"/>
      <c r="DK171" s="24"/>
      <c r="DL171" s="24"/>
      <c r="DM171" s="24"/>
      <c r="DN171" s="24"/>
      <c r="DO171" s="24"/>
      <c r="DP171" s="24"/>
      <c r="DQ171" s="24"/>
      <c r="DR171" s="24"/>
    </row>
    <row r="172" spans="1:122" hidden="1" outlineLevel="1">
      <c r="A172" s="3"/>
      <c r="B172" s="293"/>
      <c r="C172" s="3"/>
      <c r="D172" s="3"/>
      <c r="E172" s="294"/>
      <c r="F172" s="293"/>
      <c r="G172" s="447"/>
      <c r="H172" s="447"/>
      <c r="I172" s="294"/>
      <c r="J172" s="293"/>
      <c r="K172" s="447"/>
      <c r="L172" s="447"/>
      <c r="M172" s="294"/>
      <c r="N172" s="293"/>
      <c r="O172" s="447"/>
      <c r="P172" s="447"/>
      <c r="Q172" s="294"/>
      <c r="R172" s="293"/>
      <c r="S172" s="447"/>
      <c r="T172" s="447"/>
      <c r="U172" s="294"/>
      <c r="V172" s="293"/>
      <c r="W172" s="447"/>
      <c r="X172" s="447"/>
      <c r="Y172" s="294"/>
      <c r="Z172" s="293"/>
      <c r="AA172" s="447"/>
      <c r="AB172" s="447"/>
      <c r="AC172" s="294"/>
      <c r="AD172" s="293"/>
      <c r="AE172" s="447"/>
      <c r="AF172" s="447"/>
      <c r="AG172" s="294"/>
      <c r="AH172" s="293"/>
      <c r="AI172" s="35"/>
      <c r="AJ172" s="35"/>
      <c r="AK172" s="294"/>
      <c r="AL172" s="34"/>
      <c r="AM172" s="35"/>
      <c r="AN172" s="35"/>
      <c r="AO172" s="294"/>
      <c r="AP172" s="34"/>
      <c r="AQ172" s="35"/>
      <c r="AR172" s="35"/>
      <c r="AS172" s="294"/>
      <c r="AT172" s="34"/>
      <c r="AU172" s="35"/>
      <c r="AV172" s="35"/>
      <c r="AW172" s="294"/>
      <c r="AX172" s="34"/>
      <c r="AY172" s="35"/>
      <c r="AZ172" s="35"/>
      <c r="BA172" s="294"/>
      <c r="BB172" s="34"/>
      <c r="BC172" s="35"/>
      <c r="BD172" s="35"/>
      <c r="BE172" s="294"/>
      <c r="BF172" s="34"/>
      <c r="BG172" s="35"/>
      <c r="BH172" s="35"/>
      <c r="BI172" s="294"/>
      <c r="BJ172" s="34"/>
      <c r="BK172" s="35"/>
      <c r="BL172" s="35"/>
      <c r="BM172" s="294"/>
      <c r="BN172" s="293"/>
      <c r="BO172" s="447"/>
      <c r="BP172" s="447"/>
      <c r="BQ172" s="294"/>
      <c r="BR172" s="293"/>
      <c r="BS172" s="447"/>
      <c r="BT172" s="447"/>
      <c r="BU172" s="294"/>
      <c r="BV172" s="293"/>
      <c r="BW172" s="447"/>
      <c r="BX172" s="447"/>
      <c r="BY172" s="294"/>
      <c r="BZ172" s="293"/>
      <c r="CA172" s="447"/>
      <c r="CB172" s="447"/>
      <c r="CC172" s="294"/>
      <c r="CD172" s="12"/>
      <c r="CE172" s="447"/>
      <c r="CF172" s="447"/>
      <c r="CG172" s="447"/>
      <c r="CH172" s="447"/>
      <c r="CI172" s="447"/>
      <c r="CJ172" s="447"/>
      <c r="CK172" s="447"/>
      <c r="CL172" s="447"/>
      <c r="CM172" s="447"/>
      <c r="CN172" s="447"/>
      <c r="CO172" s="447"/>
      <c r="CP172" s="447"/>
      <c r="CQ172" s="447"/>
      <c r="CR172" s="293"/>
      <c r="CS172" s="447"/>
      <c r="CT172" s="447"/>
      <c r="CU172" s="447"/>
      <c r="CV172" s="447"/>
      <c r="CW172" s="447"/>
      <c r="CX172" s="447"/>
      <c r="CY172" s="447"/>
      <c r="CZ172" s="447"/>
      <c r="DA172" s="447"/>
      <c r="DB172" s="447"/>
      <c r="DC172" s="447"/>
      <c r="DD172" s="294"/>
      <c r="DE172" s="24"/>
      <c r="DF172" s="24"/>
      <c r="DG172" s="29"/>
      <c r="DH172" s="29"/>
      <c r="DI172" s="29"/>
      <c r="DJ172" s="29"/>
      <c r="DK172" s="24"/>
      <c r="DL172" s="24"/>
      <c r="DM172" s="24"/>
      <c r="DN172" s="24"/>
      <c r="DO172" s="24"/>
      <c r="DP172" s="24"/>
      <c r="DQ172" s="24"/>
      <c r="DR172" s="24"/>
    </row>
    <row r="173" spans="1:122" hidden="1" outlineLevel="1">
      <c r="A173" s="3"/>
      <c r="B173" s="92" t="s">
        <v>902</v>
      </c>
      <c r="C173" s="3"/>
      <c r="D173" s="3"/>
      <c r="E173" s="25"/>
      <c r="F173" s="23"/>
      <c r="G173" s="24"/>
      <c r="H173" s="24"/>
      <c r="I173" s="25"/>
      <c r="J173" s="23"/>
      <c r="K173" s="24"/>
      <c r="L173" s="24"/>
      <c r="M173" s="25"/>
      <c r="N173" s="23"/>
      <c r="O173" s="24"/>
      <c r="P173" s="24"/>
      <c r="Q173" s="25"/>
      <c r="R173" s="23"/>
      <c r="S173" s="24"/>
      <c r="T173" s="24"/>
      <c r="U173" s="25"/>
      <c r="V173" s="23"/>
      <c r="W173" s="24"/>
      <c r="X173" s="24"/>
      <c r="Y173" s="25"/>
      <c r="Z173" s="23"/>
      <c r="AA173" s="24"/>
      <c r="AB173" s="24"/>
      <c r="AC173" s="25"/>
      <c r="AD173" s="23"/>
      <c r="AE173" s="24"/>
      <c r="AF173" s="24"/>
      <c r="AG173" s="25"/>
      <c r="AH173" s="23"/>
      <c r="AI173" s="96"/>
      <c r="AJ173" s="96"/>
      <c r="AK173" s="25"/>
      <c r="AL173" s="76"/>
      <c r="AM173" s="1156"/>
      <c r="AN173" s="96"/>
      <c r="AO173" s="25"/>
      <c r="AP173" s="76"/>
      <c r="AQ173" s="96"/>
      <c r="AR173" s="96"/>
      <c r="AS173" s="25"/>
      <c r="AT173" s="76"/>
      <c r="AU173" s="96"/>
      <c r="AV173" s="96"/>
      <c r="AW173" s="25"/>
      <c r="AX173" s="76"/>
      <c r="AY173" s="96"/>
      <c r="AZ173" s="96"/>
      <c r="BA173" s="25"/>
      <c r="BB173" s="76"/>
      <c r="BC173" s="96"/>
      <c r="BD173" s="96"/>
      <c r="BE173" s="25"/>
      <c r="BF173" s="76"/>
      <c r="BG173" s="96"/>
      <c r="BH173" s="96"/>
      <c r="BI173" s="25"/>
      <c r="BJ173" s="76"/>
      <c r="BK173" s="96"/>
      <c r="BL173" s="96"/>
      <c r="BM173" s="25"/>
      <c r="BN173" s="23"/>
      <c r="BO173" s="24"/>
      <c r="BP173" s="24"/>
      <c r="BQ173" s="25"/>
      <c r="BR173" s="23"/>
      <c r="BS173" s="24"/>
      <c r="BT173" s="24"/>
      <c r="BU173" s="25"/>
      <c r="BV173" s="23"/>
      <c r="BW173" s="24"/>
      <c r="BX173" s="24"/>
      <c r="BY173" s="25"/>
      <c r="BZ173" s="23"/>
      <c r="CA173" s="24"/>
      <c r="CB173" s="24"/>
      <c r="CC173" s="25"/>
      <c r="CD173" s="12"/>
      <c r="CE173" s="24"/>
      <c r="CF173" s="24"/>
      <c r="CG173" s="24"/>
      <c r="CH173" s="24"/>
      <c r="CI173" s="24"/>
      <c r="CJ173" s="24"/>
      <c r="CK173" s="24"/>
      <c r="CL173" s="24"/>
      <c r="CM173" s="24"/>
      <c r="CN173" s="24"/>
      <c r="CO173" s="24"/>
      <c r="CP173" s="24"/>
      <c r="CQ173" s="24"/>
      <c r="CR173" s="23"/>
      <c r="CS173" s="24"/>
      <c r="CT173" s="24"/>
      <c r="CU173" s="24"/>
      <c r="CV173" s="24"/>
      <c r="CW173" s="24"/>
      <c r="CX173" s="24"/>
      <c r="CY173" s="24"/>
      <c r="CZ173" s="24"/>
      <c r="DA173" s="24"/>
      <c r="DB173" s="24"/>
      <c r="DC173" s="24"/>
      <c r="DD173" s="25"/>
      <c r="DE173" s="24"/>
      <c r="DF173" s="24"/>
      <c r="DG173" s="24"/>
      <c r="DH173" s="24"/>
      <c r="DI173" s="24"/>
      <c r="DJ173" s="24"/>
      <c r="DK173" s="24"/>
      <c r="DL173" s="24"/>
      <c r="DM173" s="24"/>
      <c r="DN173" s="24"/>
      <c r="DO173" s="24"/>
      <c r="DP173" s="24"/>
      <c r="DQ173" s="24"/>
      <c r="DR173" s="24"/>
    </row>
    <row r="174" spans="1:122" hidden="1" outlineLevel="1">
      <c r="A174" s="175"/>
      <c r="B174" s="440"/>
      <c r="C174" s="175" t="s">
        <v>263</v>
      </c>
      <c r="D174" s="175"/>
      <c r="E174" s="712"/>
      <c r="F174" s="592"/>
      <c r="G174" s="582"/>
      <c r="H174" s="582"/>
      <c r="I174" s="583"/>
      <c r="J174" s="592"/>
      <c r="K174" s="582"/>
      <c r="L174" s="582"/>
      <c r="M174" s="583">
        <f>M168/IS!M124</f>
        <v>0.52025653216261847</v>
      </c>
      <c r="N174" s="592">
        <f>N168/IS!N124</f>
        <v>0.64957347464473181</v>
      </c>
      <c r="O174" s="582">
        <f>O168/IS!O124</f>
        <v>1.028644493761115</v>
      </c>
      <c r="P174" s="582">
        <f>P168/IS!P124</f>
        <v>1.3290905239644915</v>
      </c>
      <c r="Q174" s="583">
        <f>Q168/IS!Q124</f>
        <v>1.5347114798668726</v>
      </c>
      <c r="R174" s="592">
        <f>R168/IS!R124</f>
        <v>1.5947197776748498</v>
      </c>
      <c r="S174" s="582">
        <f>S168/IS!S124</f>
        <v>1.9132629646626891</v>
      </c>
      <c r="T174" s="582">
        <f>T168/IS!T124</f>
        <v>2.1650574712643675</v>
      </c>
      <c r="U174" s="583">
        <f>U168/IS!U124</f>
        <v>2.2626450116009291</v>
      </c>
      <c r="V174" s="592">
        <f>V168/IS!V124</f>
        <v>2.3871119473189091</v>
      </c>
      <c r="W174" s="582">
        <f>W168/IS!W124</f>
        <v>2.6605805243445695</v>
      </c>
      <c r="X174" s="582">
        <f>X168/IS!X124</f>
        <v>3.0306355738454505</v>
      </c>
      <c r="Y174" s="583">
        <f>Y168/IS!Y124</f>
        <v>3.1540880503144657</v>
      </c>
      <c r="Z174" s="592">
        <f>Z168/IS!Z124</f>
        <v>3.5128900949796469</v>
      </c>
      <c r="AA174" s="582">
        <f>AA168/IS!AA124</f>
        <v>4.0361173814898423</v>
      </c>
      <c r="AB174" s="582">
        <f>AB168/IS!AB124</f>
        <v>4.5326278659611994</v>
      </c>
      <c r="AC174" s="583">
        <f>AC168/IS!AC124</f>
        <v>5.1408262994224794</v>
      </c>
      <c r="AD174" s="592">
        <f>AD168/IS!AD124</f>
        <v>5.6533333333333333</v>
      </c>
      <c r="AE174" s="582">
        <f>AE168/IS!AE124</f>
        <v>6.3053097345132745</v>
      </c>
      <c r="AF174" s="582">
        <f>AF168/IS!AF124</f>
        <v>6.7964601769911503</v>
      </c>
      <c r="AG174" s="583">
        <f>AG168/IS!AG124</f>
        <v>7.6266666666666669</v>
      </c>
      <c r="AH174" s="592">
        <f>AH168/IS!AH124</f>
        <v>7.9776785714285712</v>
      </c>
      <c r="AI174" s="582">
        <f>AI168/IS!AI124</f>
        <v>9.4115044247787605</v>
      </c>
      <c r="AJ174" s="582">
        <f>AJ168/IS!AJ124</f>
        <v>10.647577092511014</v>
      </c>
      <c r="AK174" s="583">
        <f>AK168/IS!AK124</f>
        <v>11.876651982378855</v>
      </c>
      <c r="AL174" s="582">
        <f>AL168/IS!AL124</f>
        <v>12.774336283185841</v>
      </c>
      <c r="AM174" s="582">
        <f>AM168/IS!AM124</f>
        <v>13.040178571428571</v>
      </c>
      <c r="AN174" s="582">
        <f>AN168/IS!AN124</f>
        <v>13.238938053097344</v>
      </c>
      <c r="AO174" s="583">
        <f>AO168/IS!AO124</f>
        <v>14.061674008810572</v>
      </c>
      <c r="AP174" s="582">
        <f>AP168/IS!AP124</f>
        <v>15.317391304347826</v>
      </c>
      <c r="AQ174" s="582">
        <f>AQ168/IS!AQ124</f>
        <v>17.202586206896552</v>
      </c>
      <c r="AR174" s="582">
        <f>AR168/IS!AR124</f>
        <v>18.935897435897434</v>
      </c>
      <c r="AS174" s="583">
        <f>AS168/IS!AS124</f>
        <v>20.038297872340426</v>
      </c>
      <c r="AT174" s="582">
        <f>AT168/IS!AT124</f>
        <v>20.987179487179485</v>
      </c>
      <c r="AU174" s="582">
        <f>AU168/IS!AU124</f>
        <v>21.953191489361704</v>
      </c>
      <c r="AV174" s="582">
        <f>AV168/IS!AV124</f>
        <v>22.525423728813561</v>
      </c>
      <c r="AW174" s="583">
        <f>AW168/IS!AW124</f>
        <v>23.156118143459917</v>
      </c>
      <c r="AX174" s="582">
        <f>AX168/IS!AX124</f>
        <v>24.147679324894515</v>
      </c>
      <c r="AY174" s="582">
        <f>AY168/IS!AY124</f>
        <v>24.991561181434598</v>
      </c>
      <c r="AZ174" s="582">
        <f>AZ168/IS!AZ124</f>
        <v>30.146341463414632</v>
      </c>
      <c r="BA174" s="583">
        <f>BA168/IS!BA124</f>
        <v>29.496153846153845</v>
      </c>
      <c r="BB174" s="582">
        <f>BB168/IS!BB124</f>
        <v>31.892857142857142</v>
      </c>
      <c r="BC174" s="582">
        <f>BC168/IS!BC124</f>
        <v>33.524390243902438</v>
      </c>
      <c r="BD174" s="582">
        <f>BD168/IS!BD124</f>
        <v>34.379591836734697</v>
      </c>
      <c r="BE174" s="583">
        <f>BE168/IS!BE124</f>
        <v>32.481481481481481</v>
      </c>
      <c r="BF174" s="582">
        <f>BF168/IS!BF124</f>
        <v>34.103305785123965</v>
      </c>
      <c r="BG174" s="582">
        <f>BG168/IS!BG124</f>
        <v>35.304526748971192</v>
      </c>
      <c r="BH174" s="582">
        <f>BH168/IS!BH124</f>
        <v>36.231404958677686</v>
      </c>
      <c r="BI174" s="583">
        <f>BI168/IS!BI124</f>
        <v>36.688796680497923</v>
      </c>
      <c r="BJ174" s="582">
        <f>BJ168/IS!BJ124</f>
        <v>37.345833333333331</v>
      </c>
      <c r="BK174" s="582">
        <f>BK168/IS!BK124</f>
        <v>38.159663865546221</v>
      </c>
      <c r="BL174" s="582">
        <f>BL168/IS!BL124</f>
        <v>39.093220338983052</v>
      </c>
      <c r="BM174" s="583">
        <f>BM168/IS!BM124</f>
        <v>39.229787234042554</v>
      </c>
      <c r="BN174" s="592">
        <f>BN168/IS!BN124</f>
        <v>39.897435897435898</v>
      </c>
      <c r="BO174" s="582">
        <f>BO168/IS!BO124</f>
        <v>40.841880341880341</v>
      </c>
      <c r="BP174" s="582">
        <f>BP168/IS!BP124</f>
        <v>41.064102564102562</v>
      </c>
      <c r="BQ174" s="583">
        <f>BQ168/IS!BQ124</f>
        <v>42.376425855513311</v>
      </c>
      <c r="BR174" s="592">
        <f>BR168/IS!BR124</f>
        <v>37.155172413793103</v>
      </c>
      <c r="BS174" s="582">
        <f>BS168/IS!BS124</f>
        <v>36.503401360544217</v>
      </c>
      <c r="BT174" s="582">
        <f>BT168/IS!BT124</f>
        <v>36.892976588628763</v>
      </c>
      <c r="BU174" s="583">
        <f>BU168/IS!BU124</f>
        <v>37.933554817275748</v>
      </c>
      <c r="BV174" s="592">
        <f>BV168/IS!BV124</f>
        <v>39.408496732026144</v>
      </c>
      <c r="BW174" s="582">
        <f>BW168/IS!BW124</f>
        <v>36.83660130718954</v>
      </c>
      <c r="BX174" s="582">
        <f>BX168/IS!BX124</f>
        <v>38.224075746101413</v>
      </c>
      <c r="BY174" s="583">
        <f>BY168/IS!BY124</f>
        <v>39.697023063653056</v>
      </c>
      <c r="BZ174" s="592">
        <f>BZ168/IS!BZ124</f>
        <v>41.379978048387656</v>
      </c>
      <c r="CA174" s="582">
        <f>CA168/IS!CA124</f>
        <v>42.826357772812621</v>
      </c>
      <c r="CB174" s="582">
        <f>CB168/IS!CB124</f>
        <v>43.639416813850524</v>
      </c>
      <c r="CC174" s="583">
        <f>CC168/IS!CC124</f>
        <v>44.182852547475115</v>
      </c>
      <c r="CD174" s="617"/>
      <c r="CE174" s="582"/>
      <c r="CF174" s="582">
        <f>CF168/IS!CF124</f>
        <v>0.53101575567348758</v>
      </c>
      <c r="CG174" s="582">
        <f>CG168/IS!CG124</f>
        <v>1.5931873479318734</v>
      </c>
      <c r="CH174" s="582">
        <f>CH168/IS!CH124</f>
        <v>2.2501153668666367</v>
      </c>
      <c r="CI174" s="582">
        <f>CI168/IS!CI124</f>
        <v>3.2354838709677423</v>
      </c>
      <c r="CJ174" s="582">
        <f>CJ168/IS!CJ124</f>
        <v>5.1660714285714286</v>
      </c>
      <c r="CK174" s="582">
        <f>CK168/IS!CK124</f>
        <v>7.5929203539823007</v>
      </c>
      <c r="CL174" s="582">
        <f>CL168/IS!CL124</f>
        <v>11.929203539823009</v>
      </c>
      <c r="CM174" s="582">
        <f>CM168/IS!CM124</f>
        <v>14.123893805309734</v>
      </c>
      <c r="CN174" s="582">
        <f>CN168/IS!CN124</f>
        <v>20.210300429184549</v>
      </c>
      <c r="CO174" s="582">
        <f>CO168/IS!CO124</f>
        <v>23.353191489361702</v>
      </c>
      <c r="CP174" s="582">
        <f>CP168/IS!CP124</f>
        <v>31.302040816326532</v>
      </c>
      <c r="CQ174" s="582">
        <f>CQ168/IS!CQ124</f>
        <v>32.085365853658537</v>
      </c>
      <c r="CR174" s="592">
        <f>CR168/IS!CR124</f>
        <v>36.537190082644628</v>
      </c>
      <c r="CS174" s="582">
        <f>CS168/IS!CS124</f>
        <v>38.898734177215189</v>
      </c>
      <c r="CT174" s="582">
        <f>CT168/IS!CT124</f>
        <v>46.702145491116319</v>
      </c>
      <c r="CU174" s="582">
        <f>CU168/IS!CU124</f>
        <v>38.574324324324323</v>
      </c>
      <c r="CV174" s="582">
        <f>CV168/IS!CV124</f>
        <v>39.804545207456393</v>
      </c>
      <c r="CW174" s="582">
        <f>CW168/IS!CW124</f>
        <v>44.409124379747951</v>
      </c>
      <c r="CX174" s="582">
        <f>CX168/IS!CX124</f>
        <v>49.63877209527088</v>
      </c>
      <c r="CY174" s="582">
        <f>CY168/IS!CY124</f>
        <v>54.941380301223248</v>
      </c>
      <c r="CZ174" s="582">
        <f>CZ168/IS!CZ124</f>
        <v>60.55391178876117</v>
      </c>
      <c r="DA174" s="582">
        <f>DA168/IS!DA124</f>
        <v>66.084846406063363</v>
      </c>
      <c r="DB174" s="582">
        <f>DB168/IS!DB124</f>
        <v>71.904468482815901</v>
      </c>
      <c r="DC174" s="582">
        <f>DC168/IS!DC124</f>
        <v>78.106038010745394</v>
      </c>
      <c r="DD174" s="583"/>
      <c r="DE174" s="441"/>
      <c r="DF174" s="441"/>
      <c r="DG174" s="441"/>
      <c r="DH174" s="441"/>
      <c r="DI174" s="441"/>
      <c r="DJ174" s="441"/>
      <c r="DK174" s="441"/>
      <c r="DL174" s="441"/>
      <c r="DM174" s="441"/>
      <c r="DN174" s="441"/>
      <c r="DO174" s="441"/>
      <c r="DP174" s="441"/>
      <c r="DQ174" s="441"/>
      <c r="DR174" s="441"/>
    </row>
    <row r="175" spans="1:122" hidden="1" outlineLevel="1">
      <c r="A175" s="175"/>
      <c r="B175" s="440"/>
      <c r="C175" s="175" t="s">
        <v>721</v>
      </c>
      <c r="D175" s="175"/>
      <c r="E175" s="712"/>
      <c r="F175" s="592"/>
      <c r="G175" s="582"/>
      <c r="H175" s="582"/>
      <c r="I175" s="583"/>
      <c r="J175" s="592"/>
      <c r="K175" s="582"/>
      <c r="L175" s="582"/>
      <c r="M175" s="583">
        <f>M199/IS!M124</f>
        <v>0.52025653216261847</v>
      </c>
      <c r="N175" s="592">
        <f>N199/IS!N124</f>
        <v>0.64957347464473181</v>
      </c>
      <c r="O175" s="582">
        <f>O199/IS!O124</f>
        <v>1.028644493761115</v>
      </c>
      <c r="P175" s="582">
        <f>P199/IS!P124</f>
        <v>1.3290905239644915</v>
      </c>
      <c r="Q175" s="583">
        <f>Q199/IS!Q124</f>
        <v>1.5347114798668726</v>
      </c>
      <c r="R175" s="592">
        <f>R199/IS!R124</f>
        <v>1.5947197776748498</v>
      </c>
      <c r="S175" s="582">
        <f>S199/IS!S124</f>
        <v>1.7622762735199633</v>
      </c>
      <c r="T175" s="582">
        <f>T199/IS!T124</f>
        <v>2.0206896551724136</v>
      </c>
      <c r="U175" s="583">
        <f>U199/IS!U124</f>
        <v>2.2626450116009291</v>
      </c>
      <c r="V175" s="592">
        <f>V199/IS!V124</f>
        <v>2.3871119473189091</v>
      </c>
      <c r="W175" s="582">
        <f>W199/IS!W124</f>
        <v>2.6605805243445695</v>
      </c>
      <c r="X175" s="582">
        <f>X199/IS!X124</f>
        <v>3.0306355738454505</v>
      </c>
      <c r="Y175" s="583">
        <f>Y199/IS!Y124</f>
        <v>3.1540880503144657</v>
      </c>
      <c r="Z175" s="592">
        <f>Z199/IS!Z124</f>
        <v>3.5128900949796469</v>
      </c>
      <c r="AA175" s="582">
        <f>AA199/IS!AA124</f>
        <v>4.0361173814898423</v>
      </c>
      <c r="AB175" s="582">
        <f>AB199/IS!AB124</f>
        <v>4.5326278659611994</v>
      </c>
      <c r="AC175" s="583">
        <f>AC199/IS!AC124</f>
        <v>5.1408262994224794</v>
      </c>
      <c r="AD175" s="592">
        <f>AD199/IS!AD124</f>
        <v>5.6533333333333333</v>
      </c>
      <c r="AE175" s="582">
        <f>AE199/IS!AE124</f>
        <v>6.3053097345132745</v>
      </c>
      <c r="AF175" s="582">
        <f>AF199/IS!AF124</f>
        <v>6.7964601769911503</v>
      </c>
      <c r="AG175" s="583">
        <f>AG199/IS!AG124</f>
        <v>7.6266666666666669</v>
      </c>
      <c r="AH175" s="592">
        <f>AH199/IS!AH124</f>
        <v>7.1428571428571432</v>
      </c>
      <c r="AI175" s="582">
        <f>AI199/IS!AI124</f>
        <v>8.6415929203539825</v>
      </c>
      <c r="AJ175" s="582">
        <f>AJ199/IS!AJ124</f>
        <v>9.823788546255507</v>
      </c>
      <c r="AK175" s="583">
        <f>AK199/IS!AK124</f>
        <v>11.008810572687224</v>
      </c>
      <c r="AL175" s="582">
        <f>AL199/IS!AL124</f>
        <v>11.915929203539823</v>
      </c>
      <c r="AM175" s="582">
        <f>AM199/IS!AM124</f>
        <v>12.209821428571429</v>
      </c>
      <c r="AN175" s="582">
        <f>AN199/IS!AN124</f>
        <v>12.216814159292035</v>
      </c>
      <c r="AO175" s="583">
        <f>AO199/IS!AO124</f>
        <v>13.05726872246696</v>
      </c>
      <c r="AP175" s="582">
        <f>AP199/IS!AP124</f>
        <v>14.339130434782609</v>
      </c>
      <c r="AQ175" s="582">
        <f>AQ199/IS!AQ124</f>
        <v>16.245689655172413</v>
      </c>
      <c r="AR175" s="582">
        <f>AR199/IS!AR124</f>
        <v>18</v>
      </c>
      <c r="AS175" s="583">
        <f>AS199/IS!AS124</f>
        <v>19.042553191489361</v>
      </c>
      <c r="AT175" s="582">
        <f>AT199/IS!AT124</f>
        <v>19.991452991452991</v>
      </c>
      <c r="AU175" s="582">
        <f>AU199/IS!AU124</f>
        <v>20.974468085106384</v>
      </c>
      <c r="AV175" s="582">
        <f>AV199/IS!AV124</f>
        <v>21.567796610169491</v>
      </c>
      <c r="AW175" s="583">
        <f>AW199/IS!AW124</f>
        <v>22.219409282700422</v>
      </c>
      <c r="AX175" s="582">
        <f>AX199/IS!AX124</f>
        <v>23.227848101265824</v>
      </c>
      <c r="AY175" s="582">
        <f>AY199/IS!AY124</f>
        <v>24.354430379746834</v>
      </c>
      <c r="AZ175" s="582">
        <f>AZ199/IS!AZ124</f>
        <v>19.207317073170731</v>
      </c>
      <c r="BA175" s="583">
        <f>BA199/IS!BA124</f>
        <v>21.9</v>
      </c>
      <c r="BB175" s="582">
        <f>BB199/IS!BB124</f>
        <v>24.178571428571427</v>
      </c>
      <c r="BC175" s="582">
        <f>BC199/IS!BC124</f>
        <v>25.772357723577237</v>
      </c>
      <c r="BD175" s="582">
        <f>BD199/IS!BD124</f>
        <v>26.40408163265306</v>
      </c>
      <c r="BE175" s="583">
        <f>BE199/IS!BE124</f>
        <v>24.440329218106996</v>
      </c>
      <c r="BF175" s="582">
        <f>BF199/IS!BF124</f>
        <v>25.628099173553718</v>
      </c>
      <c r="BG175" s="582">
        <f>BG199/IS!BG124</f>
        <v>24.790123456790123</v>
      </c>
      <c r="BH175" s="582">
        <f>BH199/IS!BH124</f>
        <v>25.66115702479339</v>
      </c>
      <c r="BI175" s="583">
        <f>BI199/IS!BI124</f>
        <v>26.070539419087137</v>
      </c>
      <c r="BJ175" s="582">
        <f>BJ199/IS!BJ124</f>
        <v>26.683333333333334</v>
      </c>
      <c r="BK175" s="582">
        <f>BK199/IS!BK124</f>
        <v>27.3781512605042</v>
      </c>
      <c r="BL175" s="582">
        <f>BL199/IS!BL124</f>
        <v>27.461864406779661</v>
      </c>
      <c r="BM175" s="583">
        <f>BM199/IS!BM124</f>
        <v>27.459574468085105</v>
      </c>
      <c r="BN175" s="592">
        <f>BN199/IS!BN124</f>
        <v>28.076923076923077</v>
      </c>
      <c r="BO175" s="582">
        <f>BO199/IS!BO124</f>
        <v>29.021367521367523</v>
      </c>
      <c r="BP175" s="582">
        <f>BP199/IS!BP124</f>
        <v>29.243589743589745</v>
      </c>
      <c r="BQ175" s="583">
        <f>BQ199/IS!BQ124</f>
        <v>-14.600760456273765</v>
      </c>
      <c r="BR175" s="592">
        <f>BR199/IS!BR124</f>
        <v>-13.73448275862069</v>
      </c>
      <c r="BS175" s="582">
        <f>BS199/IS!BS124</f>
        <v>2.4727891156462585</v>
      </c>
      <c r="BT175" s="582">
        <f>BT199/IS!BT124</f>
        <v>3.408026755852843</v>
      </c>
      <c r="BU175" s="583">
        <f>BU199/IS!BU124</f>
        <v>4.6644518272425248</v>
      </c>
      <c r="BV175" s="592">
        <f>BV199/IS!BV124</f>
        <v>6.4901960784313726</v>
      </c>
      <c r="BW175" s="582">
        <f>BW199/IS!BW124</f>
        <v>3.9084967320261437</v>
      </c>
      <c r="BX175" s="582">
        <f>BX199/IS!BX124</f>
        <v>5.5390593854832995</v>
      </c>
      <c r="BY175" s="583">
        <f>BY199/IS!BY124</f>
        <v>6.9314370196622512</v>
      </c>
      <c r="BZ175" s="592">
        <f>BZ199/IS!BZ124</f>
        <v>8.7783724558771183</v>
      </c>
      <c r="CA175" s="582">
        <f>CA199/IS!CA124</f>
        <v>10.363100383219878</v>
      </c>
      <c r="CB175" s="582">
        <f>CB199/IS!CB124</f>
        <v>11.368160952744915</v>
      </c>
      <c r="CC175" s="583">
        <f>CC199/IS!CC124</f>
        <v>12.156963917086138</v>
      </c>
      <c r="CD175" s="617"/>
      <c r="CE175" s="582">
        <f>CE199/IS!CE124</f>
        <v>0</v>
      </c>
      <c r="CF175" s="582">
        <f>CF199/IS!CF124</f>
        <v>0.53101575567348758</v>
      </c>
      <c r="CG175" s="582">
        <f>CG199/IS!CG124</f>
        <v>1.5931873479318734</v>
      </c>
      <c r="CH175" s="582">
        <f>CH199/IS!CH124</f>
        <v>2.2501153668666367</v>
      </c>
      <c r="CI175" s="582">
        <f>CI199/IS!CI124</f>
        <v>3.2354838709677423</v>
      </c>
      <c r="CJ175" s="582">
        <f>CJ199/IS!CJ124</f>
        <v>5.1660714285714286</v>
      </c>
      <c r="CK175" s="582">
        <f>CK199/IS!CK124</f>
        <v>7.5929203539823007</v>
      </c>
      <c r="CL175" s="582">
        <f>CL199/IS!CL124</f>
        <v>11.057522123893806</v>
      </c>
      <c r="CM175" s="582">
        <f>CM199/IS!CM124</f>
        <v>13.11504424778761</v>
      </c>
      <c r="CN175" s="582">
        <f>CN199/IS!CN124</f>
        <v>19.206008583690988</v>
      </c>
      <c r="CO175" s="582">
        <f>CO199/IS!CO124</f>
        <v>22.408510638297873</v>
      </c>
      <c r="CP175" s="582">
        <f>CP199/IS!CP124</f>
        <v>23.240816326530613</v>
      </c>
      <c r="CQ175" s="582">
        <f>CQ199/IS!CQ124</f>
        <v>24.142276422764226</v>
      </c>
      <c r="CR175" s="592">
        <f>CR199/IS!CR124</f>
        <v>25.962809917355372</v>
      </c>
      <c r="CS175" s="582">
        <f>CS199/IS!CS124</f>
        <v>27.227848101265824</v>
      </c>
      <c r="CT175" s="582">
        <f>CT199/IS!CT124</f>
        <v>-16.091183372443847</v>
      </c>
      <c r="CU175" s="582">
        <f>CU199/IS!CU124</f>
        <v>4.743243243243243</v>
      </c>
      <c r="CV175" s="582">
        <f>CV199/IS!CV124</f>
        <v>6.9502112981968613</v>
      </c>
      <c r="CW175" s="582">
        <f>CW199/IS!CW124</f>
        <v>12.219222878239405</v>
      </c>
      <c r="CX175" s="582">
        <f>CX199/IS!CX124</f>
        <v>18.243015596938069</v>
      </c>
      <c r="CY175" s="582">
        <f>CY199/IS!CY124</f>
        <v>24.368007902286784</v>
      </c>
      <c r="CZ175" s="582">
        <f>CZ199/IS!CZ124</f>
        <v>30.80605164380723</v>
      </c>
      <c r="DA175" s="582">
        <f>DA199/IS!DA124</f>
        <v>37.05669033940368</v>
      </c>
      <c r="DB175" s="582">
        <f>DB199/IS!DB124</f>
        <v>43.585456076124238</v>
      </c>
      <c r="DC175" s="582">
        <f>DC199/IS!DC124</f>
        <v>50.466777009142739</v>
      </c>
      <c r="DD175" s="583"/>
      <c r="DE175" s="441"/>
      <c r="DF175" s="441"/>
      <c r="DG175" s="441"/>
      <c r="DH175" s="441"/>
      <c r="DI175" s="441"/>
      <c r="DJ175" s="441"/>
      <c r="DK175" s="441"/>
      <c r="DL175" s="441"/>
      <c r="DM175" s="441"/>
      <c r="DN175" s="441"/>
      <c r="DO175" s="441"/>
      <c r="DP175" s="441"/>
      <c r="DQ175" s="441"/>
      <c r="DR175" s="441"/>
    </row>
    <row r="176" spans="1:122" hidden="1" outlineLevel="1">
      <c r="A176" s="175"/>
      <c r="B176" s="440"/>
      <c r="C176" s="175" t="s">
        <v>262</v>
      </c>
      <c r="D176" s="175"/>
      <c r="E176" s="712"/>
      <c r="F176" s="592"/>
      <c r="G176" s="582"/>
      <c r="H176" s="582"/>
      <c r="I176" s="583"/>
      <c r="J176" s="592"/>
      <c r="K176" s="582"/>
      <c r="L176" s="582"/>
      <c r="M176" s="583">
        <f>M169/IS!M124</f>
        <v>1.1315738895576439</v>
      </c>
      <c r="N176" s="592">
        <f>N169/IS!N124</f>
        <v>1.2419686723604457</v>
      </c>
      <c r="O176" s="582">
        <f>O169/IS!O124</f>
        <v>1.601700935220431</v>
      </c>
      <c r="P176" s="582">
        <f>P169/IS!P124</f>
        <v>1.6707746817892974</v>
      </c>
      <c r="Q176" s="583">
        <f>Q169/IS!Q124</f>
        <v>1.8431537992781135</v>
      </c>
      <c r="R176" s="592">
        <f>R169/IS!R124</f>
        <v>1.3237610004631775</v>
      </c>
      <c r="S176" s="582">
        <f>S169/IS!S124</f>
        <v>1.4612207434603028</v>
      </c>
      <c r="T176" s="582">
        <f>T169/IS!T124</f>
        <v>1.6547126436781607</v>
      </c>
      <c r="U176" s="583">
        <f>U169/IS!U124</f>
        <v>1.7531322505800464</v>
      </c>
      <c r="V176" s="592">
        <f>V169/IS!V124</f>
        <v>1.9059266227657572</v>
      </c>
      <c r="W176" s="582">
        <f>W169/IS!W124</f>
        <v>2.3057116104868913</v>
      </c>
      <c r="X176" s="582">
        <f>X169/IS!X124</f>
        <v>2.6259716506630091</v>
      </c>
      <c r="Y176" s="583">
        <f>Y169/IS!Y124</f>
        <v>2.6882300089847257</v>
      </c>
      <c r="Z176" s="592">
        <f>Z169/IS!Z124</f>
        <v>2.6291270918136589</v>
      </c>
      <c r="AA176" s="582">
        <f>AA169/IS!AA124</f>
        <v>2.9106094808126413</v>
      </c>
      <c r="AB176" s="582">
        <f>AB169/IS!AB124</f>
        <v>2.9722222222222219</v>
      </c>
      <c r="AC176" s="583">
        <f>AC169/IS!AC124</f>
        <v>3.1043980453131943</v>
      </c>
      <c r="AD176" s="592">
        <f>AD169/IS!AD124</f>
        <v>3.3377777777777777</v>
      </c>
      <c r="AE176" s="582">
        <f>AE169/IS!AE124</f>
        <v>3.6725663716814161</v>
      </c>
      <c r="AF176" s="582">
        <f>AF169/IS!AF124</f>
        <v>3.8716814159292037</v>
      </c>
      <c r="AG176" s="583">
        <f>AG169/IS!AG124</f>
        <v>4.0311111111111115</v>
      </c>
      <c r="AH176" s="592">
        <f>AH169/IS!AH124</f>
        <v>3.7991071428571428</v>
      </c>
      <c r="AI176" s="582">
        <f>AI169/IS!AI124</f>
        <v>4.278761061946903</v>
      </c>
      <c r="AJ176" s="582">
        <f>AJ169/IS!AJ124</f>
        <v>4.180616740088106</v>
      </c>
      <c r="AK176" s="583">
        <f>AK169/IS!AK124</f>
        <v>4.8766519823788546</v>
      </c>
      <c r="AL176" s="582">
        <f>AL169/IS!AL124</f>
        <v>5.3761061946902657</v>
      </c>
      <c r="AM176" s="582">
        <f>AM169/IS!AM124</f>
        <v>6.1428571428571432</v>
      </c>
      <c r="AN176" s="582">
        <f>AN169/IS!AN124</f>
        <v>6.9867256637168138</v>
      </c>
      <c r="AO176" s="583">
        <f>AO169/IS!AO124</f>
        <v>7.9030837004405283</v>
      </c>
      <c r="AP176" s="582">
        <f>AP169/IS!AP124</f>
        <v>8.9391304347826086</v>
      </c>
      <c r="AQ176" s="582">
        <f>AQ169/IS!AQ124</f>
        <v>10.495689655172415</v>
      </c>
      <c r="AR176" s="582">
        <f>AR169/IS!AR124</f>
        <v>12.076923076923077</v>
      </c>
      <c r="AS176" s="583">
        <f>AS169/IS!AS124</f>
        <v>11.63404255319149</v>
      </c>
      <c r="AT176" s="582">
        <f>AT169/IS!AT124</f>
        <v>12.213675213675213</v>
      </c>
      <c r="AU176" s="582">
        <f>AU169/IS!AU124</f>
        <v>13.23404255319149</v>
      </c>
      <c r="AV176" s="582">
        <f>AV169/IS!AV124</f>
        <v>13.686440677966102</v>
      </c>
      <c r="AW176" s="583">
        <f>AW169/IS!AW124</f>
        <v>14.725738396624472</v>
      </c>
      <c r="AX176" s="582">
        <f>AX169/IS!AX124</f>
        <v>15.50632911392405</v>
      </c>
      <c r="AY176" s="582">
        <f>AY169/IS!AY124</f>
        <v>16.556962025316455</v>
      </c>
      <c r="AZ176" s="582">
        <f>AZ169/IS!AZ124</f>
        <v>13.727642276422765</v>
      </c>
      <c r="BA176" s="583">
        <f>BA169/IS!BA124</f>
        <v>12.338461538461539</v>
      </c>
      <c r="BB176" s="582">
        <f>BB169/IS!BB124</f>
        <v>14.035714285714286</v>
      </c>
      <c r="BC176" s="582">
        <f>BC169/IS!BC124</f>
        <v>15.512195121951219</v>
      </c>
      <c r="BD176" s="582">
        <f>BD169/IS!BD124</f>
        <v>16.571428571428573</v>
      </c>
      <c r="BE176" s="583">
        <f>BE169/IS!BE124</f>
        <v>17.732510288065843</v>
      </c>
      <c r="BF176" s="582">
        <f>BF169/IS!BF124</f>
        <v>20.119834710743802</v>
      </c>
      <c r="BG176" s="582">
        <f>BG169/IS!BG124</f>
        <v>19.156378600823047</v>
      </c>
      <c r="BH176" s="582">
        <f>BH169/IS!BH124</f>
        <v>20.103305785123968</v>
      </c>
      <c r="BI176" s="583">
        <f>BI169/IS!BI124</f>
        <v>21.112033195020746</v>
      </c>
      <c r="BJ176" s="582">
        <f>BJ169/IS!BJ124</f>
        <v>22.420833333333334</v>
      </c>
      <c r="BK176" s="582">
        <f>BK169/IS!BK124</f>
        <v>21.609243697478991</v>
      </c>
      <c r="BL176" s="582">
        <f>BL169/IS!BL124</f>
        <v>21.35593220338983</v>
      </c>
      <c r="BM176" s="583">
        <f>BM169/IS!BM124</f>
        <v>22.493617021276595</v>
      </c>
      <c r="BN176" s="592">
        <f>BN169/IS!BN124</f>
        <v>23.196581196581196</v>
      </c>
      <c r="BO176" s="582">
        <f>BO169/IS!BO124</f>
        <v>25.042735042735043</v>
      </c>
      <c r="BP176" s="582">
        <f>BP169/IS!BP124</f>
        <v>25.782051282051281</v>
      </c>
      <c r="BQ176" s="583">
        <f>BQ169/IS!BQ124</f>
        <v>31.85551330798479</v>
      </c>
      <c r="BR176" s="592">
        <f>BR169/IS!BR124</f>
        <v>14.913793103448276</v>
      </c>
      <c r="BS176" s="582">
        <f>BS169/IS!BS124</f>
        <v>17.35034013605442</v>
      </c>
      <c r="BT176" s="582">
        <f>BT169/IS!BT124</f>
        <v>18.986622073578594</v>
      </c>
      <c r="BU176" s="583">
        <f>BU169/IS!BU124</f>
        <v>21.189368770764119</v>
      </c>
      <c r="BV176" s="592">
        <f>BV169/IS!BV124</f>
        <v>22.617647058823529</v>
      </c>
      <c r="BW176" s="582">
        <f>BW169/IS!BW124</f>
        <v>20.571895424836601</v>
      </c>
      <c r="BX176" s="582">
        <f>BX169/IS!BX124</f>
        <v>18.280475465071113</v>
      </c>
      <c r="BY176" s="583">
        <f>BY169/IS!BY124</f>
        <v>19.484526504353102</v>
      </c>
      <c r="BZ176" s="592">
        <f>BZ169/IS!BZ124</f>
        <v>20.800883874389068</v>
      </c>
      <c r="CA176" s="582">
        <f>CA169/IS!CA124</f>
        <v>22.61661828887171</v>
      </c>
      <c r="CB176" s="582">
        <f>CB169/IS!CB124</f>
        <v>22.465605835828562</v>
      </c>
      <c r="CC176" s="583">
        <f>CC169/IS!CC124</f>
        <v>22.031406599193151</v>
      </c>
      <c r="CD176" s="617"/>
      <c r="CE176" s="582"/>
      <c r="CF176" s="582">
        <f>CF169/IS!CF124</f>
        <v>1.1549755301794453</v>
      </c>
      <c r="CG176" s="582">
        <f>CG169/IS!CG124</f>
        <v>1.9133819951338198</v>
      </c>
      <c r="CH176" s="582">
        <f>CH169/IS!CH124</f>
        <v>1.7434240886017538</v>
      </c>
      <c r="CI176" s="582">
        <f>CI169/IS!CI124</f>
        <v>2.7576036866359446</v>
      </c>
      <c r="CJ176" s="582">
        <f>CJ169/IS!CJ124</f>
        <v>3.1196428571428574</v>
      </c>
      <c r="CK176" s="582">
        <f>CK169/IS!CK124</f>
        <v>4.0132743362831862</v>
      </c>
      <c r="CL176" s="582">
        <f>CL169/IS!CL124</f>
        <v>4.8982300884955752</v>
      </c>
      <c r="CM176" s="582">
        <f>CM169/IS!CM124</f>
        <v>7.9380530973451329</v>
      </c>
      <c r="CN176" s="582">
        <f>CN169/IS!CN124</f>
        <v>11.733905579399142</v>
      </c>
      <c r="CO176" s="582">
        <f>CO169/IS!CO124</f>
        <v>14.851063829787234</v>
      </c>
      <c r="CP176" s="582">
        <f>CP169/IS!CP124</f>
        <v>13.093877551020409</v>
      </c>
      <c r="CQ176" s="582">
        <f>CQ169/IS!CQ124</f>
        <v>17.516260162601625</v>
      </c>
      <c r="CR176" s="592">
        <f>CR169/IS!CR124</f>
        <v>21.024793388429753</v>
      </c>
      <c r="CS176" s="582">
        <f>CS169/IS!CS124</f>
        <v>22.303797468354432</v>
      </c>
      <c r="CT176" s="582">
        <f>CT169/IS!CT124</f>
        <v>35.107274555816289</v>
      </c>
      <c r="CU176" s="582">
        <f>CU169/IS!CU124</f>
        <v>21.547297297297298</v>
      </c>
      <c r="CV176" s="582">
        <f>CV169/IS!CV124</f>
        <v>19.537301697530225</v>
      </c>
      <c r="CW176" s="582">
        <f>CW169/IS!CW124</f>
        <v>22.144235139029746</v>
      </c>
      <c r="CX176" s="582">
        <f>CX169/IS!CX124</f>
        <v>25.84932424367841</v>
      </c>
      <c r="CY176" s="582">
        <f>CY169/IS!CY124</f>
        <v>28.951471382640758</v>
      </c>
      <c r="CZ176" s="582">
        <f>CZ169/IS!CZ124</f>
        <v>32.41912046602426</v>
      </c>
      <c r="DA176" s="582">
        <f>DA169/IS!DA124</f>
        <v>35.3220756392165</v>
      </c>
      <c r="DB176" s="582">
        <f>DB169/IS!DB124</f>
        <v>38.848588573659292</v>
      </c>
      <c r="DC176" s="582">
        <f>DC169/IS!DC124</f>
        <v>43.030773817024269</v>
      </c>
      <c r="DD176" s="583"/>
      <c r="DE176" s="441"/>
      <c r="DF176" s="441"/>
      <c r="DG176" s="441"/>
      <c r="DH176" s="441"/>
      <c r="DI176" s="441"/>
      <c r="DJ176" s="441"/>
      <c r="DK176" s="441"/>
      <c r="DL176" s="441"/>
      <c r="DM176" s="441"/>
      <c r="DN176" s="441"/>
      <c r="DO176" s="441"/>
      <c r="DP176" s="441"/>
      <c r="DQ176" s="441"/>
      <c r="DR176" s="441"/>
    </row>
    <row r="177" spans="1:122" hidden="1" outlineLevel="1">
      <c r="A177" s="175"/>
      <c r="B177" s="440"/>
      <c r="C177" s="175" t="s">
        <v>900</v>
      </c>
      <c r="D177" s="175"/>
      <c r="E177" s="712"/>
      <c r="F177" s="592"/>
      <c r="G177" s="582"/>
      <c r="H177" s="582"/>
      <c r="I177" s="583"/>
      <c r="J177" s="592"/>
      <c r="K177" s="582"/>
      <c r="L177" s="582"/>
      <c r="M177" s="583">
        <f>M167/IS!M124</f>
        <v>0.4360035202363009</v>
      </c>
      <c r="N177" s="592">
        <f>N167/IS!N124</f>
        <v>0.36885424975739622</v>
      </c>
      <c r="O177" s="582">
        <f>O167/IS!O124</f>
        <v>0.3603513567799807</v>
      </c>
      <c r="P177" s="582">
        <f>P167/IS!P124</f>
        <v>0</v>
      </c>
      <c r="Q177" s="583">
        <f>Q167/IS!Q124</f>
        <v>0</v>
      </c>
      <c r="R177" s="592">
        <f>R167/IS!R124</f>
        <v>0.23158869847151459</v>
      </c>
      <c r="S177" s="582">
        <f>S167/IS!S124</f>
        <v>0.22946305644791187</v>
      </c>
      <c r="T177" s="582">
        <f>T167/IS!T124</f>
        <v>0.23034482758620686</v>
      </c>
      <c r="U177" s="583">
        <f>U167/IS!U124</f>
        <v>0.31508120649651977</v>
      </c>
      <c r="V177" s="592">
        <f>V167/IS!V124</f>
        <v>0.31749764816556914</v>
      </c>
      <c r="W177" s="582">
        <f>W167/IS!W124</f>
        <v>0.29307116104868913</v>
      </c>
      <c r="X177" s="582">
        <f>X167/IS!X124</f>
        <v>0.26337448559670784</v>
      </c>
      <c r="Y177" s="583">
        <f>Y167/IS!Y124</f>
        <v>0.23674752920035941</v>
      </c>
      <c r="Z177" s="592">
        <f>Z167/IS!Z124</f>
        <v>0.25327905924920852</v>
      </c>
      <c r="AA177" s="582">
        <f>AA167/IS!AA124</f>
        <v>0.25643340857787811</v>
      </c>
      <c r="AB177" s="582">
        <f>AB167/IS!AB124</f>
        <v>0.22134038800705466</v>
      </c>
      <c r="AC177" s="583">
        <f>AC167/IS!AC124</f>
        <v>0.19591292758773879</v>
      </c>
      <c r="AD177" s="592">
        <f>AD167/IS!AD124</f>
        <v>0.26222222222222225</v>
      </c>
      <c r="AE177" s="582">
        <f>AE167/IS!AE124</f>
        <v>0.2168141592920354</v>
      </c>
      <c r="AF177" s="582">
        <f>AF167/IS!AF124</f>
        <v>0.11946902654867257</v>
      </c>
      <c r="AG177" s="583">
        <f>AG167/IS!AG124</f>
        <v>9.7777777777777783E-2</v>
      </c>
      <c r="AH177" s="592">
        <f>AH167/IS!AH124</f>
        <v>8.4821428571428575E-2</v>
      </c>
      <c r="AI177" s="582">
        <f>AI167/IS!AI124</f>
        <v>6.637168141592921E-2</v>
      </c>
      <c r="AJ177" s="582">
        <f>AJ167/IS!AJ124</f>
        <v>2.2643171806167399</v>
      </c>
      <c r="AK177" s="583">
        <f>AK167/IS!AK124</f>
        <v>2.2422907488986783</v>
      </c>
      <c r="AL177" s="582">
        <f>AL167/IS!AL124</f>
        <v>2.2433628318584069</v>
      </c>
      <c r="AM177" s="582">
        <f>AM167/IS!AM124</f>
        <v>2.25</v>
      </c>
      <c r="AN177" s="582">
        <f>AN167/IS!AN124</f>
        <v>2.2212389380530975</v>
      </c>
      <c r="AO177" s="583">
        <f>AO167/IS!AO124</f>
        <v>2.1233480176211454</v>
      </c>
      <c r="AP177" s="582">
        <f>AP167/IS!AP124</f>
        <v>2.0130434782608697</v>
      </c>
      <c r="AQ177" s="582">
        <f>AQ167/IS!AQ124</f>
        <v>1.9137931034482758</v>
      </c>
      <c r="AR177" s="582">
        <f>AR167/IS!AR124</f>
        <v>1.8162393162393162</v>
      </c>
      <c r="AS177" s="583">
        <f>AS167/IS!AS124</f>
        <v>1.7021276595744681</v>
      </c>
      <c r="AT177" s="582">
        <f>AT167/IS!AT124</f>
        <v>1.6025641025641026</v>
      </c>
      <c r="AU177" s="582">
        <f>AU167/IS!AU124</f>
        <v>1.4893617021276595</v>
      </c>
      <c r="AV177" s="582">
        <f>AV167/IS!AV124</f>
        <v>1.3771186440677967</v>
      </c>
      <c r="AW177" s="583">
        <f>AW167/IS!AW124</f>
        <v>1.240506329113924</v>
      </c>
      <c r="AX177" s="582">
        <f>AX167/IS!AX124</f>
        <v>1.109704641350211</v>
      </c>
      <c r="AY177" s="582">
        <f>AY167/IS!AY124</f>
        <v>0.97468354430379744</v>
      </c>
      <c r="AZ177" s="582">
        <f>AZ167/IS!AZ124</f>
        <v>9.117886178861788</v>
      </c>
      <c r="BA177" s="583">
        <f>BA167/IS!BA124</f>
        <v>8.4038461538461533</v>
      </c>
      <c r="BB177" s="582">
        <f>BB167/IS!BB124</f>
        <v>8.4444444444444446</v>
      </c>
      <c r="BC177" s="582">
        <f>BC167/IS!BC124</f>
        <v>8.6504065040650406</v>
      </c>
      <c r="BD177" s="582">
        <f>BD167/IS!BD124</f>
        <v>8.2163265306122444</v>
      </c>
      <c r="BE177" s="583">
        <f>BE167/IS!BE124</f>
        <v>8.0452674897119341</v>
      </c>
      <c r="BF177" s="582">
        <f>BF167/IS!BF124</f>
        <v>7.8429752066115705</v>
      </c>
      <c r="BG177" s="582">
        <f>BG167/IS!BG124</f>
        <v>7.57201646090535</v>
      </c>
      <c r="BH177" s="582">
        <f>BH167/IS!BH124</f>
        <v>10.202479338842975</v>
      </c>
      <c r="BI177" s="583">
        <f>BI167/IS!BI124</f>
        <v>10.116182572614107</v>
      </c>
      <c r="BJ177" s="582">
        <f>BJ167/IS!BJ124</f>
        <v>10.025</v>
      </c>
      <c r="BK177" s="582">
        <f>BK167/IS!BK124</f>
        <v>9.9789915966386555</v>
      </c>
      <c r="BL177" s="582">
        <f>BL167/IS!BL124</f>
        <v>9.9322033898305087</v>
      </c>
      <c r="BM177" s="583">
        <f>BM167/IS!BM124</f>
        <v>9.8382978723404264</v>
      </c>
      <c r="BN177" s="592">
        <f>BN167/IS!BN124</f>
        <v>9.747863247863247</v>
      </c>
      <c r="BO177" s="582">
        <f>BO167/IS!BO124</f>
        <v>9.615384615384615</v>
      </c>
      <c r="BP177" s="582">
        <f>BP167/IS!BP124</f>
        <v>9.4145299145299148</v>
      </c>
      <c r="BQ177" s="583">
        <f>BQ167/IS!BQ124</f>
        <v>64.615969581749056</v>
      </c>
      <c r="BR177" s="592">
        <f>BR167/IS!BR124</f>
        <v>45.286206896551725</v>
      </c>
      <c r="BS177" s="582">
        <f>BS167/IS!BS124</f>
        <v>44.465986394557824</v>
      </c>
      <c r="BT177" s="582">
        <f>BT167/IS!BT124</f>
        <v>43.77257525083612</v>
      </c>
      <c r="BU177" s="583">
        <f>BU167/IS!BU124</f>
        <v>43.691029900332225</v>
      </c>
      <c r="BV177" s="592">
        <f>BV167/IS!BV124</f>
        <v>42.911764705882355</v>
      </c>
      <c r="BW177" s="582">
        <f>BW167/IS!BW124</f>
        <v>39.382352941176471</v>
      </c>
      <c r="BX177" s="582">
        <f>BX167/IS!BX124</f>
        <v>38.280654830453983</v>
      </c>
      <c r="BY177" s="583">
        <f>BY167/IS!BY124</f>
        <v>37.562056807675447</v>
      </c>
      <c r="BZ177" s="592">
        <f>BZ167/IS!BZ124</f>
        <v>36.565179118793331</v>
      </c>
      <c r="CA177" s="582">
        <f>CA167/IS!CA124</f>
        <v>35.604551152480092</v>
      </c>
      <c r="CB177" s="582">
        <f>CB167/IS!CB124</f>
        <v>34.593274568856856</v>
      </c>
      <c r="CC177" s="583">
        <f>CC167/IS!CC124</f>
        <v>33.535644198018467</v>
      </c>
      <c r="CD177" s="617"/>
      <c r="CE177" s="582"/>
      <c r="CF177" s="582">
        <f>CF167/IS!CF124</f>
        <v>0.44502033989303486</v>
      </c>
      <c r="CG177" s="582">
        <f>CG167/IS!CG124</f>
        <v>0</v>
      </c>
      <c r="CH177" s="582">
        <f>CH167/IS!CH124</f>
        <v>0.31333640978311034</v>
      </c>
      <c r="CI177" s="582">
        <f>CI167/IS!CI124</f>
        <v>0.24285714285714288</v>
      </c>
      <c r="CJ177" s="582">
        <f>CJ167/IS!CJ124</f>
        <v>0.19687499999999999</v>
      </c>
      <c r="CK177" s="582">
        <f>CK167/IS!CK124</f>
        <v>9.7345132743362831E-2</v>
      </c>
      <c r="CL177" s="582">
        <f>CL167/IS!CL124</f>
        <v>2.252212389380531</v>
      </c>
      <c r="CM177" s="582">
        <f>CM167/IS!CM124</f>
        <v>2.1327433628318584</v>
      </c>
      <c r="CN177" s="582">
        <f>CN167/IS!CN124</f>
        <v>1.7167381974248928</v>
      </c>
      <c r="CO177" s="582">
        <f>CO167/IS!CO124</f>
        <v>1.2510638297872341</v>
      </c>
      <c r="CP177" s="582">
        <f>CP167/IS!CP124</f>
        <v>8.9183673469387763</v>
      </c>
      <c r="CQ177" s="582">
        <f>CQ167/IS!CQ124</f>
        <v>7.9471544715447155</v>
      </c>
      <c r="CR177" s="592">
        <f>CR167/IS!CR124</f>
        <v>10.074380165289256</v>
      </c>
      <c r="CS177" s="582">
        <f>CS167/IS!CS124</f>
        <v>9.7552742616033754</v>
      </c>
      <c r="CT177" s="582">
        <f>CT167/IS!CT124</f>
        <v>71.21186724773716</v>
      </c>
      <c r="CU177" s="582">
        <f>CU167/IS!CU124</f>
        <v>44.429054054054056</v>
      </c>
      <c r="CV177" s="582">
        <f>CV167/IS!CV124</f>
        <v>37.663796247107662</v>
      </c>
      <c r="CW177" s="582">
        <f>CW167/IS!CW124</f>
        <v>33.707388918461355</v>
      </c>
      <c r="CX177" s="582">
        <f>CX167/IS!CX124</f>
        <v>29.759911702617774</v>
      </c>
      <c r="CY177" s="582">
        <f>CY167/IS!CY124</f>
        <v>25.946100375476941</v>
      </c>
      <c r="CZ177" s="582">
        <f>CZ167/IS!CZ124</f>
        <v>22.29318101970496</v>
      </c>
      <c r="DA177" s="582">
        <f>DA167/IS!DA124</f>
        <v>18.872910916304846</v>
      </c>
      <c r="DB177" s="582">
        <f>DB167/IS!DB124</f>
        <v>15.601313802058892</v>
      </c>
      <c r="DC177" s="582">
        <f>DC167/IS!DC124</f>
        <v>12.483751172915213</v>
      </c>
      <c r="DD177" s="583"/>
      <c r="DE177" s="441"/>
      <c r="DF177" s="441"/>
      <c r="DG177" s="441"/>
      <c r="DH177" s="441"/>
      <c r="DI177" s="441"/>
      <c r="DJ177" s="441"/>
      <c r="DK177" s="441"/>
      <c r="DL177" s="441"/>
      <c r="DM177" s="441"/>
      <c r="DN177" s="441"/>
      <c r="DO177" s="441"/>
      <c r="DP177" s="441"/>
      <c r="DQ177" s="441"/>
      <c r="DR177" s="441"/>
    </row>
    <row r="178" spans="1:122" hidden="1" outlineLevel="1">
      <c r="A178" s="175"/>
      <c r="B178" s="440"/>
      <c r="C178" s="175" t="s">
        <v>901</v>
      </c>
      <c r="D178" s="175"/>
      <c r="E178" s="712"/>
      <c r="F178" s="592"/>
      <c r="G178" s="582"/>
      <c r="H178" s="582"/>
      <c r="I178" s="583"/>
      <c r="J178" s="592"/>
      <c r="K178" s="582"/>
      <c r="L178" s="582"/>
      <c r="M178" s="583">
        <f>M168/IS!M124</f>
        <v>0.52025653216261847</v>
      </c>
      <c r="N178" s="592">
        <f>N168/IS!N124</f>
        <v>0.64957347464473181</v>
      </c>
      <c r="O178" s="582">
        <f>O168/IS!O124</f>
        <v>1.028644493761115</v>
      </c>
      <c r="P178" s="582">
        <f>P168/IS!P124</f>
        <v>1.3290905239644915</v>
      </c>
      <c r="Q178" s="583">
        <f>Q168/IS!Q124</f>
        <v>1.5347114798668726</v>
      </c>
      <c r="R178" s="592">
        <f>R168/IS!R124</f>
        <v>1.5947197776748498</v>
      </c>
      <c r="S178" s="582">
        <f>S168/IS!S124</f>
        <v>1.9132629646626891</v>
      </c>
      <c r="T178" s="582">
        <f>T168/IS!T124</f>
        <v>2.1650574712643675</v>
      </c>
      <c r="U178" s="583">
        <f>U168/IS!U124</f>
        <v>2.2626450116009291</v>
      </c>
      <c r="V178" s="592">
        <f>V168/IS!V124</f>
        <v>2.3871119473189091</v>
      </c>
      <c r="W178" s="582">
        <f>W168/IS!W124</f>
        <v>2.6605805243445695</v>
      </c>
      <c r="X178" s="582">
        <f>X168/IS!X124</f>
        <v>3.0306355738454505</v>
      </c>
      <c r="Y178" s="583">
        <f>Y168/IS!Y124</f>
        <v>3.1540880503144657</v>
      </c>
      <c r="Z178" s="592">
        <f>Z168/IS!Z124</f>
        <v>3.5128900949796469</v>
      </c>
      <c r="AA178" s="582">
        <f>AA168/IS!AA124</f>
        <v>4.0361173814898423</v>
      </c>
      <c r="AB178" s="582">
        <f>AB168/IS!AB124</f>
        <v>4.5326278659611994</v>
      </c>
      <c r="AC178" s="583">
        <f>AC168/IS!AC124</f>
        <v>5.1408262994224794</v>
      </c>
      <c r="AD178" s="592">
        <f>AD168/IS!AD124</f>
        <v>5.6533333333333333</v>
      </c>
      <c r="AE178" s="582">
        <f>AE168/IS!AE124</f>
        <v>6.3053097345132745</v>
      </c>
      <c r="AF178" s="582">
        <f>AF168/IS!AF124</f>
        <v>6.7964601769911503</v>
      </c>
      <c r="AG178" s="583">
        <f>AG168/IS!AG124</f>
        <v>7.6266666666666669</v>
      </c>
      <c r="AH178" s="592">
        <f>AH168/IS!AH124</f>
        <v>7.9776785714285712</v>
      </c>
      <c r="AI178" s="582">
        <f>AI168/IS!AI124</f>
        <v>9.4115044247787605</v>
      </c>
      <c r="AJ178" s="582">
        <f>AJ168/IS!AJ124</f>
        <v>10.647577092511014</v>
      </c>
      <c r="AK178" s="583">
        <f>AK168/IS!AK124</f>
        <v>11.876651982378855</v>
      </c>
      <c r="AL178" s="582">
        <f>AL168/IS!AL124</f>
        <v>12.774336283185841</v>
      </c>
      <c r="AM178" s="582">
        <f>AM168/IS!AM124</f>
        <v>13.040178571428571</v>
      </c>
      <c r="AN178" s="582">
        <f>AN168/IS!AN124</f>
        <v>13.238938053097344</v>
      </c>
      <c r="AO178" s="583">
        <f>AO168/IS!AO124</f>
        <v>14.061674008810572</v>
      </c>
      <c r="AP178" s="582">
        <f>AP168/IS!AP124</f>
        <v>15.317391304347826</v>
      </c>
      <c r="AQ178" s="582">
        <f>AQ168/IS!AQ124</f>
        <v>17.202586206896552</v>
      </c>
      <c r="AR178" s="582">
        <f>AR168/IS!AR124</f>
        <v>18.935897435897434</v>
      </c>
      <c r="AS178" s="583">
        <f>AS168/IS!AS124</f>
        <v>20.038297872340426</v>
      </c>
      <c r="AT178" s="582">
        <f>AT168/IS!AT124</f>
        <v>20.987179487179485</v>
      </c>
      <c r="AU178" s="582">
        <f>AU168/IS!AU124</f>
        <v>21.953191489361704</v>
      </c>
      <c r="AV178" s="582">
        <f>AV168/IS!AV124</f>
        <v>22.525423728813561</v>
      </c>
      <c r="AW178" s="583">
        <f>AW168/IS!AW124</f>
        <v>23.156118143459917</v>
      </c>
      <c r="AX178" s="582">
        <f>AX168/IS!AX124</f>
        <v>24.147679324894515</v>
      </c>
      <c r="AY178" s="582">
        <f>AY168/IS!AY124</f>
        <v>24.991561181434598</v>
      </c>
      <c r="AZ178" s="582">
        <f>AZ168/IS!AZ124</f>
        <v>30.146341463414632</v>
      </c>
      <c r="BA178" s="583">
        <f>BA168/IS!BA124</f>
        <v>29.496153846153845</v>
      </c>
      <c r="BB178" s="582">
        <f>BB168/IS!BB124</f>
        <v>31.892857142857142</v>
      </c>
      <c r="BC178" s="582">
        <f>BC168/IS!BC124</f>
        <v>33.524390243902438</v>
      </c>
      <c r="BD178" s="582">
        <f>BD168/IS!BD124</f>
        <v>34.379591836734697</v>
      </c>
      <c r="BE178" s="583">
        <f>BE168/IS!BE124</f>
        <v>32.481481481481481</v>
      </c>
      <c r="BF178" s="582">
        <f>BF168/IS!BF124</f>
        <v>34.103305785123965</v>
      </c>
      <c r="BG178" s="582">
        <f>BG168/IS!BG124</f>
        <v>35.304526748971192</v>
      </c>
      <c r="BH178" s="582">
        <f>BH168/IS!BH124</f>
        <v>36.231404958677686</v>
      </c>
      <c r="BI178" s="583">
        <f>BI168/IS!BI124</f>
        <v>36.688796680497923</v>
      </c>
      <c r="BJ178" s="582">
        <f>BJ168/IS!BJ124</f>
        <v>37.345833333333331</v>
      </c>
      <c r="BK178" s="582">
        <f>BK168/IS!BK124</f>
        <v>38.159663865546221</v>
      </c>
      <c r="BL178" s="582">
        <f>BL168/IS!BL124</f>
        <v>39.093220338983052</v>
      </c>
      <c r="BM178" s="583">
        <f>BM168/IS!BM124</f>
        <v>39.229787234042554</v>
      </c>
      <c r="BN178" s="592">
        <f>BN168/IS!BN124</f>
        <v>39.897435897435898</v>
      </c>
      <c r="BO178" s="582">
        <f>BO168/IS!BO124</f>
        <v>40.841880341880341</v>
      </c>
      <c r="BP178" s="582">
        <f>BP168/IS!BP124</f>
        <v>41.064102564102562</v>
      </c>
      <c r="BQ178" s="583">
        <f>BQ168/IS!BQ124</f>
        <v>42.376425855513311</v>
      </c>
      <c r="BR178" s="592">
        <f>BR168/IS!BR124</f>
        <v>37.155172413793103</v>
      </c>
      <c r="BS178" s="582">
        <f>BS168/IS!BS124</f>
        <v>36.503401360544217</v>
      </c>
      <c r="BT178" s="582">
        <f>BT168/IS!BT124</f>
        <v>36.892976588628763</v>
      </c>
      <c r="BU178" s="583">
        <f>BU168/IS!BU124</f>
        <v>37.933554817275748</v>
      </c>
      <c r="BV178" s="592">
        <f>BV168/IS!BV124</f>
        <v>39.408496732026144</v>
      </c>
      <c r="BW178" s="582">
        <f>BW168/IS!BW124</f>
        <v>36.83660130718954</v>
      </c>
      <c r="BX178" s="582">
        <f>BX168/IS!BX124</f>
        <v>38.224075746101413</v>
      </c>
      <c r="BY178" s="583">
        <f>BY168/IS!BY124</f>
        <v>39.697023063653056</v>
      </c>
      <c r="BZ178" s="592">
        <f>BZ168/IS!BZ124</f>
        <v>41.379978048387656</v>
      </c>
      <c r="CA178" s="582">
        <f>CA168/IS!CA124</f>
        <v>42.826357772812621</v>
      </c>
      <c r="CB178" s="582">
        <f>CB168/IS!CB124</f>
        <v>43.639416813850524</v>
      </c>
      <c r="CC178" s="583">
        <f>CC168/IS!CC124</f>
        <v>44.182852547475115</v>
      </c>
      <c r="CD178" s="617"/>
      <c r="CE178" s="582"/>
      <c r="CF178" s="582">
        <f>CF168/IS!CF124</f>
        <v>0.53101575567348758</v>
      </c>
      <c r="CG178" s="582">
        <f>CG168/IS!CG124</f>
        <v>1.5931873479318734</v>
      </c>
      <c r="CH178" s="582">
        <f>CH168/IS!CH124</f>
        <v>2.2501153668666367</v>
      </c>
      <c r="CI178" s="582">
        <f>CI168/IS!CI124</f>
        <v>3.2354838709677423</v>
      </c>
      <c r="CJ178" s="582">
        <f>CJ168/IS!CJ124</f>
        <v>5.1660714285714286</v>
      </c>
      <c r="CK178" s="582">
        <f>CK168/IS!CK124</f>
        <v>7.5929203539823007</v>
      </c>
      <c r="CL178" s="582">
        <f>CL168/IS!CL124</f>
        <v>11.929203539823009</v>
      </c>
      <c r="CM178" s="582">
        <f>CM168/IS!CM124</f>
        <v>14.123893805309734</v>
      </c>
      <c r="CN178" s="582">
        <f>CN168/IS!CN124</f>
        <v>20.210300429184549</v>
      </c>
      <c r="CO178" s="582">
        <f>CO168/IS!CO124</f>
        <v>23.353191489361702</v>
      </c>
      <c r="CP178" s="582">
        <f>CP168/IS!CP124</f>
        <v>31.302040816326532</v>
      </c>
      <c r="CQ178" s="582">
        <f>CQ168/IS!CQ124</f>
        <v>32.085365853658537</v>
      </c>
      <c r="CR178" s="592">
        <f>CR168/IS!CR124</f>
        <v>36.537190082644628</v>
      </c>
      <c r="CS178" s="582">
        <f>CS168/IS!CS124</f>
        <v>38.898734177215189</v>
      </c>
      <c r="CT178" s="582">
        <f>CT168/IS!CT124</f>
        <v>46.702145491116319</v>
      </c>
      <c r="CU178" s="582">
        <f>CU168/IS!CU124</f>
        <v>38.574324324324323</v>
      </c>
      <c r="CV178" s="582">
        <f>CV168/IS!CV124</f>
        <v>39.804545207456393</v>
      </c>
      <c r="CW178" s="582">
        <f>CW168/IS!CW124</f>
        <v>44.409124379747951</v>
      </c>
      <c r="CX178" s="582">
        <f>CX168/IS!CX124</f>
        <v>49.63877209527088</v>
      </c>
      <c r="CY178" s="582">
        <f>CY168/IS!CY124</f>
        <v>54.941380301223248</v>
      </c>
      <c r="CZ178" s="582">
        <f>CZ168/IS!CZ124</f>
        <v>60.55391178876117</v>
      </c>
      <c r="DA178" s="582">
        <f>DA168/IS!DA124</f>
        <v>66.084846406063363</v>
      </c>
      <c r="DB178" s="582">
        <f>DB168/IS!DB124</f>
        <v>71.904468482815901</v>
      </c>
      <c r="DC178" s="582">
        <f>DC168/IS!DC124</f>
        <v>78.106038010745394</v>
      </c>
      <c r="DD178" s="583"/>
      <c r="DE178" s="441"/>
      <c r="DF178" s="441"/>
      <c r="DG178" s="441"/>
      <c r="DH178" s="441"/>
      <c r="DI178" s="441"/>
      <c r="DJ178" s="441"/>
      <c r="DK178" s="441"/>
      <c r="DL178" s="441"/>
      <c r="DM178" s="441"/>
      <c r="DN178" s="441"/>
      <c r="DO178" s="441"/>
      <c r="DP178" s="441"/>
      <c r="DQ178" s="441"/>
      <c r="DR178" s="441"/>
    </row>
    <row r="179" spans="1:122" hidden="1" outlineLevel="1">
      <c r="A179" s="175"/>
      <c r="B179" s="440"/>
      <c r="C179" s="175" t="s">
        <v>903</v>
      </c>
      <c r="D179" s="175"/>
      <c r="E179" s="712"/>
      <c r="F179" s="592"/>
      <c r="G179" s="582"/>
      <c r="H179" s="582"/>
      <c r="I179" s="583"/>
      <c r="J179" s="592"/>
      <c r="K179" s="582"/>
      <c r="L179" s="582"/>
      <c r="M179" s="583">
        <f>M171/IS!M124</f>
        <v>-0.69557036932134297</v>
      </c>
      <c r="N179" s="592">
        <f>N171/IS!N124</f>
        <v>-0.87311442260304939</v>
      </c>
      <c r="O179" s="582">
        <f>O171/IS!O124</f>
        <v>-1.2413495784404502</v>
      </c>
      <c r="P179" s="582">
        <f>P171/IS!P124</f>
        <v>-1.6707746817892974</v>
      </c>
      <c r="Q179" s="583">
        <f>Q171/IS!Q124</f>
        <v>-1.8431537992781135</v>
      </c>
      <c r="R179" s="592">
        <f>R171/IS!R124</f>
        <v>-1.0921723019916629</v>
      </c>
      <c r="S179" s="582">
        <f>S171/IS!S124</f>
        <v>-1.231757687012391</v>
      </c>
      <c r="T179" s="582">
        <f>T171/IS!T124</f>
        <v>-1.4243678160919537</v>
      </c>
      <c r="U179" s="583">
        <f>U171/IS!U124</f>
        <v>-1.4380510440835266</v>
      </c>
      <c r="V179" s="592">
        <f>V171/IS!V124</f>
        <v>-1.5884289746001881</v>
      </c>
      <c r="W179" s="582">
        <f>W171/IS!W124</f>
        <v>-2.012640449438202</v>
      </c>
      <c r="X179" s="582">
        <f>X171/IS!X124</f>
        <v>-2.3625971650663011</v>
      </c>
      <c r="Y179" s="583">
        <f>Y171/IS!Y124</f>
        <v>-2.4514824797843664</v>
      </c>
      <c r="Z179" s="592">
        <f>Z171/IS!Z124</f>
        <v>-2.3758480325644502</v>
      </c>
      <c r="AA179" s="582">
        <f>AA171/IS!AA124</f>
        <v>-2.6541760722347636</v>
      </c>
      <c r="AB179" s="582">
        <f>AB171/IS!AB124</f>
        <v>-2.7508818342151669</v>
      </c>
      <c r="AC179" s="583">
        <f>AC171/IS!AC124</f>
        <v>-2.9084851177254558</v>
      </c>
      <c r="AD179" s="592">
        <f>AD171/IS!AD124</f>
        <v>-3.0755555555555554</v>
      </c>
      <c r="AE179" s="582">
        <f>AE171/IS!AE124</f>
        <v>-3.4557522123893807</v>
      </c>
      <c r="AF179" s="582">
        <f>AF171/IS!AF124</f>
        <v>-3.752212389380531</v>
      </c>
      <c r="AG179" s="583">
        <f>AG171/IS!AG124</f>
        <v>-3.9333333333333331</v>
      </c>
      <c r="AH179" s="592">
        <f>AH171/IS!AH124</f>
        <v>-3.7142857142857144</v>
      </c>
      <c r="AI179" s="582">
        <f>AI171/IS!AI124</f>
        <v>-4.2123893805309738</v>
      </c>
      <c r="AJ179" s="582">
        <f>AJ171/IS!AJ124</f>
        <v>-1.9162995594713657</v>
      </c>
      <c r="AK179" s="583">
        <f>AK171/IS!AK124</f>
        <v>-2.6343612334801763</v>
      </c>
      <c r="AL179" s="582">
        <f>AL171/IS!AL124</f>
        <v>-3.1327433628318584</v>
      </c>
      <c r="AM179" s="582">
        <f>AM171/IS!AM124</f>
        <v>-3.8928571428571428</v>
      </c>
      <c r="AN179" s="582">
        <f>AN171/IS!AN124</f>
        <v>-4.7654867256637168</v>
      </c>
      <c r="AO179" s="583">
        <f>AO171/IS!AO124</f>
        <v>-5.7797356828193829</v>
      </c>
      <c r="AP179" s="582">
        <f>AP171/IS!AP124</f>
        <v>-6.9260869565217389</v>
      </c>
      <c r="AQ179" s="582">
        <f>AQ171/IS!AQ124</f>
        <v>-8.5818965517241388</v>
      </c>
      <c r="AR179" s="582">
        <f>AR171/IS!AR124</f>
        <v>-10.260683760683762</v>
      </c>
      <c r="AS179" s="583">
        <f>AS171/IS!AS124</f>
        <v>-9.9319148936170212</v>
      </c>
      <c r="AT179" s="582">
        <f>AT171/IS!AT124</f>
        <v>-10.611111111111111</v>
      </c>
      <c r="AU179" s="582">
        <f>AU171/IS!AU124</f>
        <v>-11.74468085106383</v>
      </c>
      <c r="AV179" s="582">
        <f>AV171/IS!AV124</f>
        <v>-12.309322033898304</v>
      </c>
      <c r="AW179" s="583">
        <f>AW171/IS!AW124</f>
        <v>-13.485232067510548</v>
      </c>
      <c r="AX179" s="582">
        <f>AX171/IS!AX124</f>
        <v>-14.396624472573839</v>
      </c>
      <c r="AY179" s="582">
        <f>AY171/IS!AY124</f>
        <v>-15.582278481012658</v>
      </c>
      <c r="AZ179" s="582">
        <f>AZ171/IS!AZ124</f>
        <v>-4.6097560975609753</v>
      </c>
      <c r="BA179" s="583">
        <f>BA171/IS!BA124</f>
        <v>-3.9346153846153844</v>
      </c>
      <c r="BB179" s="582">
        <f>BB171/IS!BB124</f>
        <v>-5.5912698412698409</v>
      </c>
      <c r="BC179" s="582">
        <f>BC171/IS!BC124</f>
        <v>-6.8617886178861784</v>
      </c>
      <c r="BD179" s="582">
        <f>BD171/IS!BD124</f>
        <v>-8.3551020408163268</v>
      </c>
      <c r="BE179" s="583">
        <f>BE171/IS!BE124</f>
        <v>-9.6872427983539087</v>
      </c>
      <c r="BF179" s="582">
        <f>BF171/IS!BF124</f>
        <v>-12.276859504132231</v>
      </c>
      <c r="BG179" s="582">
        <f>BG171/IS!BG124</f>
        <v>-11.584362139917696</v>
      </c>
      <c r="BH179" s="582">
        <f>BH171/IS!BH124</f>
        <v>-9.9008264462809912</v>
      </c>
      <c r="BI179" s="583">
        <f>BI171/IS!BI124</f>
        <v>-10.995850622406639</v>
      </c>
      <c r="BJ179" s="582">
        <f>BJ171/IS!BJ124</f>
        <v>-12.395833333333334</v>
      </c>
      <c r="BK179" s="582">
        <f>BK171/IS!BK124</f>
        <v>-11.630252100840336</v>
      </c>
      <c r="BL179" s="582">
        <f>BL171/IS!BL124</f>
        <v>-11.423728813559322</v>
      </c>
      <c r="BM179" s="583">
        <f>BM171/IS!BM124</f>
        <v>-12.65531914893617</v>
      </c>
      <c r="BN179" s="592">
        <f>BN171/IS!BN124</f>
        <v>-13.448717948717949</v>
      </c>
      <c r="BO179" s="582">
        <f>BO171/IS!BO124</f>
        <v>-15.427350427350428</v>
      </c>
      <c r="BP179" s="582">
        <f>BP171/IS!BP124</f>
        <v>-16.367521367521366</v>
      </c>
      <c r="BQ179" s="583">
        <f>BQ171/IS!BQ124</f>
        <v>32.760456273764255</v>
      </c>
      <c r="BR179" s="592">
        <f>BR171/IS!BR124</f>
        <v>30.372413793103448</v>
      </c>
      <c r="BS179" s="582">
        <f>BS171/IS!BS124</f>
        <v>27.1156462585034</v>
      </c>
      <c r="BT179" s="582">
        <f>BT171/IS!BT124</f>
        <v>24.785953177257525</v>
      </c>
      <c r="BU179" s="583">
        <f>BU171/IS!BU124</f>
        <v>22.501661129568106</v>
      </c>
      <c r="BV179" s="592">
        <f>BV171/IS!BV124</f>
        <v>20.294117647058822</v>
      </c>
      <c r="BW179" s="582">
        <f>BW171/IS!BW124</f>
        <v>18.81045751633987</v>
      </c>
      <c r="BX179" s="582">
        <f>BX171/IS!BX124</f>
        <v>20.00017936538287</v>
      </c>
      <c r="BY179" s="583">
        <f>BY171/IS!BY124</f>
        <v>18.077530303322341</v>
      </c>
      <c r="BZ179" s="592">
        <f>BZ171/IS!BZ124</f>
        <v>15.764295244404261</v>
      </c>
      <c r="CA179" s="582">
        <f>CA171/IS!CA124</f>
        <v>12.98793286360838</v>
      </c>
      <c r="CB179" s="582">
        <f>CB171/IS!CB124</f>
        <v>12.127668733028296</v>
      </c>
      <c r="CC179" s="583">
        <f>CC171/IS!CC124</f>
        <v>11.504237598825318</v>
      </c>
      <c r="CD179" s="617"/>
      <c r="CE179" s="582"/>
      <c r="CF179" s="582">
        <f>CF171/IS!CF124</f>
        <v>-0.70995519028641052</v>
      </c>
      <c r="CG179" s="582">
        <f>CG171/IS!CG124</f>
        <v>-1.9133819951338198</v>
      </c>
      <c r="CH179" s="582">
        <f>CH171/IS!CH124</f>
        <v>-1.4300876788186432</v>
      </c>
      <c r="CI179" s="582">
        <f>CI171/IS!CI124</f>
        <v>-2.5147465437788017</v>
      </c>
      <c r="CJ179" s="582">
        <f>CJ171/IS!CJ124</f>
        <v>-2.9227678571428575</v>
      </c>
      <c r="CK179" s="582">
        <f>CK171/IS!CK124</f>
        <v>-3.915929203539823</v>
      </c>
      <c r="CL179" s="582">
        <f>CL171/IS!CL124</f>
        <v>-2.6460176991150441</v>
      </c>
      <c r="CM179" s="582">
        <f>CM171/IS!CM124</f>
        <v>-5.8053097345132745</v>
      </c>
      <c r="CN179" s="582">
        <f>CN171/IS!CN124</f>
        <v>-10.017167381974248</v>
      </c>
      <c r="CO179" s="582">
        <f>CO171/IS!CO124</f>
        <v>-13.6</v>
      </c>
      <c r="CP179" s="582">
        <f>CP171/IS!CP124</f>
        <v>-4.1755102040816325</v>
      </c>
      <c r="CQ179" s="582">
        <f>CQ171/IS!CQ124</f>
        <v>-9.5691056910569099</v>
      </c>
      <c r="CR179" s="592">
        <f>CR171/IS!CR124</f>
        <v>-10.950413223140496</v>
      </c>
      <c r="CS179" s="582">
        <f>CS171/IS!CS124</f>
        <v>-12.548523206751055</v>
      </c>
      <c r="CT179" s="582">
        <f>CT171/IS!CT124</f>
        <v>36.104592691920878</v>
      </c>
      <c r="CU179" s="582">
        <f>CU171/IS!CU124</f>
        <v>22.881756756756758</v>
      </c>
      <c r="CV179" s="582">
        <f>CV171/IS!CV124</f>
        <v>18.126494549577437</v>
      </c>
      <c r="CW179" s="582">
        <f>CW171/IS!CW124</f>
        <v>11.563153779431611</v>
      </c>
      <c r="CX179" s="582">
        <f>CX171/IS!CX124</f>
        <v>3.9105874589393661</v>
      </c>
      <c r="CY179" s="582">
        <f>CY171/IS!CY124</f>
        <v>-3.0053710071638164</v>
      </c>
      <c r="CZ179" s="582">
        <f>CZ171/IS!CZ124</f>
        <v>-10.125939446319299</v>
      </c>
      <c r="DA179" s="582">
        <f>DA171/IS!DA124</f>
        <v>-16.449164722911657</v>
      </c>
      <c r="DB179" s="582">
        <f>DB171/IS!DB124</f>
        <v>-23.247274771600399</v>
      </c>
      <c r="DC179" s="582">
        <f>DC171/IS!DC124</f>
        <v>-30.547022644109052</v>
      </c>
      <c r="DD179" s="583"/>
      <c r="DE179" s="441"/>
      <c r="DF179" s="441"/>
      <c r="DG179" s="441"/>
      <c r="DH179" s="441"/>
      <c r="DI179" s="441"/>
      <c r="DJ179" s="441"/>
      <c r="DK179" s="441"/>
      <c r="DL179" s="441"/>
      <c r="DM179" s="441"/>
      <c r="DN179" s="441"/>
      <c r="DO179" s="441"/>
      <c r="DP179" s="441"/>
      <c r="DQ179" s="441"/>
      <c r="DR179" s="441"/>
    </row>
    <row r="180" spans="1:122" hidden="1" outlineLevel="1">
      <c r="A180" s="3"/>
      <c r="B180" s="293"/>
      <c r="C180" s="3"/>
      <c r="D180" s="3"/>
      <c r="E180" s="294"/>
      <c r="F180" s="293"/>
      <c r="G180" s="447"/>
      <c r="H180" s="447"/>
      <c r="I180" s="294"/>
      <c r="J180" s="293"/>
      <c r="K180" s="447"/>
      <c r="L180" s="447"/>
      <c r="M180" s="294"/>
      <c r="N180" s="293"/>
      <c r="O180" s="447"/>
      <c r="P180" s="447"/>
      <c r="Q180" s="294"/>
      <c r="R180" s="293"/>
      <c r="S180" s="447"/>
      <c r="T180" s="447"/>
      <c r="U180" s="294"/>
      <c r="V180" s="293"/>
      <c r="W180" s="447"/>
      <c r="X180" s="447"/>
      <c r="Y180" s="294"/>
      <c r="Z180" s="293"/>
      <c r="AA180" s="447"/>
      <c r="AB180" s="447"/>
      <c r="AC180" s="294"/>
      <c r="AD180" s="293"/>
      <c r="AE180" s="447"/>
      <c r="AF180" s="447"/>
      <c r="AG180" s="294"/>
      <c r="AH180" s="293"/>
      <c r="AI180" s="35"/>
      <c r="AJ180" s="35"/>
      <c r="AK180" s="294"/>
      <c r="AL180" s="34"/>
      <c r="AM180" s="35"/>
      <c r="AN180" s="35"/>
      <c r="AO180" s="294"/>
      <c r="AP180" s="34"/>
      <c r="AQ180" s="35"/>
      <c r="AR180" s="35"/>
      <c r="AS180" s="294"/>
      <c r="AT180" s="34"/>
      <c r="AU180" s="35"/>
      <c r="AV180" s="35"/>
      <c r="AW180" s="294"/>
      <c r="AX180" s="34"/>
      <c r="AY180" s="35"/>
      <c r="AZ180" s="35"/>
      <c r="BA180" s="294"/>
      <c r="BB180" s="34"/>
      <c r="BC180" s="35"/>
      <c r="BD180" s="35"/>
      <c r="BE180" s="294"/>
      <c r="BF180" s="34"/>
      <c r="BG180" s="35"/>
      <c r="BH180" s="35"/>
      <c r="BI180" s="294"/>
      <c r="BJ180" s="34"/>
      <c r="BK180" s="35"/>
      <c r="BL180" s="35"/>
      <c r="BM180" s="294"/>
      <c r="BN180" s="293"/>
      <c r="BO180" s="447"/>
      <c r="BP180" s="447"/>
      <c r="BQ180" s="294"/>
      <c r="BR180" s="293"/>
      <c r="BS180" s="447"/>
      <c r="BT180" s="447"/>
      <c r="BU180" s="294"/>
      <c r="BV180" s="293"/>
      <c r="BW180" s="447"/>
      <c r="BX180" s="447"/>
      <c r="BY180" s="294"/>
      <c r="BZ180" s="293"/>
      <c r="CA180" s="447"/>
      <c r="CB180" s="447"/>
      <c r="CC180" s="294"/>
      <c r="CD180" s="12"/>
      <c r="CE180" s="447"/>
      <c r="CF180" s="447"/>
      <c r="CG180" s="447"/>
      <c r="CH180" s="447"/>
      <c r="CI180" s="447"/>
      <c r="CJ180" s="447"/>
      <c r="CK180" s="447"/>
      <c r="CL180" s="447"/>
      <c r="CM180" s="447"/>
      <c r="CN180" s="447"/>
      <c r="CO180" s="447"/>
      <c r="CP180" s="447"/>
      <c r="CQ180" s="447"/>
      <c r="CR180" s="293"/>
      <c r="CS180" s="447"/>
      <c r="CT180" s="447"/>
      <c r="CU180" s="447"/>
      <c r="CV180" s="447"/>
      <c r="CW180" s="447"/>
      <c r="CX180" s="447"/>
      <c r="CY180" s="447"/>
      <c r="CZ180" s="447"/>
      <c r="DA180" s="447"/>
      <c r="DB180" s="447"/>
      <c r="DC180" s="447"/>
      <c r="DD180" s="294"/>
      <c r="DE180" s="24"/>
      <c r="DF180" s="24"/>
      <c r="DG180" s="29"/>
      <c r="DH180" s="29"/>
      <c r="DI180" s="29"/>
      <c r="DJ180" s="29"/>
      <c r="DK180" s="24"/>
      <c r="DL180" s="24"/>
      <c r="DM180" s="24"/>
      <c r="DN180" s="24"/>
      <c r="DO180" s="24"/>
      <c r="DP180" s="24"/>
      <c r="DQ180" s="24"/>
      <c r="DR180" s="24"/>
    </row>
    <row r="181" spans="1:122" hidden="1" outlineLevel="1">
      <c r="A181" s="3"/>
      <c r="B181" s="92" t="s">
        <v>608</v>
      </c>
      <c r="C181" s="3"/>
      <c r="D181" s="3"/>
      <c r="E181" s="55"/>
      <c r="F181" s="92"/>
      <c r="G181" s="31"/>
      <c r="H181" s="31"/>
      <c r="I181" s="55"/>
      <c r="J181" s="92"/>
      <c r="K181" s="31"/>
      <c r="L181" s="31"/>
      <c r="M181" s="55"/>
      <c r="N181" s="92"/>
      <c r="O181" s="31"/>
      <c r="P181" s="31"/>
      <c r="Q181" s="55"/>
      <c r="R181" s="92"/>
      <c r="S181" s="31"/>
      <c r="T181" s="31"/>
      <c r="U181" s="55"/>
      <c r="V181" s="92"/>
      <c r="W181" s="31"/>
      <c r="X181" s="31"/>
      <c r="Y181" s="55"/>
      <c r="Z181" s="92"/>
      <c r="AA181" s="31"/>
      <c r="AB181" s="31"/>
      <c r="AC181" s="55"/>
      <c r="AD181" s="92"/>
      <c r="AE181" s="31"/>
      <c r="AF181" s="31"/>
      <c r="AG181" s="55"/>
      <c r="AH181" s="92"/>
      <c r="AI181" s="96"/>
      <c r="AJ181" s="96"/>
      <c r="AK181" s="55"/>
      <c r="AL181" s="76"/>
      <c r="AM181" s="96"/>
      <c r="AN181" s="96"/>
      <c r="AO181" s="55"/>
      <c r="AP181" s="76"/>
      <c r="AQ181" s="96"/>
      <c r="AR181" s="96"/>
      <c r="AS181" s="55"/>
      <c r="AT181" s="76"/>
      <c r="AU181" s="96"/>
      <c r="AV181" s="96"/>
      <c r="AW181" s="55"/>
      <c r="AX181" s="76"/>
      <c r="AY181" s="96"/>
      <c r="AZ181" s="96"/>
      <c r="BA181" s="55"/>
      <c r="BB181" s="76"/>
      <c r="BC181" s="96"/>
      <c r="BD181" s="96"/>
      <c r="BE181" s="55"/>
      <c r="BF181" s="76"/>
      <c r="BG181" s="96"/>
      <c r="BH181" s="96"/>
      <c r="BI181" s="55"/>
      <c r="BJ181" s="76"/>
      <c r="BK181" s="96"/>
      <c r="BL181" s="96"/>
      <c r="BM181" s="55"/>
      <c r="BN181" s="92"/>
      <c r="BO181" s="31"/>
      <c r="BP181" s="31"/>
      <c r="BQ181" s="55"/>
      <c r="BR181" s="92"/>
      <c r="BS181" s="31"/>
      <c r="BT181" s="31"/>
      <c r="BU181" s="55"/>
      <c r="BV181" s="92"/>
      <c r="BW181" s="31"/>
      <c r="BX181" s="31"/>
      <c r="BY181" s="55"/>
      <c r="BZ181" s="92"/>
      <c r="CA181" s="31"/>
      <c r="CB181" s="31"/>
      <c r="CC181" s="55"/>
      <c r="CD181" s="12"/>
      <c r="CE181" s="31"/>
      <c r="CF181" s="31"/>
      <c r="CG181" s="31"/>
      <c r="CH181" s="31"/>
      <c r="CI181" s="31"/>
      <c r="CJ181" s="31"/>
      <c r="CK181" s="31"/>
      <c r="CL181" s="31"/>
      <c r="CM181" s="31"/>
      <c r="CN181" s="31"/>
      <c r="CO181" s="31"/>
      <c r="CP181" s="31"/>
      <c r="CQ181" s="31"/>
      <c r="CR181" s="92"/>
      <c r="CS181" s="31"/>
      <c r="CT181" s="31"/>
      <c r="CU181" s="31"/>
      <c r="CV181" s="31"/>
      <c r="CW181" s="31"/>
      <c r="CX181" s="31"/>
      <c r="CY181" s="31"/>
      <c r="CZ181" s="31"/>
      <c r="DA181" s="31"/>
      <c r="DB181" s="31"/>
      <c r="DC181" s="31"/>
      <c r="DD181" s="55"/>
      <c r="DE181" s="24"/>
      <c r="DF181" s="24"/>
      <c r="DG181" s="24"/>
      <c r="DH181" s="24"/>
      <c r="DI181" s="24"/>
      <c r="DJ181" s="24"/>
      <c r="DK181" s="24"/>
      <c r="DL181" s="24"/>
      <c r="DM181" s="24"/>
      <c r="DN181" s="24"/>
      <c r="DO181" s="24"/>
      <c r="DP181" s="24"/>
      <c r="DQ181" s="24"/>
      <c r="DR181" s="24"/>
    </row>
    <row r="182" spans="1:122" hidden="1" outlineLevel="1">
      <c r="A182" s="3"/>
      <c r="B182" s="296"/>
      <c r="C182" s="3" t="s">
        <v>88</v>
      </c>
      <c r="D182" s="3"/>
      <c r="E182" s="711"/>
      <c r="F182" s="593"/>
      <c r="G182" s="579"/>
      <c r="H182" s="579"/>
      <c r="I182" s="589"/>
      <c r="J182" s="593"/>
      <c r="K182" s="579"/>
      <c r="L182" s="579"/>
      <c r="M182" s="589">
        <f t="shared" ref="M182:AR182" si="481">SUM(M13:M16,M21)/SUM(M37:M40)</f>
        <v>1.3018362888464645</v>
      </c>
      <c r="N182" s="593">
        <f t="shared" si="481"/>
        <v>1.2556900147736161</v>
      </c>
      <c r="O182" s="579">
        <f t="shared" si="481"/>
        <v>1.4023532410676174</v>
      </c>
      <c r="P182" s="579">
        <f t="shared" si="481"/>
        <v>1.3879672799933396</v>
      </c>
      <c r="Q182" s="589">
        <f t="shared" si="481"/>
        <v>1.4714257464900138</v>
      </c>
      <c r="R182" s="593">
        <f t="shared" si="481"/>
        <v>1.2849066301182113</v>
      </c>
      <c r="S182" s="579">
        <f t="shared" si="481"/>
        <v>1.3604763437399421</v>
      </c>
      <c r="T182" s="579">
        <f t="shared" si="481"/>
        <v>1.4947274352100091</v>
      </c>
      <c r="U182" s="589">
        <f t="shared" si="481"/>
        <v>1.4995627077138358</v>
      </c>
      <c r="V182" s="593">
        <f t="shared" si="481"/>
        <v>1.3904296594338266</v>
      </c>
      <c r="W182" s="579">
        <f t="shared" si="481"/>
        <v>1.4424465524564634</v>
      </c>
      <c r="X182" s="579">
        <f t="shared" si="481"/>
        <v>1.5244215938303343</v>
      </c>
      <c r="Y182" s="589">
        <f t="shared" si="481"/>
        <v>1.4794589178356712</v>
      </c>
      <c r="Z182" s="593">
        <f t="shared" si="481"/>
        <v>1.5211048666746378</v>
      </c>
      <c r="AA182" s="579">
        <f t="shared" si="481"/>
        <v>1.672263603080419</v>
      </c>
      <c r="AB182" s="579">
        <f t="shared" si="481"/>
        <v>1.742716656422864</v>
      </c>
      <c r="AC182" s="589">
        <f t="shared" si="481"/>
        <v>1.7883509108341324</v>
      </c>
      <c r="AD182" s="593">
        <f t="shared" si="481"/>
        <v>1.6922268907563025</v>
      </c>
      <c r="AE182" s="579">
        <f t="shared" si="481"/>
        <v>1.7412451361867705</v>
      </c>
      <c r="AF182" s="579">
        <f t="shared" si="481"/>
        <v>1.7676190476190476</v>
      </c>
      <c r="AG182" s="589">
        <f t="shared" si="481"/>
        <v>1.7584973166368516</v>
      </c>
      <c r="AH182" s="593">
        <f t="shared" si="481"/>
        <v>1.6563360881542699</v>
      </c>
      <c r="AI182" s="579">
        <f t="shared" si="481"/>
        <v>1.6609740670461732</v>
      </c>
      <c r="AJ182" s="579">
        <f t="shared" si="481"/>
        <v>1.7484828051247472</v>
      </c>
      <c r="AK182" s="589">
        <f t="shared" si="481"/>
        <v>1.7534157449577099</v>
      </c>
      <c r="AL182" s="593">
        <f t="shared" si="481"/>
        <v>1.9007092198581561</v>
      </c>
      <c r="AM182" s="579">
        <f t="shared" si="481"/>
        <v>2.0502832861189804</v>
      </c>
      <c r="AN182" s="579">
        <f t="shared" si="481"/>
        <v>2.1708766716196135</v>
      </c>
      <c r="AO182" s="589">
        <f t="shared" si="481"/>
        <v>2.2383922383922386</v>
      </c>
      <c r="AP182" s="593">
        <f t="shared" si="481"/>
        <v>2.2576760987357014</v>
      </c>
      <c r="AQ182" s="579">
        <f t="shared" si="481"/>
        <v>2.3084161003659176</v>
      </c>
      <c r="AR182" s="579">
        <f t="shared" si="481"/>
        <v>2.5729671513193324</v>
      </c>
      <c r="AS182" s="589">
        <f t="shared" ref="AS182:BY182" si="482">SUM(AS13:AS16,AS21)/SUM(AS37:AS40)</f>
        <v>2.4621804903495046</v>
      </c>
      <c r="AT182" s="593">
        <f t="shared" si="482"/>
        <v>2.4070839398350317</v>
      </c>
      <c r="AU182" s="579">
        <f t="shared" si="482"/>
        <v>2.528395061728395</v>
      </c>
      <c r="AV182" s="579">
        <f t="shared" si="482"/>
        <v>2.7556149732620319</v>
      </c>
      <c r="AW182" s="589">
        <f t="shared" si="482"/>
        <v>2.7082922013820334</v>
      </c>
      <c r="AX182" s="593">
        <f t="shared" si="482"/>
        <v>2.704701049748973</v>
      </c>
      <c r="AY182" s="579">
        <f t="shared" si="482"/>
        <v>3.9372720641867249</v>
      </c>
      <c r="AZ182" s="579">
        <f t="shared" si="482"/>
        <v>1.9566360052562417</v>
      </c>
      <c r="BA182" s="589">
        <f t="shared" si="482"/>
        <v>1.8782219884271436</v>
      </c>
      <c r="BB182" s="593">
        <f t="shared" si="482"/>
        <v>2.0738816738816741</v>
      </c>
      <c r="BC182" s="579">
        <f t="shared" si="482"/>
        <v>2.3617511520737327</v>
      </c>
      <c r="BD182" s="579">
        <f t="shared" si="482"/>
        <v>2.4499332443257678</v>
      </c>
      <c r="BE182" s="589">
        <f t="shared" si="482"/>
        <v>2.0299225220411437</v>
      </c>
      <c r="BF182" s="593">
        <f t="shared" si="482"/>
        <v>2.2345144711928593</v>
      </c>
      <c r="BG182" s="579">
        <f t="shared" si="482"/>
        <v>2.1305912596401027</v>
      </c>
      <c r="BH182" s="579">
        <f t="shared" si="482"/>
        <v>2.293208172280508</v>
      </c>
      <c r="BI182" s="589">
        <f t="shared" si="482"/>
        <v>2.3440860215053765</v>
      </c>
      <c r="BJ182" s="593">
        <f t="shared" si="482"/>
        <v>2.3701555496968099</v>
      </c>
      <c r="BK182" s="579">
        <f t="shared" si="482"/>
        <v>2.7370417193426042</v>
      </c>
      <c r="BL182" s="579">
        <f t="shared" si="482"/>
        <v>2.7393565160870978</v>
      </c>
      <c r="BM182" s="589">
        <f t="shared" si="482"/>
        <v>3.0084775697633344</v>
      </c>
      <c r="BN182" s="593">
        <f t="shared" si="482"/>
        <v>3.0866619115549216</v>
      </c>
      <c r="BO182" s="579">
        <f t="shared" si="482"/>
        <v>3.1934332619557457</v>
      </c>
      <c r="BP182" s="579">
        <f t="shared" si="482"/>
        <v>3.3902249806051201</v>
      </c>
      <c r="BQ182" s="589">
        <f t="shared" si="482"/>
        <v>3.4810511756569849</v>
      </c>
      <c r="BR182" s="593">
        <f t="shared" si="482"/>
        <v>2.3751627180421764</v>
      </c>
      <c r="BS182" s="579">
        <f t="shared" si="482"/>
        <v>2.4263702955291739</v>
      </c>
      <c r="BT182" s="579">
        <f t="shared" si="482"/>
        <v>2.4983042635658914</v>
      </c>
      <c r="BU182" s="589">
        <f t="shared" si="482"/>
        <v>2.6893699829725128</v>
      </c>
      <c r="BV182" s="593">
        <f t="shared" si="482"/>
        <v>2.8069342199002612</v>
      </c>
      <c r="BW182" s="579">
        <f t="shared" si="482"/>
        <v>2.7244422652610933</v>
      </c>
      <c r="BX182" s="579">
        <f t="shared" si="482"/>
        <v>2.508572753307118</v>
      </c>
      <c r="BY182" s="589">
        <f t="shared" si="482"/>
        <v>2.5071327248188875</v>
      </c>
      <c r="BZ182" s="593">
        <f>SUM(BZ13:BZ16,BZ21)/SUM(BZ37:BZ40)</f>
        <v>2.4713060642532323</v>
      </c>
      <c r="CA182" s="579">
        <f>SUM(CA13:CA16,CA21)/SUM(CA37:CA40)</f>
        <v>2.5355953835288418</v>
      </c>
      <c r="CB182" s="579">
        <f>SUM(CB13:CB16,CB21)/SUM(CB37:CB40)</f>
        <v>2.7405352249447228</v>
      </c>
      <c r="CC182" s="589">
        <f>SUM(CC13:CC16,CC21)/SUM(CC37:CC40)</f>
        <v>2.9424191931189778</v>
      </c>
      <c r="CD182" s="618"/>
      <c r="CE182" s="593"/>
      <c r="CF182" s="579">
        <f t="shared" ref="CF182:DA182" si="483">SUM(CF13:CF16,CF21)/SUM(CF37:CF40)</f>
        <v>1.3018362888464645</v>
      </c>
      <c r="CG182" s="579">
        <f t="shared" si="483"/>
        <v>1.4714257464900138</v>
      </c>
      <c r="CH182" s="579">
        <f t="shared" si="483"/>
        <v>1.4995627077138358</v>
      </c>
      <c r="CI182" s="579">
        <f t="shared" si="483"/>
        <v>1.4794589178356712</v>
      </c>
      <c r="CJ182" s="579">
        <f t="shared" si="483"/>
        <v>1.7883509108341324</v>
      </c>
      <c r="CK182" s="579">
        <f t="shared" si="483"/>
        <v>1.7584973166368516</v>
      </c>
      <c r="CL182" s="579">
        <f t="shared" si="483"/>
        <v>1.7534157449577099</v>
      </c>
      <c r="CM182" s="579">
        <f t="shared" si="483"/>
        <v>2.2383922383922386</v>
      </c>
      <c r="CN182" s="579">
        <f t="shared" si="483"/>
        <v>2.4621804903495046</v>
      </c>
      <c r="CO182" s="579">
        <f t="shared" si="483"/>
        <v>2.7082922013820334</v>
      </c>
      <c r="CP182" s="579">
        <f t="shared" si="483"/>
        <v>1.8782219884271436</v>
      </c>
      <c r="CQ182" s="579">
        <f t="shared" si="483"/>
        <v>2.0299225220411437</v>
      </c>
      <c r="CR182" s="593">
        <f t="shared" si="483"/>
        <v>2.3440860215053765</v>
      </c>
      <c r="CS182" s="579">
        <f t="shared" si="483"/>
        <v>3.0084775697633344</v>
      </c>
      <c r="CT182" s="579">
        <f t="shared" si="483"/>
        <v>3.4810511756569849</v>
      </c>
      <c r="CU182" s="579">
        <f t="shared" si="483"/>
        <v>2.6893699829725128</v>
      </c>
      <c r="CV182" s="579">
        <f t="shared" si="483"/>
        <v>2.5071327248188875</v>
      </c>
      <c r="CW182" s="579">
        <f>SUM(CW13:CW16,CW21)/SUM(CW37:CW40)</f>
        <v>2.9424191931189778</v>
      </c>
      <c r="CX182" s="579">
        <f t="shared" si="483"/>
        <v>3.1722779437868103</v>
      </c>
      <c r="CY182" s="579">
        <f t="shared" si="483"/>
        <v>3.353066624072083</v>
      </c>
      <c r="CZ182" s="579">
        <f t="shared" si="483"/>
        <v>3.5845547995589002</v>
      </c>
      <c r="DA182" s="579">
        <f t="shared" si="483"/>
        <v>3.7314700189080545</v>
      </c>
      <c r="DB182" s="579">
        <f>SUM(DB13:DB16,DB21)/SUM(DB37:DB40)</f>
        <v>3.9021736033576895</v>
      </c>
      <c r="DC182" s="579">
        <f>SUM(DC13:DC16,DC21)/SUM(DC37:DC40)</f>
        <v>4.0935954902999248</v>
      </c>
      <c r="DD182" s="589"/>
      <c r="DE182" s="24"/>
      <c r="DF182" s="24"/>
      <c r="DG182" s="24"/>
      <c r="DH182" s="24"/>
      <c r="DI182" s="24"/>
      <c r="DJ182" s="24"/>
      <c r="DK182" s="24"/>
      <c r="DL182" s="24"/>
      <c r="DM182" s="24"/>
      <c r="DN182" s="24"/>
      <c r="DO182" s="24"/>
      <c r="DP182" s="24"/>
      <c r="DQ182" s="24"/>
      <c r="DR182" s="24"/>
    </row>
    <row r="183" spans="1:122" hidden="1" outlineLevel="1">
      <c r="A183" s="3"/>
      <c r="B183" s="296"/>
      <c r="C183" s="3" t="s">
        <v>89</v>
      </c>
      <c r="D183" s="3"/>
      <c r="E183" s="705"/>
      <c r="F183" s="594"/>
      <c r="G183" s="580"/>
      <c r="H183" s="580"/>
      <c r="I183" s="590"/>
      <c r="J183" s="594"/>
      <c r="K183" s="580"/>
      <c r="L183" s="580"/>
      <c r="M183" s="590">
        <f t="shared" ref="M183:AR183" si="484">SUM(M13:M15,M21)/SUM(M37:M40)</f>
        <v>1.1212703458048772</v>
      </c>
      <c r="N183" s="594">
        <f t="shared" si="484"/>
        <v>1.0568914573737724</v>
      </c>
      <c r="O183" s="580">
        <f t="shared" si="484"/>
        <v>1.1883280699660326</v>
      </c>
      <c r="P183" s="580">
        <f t="shared" si="484"/>
        <v>1.1576305053700775</v>
      </c>
      <c r="Q183" s="590">
        <f t="shared" si="484"/>
        <v>1.2780304528376507</v>
      </c>
      <c r="R183" s="594">
        <f t="shared" si="484"/>
        <v>1.0743532636628406</v>
      </c>
      <c r="S183" s="580">
        <f t="shared" si="484"/>
        <v>1.109752172513679</v>
      </c>
      <c r="T183" s="580">
        <f t="shared" si="484"/>
        <v>1.2282394995531725</v>
      </c>
      <c r="U183" s="590">
        <f t="shared" si="484"/>
        <v>1.2396361728179115</v>
      </c>
      <c r="V183" s="594">
        <f t="shared" si="484"/>
        <v>1.1830722805000717</v>
      </c>
      <c r="W183" s="580">
        <f t="shared" si="484"/>
        <v>1.2749539855585446</v>
      </c>
      <c r="X183" s="580">
        <f t="shared" si="484"/>
        <v>1.3410905154918145</v>
      </c>
      <c r="Y183" s="590">
        <f t="shared" si="484"/>
        <v>1.2879509018036071</v>
      </c>
      <c r="Z183" s="594">
        <f t="shared" si="484"/>
        <v>1.3144804495994256</v>
      </c>
      <c r="AA183" s="580">
        <f t="shared" si="484"/>
        <v>1.4597904305011993</v>
      </c>
      <c r="AB183" s="580">
        <f t="shared" si="484"/>
        <v>1.5244007375537798</v>
      </c>
      <c r="AC183" s="590">
        <f t="shared" si="484"/>
        <v>1.5425455417066158</v>
      </c>
      <c r="AD183" s="594">
        <f t="shared" si="484"/>
        <v>1.4653361344537814</v>
      </c>
      <c r="AE183" s="580">
        <f t="shared" si="484"/>
        <v>1.4834630350194553</v>
      </c>
      <c r="AF183" s="580">
        <f t="shared" si="484"/>
        <v>1.5361904761904761</v>
      </c>
      <c r="AG183" s="590">
        <f t="shared" si="484"/>
        <v>1.5268336314847943</v>
      </c>
      <c r="AH183" s="594">
        <f t="shared" si="484"/>
        <v>1.3388429752066116</v>
      </c>
      <c r="AI183" s="580">
        <f t="shared" si="484"/>
        <v>1.370651486401012</v>
      </c>
      <c r="AJ183" s="580">
        <f t="shared" si="484"/>
        <v>1.4416722859069453</v>
      </c>
      <c r="AK183" s="590">
        <f t="shared" si="484"/>
        <v>1.4567338972023423</v>
      </c>
      <c r="AL183" s="594">
        <f t="shared" si="484"/>
        <v>1.5931656995486783</v>
      </c>
      <c r="AM183" s="580">
        <f t="shared" si="484"/>
        <v>1.7344192634560907</v>
      </c>
      <c r="AN183" s="580">
        <f t="shared" si="484"/>
        <v>1.8848439821693908</v>
      </c>
      <c r="AO183" s="590">
        <f t="shared" si="484"/>
        <v>1.9778239778239779</v>
      </c>
      <c r="AP183" s="594">
        <f t="shared" si="484"/>
        <v>2.0198675496688741</v>
      </c>
      <c r="AQ183" s="580">
        <f t="shared" si="484"/>
        <v>2.0716152639832726</v>
      </c>
      <c r="AR183" s="580">
        <f t="shared" si="484"/>
        <v>2.2999461497038234</v>
      </c>
      <c r="AS183" s="590">
        <f t="shared" ref="AS183:BY183" si="485">SUM(AS13:AS15,AS21)/SUM(AS37:AS40)</f>
        <v>2.170057381324987</v>
      </c>
      <c r="AT183" s="594">
        <f t="shared" si="485"/>
        <v>2.1348859776807374</v>
      </c>
      <c r="AU183" s="580">
        <f t="shared" si="485"/>
        <v>2.2479012345679013</v>
      </c>
      <c r="AV183" s="580">
        <f t="shared" si="485"/>
        <v>2.4486631016042781</v>
      </c>
      <c r="AW183" s="590">
        <f t="shared" si="485"/>
        <v>2.4234945705824282</v>
      </c>
      <c r="AX183" s="594">
        <f t="shared" si="485"/>
        <v>2.4103149246919213</v>
      </c>
      <c r="AY183" s="580">
        <f t="shared" si="485"/>
        <v>3.5973741794310721</v>
      </c>
      <c r="AZ183" s="580">
        <f t="shared" si="485"/>
        <v>1.6197109067017084</v>
      </c>
      <c r="BA183" s="590">
        <f t="shared" si="485"/>
        <v>1.5599684376643872</v>
      </c>
      <c r="BB183" s="594">
        <f t="shared" si="485"/>
        <v>1.6975468975468975</v>
      </c>
      <c r="BC183" s="580">
        <f t="shared" si="485"/>
        <v>1.9654377880184333</v>
      </c>
      <c r="BD183" s="580">
        <f t="shared" si="485"/>
        <v>2.0504005340453939</v>
      </c>
      <c r="BE183" s="590">
        <f t="shared" si="485"/>
        <v>1.7125300561047287</v>
      </c>
      <c r="BF183" s="594">
        <f t="shared" si="485"/>
        <v>1.8980254260210982</v>
      </c>
      <c r="BG183" s="580">
        <f t="shared" si="485"/>
        <v>1.7982005141388175</v>
      </c>
      <c r="BH183" s="580">
        <f t="shared" si="485"/>
        <v>1.9406405300938707</v>
      </c>
      <c r="BI183" s="590">
        <f t="shared" si="485"/>
        <v>2.0145161290322582</v>
      </c>
      <c r="BJ183" s="594">
        <f t="shared" si="485"/>
        <v>2.0348009491167942</v>
      </c>
      <c r="BK183" s="580">
        <f t="shared" si="485"/>
        <v>2.331858407079646</v>
      </c>
      <c r="BL183" s="580">
        <f t="shared" si="485"/>
        <v>2.3097172570685731</v>
      </c>
      <c r="BM183" s="590">
        <f t="shared" si="485"/>
        <v>2.5252560932532675</v>
      </c>
      <c r="BN183" s="594">
        <f t="shared" si="485"/>
        <v>2.6373038516405134</v>
      </c>
      <c r="BO183" s="580">
        <f t="shared" si="485"/>
        <v>2.7516059957173447</v>
      </c>
      <c r="BP183" s="580">
        <f t="shared" si="485"/>
        <v>2.9142746314972845</v>
      </c>
      <c r="BQ183" s="590">
        <f t="shared" si="485"/>
        <v>2.892116182572614</v>
      </c>
      <c r="BR183" s="594">
        <f t="shared" si="485"/>
        <v>1.826086956521739</v>
      </c>
      <c r="BS183" s="580">
        <f t="shared" si="485"/>
        <v>1.8997221520586007</v>
      </c>
      <c r="BT183" s="580">
        <f t="shared" si="485"/>
        <v>1.9522771317829457</v>
      </c>
      <c r="BU183" s="590">
        <f t="shared" si="485"/>
        <v>2.1199221600583797</v>
      </c>
      <c r="BV183" s="594">
        <f t="shared" si="485"/>
        <v>2.2602707195440512</v>
      </c>
      <c r="BW183" s="580">
        <f t="shared" si="485"/>
        <v>2.1652365775925473</v>
      </c>
      <c r="BX183" s="580">
        <f t="shared" si="485"/>
        <v>1.9628159153632021</v>
      </c>
      <c r="BY183" s="590">
        <f t="shared" si="485"/>
        <v>1.9646726736730282</v>
      </c>
      <c r="BZ183" s="594">
        <f>SUM(BZ13:BZ15,BZ21)/SUM(BZ37:BZ40)</f>
        <v>1.9382461093506991</v>
      </c>
      <c r="CA183" s="580">
        <f>SUM(CA13:CA15,CA21)/SUM(CA37:CA40)</f>
        <v>2.0010039296466213</v>
      </c>
      <c r="CB183" s="580">
        <f>SUM(CB13:CB15,CB21)/SUM(CB37:CB40)</f>
        <v>2.1889361778669549</v>
      </c>
      <c r="CC183" s="590">
        <f>SUM(CC13:CC15,CC21)/SUM(CC37:CC40)</f>
        <v>2.4029248737483657</v>
      </c>
      <c r="CD183" s="618"/>
      <c r="CE183" s="594"/>
      <c r="CF183" s="580">
        <f t="shared" ref="CF183:DA183" si="486">SUM(CF13:CF15,CF21)/SUM(CF37:CF40)</f>
        <v>1.1212703458048772</v>
      </c>
      <c r="CG183" s="580">
        <f t="shared" si="486"/>
        <v>1.2780304528376507</v>
      </c>
      <c r="CH183" s="580">
        <f t="shared" si="486"/>
        <v>1.2396361728179115</v>
      </c>
      <c r="CI183" s="580">
        <f t="shared" si="486"/>
        <v>1.2879509018036071</v>
      </c>
      <c r="CJ183" s="580">
        <f t="shared" si="486"/>
        <v>1.5425455417066158</v>
      </c>
      <c r="CK183" s="580">
        <f t="shared" si="486"/>
        <v>1.5268336314847943</v>
      </c>
      <c r="CL183" s="580">
        <f t="shared" si="486"/>
        <v>1.4567338972023423</v>
      </c>
      <c r="CM183" s="580">
        <f t="shared" si="486"/>
        <v>1.9778239778239779</v>
      </c>
      <c r="CN183" s="580">
        <f t="shared" si="486"/>
        <v>2.170057381324987</v>
      </c>
      <c r="CO183" s="580">
        <f t="shared" si="486"/>
        <v>2.4234945705824282</v>
      </c>
      <c r="CP183" s="580">
        <f t="shared" si="486"/>
        <v>1.5599684376643872</v>
      </c>
      <c r="CQ183" s="580">
        <f t="shared" si="486"/>
        <v>1.7125300561047287</v>
      </c>
      <c r="CR183" s="594">
        <f t="shared" si="486"/>
        <v>2.0145161290322582</v>
      </c>
      <c r="CS183" s="580">
        <f t="shared" si="486"/>
        <v>2.5252560932532675</v>
      </c>
      <c r="CT183" s="580">
        <f t="shared" si="486"/>
        <v>2.892116182572614</v>
      </c>
      <c r="CU183" s="580">
        <f t="shared" si="486"/>
        <v>2.1199221600583797</v>
      </c>
      <c r="CV183" s="580">
        <f t="shared" si="486"/>
        <v>1.9646726736730282</v>
      </c>
      <c r="CW183" s="580">
        <f>SUM(CW13:CW15,CW21)/SUM(CW37:CW40)</f>
        <v>2.4029248737483657</v>
      </c>
      <c r="CX183" s="580">
        <f t="shared" si="486"/>
        <v>2.6186825259209403</v>
      </c>
      <c r="CY183" s="580">
        <f t="shared" si="486"/>
        <v>2.7950848169381799</v>
      </c>
      <c r="CZ183" s="580">
        <f t="shared" si="486"/>
        <v>3.0254559390496287</v>
      </c>
      <c r="DA183" s="580">
        <f t="shared" si="486"/>
        <v>3.1710729709751302</v>
      </c>
      <c r="DB183" s="580">
        <f>SUM(DB13:DB15,DB21)/SUM(DB37:DB40)</f>
        <v>3.340819340182227</v>
      </c>
      <c r="DC183" s="580">
        <f>SUM(DC13:DC15,DC21)/SUM(DC37:DC40)</f>
        <v>3.5312995577377082</v>
      </c>
      <c r="DD183" s="590"/>
      <c r="DE183" s="24"/>
      <c r="DF183" s="24"/>
      <c r="DG183" s="24"/>
      <c r="DH183" s="24"/>
      <c r="DI183" s="24"/>
      <c r="DJ183" s="24"/>
      <c r="DK183" s="24"/>
      <c r="DL183" s="24"/>
      <c r="DM183" s="24"/>
      <c r="DN183" s="24"/>
      <c r="DO183" s="24"/>
      <c r="DP183" s="24"/>
      <c r="DQ183" s="24"/>
      <c r="DR183" s="24"/>
    </row>
    <row r="184" spans="1:122" hidden="1" outlineLevel="1">
      <c r="A184" s="3"/>
      <c r="B184" s="296"/>
      <c r="C184" s="3" t="s">
        <v>90</v>
      </c>
      <c r="D184" s="3"/>
      <c r="E184" s="711"/>
      <c r="F184" s="595"/>
      <c r="G184" s="581"/>
      <c r="H184" s="581"/>
      <c r="I184" s="591"/>
      <c r="J184" s="595"/>
      <c r="K184" s="581"/>
      <c r="L184" s="581"/>
      <c r="M184" s="591">
        <f t="shared" ref="M184:AR184" si="487">SUM(M13:M14)/SUM(M37:M40)</f>
        <v>0.55041429667972219</v>
      </c>
      <c r="N184" s="595">
        <f t="shared" si="487"/>
        <v>0.53108542626227517</v>
      </c>
      <c r="O184" s="581">
        <f t="shared" si="487"/>
        <v>0.66143229677703885</v>
      </c>
      <c r="P184" s="581">
        <f t="shared" si="487"/>
        <v>0.72237948547165098</v>
      </c>
      <c r="Q184" s="591">
        <f t="shared" si="487"/>
        <v>0.77753608859007306</v>
      </c>
      <c r="R184" s="595">
        <f t="shared" si="487"/>
        <v>0.4896350865170464</v>
      </c>
      <c r="S184" s="581">
        <f t="shared" si="487"/>
        <v>0.51239137431606052</v>
      </c>
      <c r="T184" s="581">
        <f t="shared" si="487"/>
        <v>0.6432529043789097</v>
      </c>
      <c r="U184" s="591">
        <f t="shared" si="487"/>
        <v>0.66083610285114569</v>
      </c>
      <c r="V184" s="595">
        <f t="shared" si="487"/>
        <v>0.58226756717919237</v>
      </c>
      <c r="W184" s="581">
        <f t="shared" si="487"/>
        <v>0.69729576667138615</v>
      </c>
      <c r="X184" s="581">
        <f t="shared" si="487"/>
        <v>0.7770261128399405</v>
      </c>
      <c r="Y184" s="591">
        <f t="shared" si="487"/>
        <v>0.74949899799599184</v>
      </c>
      <c r="Z184" s="595">
        <f t="shared" si="487"/>
        <v>0.69508549563553734</v>
      </c>
      <c r="AA184" s="581">
        <f t="shared" si="487"/>
        <v>0.81391238479989902</v>
      </c>
      <c r="AB184" s="581">
        <f t="shared" si="487"/>
        <v>0.82864167178856785</v>
      </c>
      <c r="AC184" s="591">
        <f t="shared" si="487"/>
        <v>0.83748801534036443</v>
      </c>
      <c r="AD184" s="595">
        <f t="shared" si="487"/>
        <v>0.78886554621848737</v>
      </c>
      <c r="AE184" s="581">
        <f t="shared" si="487"/>
        <v>0.80739299610894943</v>
      </c>
      <c r="AF184" s="581">
        <f t="shared" si="487"/>
        <v>0.83333333333333337</v>
      </c>
      <c r="AG184" s="591">
        <f t="shared" si="487"/>
        <v>0.81127012522361364</v>
      </c>
      <c r="AH184" s="595">
        <f t="shared" si="487"/>
        <v>0.58608815426997241</v>
      </c>
      <c r="AI184" s="581">
        <f t="shared" si="487"/>
        <v>0.61163820366856425</v>
      </c>
      <c r="AJ184" s="581">
        <f t="shared" si="487"/>
        <v>0.63991908293998656</v>
      </c>
      <c r="AK184" s="591">
        <f t="shared" si="487"/>
        <v>0.7202342225113858</v>
      </c>
      <c r="AL184" s="595">
        <f t="shared" si="487"/>
        <v>0.7833655705996132</v>
      </c>
      <c r="AM184" s="581">
        <f t="shared" si="487"/>
        <v>0.9745042492917847</v>
      </c>
      <c r="AN184" s="581">
        <f t="shared" si="487"/>
        <v>1.1731054977711739</v>
      </c>
      <c r="AO184" s="591">
        <f t="shared" si="487"/>
        <v>1.2432432432432432</v>
      </c>
      <c r="AP184" s="595">
        <f t="shared" si="487"/>
        <v>1.2378085490668271</v>
      </c>
      <c r="AQ184" s="581">
        <f t="shared" si="487"/>
        <v>1.2728698379508625</v>
      </c>
      <c r="AR184" s="581">
        <f t="shared" si="487"/>
        <v>1.5218093699515347</v>
      </c>
      <c r="AS184" s="591">
        <f t="shared" ref="AS184:BY184" si="488">SUM(AS13:AS14)/SUM(AS37:AS40)</f>
        <v>1.4261867501304122</v>
      </c>
      <c r="AT184" s="595">
        <f t="shared" si="488"/>
        <v>1.3867054827753518</v>
      </c>
      <c r="AU184" s="581">
        <f t="shared" si="488"/>
        <v>1.5358024691358025</v>
      </c>
      <c r="AV184" s="581">
        <f t="shared" si="488"/>
        <v>1.7272727272727273</v>
      </c>
      <c r="AW184" s="591">
        <f t="shared" si="488"/>
        <v>1.7226061204343535</v>
      </c>
      <c r="AX184" s="595">
        <f t="shared" si="488"/>
        <v>1.6773162939297124</v>
      </c>
      <c r="AY184" s="581">
        <f t="shared" si="488"/>
        <v>2.8621444201312909</v>
      </c>
      <c r="AZ184" s="581">
        <f t="shared" si="488"/>
        <v>0.88751642575558476</v>
      </c>
      <c r="BA184" s="591">
        <f t="shared" si="488"/>
        <v>0.84376643871646506</v>
      </c>
      <c r="BB184" s="595">
        <f t="shared" si="488"/>
        <v>1.0207792207792208</v>
      </c>
      <c r="BC184" s="581">
        <f t="shared" si="488"/>
        <v>1.2560895325872283</v>
      </c>
      <c r="BD184" s="581">
        <f t="shared" si="488"/>
        <v>1.3551401869158879</v>
      </c>
      <c r="BE184" s="591">
        <f t="shared" si="488"/>
        <v>1.1512156024579214</v>
      </c>
      <c r="BF184" s="595">
        <f t="shared" si="488"/>
        <v>1.3170137949688936</v>
      </c>
      <c r="BG184" s="581">
        <f t="shared" si="488"/>
        <v>1.1966580976863752</v>
      </c>
      <c r="BH184" s="581">
        <f t="shared" si="488"/>
        <v>1.3431805632247378</v>
      </c>
      <c r="BI184" s="591">
        <f t="shared" si="488"/>
        <v>1.3677419354838709</v>
      </c>
      <c r="BJ184" s="595">
        <f t="shared" si="488"/>
        <v>1.4186659636171897</v>
      </c>
      <c r="BK184" s="581">
        <f t="shared" si="488"/>
        <v>1.6254740834386852</v>
      </c>
      <c r="BL184" s="581">
        <f t="shared" si="488"/>
        <v>1.6379590510237243</v>
      </c>
      <c r="BM184" s="591">
        <f t="shared" si="488"/>
        <v>1.8671847403744259</v>
      </c>
      <c r="BN184" s="595">
        <f t="shared" si="488"/>
        <v>1.9358059914407988</v>
      </c>
      <c r="BO184" s="581">
        <f t="shared" si="488"/>
        <v>2.0913633119200572</v>
      </c>
      <c r="BP184" s="581">
        <f t="shared" si="488"/>
        <v>2.3401861908456167</v>
      </c>
      <c r="BQ184" s="591">
        <f t="shared" si="488"/>
        <v>2.3175656984785618</v>
      </c>
      <c r="BR184" s="595">
        <f t="shared" si="488"/>
        <v>1.1260088518614944</v>
      </c>
      <c r="BS184" s="581">
        <f t="shared" si="488"/>
        <v>1.2884566809800455</v>
      </c>
      <c r="BT184" s="581">
        <f t="shared" si="488"/>
        <v>1.3752422480620154</v>
      </c>
      <c r="BU184" s="591">
        <f t="shared" si="488"/>
        <v>1.5514473364144976</v>
      </c>
      <c r="BV184" s="595">
        <f t="shared" si="488"/>
        <v>1.6435526003324625</v>
      </c>
      <c r="BW184" s="581">
        <f t="shared" si="488"/>
        <v>1.5432704094140721</v>
      </c>
      <c r="BX184" s="581">
        <f t="shared" si="488"/>
        <v>1.3730816125118395</v>
      </c>
      <c r="BY184" s="591">
        <f t="shared" si="488"/>
        <v>1.4004086607842074</v>
      </c>
      <c r="BZ184" s="595">
        <f>SUM(BZ13:BZ14)/SUM(BZ37:BZ40)</f>
        <v>1.3721776734141733</v>
      </c>
      <c r="CA184" s="581">
        <f>SUM(CA13:CA14)/SUM(CA37:CA40)</f>
        <v>1.4902173359869919</v>
      </c>
      <c r="CB184" s="581">
        <f>SUM(CB13:CB14)/SUM(CB37:CB40)</f>
        <v>1.6511333452384191</v>
      </c>
      <c r="CC184" s="591">
        <f>SUM(CC13:CC14)/SUM(CC37:CC40)</f>
        <v>1.7820739867761366</v>
      </c>
      <c r="CD184" s="618"/>
      <c r="CE184" s="595"/>
      <c r="CF184" s="581">
        <f t="shared" ref="CF184:DA184" si="489">SUM(CF13:CF14)/SUM(CF37:CF40)</f>
        <v>0.55041429667972219</v>
      </c>
      <c r="CG184" s="581">
        <f t="shared" si="489"/>
        <v>0.77753608859007306</v>
      </c>
      <c r="CH184" s="581">
        <f t="shared" si="489"/>
        <v>0.66083610285114569</v>
      </c>
      <c r="CI184" s="581">
        <f t="shared" si="489"/>
        <v>0.74949899799599184</v>
      </c>
      <c r="CJ184" s="581">
        <f t="shared" si="489"/>
        <v>0.83748801534036443</v>
      </c>
      <c r="CK184" s="581">
        <f t="shared" si="489"/>
        <v>0.81127012522361364</v>
      </c>
      <c r="CL184" s="581">
        <f t="shared" si="489"/>
        <v>0.7202342225113858</v>
      </c>
      <c r="CM184" s="581">
        <f t="shared" si="489"/>
        <v>1.2432432432432432</v>
      </c>
      <c r="CN184" s="581">
        <f t="shared" si="489"/>
        <v>1.4261867501304122</v>
      </c>
      <c r="CO184" s="581">
        <f t="shared" si="489"/>
        <v>1.7226061204343535</v>
      </c>
      <c r="CP184" s="581">
        <f t="shared" si="489"/>
        <v>0.84376643871646506</v>
      </c>
      <c r="CQ184" s="581">
        <f t="shared" si="489"/>
        <v>1.1512156024579214</v>
      </c>
      <c r="CR184" s="595">
        <f t="shared" si="489"/>
        <v>1.3677419354838709</v>
      </c>
      <c r="CS184" s="581">
        <f t="shared" si="489"/>
        <v>1.8671847403744259</v>
      </c>
      <c r="CT184" s="581">
        <f t="shared" si="489"/>
        <v>2.3175656984785618</v>
      </c>
      <c r="CU184" s="581">
        <f t="shared" si="489"/>
        <v>1.5514473364144976</v>
      </c>
      <c r="CV184" s="581">
        <f t="shared" si="489"/>
        <v>1.4004086607842074</v>
      </c>
      <c r="CW184" s="581">
        <f>SUM(CW13:CW14)/SUM(CW37:CW40)</f>
        <v>1.7820739867761366</v>
      </c>
      <c r="CX184" s="581">
        <f t="shared" si="489"/>
        <v>1.9634247643091178</v>
      </c>
      <c r="CY184" s="581">
        <f t="shared" si="489"/>
        <v>2.1489299619406488</v>
      </c>
      <c r="CZ184" s="581">
        <f t="shared" si="489"/>
        <v>2.3799643497592369</v>
      </c>
      <c r="DA184" s="581">
        <f t="shared" si="489"/>
        <v>2.5284347534085319</v>
      </c>
      <c r="DB184" s="581">
        <f>SUM(DB13:DB14)/SUM(DB37:DB40)</f>
        <v>2.7012571433654875</v>
      </c>
      <c r="DC184" s="581">
        <f>SUM(DC13:DC14)/SUM(DC37:DC40)</f>
        <v>2.8947052394500559</v>
      </c>
      <c r="DD184" s="591"/>
      <c r="DE184" s="24"/>
      <c r="DF184" s="24"/>
      <c r="DG184" s="24"/>
      <c r="DH184" s="24"/>
      <c r="DI184" s="24"/>
      <c r="DJ184" s="24"/>
      <c r="DK184" s="24"/>
      <c r="DL184" s="24"/>
      <c r="DM184" s="24"/>
      <c r="DN184" s="24"/>
      <c r="DO184" s="24"/>
      <c r="DP184" s="24"/>
      <c r="DQ184" s="24"/>
      <c r="DR184" s="24"/>
    </row>
    <row r="185" spans="1:122" hidden="1" outlineLevel="1">
      <c r="A185" s="3"/>
      <c r="B185" s="23"/>
      <c r="C185" s="3"/>
      <c r="D185" s="3"/>
      <c r="E185" s="25"/>
      <c r="F185" s="23"/>
      <c r="G185" s="24"/>
      <c r="H185" s="24"/>
      <c r="I185" s="25"/>
      <c r="J185" s="23"/>
      <c r="K185" s="24"/>
      <c r="L185" s="24"/>
      <c r="M185" s="25"/>
      <c r="N185" s="23"/>
      <c r="O185" s="24"/>
      <c r="P185" s="24"/>
      <c r="Q185" s="25"/>
      <c r="R185" s="23"/>
      <c r="S185" s="24"/>
      <c r="T185" s="24"/>
      <c r="U185" s="25"/>
      <c r="V185" s="23"/>
      <c r="W185" s="24"/>
      <c r="X185" s="24"/>
      <c r="Y185" s="25"/>
      <c r="Z185" s="23"/>
      <c r="AA185" s="24"/>
      <c r="AB185" s="24"/>
      <c r="AC185" s="25"/>
      <c r="AD185" s="23"/>
      <c r="AE185" s="24"/>
      <c r="AF185" s="24"/>
      <c r="AG185" s="25"/>
      <c r="AH185" s="23"/>
      <c r="AI185" s="24"/>
      <c r="AJ185" s="24"/>
      <c r="AK185" s="25"/>
      <c r="AL185" s="24"/>
      <c r="AM185" s="24"/>
      <c r="AN185" s="24"/>
      <c r="AO185" s="25"/>
      <c r="AP185" s="24"/>
      <c r="AQ185" s="24"/>
      <c r="AR185" s="24"/>
      <c r="AS185" s="25"/>
      <c r="AT185" s="24"/>
      <c r="AU185" s="24"/>
      <c r="AV185" s="24"/>
      <c r="AW185" s="25"/>
      <c r="AX185" s="24"/>
      <c r="AY185" s="24"/>
      <c r="AZ185" s="24"/>
      <c r="BA185" s="25"/>
      <c r="BB185" s="24"/>
      <c r="BC185" s="24"/>
      <c r="BD185" s="24"/>
      <c r="BE185" s="25"/>
      <c r="BF185" s="24"/>
      <c r="BG185" s="24"/>
      <c r="BH185" s="24"/>
      <c r="BI185" s="25"/>
      <c r="BJ185" s="24"/>
      <c r="BK185" s="24"/>
      <c r="BL185" s="24"/>
      <c r="BM185" s="25"/>
      <c r="BN185" s="23"/>
      <c r="BO185" s="24"/>
      <c r="BP185" s="24"/>
      <c r="BQ185" s="25"/>
      <c r="BR185" s="23"/>
      <c r="BS185" s="24"/>
      <c r="BT185" s="24"/>
      <c r="BU185" s="25"/>
      <c r="BV185" s="23"/>
      <c r="BW185" s="24"/>
      <c r="BX185" s="24"/>
      <c r="BY185" s="25"/>
      <c r="BZ185" s="23"/>
      <c r="CA185" s="24"/>
      <c r="CB185" s="24"/>
      <c r="CC185" s="25"/>
      <c r="CD185" s="12"/>
      <c r="CE185" s="24"/>
      <c r="CF185" s="24"/>
      <c r="CG185" s="24"/>
      <c r="CH185" s="24"/>
      <c r="CI185" s="24"/>
      <c r="CJ185" s="24"/>
      <c r="CK185" s="24"/>
      <c r="CL185" s="24"/>
      <c r="CM185" s="24"/>
      <c r="CN185" s="24"/>
      <c r="CO185" s="24"/>
      <c r="CP185" s="24"/>
      <c r="CQ185" s="24"/>
      <c r="CR185" s="23"/>
      <c r="CS185" s="24"/>
      <c r="CT185" s="24"/>
      <c r="CU185" s="24"/>
      <c r="CV185" s="24"/>
      <c r="CW185" s="24"/>
      <c r="CX185" s="24"/>
      <c r="CY185" s="24"/>
      <c r="CZ185" s="24"/>
      <c r="DA185" s="24"/>
      <c r="DB185" s="24"/>
      <c r="DC185" s="24"/>
      <c r="DD185" s="25"/>
      <c r="DE185" s="24"/>
      <c r="DF185" s="24"/>
      <c r="DG185" s="24"/>
      <c r="DH185" s="24"/>
      <c r="DI185" s="24"/>
      <c r="DJ185" s="24"/>
      <c r="DK185" s="24"/>
      <c r="DL185" s="24"/>
      <c r="DM185" s="24"/>
      <c r="DN185" s="24"/>
      <c r="DO185" s="24"/>
      <c r="DP185" s="24"/>
      <c r="DQ185" s="24"/>
      <c r="DR185" s="24"/>
    </row>
    <row r="186" spans="1:122" hidden="1" outlineLevel="1">
      <c r="A186" s="3"/>
      <c r="B186" s="256" t="s">
        <v>36</v>
      </c>
      <c r="C186" s="96"/>
      <c r="D186" s="96"/>
      <c r="E186" s="97"/>
      <c r="F186" s="76"/>
      <c r="G186" s="96"/>
      <c r="H186" s="96"/>
      <c r="I186" s="97"/>
      <c r="J186" s="76"/>
      <c r="K186" s="96"/>
      <c r="L186" s="96"/>
      <c r="M186" s="97"/>
      <c r="N186" s="76"/>
      <c r="O186" s="96"/>
      <c r="P186" s="96"/>
      <c r="Q186" s="97"/>
      <c r="R186" s="76"/>
      <c r="S186" s="96"/>
      <c r="T186" s="96"/>
      <c r="U186" s="97"/>
      <c r="V186" s="76"/>
      <c r="W186" s="96"/>
      <c r="X186" s="96"/>
      <c r="Y186" s="97"/>
      <c r="Z186" s="76"/>
      <c r="AA186" s="96"/>
      <c r="AB186" s="96"/>
      <c r="AC186" s="97"/>
      <c r="AD186" s="76"/>
      <c r="AE186" s="96"/>
      <c r="AF186" s="96"/>
      <c r="AG186" s="97"/>
      <c r="AH186" s="76"/>
      <c r="AI186" s="96"/>
      <c r="AJ186" s="96"/>
      <c r="AK186" s="97"/>
      <c r="AL186" s="96"/>
      <c r="AM186" s="96"/>
      <c r="AN186" s="96"/>
      <c r="AO186" s="97"/>
      <c r="AP186" s="96"/>
      <c r="AQ186" s="96"/>
      <c r="AR186" s="96"/>
      <c r="AS186" s="97"/>
      <c r="AT186" s="96"/>
      <c r="AU186" s="96"/>
      <c r="AV186" s="96"/>
      <c r="AW186" s="97"/>
      <c r="AX186" s="96"/>
      <c r="AY186" s="96"/>
      <c r="AZ186" s="96"/>
      <c r="BA186" s="97"/>
      <c r="BB186" s="96"/>
      <c r="BC186" s="96"/>
      <c r="BD186" s="96"/>
      <c r="BE186" s="97"/>
      <c r="BF186" s="96"/>
      <c r="BG186" s="96"/>
      <c r="BH186" s="96"/>
      <c r="BI186" s="97"/>
      <c r="BJ186" s="96"/>
      <c r="BK186" s="96"/>
      <c r="BL186" s="96"/>
      <c r="BM186" s="97"/>
      <c r="BN186" s="76"/>
      <c r="BO186" s="96"/>
      <c r="BP186" s="96"/>
      <c r="BQ186" s="97"/>
      <c r="BR186" s="76"/>
      <c r="BS186" s="96"/>
      <c r="BT186" s="96"/>
      <c r="BU186" s="97"/>
      <c r="BV186" s="76"/>
      <c r="BW186" s="96"/>
      <c r="BX186" s="96"/>
      <c r="BY186" s="97"/>
      <c r="BZ186" s="76"/>
      <c r="CA186" s="96"/>
      <c r="CB186" s="96"/>
      <c r="CC186" s="97"/>
      <c r="CD186" s="12"/>
      <c r="CE186" s="96"/>
      <c r="CF186" s="96"/>
      <c r="CG186" s="96"/>
      <c r="CH186" s="96"/>
      <c r="CI186" s="96"/>
      <c r="CJ186" s="96"/>
      <c r="CK186" s="96"/>
      <c r="CL186" s="96"/>
      <c r="CM186" s="96"/>
      <c r="CN186" s="96"/>
      <c r="CO186" s="96"/>
      <c r="CP186" s="96"/>
      <c r="CQ186" s="96"/>
      <c r="CR186" s="76"/>
      <c r="CS186" s="96"/>
      <c r="CT186" s="96"/>
      <c r="CU186" s="96"/>
      <c r="CV186" s="96"/>
      <c r="CW186" s="96"/>
      <c r="CX186" s="96"/>
      <c r="CY186" s="96"/>
      <c r="CZ186" s="96"/>
      <c r="DA186" s="96"/>
      <c r="DB186" s="96"/>
      <c r="DC186" s="96"/>
      <c r="DD186" s="97"/>
      <c r="DE186" s="24"/>
      <c r="DF186" s="24"/>
      <c r="DG186" s="24"/>
      <c r="DH186" s="24"/>
      <c r="DI186" s="24"/>
      <c r="DJ186" s="24"/>
      <c r="DK186" s="24"/>
      <c r="DL186" s="24"/>
      <c r="DM186" s="24"/>
      <c r="DN186" s="24"/>
      <c r="DO186" s="24"/>
      <c r="DP186" s="24"/>
      <c r="DQ186" s="24"/>
      <c r="DR186" s="24"/>
    </row>
    <row r="187" spans="1:122" hidden="1" outlineLevel="1">
      <c r="A187" s="3"/>
      <c r="B187" s="76"/>
      <c r="C187" s="96" t="s">
        <v>51</v>
      </c>
      <c r="D187" s="96"/>
      <c r="E187" s="97"/>
      <c r="F187" s="339"/>
      <c r="G187" s="335"/>
      <c r="H187" s="335"/>
      <c r="I187" s="336"/>
      <c r="J187" s="339"/>
      <c r="K187" s="335"/>
      <c r="L187" s="335"/>
      <c r="M187" s="336">
        <f>IS!M143</f>
        <v>0.18637886657319092</v>
      </c>
      <c r="N187" s="339">
        <f>IS!N143</f>
        <v>0.32196061336055148</v>
      </c>
      <c r="O187" s="335">
        <f>IS!O143</f>
        <v>0.3042065914207539</v>
      </c>
      <c r="P187" s="335">
        <f>IS!P143</f>
        <v>0.18654904999750377</v>
      </c>
      <c r="Q187" s="336">
        <f>IS!Q143</f>
        <v>0.25817938716362887</v>
      </c>
      <c r="R187" s="339">
        <f>IS!R143</f>
        <v>0.22527622994403851</v>
      </c>
      <c r="S187" s="335">
        <f>IS!S143</f>
        <v>0.11384885954853563</v>
      </c>
      <c r="T187" s="335">
        <f>IS!T143</f>
        <v>6.099474578955455E-2</v>
      </c>
      <c r="U187" s="336">
        <f>IS!U143</f>
        <v>0.10074211580004344</v>
      </c>
      <c r="V187" s="339">
        <f>IS!V143</f>
        <v>0.15310529610749302</v>
      </c>
      <c r="W187" s="335">
        <f>IS!W143</f>
        <v>0.14387381656974374</v>
      </c>
      <c r="X187" s="335">
        <f>IS!X143</f>
        <v>0.22834373178326195</v>
      </c>
      <c r="Y187" s="336">
        <f>IS!Y143</f>
        <v>0.25584308351441898</v>
      </c>
      <c r="Z187" s="339">
        <f>IS!Z143</f>
        <v>0.22624304811002971</v>
      </c>
      <c r="AA187" s="335">
        <f>IS!AA143</f>
        <v>0.16979588073131668</v>
      </c>
      <c r="AB187" s="335">
        <f>IS!AB143</f>
        <v>0.22706322199010498</v>
      </c>
      <c r="AC187" s="336">
        <f>IS!AC143</f>
        <v>0.15435842394715671</v>
      </c>
      <c r="AD187" s="339">
        <f>IS!AD143</f>
        <v>0.25160177733103839</v>
      </c>
      <c r="AE187" s="335">
        <f>IS!AE143</f>
        <v>0.27832033941900058</v>
      </c>
      <c r="AF187" s="335">
        <f>IS!AF143</f>
        <v>0.24917369910272935</v>
      </c>
      <c r="AG187" s="336">
        <f>IS!AG143</f>
        <v>0.2590343578257881</v>
      </c>
      <c r="AH187" s="339">
        <f>IS!AH143</f>
        <v>0.39714414744536275</v>
      </c>
      <c r="AI187" s="335">
        <f>IS!AI143</f>
        <v>0.54352233642467018</v>
      </c>
      <c r="AJ187" s="335">
        <f>IS!AJ143</f>
        <v>0.49715054365230116</v>
      </c>
      <c r="AK187" s="336">
        <f>IS!AK143</f>
        <v>0.45829632141205212</v>
      </c>
      <c r="AL187" s="335">
        <f>IS!AL143</f>
        <v>0.19422616499133949</v>
      </c>
      <c r="AM187" s="335">
        <f>IS!AM143</f>
        <v>-0.17300270357660841</v>
      </c>
      <c r="AN187" s="335">
        <f>IS!AN143</f>
        <v>-0.24591579065803759</v>
      </c>
      <c r="AO187" s="336">
        <f>IS!AO143</f>
        <v>-3.2552049428616892E-2</v>
      </c>
      <c r="AP187" s="335">
        <f>IS!AP143</f>
        <v>4.6946761662707948E-2</v>
      </c>
      <c r="AQ187" s="335">
        <f>IS!AQ143</f>
        <v>0.43681020214883981</v>
      </c>
      <c r="AR187" s="335">
        <f>IS!AR143</f>
        <v>0.65903213816921014</v>
      </c>
      <c r="AS187" s="336">
        <f>IS!AS143</f>
        <v>0.23535763325986636</v>
      </c>
      <c r="AT187" s="335">
        <f>IS!AT143</f>
        <v>0.10824275362318847</v>
      </c>
      <c r="AU187" s="335">
        <f>IS!AU143</f>
        <v>-5.4982817869415834E-2</v>
      </c>
      <c r="AV187" s="335">
        <f>IS!AV143</f>
        <v>-0.14729269216205987</v>
      </c>
      <c r="AW187" s="336">
        <f>IS!AW143</f>
        <v>8.8161209068009505E-3</v>
      </c>
      <c r="AX187" s="335">
        <f>IS!AX143</f>
        <v>0.10093992644053951</v>
      </c>
      <c r="AY187" s="335">
        <f>IS!AY143</f>
        <v>-0.19393939393939397</v>
      </c>
      <c r="AZ187" s="335">
        <f>IS!AZ143</f>
        <v>0.34769094138543521</v>
      </c>
      <c r="BA187" s="336">
        <f>IS!BA143</f>
        <v>0.9783603828547649</v>
      </c>
      <c r="BB187" s="335">
        <f>IS!BB143</f>
        <v>0.49777282850779514</v>
      </c>
      <c r="BC187" s="335">
        <f>IS!BC143</f>
        <v>0.91679197994987471</v>
      </c>
      <c r="BD187" s="335">
        <f>IS!BD143</f>
        <v>0.24019769357495879</v>
      </c>
      <c r="BE187" s="336">
        <f>IS!BE143</f>
        <v>-0.21581825830879264</v>
      </c>
      <c r="BF187" s="335">
        <f>IS!BF143</f>
        <v>-5.7249070631970267E-2</v>
      </c>
      <c r="BG187" s="335">
        <f>IS!BG143</f>
        <v>3.8702928870292919E-2</v>
      </c>
      <c r="BH187" s="335">
        <f>IS!BH143</f>
        <v>-1.6206163655685391E-2</v>
      </c>
      <c r="BI187" s="336">
        <f>IS!BI143</f>
        <v>-2.0654506437768227E-2</v>
      </c>
      <c r="BJ187" s="335">
        <f>IS!BJ143</f>
        <v>3.6540483701366977E-2</v>
      </c>
      <c r="BK187" s="335">
        <f>IS!BK143</f>
        <v>-2.1148036253776481E-2</v>
      </c>
      <c r="BL187" s="335">
        <f>IS!BL143</f>
        <v>-4.1317850391574429E-2</v>
      </c>
      <c r="BM187" s="336">
        <f>IS!BM143</f>
        <v>-0.12599287866337994</v>
      </c>
      <c r="BN187" s="339">
        <f>IS!BN143</f>
        <v>-0.14785696170428608</v>
      </c>
      <c r="BO187" s="335">
        <f>IS!BO143</f>
        <v>-0.14686213991769548</v>
      </c>
      <c r="BP187" s="335">
        <f>IS!BP143</f>
        <v>-0.20507042253521124</v>
      </c>
      <c r="BQ187" s="336">
        <f>IS!BQ143</f>
        <v>9.526794108429959E-2</v>
      </c>
      <c r="BR187" s="339">
        <f>IS!BR143</f>
        <v>0.40297619047619038</v>
      </c>
      <c r="BS187" s="335">
        <f>IS!BS143</f>
        <v>0.47362074163400658</v>
      </c>
      <c r="BT187" s="335">
        <f>IS!BT143</f>
        <v>0.64741318214032595</v>
      </c>
      <c r="BU187" s="336">
        <f>IS!BU143</f>
        <v>0.38540772532188838</v>
      </c>
      <c r="BV187" s="339">
        <f>IS!BV143</f>
        <v>9.9066610097581664E-2</v>
      </c>
      <c r="BW187" s="335">
        <f>IS!BW143</f>
        <v>9.1653027823240585E-2</v>
      </c>
      <c r="BX187" s="335">
        <f>IS!BX143</f>
        <v>5.5947225209722395E-2</v>
      </c>
      <c r="BY187" s="336">
        <f>IS!BY143</f>
        <v>1.4874283201156357E-2</v>
      </c>
      <c r="BZ187" s="339">
        <f>IS!BZ143</f>
        <v>-2.1325740038837249E-2</v>
      </c>
      <c r="CA187" s="335">
        <f>IS!CA143</f>
        <v>-6.4822434642004878E-2</v>
      </c>
      <c r="CB187" s="335">
        <f>IS!CB143</f>
        <v>-5.6060008393157501E-2</v>
      </c>
      <c r="CC187" s="336">
        <f>IS!CC143</f>
        <v>-0.10742448965199114</v>
      </c>
      <c r="CD187" s="12"/>
      <c r="CE187" s="335"/>
      <c r="CF187" s="335">
        <f>IS!CF143</f>
        <v>0.10123913394788042</v>
      </c>
      <c r="CG187" s="335">
        <f>IS!CG143</f>
        <v>0.26374098251578548</v>
      </c>
      <c r="CH187" s="335">
        <f>IS!CH143</f>
        <v>0.12073852780849137</v>
      </c>
      <c r="CI187" s="335">
        <f>IS!CI143</f>
        <v>0.19431942830796012</v>
      </c>
      <c r="CJ187" s="335">
        <f>IS!CJ143</f>
        <v>0.19305972861064347</v>
      </c>
      <c r="CK187" s="335">
        <f>IS!CK143</f>
        <v>0.2597040077428483</v>
      </c>
      <c r="CL187" s="335">
        <f>IS!CL143</f>
        <v>0.47643397959686107</v>
      </c>
      <c r="CM187" s="335">
        <f>IS!CM143</f>
        <v>-7.7076257179005569E-2</v>
      </c>
      <c r="CN187" s="335">
        <f>IS!CN143</f>
        <v>0.32181833824146611</v>
      </c>
      <c r="CO187" s="335">
        <f>IS!CO143</f>
        <v>-2.7715736040609174E-2</v>
      </c>
      <c r="CP187" s="335">
        <f>IS!CP143</f>
        <v>0.30291322961261358</v>
      </c>
      <c r="CQ187" s="335">
        <f>IS!CQ143</f>
        <v>0.23024523160762933</v>
      </c>
      <c r="CR187" s="339">
        <f>IS!CR143</f>
        <v>-1.4396456256921319E-2</v>
      </c>
      <c r="CS187" s="335">
        <f>IS!CS143</f>
        <v>-3.6880370125578321E-2</v>
      </c>
      <c r="CT187" s="335">
        <f>IS!CT143</f>
        <v>-0.10828987098545151</v>
      </c>
      <c r="CU187" s="335">
        <f>IS!CU143</f>
        <v>0.46937047868246884</v>
      </c>
      <c r="CV187" s="335">
        <f>IS!CV143</f>
        <v>6.5318175732467454E-2</v>
      </c>
      <c r="CW187" s="335">
        <f>IS!CW143</f>
        <v>-6.1920554763520763E-2</v>
      </c>
      <c r="CX187" s="335">
        <f>IS!CX143</f>
        <v>7.2924038069256403E-2</v>
      </c>
      <c r="CY187" s="335">
        <f>IS!CY143</f>
        <v>3.6252265963877761E-2</v>
      </c>
      <c r="CZ187" s="335">
        <f>IS!CZ143</f>
        <v>3.8063661605375998E-2</v>
      </c>
      <c r="DA187" s="335">
        <f>IS!DA143</f>
        <v>4.6347477925979153E-2</v>
      </c>
      <c r="DB187" s="335">
        <f>IS!DB143</f>
        <v>5.0201013782605219E-2</v>
      </c>
      <c r="DC187" s="335">
        <f>IS!DC143</f>
        <v>5.4137204785502879E-2</v>
      </c>
      <c r="DD187" s="336"/>
      <c r="DE187" s="24"/>
      <c r="DF187" s="24"/>
      <c r="DG187" s="24"/>
      <c r="DH187" s="24"/>
      <c r="DI187" s="24"/>
      <c r="DJ187" s="24"/>
      <c r="DK187" s="24"/>
      <c r="DL187" s="24"/>
      <c r="DM187" s="24"/>
      <c r="DN187" s="24"/>
      <c r="DO187" s="24"/>
      <c r="DP187" s="24"/>
      <c r="DQ187" s="24"/>
      <c r="DR187" s="24"/>
    </row>
    <row r="188" spans="1:122" hidden="1" outlineLevel="1">
      <c r="A188" s="3"/>
      <c r="B188" s="76"/>
      <c r="C188" s="96" t="s">
        <v>592</v>
      </c>
      <c r="D188" s="96"/>
      <c r="E188" s="97"/>
      <c r="F188" s="339"/>
      <c r="G188" s="335"/>
      <c r="H188" s="335"/>
      <c r="I188" s="336"/>
      <c r="J188" s="339"/>
      <c r="K188" s="335"/>
      <c r="L188" s="335"/>
      <c r="M188" s="336">
        <f>IS!M158</f>
        <v>-9.1103961667751698E-2</v>
      </c>
      <c r="N188" s="339">
        <f>IS!N158</f>
        <v>7.8119966887579828E-2</v>
      </c>
      <c r="O188" s="335">
        <f>IS!O158</f>
        <v>0.28577195325427152</v>
      </c>
      <c r="P188" s="335">
        <f>IS!P158</f>
        <v>-5.8239549812209912E-2</v>
      </c>
      <c r="Q188" s="336">
        <f>IS!Q158</f>
        <v>-3.6235155633284499E-2</v>
      </c>
      <c r="R188" s="339">
        <f>IS!R158</f>
        <v>4.9925616277488372E-2</v>
      </c>
      <c r="S188" s="335">
        <f>IS!S158</f>
        <v>0.16884306474889632</v>
      </c>
      <c r="T188" s="335">
        <f>IS!T158</f>
        <v>-0.10292776180904206</v>
      </c>
      <c r="U188" s="336">
        <f>IS!U158</f>
        <v>-1.3024745710088492E-4</v>
      </c>
      <c r="V188" s="339">
        <f>IS!V158</f>
        <v>9.9871415175706524E-2</v>
      </c>
      <c r="W188" s="335">
        <f>IS!W158</f>
        <v>0.15948559247685523</v>
      </c>
      <c r="X188" s="335">
        <f>IS!X158</f>
        <v>-3.668302851527061E-2</v>
      </c>
      <c r="Y188" s="336">
        <f>IS!Y158</f>
        <v>2.225417906706495E-2</v>
      </c>
      <c r="Z188" s="339">
        <f>IS!Z158</f>
        <v>7.3947608884263216E-2</v>
      </c>
      <c r="AA188" s="335">
        <f>IS!AA158</f>
        <v>0.10611144498413516</v>
      </c>
      <c r="AB188" s="335">
        <f>IS!AB158</f>
        <v>1.0476140580033544E-2</v>
      </c>
      <c r="AC188" s="336">
        <f>IS!AC158</f>
        <v>-3.8315465842584273E-2</v>
      </c>
      <c r="AD188" s="339">
        <f>IS!AD158</f>
        <v>0.16441714129293206</v>
      </c>
      <c r="AE188" s="335">
        <f>IS!AE158</f>
        <v>0.1297241529990083</v>
      </c>
      <c r="AF188" s="335">
        <f>IS!AF158</f>
        <v>-1.2563455763278997E-2</v>
      </c>
      <c r="AG188" s="336">
        <f>IS!AG158</f>
        <v>-3.0724173296654556E-2</v>
      </c>
      <c r="AH188" s="339">
        <f>IS!AH158</f>
        <v>0.29214789416222398</v>
      </c>
      <c r="AI188" s="335">
        <f>IS!AI158</f>
        <v>0.24808486464393442</v>
      </c>
      <c r="AJ188" s="335">
        <f>IS!AJ158</f>
        <v>-4.2228852709378928E-2</v>
      </c>
      <c r="AK188" s="336">
        <f>IS!AK158</f>
        <v>-5.5878930473551525E-2</v>
      </c>
      <c r="AL188" s="335">
        <f>IS!AL158</f>
        <v>5.8164106697331075E-2</v>
      </c>
      <c r="AM188" s="335">
        <f>IS!AM158</f>
        <v>-0.13570574902370047</v>
      </c>
      <c r="AN188" s="335">
        <f>IS!AN158</f>
        <v>-0.12667175399636077</v>
      </c>
      <c r="AO188" s="336">
        <f>IS!AO158</f>
        <v>0.21125463507805842</v>
      </c>
      <c r="AP188" s="335">
        <f>IS!AP158</f>
        <v>0.14511740312249577</v>
      </c>
      <c r="AQ188" s="335">
        <f>IS!AQ158</f>
        <v>0.18614130434782616</v>
      </c>
      <c r="AR188" s="335">
        <f>IS!AR158</f>
        <v>8.4001527300496814E-3</v>
      </c>
      <c r="AS188" s="336">
        <f>IS!AS158</f>
        <v>-9.8068913290420334E-2</v>
      </c>
      <c r="AT188" s="335">
        <f>IS!AT158</f>
        <v>2.7287993282955503E-2</v>
      </c>
      <c r="AU188" s="335">
        <f>IS!AU158</f>
        <v>1.1442582754393138E-2</v>
      </c>
      <c r="AV188" s="335">
        <f>IS!AV158</f>
        <v>-9.0101010101010126E-2</v>
      </c>
      <c r="AW188" s="336">
        <f>IS!AW158</f>
        <v>6.7051509769094242E-2</v>
      </c>
      <c r="AX188" s="335">
        <f>IS!AX158</f>
        <v>0.12109862671660432</v>
      </c>
      <c r="AY188" s="335">
        <f>IS!AY158</f>
        <v>-0.25946547884187088</v>
      </c>
      <c r="AZ188" s="335">
        <f>IS!AZ158</f>
        <v>0.52130325814536338</v>
      </c>
      <c r="BA188" s="336">
        <f>IS!BA158</f>
        <v>0.5663920922570016</v>
      </c>
      <c r="BB188" s="335">
        <f>IS!BB158</f>
        <v>-0.15124106015986538</v>
      </c>
      <c r="BC188" s="335">
        <f>IS!BC158</f>
        <v>-5.2292441140024737E-2</v>
      </c>
      <c r="BD188" s="335">
        <f>IS!BD158</f>
        <v>-1.5690376569037712E-2</v>
      </c>
      <c r="BE188" s="336">
        <f>IS!BE158</f>
        <v>-9.5642933049946421E-3</v>
      </c>
      <c r="BF188" s="335">
        <f>IS!BF158</f>
        <v>2.0386266094420513E-2</v>
      </c>
      <c r="BG188" s="335">
        <f>IS!BG158</f>
        <v>4.4164037854889537E-2</v>
      </c>
      <c r="BH188" s="335">
        <f>IS!BH158</f>
        <v>-6.7724068479355526E-2</v>
      </c>
      <c r="BI188" s="336">
        <f>IS!BI158</f>
        <v>-1.4042668106940326E-2</v>
      </c>
      <c r="BJ188" s="335">
        <f>IS!BJ158</f>
        <v>7.9978088195015173E-2</v>
      </c>
      <c r="BK188" s="335">
        <f>IS!BK158</f>
        <v>-1.3948769972102482E-2</v>
      </c>
      <c r="BL188" s="335">
        <f>IS!BL158</f>
        <v>-8.6934156378600802E-2</v>
      </c>
      <c r="BM188" s="336">
        <f>IS!BM158</f>
        <v>-0.10112676056338032</v>
      </c>
      <c r="BN188" s="339">
        <f>IS!BN158</f>
        <v>5.2961454089627047E-2</v>
      </c>
      <c r="BO188" s="335">
        <f>IS!BO158</f>
        <v>-1.2797619047619002E-2</v>
      </c>
      <c r="BP188" s="335">
        <f>IS!BP158</f>
        <v>-0.14923123304190533</v>
      </c>
      <c r="BQ188" s="336">
        <f>IS!BQ158</f>
        <v>0.23848334514528702</v>
      </c>
      <c r="BR188" s="339">
        <f>IS!BR158</f>
        <v>0.34878397711015729</v>
      </c>
      <c r="BS188" s="335">
        <f>IS!BS158</f>
        <v>3.6911327959270324E-2</v>
      </c>
      <c r="BT188" s="335">
        <f>IS!BT158</f>
        <v>-4.8895253682487705E-2</v>
      </c>
      <c r="BU188" s="336">
        <f>IS!BU158</f>
        <v>4.1514304151430315E-2</v>
      </c>
      <c r="BV188" s="339">
        <f>IS!BV158</f>
        <v>7.0012391573729849E-2</v>
      </c>
      <c r="BW188" s="335">
        <f>IS!BW158</f>
        <v>2.9917004439297346E-2</v>
      </c>
      <c r="BX188" s="335">
        <f>IS!BX158</f>
        <v>-8.0004001124437951E-2</v>
      </c>
      <c r="BY188" s="336">
        <f>IS!BY158</f>
        <v>1.0027562310244154E-3</v>
      </c>
      <c r="BZ188" s="339">
        <f>IS!BZ158</f>
        <v>3.1845621478942876E-2</v>
      </c>
      <c r="CA188" s="335">
        <f>IS!CA158</f>
        <v>-1.5857148658877551E-2</v>
      </c>
      <c r="CB188" s="335">
        <f>IS!CB158</f>
        <v>-7.1383823109051336E-2</v>
      </c>
      <c r="CC188" s="336">
        <f>IS!CC158</f>
        <v>-5.3466794555721453E-2</v>
      </c>
      <c r="CD188" s="12"/>
      <c r="CE188" s="335"/>
      <c r="CF188" s="335"/>
      <c r="CG188" s="335"/>
      <c r="CH188" s="335"/>
      <c r="CI188" s="335"/>
      <c r="CJ188" s="335"/>
      <c r="CK188" s="335"/>
      <c r="CL188" s="335"/>
      <c r="CM188" s="335"/>
      <c r="CN188" s="335"/>
      <c r="CO188" s="335"/>
      <c r="CP188" s="335"/>
      <c r="CQ188" s="335"/>
      <c r="CR188" s="339"/>
      <c r="CS188" s="335"/>
      <c r="CT188" s="335"/>
      <c r="CU188" s="335"/>
      <c r="CV188" s="335"/>
      <c r="CW188" s="335"/>
      <c r="CX188" s="335"/>
      <c r="CY188" s="335"/>
      <c r="CZ188" s="335"/>
      <c r="DA188" s="335"/>
      <c r="DB188" s="335"/>
      <c r="DC188" s="335"/>
      <c r="DD188" s="336"/>
      <c r="DE188" s="24"/>
      <c r="DF188" s="24"/>
      <c r="DG188" s="24"/>
      <c r="DH188" s="24"/>
      <c r="DI188" s="24"/>
      <c r="DJ188" s="24"/>
      <c r="DK188" s="24"/>
      <c r="DL188" s="24"/>
      <c r="DM188" s="24"/>
      <c r="DN188" s="24"/>
      <c r="DO188" s="24"/>
      <c r="DP188" s="24"/>
      <c r="DQ188" s="24"/>
      <c r="DR188" s="24"/>
    </row>
    <row r="189" spans="1:122" hidden="1" outlineLevel="1">
      <c r="A189" s="3"/>
      <c r="B189" s="76"/>
      <c r="C189" s="96"/>
      <c r="D189" s="96"/>
      <c r="E189" s="97"/>
      <c r="F189" s="76"/>
      <c r="G189" s="96"/>
      <c r="H189" s="96"/>
      <c r="I189" s="97"/>
      <c r="J189" s="76"/>
      <c r="K189" s="96"/>
      <c r="L189" s="96"/>
      <c r="M189" s="97"/>
      <c r="N189" s="76"/>
      <c r="O189" s="96"/>
      <c r="P189" s="96"/>
      <c r="Q189" s="97"/>
      <c r="R189" s="76"/>
      <c r="S189" s="96"/>
      <c r="T189" s="96"/>
      <c r="U189" s="97"/>
      <c r="V189" s="76"/>
      <c r="W189" s="96"/>
      <c r="X189" s="96"/>
      <c r="Y189" s="97"/>
      <c r="Z189" s="76"/>
      <c r="AA189" s="96"/>
      <c r="AB189" s="96"/>
      <c r="AC189" s="97"/>
      <c r="AD189" s="76"/>
      <c r="AE189" s="96"/>
      <c r="AF189" s="96"/>
      <c r="AG189" s="97"/>
      <c r="AH189" s="76"/>
      <c r="AI189" s="96"/>
      <c r="AJ189" s="96"/>
      <c r="AK189" s="97"/>
      <c r="AL189" s="96"/>
      <c r="AM189" s="96"/>
      <c r="AN189" s="96"/>
      <c r="AO189" s="97"/>
      <c r="AP189" s="96"/>
      <c r="AQ189" s="96"/>
      <c r="AR189" s="96"/>
      <c r="AS189" s="97"/>
      <c r="AT189" s="96"/>
      <c r="AU189" s="96"/>
      <c r="AV189" s="96"/>
      <c r="AW189" s="97"/>
      <c r="AX189" s="96"/>
      <c r="AY189" s="96"/>
      <c r="AZ189" s="96"/>
      <c r="BA189" s="97"/>
      <c r="BB189" s="96"/>
      <c r="BC189" s="96"/>
      <c r="BD189" s="96"/>
      <c r="BE189" s="97"/>
      <c r="BF189" s="96"/>
      <c r="BG189" s="96"/>
      <c r="BH189" s="96"/>
      <c r="BI189" s="97"/>
      <c r="BJ189" s="96"/>
      <c r="BK189" s="96"/>
      <c r="BL189" s="96"/>
      <c r="BM189" s="97"/>
      <c r="BN189" s="76"/>
      <c r="BO189" s="96"/>
      <c r="BP189" s="96"/>
      <c r="BQ189" s="97"/>
      <c r="BR189" s="76"/>
      <c r="BS189" s="96"/>
      <c r="BT189" s="96"/>
      <c r="BU189" s="97"/>
      <c r="BV189" s="76"/>
      <c r="BW189" s="96"/>
      <c r="BX189" s="96"/>
      <c r="BY189" s="97"/>
      <c r="BZ189" s="76"/>
      <c r="CA189" s="96"/>
      <c r="CB189" s="96"/>
      <c r="CC189" s="97"/>
      <c r="CD189" s="12"/>
      <c r="CE189" s="96"/>
      <c r="CF189" s="96"/>
      <c r="CG189" s="96"/>
      <c r="CH189" s="96"/>
      <c r="CI189" s="96"/>
      <c r="CJ189" s="96"/>
      <c r="CK189" s="96"/>
      <c r="CL189" s="96"/>
      <c r="CM189" s="96"/>
      <c r="CN189" s="96"/>
      <c r="CO189" s="96"/>
      <c r="CP189" s="96"/>
      <c r="CQ189" s="96"/>
      <c r="CR189" s="76"/>
      <c r="CS189" s="96"/>
      <c r="CT189" s="96"/>
      <c r="CU189" s="96"/>
      <c r="CV189" s="96"/>
      <c r="CW189" s="96"/>
      <c r="CX189" s="96"/>
      <c r="CY189" s="96"/>
      <c r="CZ189" s="96"/>
      <c r="DA189" s="96"/>
      <c r="DB189" s="96"/>
      <c r="DC189" s="96"/>
      <c r="DD189" s="97"/>
      <c r="DE189" s="24"/>
      <c r="DF189" s="24"/>
      <c r="DG189" s="24"/>
      <c r="DH189" s="24"/>
      <c r="DI189" s="24"/>
      <c r="DJ189" s="24"/>
      <c r="DK189" s="24"/>
      <c r="DL189" s="24"/>
      <c r="DM189" s="24"/>
      <c r="DN189" s="24"/>
      <c r="DO189" s="24"/>
      <c r="DP189" s="24"/>
      <c r="DQ189" s="24"/>
      <c r="DR189" s="24"/>
    </row>
    <row r="190" spans="1:122" hidden="1" outlineLevel="1">
      <c r="A190" s="145"/>
      <c r="B190" s="214" t="s">
        <v>265</v>
      </c>
      <c r="C190" s="145"/>
      <c r="D190" s="145"/>
      <c r="E190" s="216"/>
      <c r="F190" s="215"/>
      <c r="G190" s="141"/>
      <c r="H190" s="141"/>
      <c r="I190" s="216"/>
      <c r="J190" s="215"/>
      <c r="K190" s="141"/>
      <c r="L190" s="141"/>
      <c r="M190" s="216"/>
      <c r="N190" s="215"/>
      <c r="O190" s="141"/>
      <c r="P190" s="141"/>
      <c r="Q190" s="216"/>
      <c r="R190" s="215"/>
      <c r="S190" s="141"/>
      <c r="T190" s="141"/>
      <c r="U190" s="216"/>
      <c r="V190" s="215"/>
      <c r="W190" s="141"/>
      <c r="X190" s="141"/>
      <c r="Y190" s="216"/>
      <c r="Z190" s="215"/>
      <c r="AA190" s="141"/>
      <c r="AB190" s="141"/>
      <c r="AC190" s="216"/>
      <c r="AD190" s="215"/>
      <c r="AE190" s="141"/>
      <c r="AF190" s="141"/>
      <c r="AG190" s="216"/>
      <c r="AH190" s="215"/>
      <c r="AI190" s="141"/>
      <c r="AJ190" s="141"/>
      <c r="AK190" s="216"/>
      <c r="AL190" s="141"/>
      <c r="AM190" s="141"/>
      <c r="AN190" s="141"/>
      <c r="AO190" s="216"/>
      <c r="AP190" s="141"/>
      <c r="AQ190" s="141"/>
      <c r="AR190" s="141"/>
      <c r="AS190" s="216"/>
      <c r="AT190" s="141"/>
      <c r="AU190" s="141"/>
      <c r="AV190" s="141"/>
      <c r="AW190" s="216"/>
      <c r="AX190" s="141"/>
      <c r="AY190" s="141"/>
      <c r="AZ190" s="141"/>
      <c r="BA190" s="216"/>
      <c r="BB190" s="141"/>
      <c r="BC190" s="141"/>
      <c r="BD190" s="141"/>
      <c r="BE190" s="216"/>
      <c r="BF190" s="141"/>
      <c r="BG190" s="141"/>
      <c r="BH190" s="141"/>
      <c r="BI190" s="216"/>
      <c r="BJ190" s="141"/>
      <c r="BK190" s="141"/>
      <c r="BL190" s="141"/>
      <c r="BM190" s="216"/>
      <c r="BN190" s="215"/>
      <c r="BO190" s="141"/>
      <c r="BP190" s="141"/>
      <c r="BQ190" s="216"/>
      <c r="BR190" s="215"/>
      <c r="BS190" s="141"/>
      <c r="BT190" s="141"/>
      <c r="BU190" s="216"/>
      <c r="BV190" s="215"/>
      <c r="BW190" s="141"/>
      <c r="BX190" s="141"/>
      <c r="BY190" s="216"/>
      <c r="BZ190" s="215"/>
      <c r="CA190" s="141"/>
      <c r="CB190" s="141"/>
      <c r="CC190" s="216"/>
      <c r="CD190" s="228"/>
      <c r="CE190" s="141"/>
      <c r="CF190" s="141"/>
      <c r="CG190" s="141"/>
      <c r="CH190" s="141"/>
      <c r="CI190" s="141"/>
      <c r="CJ190" s="141"/>
      <c r="CK190" s="141"/>
      <c r="CL190" s="141"/>
      <c r="CM190" s="141"/>
      <c r="CN190" s="141"/>
      <c r="CO190" s="141"/>
      <c r="CP190" s="141"/>
      <c r="CQ190" s="141"/>
      <c r="CR190" s="215"/>
      <c r="CS190" s="141"/>
      <c r="CT190" s="141"/>
      <c r="CU190" s="141"/>
      <c r="CV190" s="141"/>
      <c r="CW190" s="141"/>
      <c r="CX190" s="141"/>
      <c r="CY190" s="141"/>
      <c r="CZ190" s="141"/>
      <c r="DA190" s="141"/>
      <c r="DB190" s="141"/>
      <c r="DC190" s="141"/>
      <c r="DD190" s="216"/>
      <c r="DE190" s="141"/>
      <c r="DF190" s="141"/>
      <c r="DG190" s="141"/>
      <c r="DH190" s="141"/>
      <c r="DI190" s="141"/>
      <c r="DJ190" s="141"/>
      <c r="DK190" s="141"/>
      <c r="DL190" s="141"/>
      <c r="DM190" s="141"/>
      <c r="DN190" s="141"/>
      <c r="DO190" s="141"/>
      <c r="DP190" s="141"/>
      <c r="DQ190" s="141"/>
      <c r="DR190" s="141"/>
    </row>
    <row r="191" spans="1:122" hidden="1" outlineLevel="1">
      <c r="A191" s="145"/>
      <c r="B191" s="215"/>
      <c r="C191" s="145" t="s">
        <v>51</v>
      </c>
      <c r="D191" s="145"/>
      <c r="E191" s="216"/>
      <c r="F191" s="353"/>
      <c r="G191" s="578"/>
      <c r="H191" s="578"/>
      <c r="I191" s="352"/>
      <c r="J191" s="353"/>
      <c r="K191" s="578"/>
      <c r="L191" s="578"/>
      <c r="M191" s="352"/>
      <c r="N191" s="353"/>
      <c r="O191" s="578"/>
      <c r="P191" s="578"/>
      <c r="Q191" s="352">
        <f t="shared" ref="Q191:AV191" si="490">Q16/M16-1</f>
        <v>0.33251583895360715</v>
      </c>
      <c r="R191" s="353">
        <f t="shared" si="490"/>
        <v>0.34312536200998878</v>
      </c>
      <c r="S191" s="578">
        <f t="shared" si="490"/>
        <v>0.47270114942528751</v>
      </c>
      <c r="T191" s="578">
        <f t="shared" si="490"/>
        <v>0.34733379720412416</v>
      </c>
      <c r="U191" s="352">
        <f t="shared" si="490"/>
        <v>0.51942740286298572</v>
      </c>
      <c r="V191" s="353">
        <f t="shared" si="490"/>
        <v>0.1741253051261189</v>
      </c>
      <c r="W191" s="578">
        <f t="shared" si="490"/>
        <v>-0.24069319640564835</v>
      </c>
      <c r="X191" s="578">
        <f t="shared" si="490"/>
        <v>-9.1213950368879915E-2</v>
      </c>
      <c r="Y191" s="352">
        <f t="shared" si="490"/>
        <v>2.8936742934051241E-2</v>
      </c>
      <c r="Z191" s="353">
        <f t="shared" si="490"/>
        <v>0.19750519750519757</v>
      </c>
      <c r="AA191" s="578">
        <f t="shared" si="490"/>
        <v>0.42265426880811519</v>
      </c>
      <c r="AB191" s="578">
        <f t="shared" si="490"/>
        <v>0.31070110701107012</v>
      </c>
      <c r="AC191" s="352">
        <f t="shared" si="490"/>
        <v>0.34139960758665788</v>
      </c>
      <c r="AD191" s="353">
        <f t="shared" si="490"/>
        <v>0.25</v>
      </c>
      <c r="AE191" s="578">
        <f t="shared" si="490"/>
        <v>0.57456922162804513</v>
      </c>
      <c r="AF191" s="578">
        <f t="shared" si="490"/>
        <v>0.3682432432432432</v>
      </c>
      <c r="AG191" s="352">
        <f t="shared" si="490"/>
        <v>0.26279863481228682</v>
      </c>
      <c r="AH191" s="353">
        <f t="shared" si="490"/>
        <v>1.1342592592592591</v>
      </c>
      <c r="AI191" s="578">
        <f t="shared" si="490"/>
        <v>0.73207547169811327</v>
      </c>
      <c r="AJ191" s="578">
        <f t="shared" si="490"/>
        <v>0.87242798353909468</v>
      </c>
      <c r="AK191" s="352">
        <f t="shared" si="490"/>
        <v>0.76061776061776065</v>
      </c>
      <c r="AL191" s="578">
        <f t="shared" si="490"/>
        <v>3.4707158351410028E-2</v>
      </c>
      <c r="AM191" s="578">
        <f t="shared" si="490"/>
        <v>-2.8322440087146017E-2</v>
      </c>
      <c r="AN191" s="578">
        <f t="shared" si="490"/>
        <v>-0.15384615384615385</v>
      </c>
      <c r="AO191" s="352">
        <f t="shared" si="490"/>
        <v>-0.17543859649122806</v>
      </c>
      <c r="AP191" s="578">
        <f t="shared" si="490"/>
        <v>-0.17190775681341719</v>
      </c>
      <c r="AQ191" s="578">
        <f t="shared" si="490"/>
        <v>1.5695067264573925E-2</v>
      </c>
      <c r="AR191" s="578">
        <f t="shared" si="490"/>
        <v>0.31688311688311699</v>
      </c>
      <c r="AS191" s="352">
        <f t="shared" si="490"/>
        <v>0.4893617021276595</v>
      </c>
      <c r="AT191" s="578">
        <f t="shared" si="490"/>
        <v>0.42025316455696204</v>
      </c>
      <c r="AU191" s="578">
        <f t="shared" si="490"/>
        <v>0.25386313465783661</v>
      </c>
      <c r="AV191" s="578">
        <f t="shared" si="490"/>
        <v>0.13214990138067062</v>
      </c>
      <c r="AW191" s="352">
        <f t="shared" ref="AW191:BY191" si="491">AW16/AS16-1</f>
        <v>3.0357142857142749E-2</v>
      </c>
      <c r="AX191" s="578">
        <f t="shared" si="491"/>
        <v>0.14973262032085555</v>
      </c>
      <c r="AY191" s="578">
        <f t="shared" si="491"/>
        <v>-0.17957746478873238</v>
      </c>
      <c r="AZ191" s="578">
        <f t="shared" si="491"/>
        <v>1.2334494773519165</v>
      </c>
      <c r="BA191" s="352">
        <f t="shared" si="491"/>
        <v>1.0970537261698441</v>
      </c>
      <c r="BB191" s="578">
        <f t="shared" si="491"/>
        <v>1.021705426356589</v>
      </c>
      <c r="BC191" s="578">
        <f t="shared" si="491"/>
        <v>1.5836909871244633</v>
      </c>
      <c r="BD191" s="578">
        <f t="shared" si="491"/>
        <v>-6.6302652106084214E-2</v>
      </c>
      <c r="BE191" s="352">
        <f t="shared" si="491"/>
        <v>-1.8181818181818188E-2</v>
      </c>
      <c r="BF191" s="578">
        <f t="shared" si="491"/>
        <v>-4.6012269938650263E-2</v>
      </c>
      <c r="BG191" s="578">
        <f t="shared" si="491"/>
        <v>7.3920265780730965E-2</v>
      </c>
      <c r="BH191" s="578">
        <f t="shared" si="491"/>
        <v>6.6833751044277356E-2</v>
      </c>
      <c r="BI191" s="352">
        <f t="shared" si="491"/>
        <v>3.1986531986532007E-2</v>
      </c>
      <c r="BJ191" s="578">
        <f t="shared" si="491"/>
        <v>2.2508038585209E-2</v>
      </c>
      <c r="BK191" s="578">
        <f t="shared" si="491"/>
        <v>-8.5073472544470174E-3</v>
      </c>
      <c r="BL191" s="578">
        <f t="shared" si="491"/>
        <v>3.5238841033672585E-2</v>
      </c>
      <c r="BM191" s="352">
        <f t="shared" si="491"/>
        <v>0.11582381729200653</v>
      </c>
      <c r="BN191" s="353">
        <f t="shared" si="491"/>
        <v>-9.4339622641509413E-3</v>
      </c>
      <c r="BO191" s="578">
        <f t="shared" si="491"/>
        <v>-3.4321372854914212E-2</v>
      </c>
      <c r="BP191" s="578">
        <f t="shared" si="491"/>
        <v>-7.1860816944024242E-2</v>
      </c>
      <c r="BQ191" s="352">
        <f t="shared" si="491"/>
        <v>0.55628654970760238</v>
      </c>
      <c r="BR191" s="353">
        <f t="shared" si="491"/>
        <v>0.67380952380952386</v>
      </c>
      <c r="BS191" s="578">
        <f t="shared" si="491"/>
        <v>0.68416801292407103</v>
      </c>
      <c r="BT191" s="578">
        <f t="shared" si="491"/>
        <v>0.83700081499592494</v>
      </c>
      <c r="BU191" s="352">
        <f t="shared" si="491"/>
        <v>9.9577266322216973E-2</v>
      </c>
      <c r="BV191" s="353">
        <f t="shared" si="491"/>
        <v>9.1512565196775641E-2</v>
      </c>
      <c r="BW191" s="578">
        <f t="shared" si="491"/>
        <v>9.4004796163069448E-2</v>
      </c>
      <c r="BX191" s="578">
        <f t="shared" si="491"/>
        <v>-6.2529277226959223E-3</v>
      </c>
      <c r="BY191" s="352">
        <f t="shared" si="491"/>
        <v>-8.5481351057855592E-3</v>
      </c>
      <c r="BZ191" s="353">
        <f>BZ16/BV16-1</f>
        <v>8.4904097411545587E-2</v>
      </c>
      <c r="CA191" s="578">
        <f>CA16/BW16-1</f>
        <v>0.10400450893309032</v>
      </c>
      <c r="CB191" s="578">
        <f>CB16/BX16-1</f>
        <v>4.6169398018329089E-2</v>
      </c>
      <c r="CC191" s="352">
        <f>CC16/BY16-1</f>
        <v>-9.5898285024053398E-2</v>
      </c>
      <c r="CD191" s="228"/>
      <c r="CE191" s="578"/>
      <c r="CF191" s="578"/>
      <c r="CG191" s="578">
        <f t="shared" ref="CG191:CW191" si="492">CG16/CF16-1</f>
        <v>0.33251583895360715</v>
      </c>
      <c r="CH191" s="578">
        <f t="shared" si="492"/>
        <v>0.51942740286298572</v>
      </c>
      <c r="CI191" s="578">
        <f t="shared" si="492"/>
        <v>2.8936742934051241E-2</v>
      </c>
      <c r="CJ191" s="578">
        <f t="shared" si="492"/>
        <v>0.34139960758665788</v>
      </c>
      <c r="CK191" s="578">
        <f t="shared" si="492"/>
        <v>0.26279863481228682</v>
      </c>
      <c r="CL191" s="578">
        <f t="shared" si="492"/>
        <v>0.76061776061776065</v>
      </c>
      <c r="CM191" s="578">
        <f t="shared" si="492"/>
        <v>-0.17543859649122806</v>
      </c>
      <c r="CN191" s="578">
        <f t="shared" si="492"/>
        <v>0.4893617021276595</v>
      </c>
      <c r="CO191" s="578">
        <f t="shared" si="492"/>
        <v>3.0357142857142749E-2</v>
      </c>
      <c r="CP191" s="578">
        <f t="shared" si="492"/>
        <v>1.0970537261698441</v>
      </c>
      <c r="CQ191" s="578">
        <f t="shared" si="492"/>
        <v>-1.8181818181818188E-2</v>
      </c>
      <c r="CR191" s="353">
        <f t="shared" si="492"/>
        <v>3.1986531986532007E-2</v>
      </c>
      <c r="CS191" s="578">
        <f t="shared" si="492"/>
        <v>0.11582381729200653</v>
      </c>
      <c r="CT191" s="578">
        <f t="shared" si="492"/>
        <v>0.55628654970760238</v>
      </c>
      <c r="CU191" s="578">
        <f t="shared" si="492"/>
        <v>9.9577266322216973E-2</v>
      </c>
      <c r="CV191" s="578">
        <f t="shared" si="492"/>
        <v>-8.5481351057855592E-3</v>
      </c>
      <c r="CW191" s="578">
        <f t="shared" si="492"/>
        <v>-9.5898285024053398E-2</v>
      </c>
      <c r="CX191" s="578">
        <f t="shared" ref="CX191:DC191" si="493">CX16/CT16-1</f>
        <v>9.8674290444989321E-2</v>
      </c>
      <c r="CY191" s="578">
        <f t="shared" si="493"/>
        <v>5.8307362090681547E-2</v>
      </c>
      <c r="CZ191" s="578">
        <f t="shared" si="493"/>
        <v>0.11142142315466708</v>
      </c>
      <c r="DA191" s="578">
        <f t="shared" si="493"/>
        <v>0.29499673266683346</v>
      </c>
      <c r="DB191" s="578">
        <f t="shared" si="493"/>
        <v>0.22803790883244934</v>
      </c>
      <c r="DC191" s="578">
        <f t="shared" si="493"/>
        <v>0.2299522509384837</v>
      </c>
      <c r="DD191" s="352"/>
      <c r="DE191" s="141"/>
      <c r="DF191" s="141"/>
      <c r="DG191" s="141"/>
      <c r="DH191" s="141"/>
      <c r="DI191" s="141"/>
      <c r="DJ191" s="141"/>
      <c r="DK191" s="141"/>
      <c r="DL191" s="141"/>
      <c r="DM191" s="141"/>
      <c r="DN191" s="141"/>
      <c r="DO191" s="141"/>
      <c r="DP191" s="141"/>
      <c r="DQ191" s="141"/>
      <c r="DR191" s="141"/>
    </row>
    <row r="192" spans="1:122" hidden="1" outlineLevel="1">
      <c r="A192" s="145"/>
      <c r="B192" s="215"/>
      <c r="C192" s="145" t="s">
        <v>592</v>
      </c>
      <c r="D192" s="145"/>
      <c r="E192" s="216"/>
      <c r="F192" s="353"/>
      <c r="G192" s="578"/>
      <c r="H192" s="578"/>
      <c r="I192" s="352"/>
      <c r="J192" s="353"/>
      <c r="K192" s="578"/>
      <c r="L192" s="578"/>
      <c r="M192" s="352"/>
      <c r="N192" s="353">
        <f t="shared" ref="N192:AS192" si="494">N16/M16-1</f>
        <v>0.24671980380134895</v>
      </c>
      <c r="O192" s="578">
        <f t="shared" si="494"/>
        <v>0.1561588144650996</v>
      </c>
      <c r="P192" s="578">
        <f t="shared" si="494"/>
        <v>4.6043179068360418E-2</v>
      </c>
      <c r="Q192" s="352">
        <f t="shared" si="494"/>
        <v>-0.11623577889628878</v>
      </c>
      <c r="R192" s="353">
        <f t="shared" si="494"/>
        <v>0.2566462167689163</v>
      </c>
      <c r="S192" s="578">
        <f t="shared" si="494"/>
        <v>0.26769731489015469</v>
      </c>
      <c r="T192" s="578">
        <f t="shared" si="494"/>
        <v>-4.3003851091142575E-2</v>
      </c>
      <c r="U192" s="352">
        <f t="shared" si="494"/>
        <v>-3.3534540576793948E-3</v>
      </c>
      <c r="V192" s="353">
        <f t="shared" si="494"/>
        <v>-2.8936742934051018E-2</v>
      </c>
      <c r="W192" s="578">
        <f t="shared" si="494"/>
        <v>-0.18018018018018023</v>
      </c>
      <c r="X192" s="578">
        <f t="shared" si="494"/>
        <v>0.14539306846999156</v>
      </c>
      <c r="Y192" s="352">
        <f t="shared" si="494"/>
        <v>0.12841328413284137</v>
      </c>
      <c r="Z192" s="353">
        <f t="shared" si="494"/>
        <v>0.13015042511445385</v>
      </c>
      <c r="AA192" s="578">
        <f t="shared" si="494"/>
        <v>-2.604166666666663E-2</v>
      </c>
      <c r="AB192" s="578">
        <f t="shared" si="494"/>
        <v>5.525846702317283E-2</v>
      </c>
      <c r="AC192" s="352">
        <f t="shared" si="494"/>
        <v>0.1548423423423424</v>
      </c>
      <c r="AD192" s="353">
        <f t="shared" si="494"/>
        <v>5.3144807411019013E-2</v>
      </c>
      <c r="AE192" s="578">
        <f t="shared" si="494"/>
        <v>0.22685185185185186</v>
      </c>
      <c r="AF192" s="578">
        <f t="shared" si="494"/>
        <v>-8.3018867924528283E-2</v>
      </c>
      <c r="AG192" s="352">
        <f t="shared" si="494"/>
        <v>6.5843621399176877E-2</v>
      </c>
      <c r="AH192" s="353">
        <f t="shared" si="494"/>
        <v>0.77992277992277992</v>
      </c>
      <c r="AI192" s="578">
        <f t="shared" si="494"/>
        <v>-4.3383947939262812E-3</v>
      </c>
      <c r="AJ192" s="578">
        <f t="shared" si="494"/>
        <v>-8.7145969498910736E-3</v>
      </c>
      <c r="AK192" s="352">
        <f t="shared" si="494"/>
        <v>2.19780219780219E-3</v>
      </c>
      <c r="AL192" s="578">
        <f t="shared" si="494"/>
        <v>4.6052631578947345E-2</v>
      </c>
      <c r="AM192" s="578">
        <f t="shared" si="494"/>
        <v>-6.4989517819706522E-2</v>
      </c>
      <c r="AN192" s="578">
        <f t="shared" si="494"/>
        <v>-0.13677130044843044</v>
      </c>
      <c r="AO192" s="352">
        <f t="shared" si="494"/>
        <v>-2.3376623376623384E-2</v>
      </c>
      <c r="AP192" s="578">
        <f t="shared" si="494"/>
        <v>5.0531914893616969E-2</v>
      </c>
      <c r="AQ192" s="578">
        <f t="shared" si="494"/>
        <v>0.14683544303797458</v>
      </c>
      <c r="AR192" s="578">
        <f t="shared" si="494"/>
        <v>0.11920529801324498</v>
      </c>
      <c r="AS192" s="352">
        <f t="shared" si="494"/>
        <v>0.10453648915187386</v>
      </c>
      <c r="AT192" s="578">
        <f t="shared" ref="AT192:BY192" si="495">AT16/AS16-1</f>
        <v>1.7857142857142794E-3</v>
      </c>
      <c r="AU192" s="578">
        <f t="shared" si="495"/>
        <v>1.2477718360071277E-2</v>
      </c>
      <c r="AV192" s="578">
        <f t="shared" si="495"/>
        <v>1.0563380281690238E-2</v>
      </c>
      <c r="AW192" s="352">
        <f t="shared" si="495"/>
        <v>5.2264808362370019E-3</v>
      </c>
      <c r="AX192" s="578">
        <f t="shared" si="495"/>
        <v>0.11785095320623906</v>
      </c>
      <c r="AY192" s="578">
        <f t="shared" si="495"/>
        <v>-0.27751937984496122</v>
      </c>
      <c r="AZ192" s="578">
        <f t="shared" si="495"/>
        <v>1.7510729613733904</v>
      </c>
      <c r="BA192" s="352">
        <f t="shared" si="495"/>
        <v>-5.6162246489859569E-2</v>
      </c>
      <c r="BB192" s="578">
        <f t="shared" si="495"/>
        <v>7.7685950413223237E-2</v>
      </c>
      <c r="BC192" s="578">
        <f t="shared" si="495"/>
        <v>-7.6687116564417179E-2</v>
      </c>
      <c r="BD192" s="578">
        <f t="shared" si="495"/>
        <v>-5.8139534883721034E-3</v>
      </c>
      <c r="BE192" s="352">
        <f t="shared" si="495"/>
        <v>-7.5187969924812581E-3</v>
      </c>
      <c r="BF192" s="578">
        <f t="shared" si="495"/>
        <v>4.7138047138047146E-2</v>
      </c>
      <c r="BG192" s="578">
        <f t="shared" si="495"/>
        <v>3.9389067524115751E-2</v>
      </c>
      <c r="BH192" s="578">
        <f t="shared" si="495"/>
        <v>-1.2374323279195631E-2</v>
      </c>
      <c r="BI192" s="352">
        <f t="shared" si="495"/>
        <v>-3.9937353171495715E-2</v>
      </c>
      <c r="BJ192" s="578">
        <f t="shared" si="495"/>
        <v>3.7520391517128937E-2</v>
      </c>
      <c r="BK192" s="578">
        <f t="shared" si="495"/>
        <v>7.8616352201257289E-3</v>
      </c>
      <c r="BL192" s="578">
        <f t="shared" si="495"/>
        <v>3.120124804992197E-2</v>
      </c>
      <c r="BM192" s="352">
        <f t="shared" si="495"/>
        <v>3.4795763993948459E-2</v>
      </c>
      <c r="BN192" s="353">
        <f t="shared" si="495"/>
        <v>-7.8947368421052655E-2</v>
      </c>
      <c r="BO192" s="578">
        <f t="shared" si="495"/>
        <v>-1.7460317460317509E-2</v>
      </c>
      <c r="BP192" s="578">
        <f t="shared" si="495"/>
        <v>-8.8852988691437984E-3</v>
      </c>
      <c r="BQ192" s="352">
        <f t="shared" si="495"/>
        <v>0.7351263243683781</v>
      </c>
      <c r="BR192" s="353">
        <f t="shared" si="495"/>
        <v>-9.3940817285110834E-3</v>
      </c>
      <c r="BS192" s="578">
        <f t="shared" si="495"/>
        <v>-1.1379800853485111E-2</v>
      </c>
      <c r="BT192" s="578">
        <f t="shared" si="495"/>
        <v>8.1055155875299656E-2</v>
      </c>
      <c r="BU192" s="352">
        <f t="shared" si="495"/>
        <v>3.8598047914818023E-2</v>
      </c>
      <c r="BV192" s="353">
        <f t="shared" si="495"/>
        <v>-1.6659547202050429E-2</v>
      </c>
      <c r="BW192" s="578">
        <f t="shared" si="495"/>
        <v>-9.1225021720243715E-3</v>
      </c>
      <c r="BX192" s="578">
        <f t="shared" si="495"/>
        <v>-1.8015825991651302E-2</v>
      </c>
      <c r="BY192" s="352">
        <f t="shared" si="495"/>
        <v>3.619925050032724E-2</v>
      </c>
      <c r="BZ192" s="353">
        <f>BZ16/BY16-1</f>
        <v>7.602812013959781E-2</v>
      </c>
      <c r="CA192" s="578">
        <f>CA16/BZ16-1</f>
        <v>8.322512572696894E-3</v>
      </c>
      <c r="CB192" s="578">
        <f>CB16/CA16-1</f>
        <v>-6.9458698879188763E-2</v>
      </c>
      <c r="CC192" s="352">
        <f>CC16/CB16-1</f>
        <v>-0.1045145067245381</v>
      </c>
      <c r="CD192" s="228"/>
      <c r="CE192" s="578"/>
      <c r="CF192" s="578"/>
      <c r="CG192" s="578">
        <f t="shared" ref="CG192:DC192" si="496">CG16/CF16-1</f>
        <v>0.33251583895360715</v>
      </c>
      <c r="CH192" s="578">
        <f t="shared" si="496"/>
        <v>0.51942740286298572</v>
      </c>
      <c r="CI192" s="578">
        <f t="shared" si="496"/>
        <v>2.8936742934051241E-2</v>
      </c>
      <c r="CJ192" s="578">
        <f t="shared" si="496"/>
        <v>0.34139960758665788</v>
      </c>
      <c r="CK192" s="578">
        <f t="shared" si="496"/>
        <v>0.26279863481228682</v>
      </c>
      <c r="CL192" s="578">
        <f t="shared" si="496"/>
        <v>0.76061776061776065</v>
      </c>
      <c r="CM192" s="578">
        <f t="shared" si="496"/>
        <v>-0.17543859649122806</v>
      </c>
      <c r="CN192" s="578">
        <f t="shared" si="496"/>
        <v>0.4893617021276595</v>
      </c>
      <c r="CO192" s="578">
        <f t="shared" si="496"/>
        <v>3.0357142857142749E-2</v>
      </c>
      <c r="CP192" s="578">
        <f t="shared" si="496"/>
        <v>1.0970537261698441</v>
      </c>
      <c r="CQ192" s="578">
        <f t="shared" si="496"/>
        <v>-1.8181818181818188E-2</v>
      </c>
      <c r="CR192" s="353">
        <f t="shared" si="496"/>
        <v>3.1986531986532007E-2</v>
      </c>
      <c r="CS192" s="578">
        <f t="shared" si="496"/>
        <v>0.11582381729200653</v>
      </c>
      <c r="CT192" s="578">
        <f t="shared" si="496"/>
        <v>0.55628654970760238</v>
      </c>
      <c r="CU192" s="578">
        <f t="shared" si="496"/>
        <v>9.9577266322216973E-2</v>
      </c>
      <c r="CV192" s="578">
        <f t="shared" si="496"/>
        <v>-8.5481351057855592E-3</v>
      </c>
      <c r="CW192" s="578">
        <f t="shared" si="496"/>
        <v>-9.5898285024053398E-2</v>
      </c>
      <c r="CX192" s="578">
        <f t="shared" si="496"/>
        <v>0.11469045573252812</v>
      </c>
      <c r="CY192" s="578">
        <f t="shared" si="496"/>
        <v>5.9177161290472791E-2</v>
      </c>
      <c r="CZ192" s="578">
        <f t="shared" si="496"/>
        <v>4.1210599247119228E-2</v>
      </c>
      <c r="DA192" s="578">
        <f t="shared" si="496"/>
        <v>5.3433686359130039E-2</v>
      </c>
      <c r="DB192" s="578">
        <f t="shared" si="496"/>
        <v>5.7054509654457242E-2</v>
      </c>
      <c r="DC192" s="578">
        <f t="shared" si="496"/>
        <v>6.0828272728503219E-2</v>
      </c>
      <c r="DD192" s="352"/>
      <c r="DE192" s="141"/>
      <c r="DF192" s="141"/>
      <c r="DG192" s="141"/>
      <c r="DH192" s="141"/>
      <c r="DI192" s="141"/>
      <c r="DJ192" s="141"/>
      <c r="DK192" s="141"/>
      <c r="DL192" s="141"/>
      <c r="DM192" s="141"/>
      <c r="DN192" s="141"/>
      <c r="DO192" s="141"/>
      <c r="DP192" s="141"/>
      <c r="DQ192" s="141"/>
      <c r="DR192" s="141"/>
    </row>
    <row r="193" spans="1:122" hidden="1" outlineLevel="1">
      <c r="A193" s="145"/>
      <c r="B193" s="215"/>
      <c r="C193" s="145"/>
      <c r="D193" s="145"/>
      <c r="E193" s="216"/>
      <c r="F193" s="215"/>
      <c r="G193" s="141"/>
      <c r="H193" s="141"/>
      <c r="I193" s="216"/>
      <c r="J193" s="215"/>
      <c r="K193" s="141"/>
      <c r="L193" s="141"/>
      <c r="M193" s="216"/>
      <c r="N193" s="215"/>
      <c r="O193" s="141"/>
      <c r="P193" s="141"/>
      <c r="Q193" s="216"/>
      <c r="R193" s="215"/>
      <c r="S193" s="141"/>
      <c r="T193" s="141"/>
      <c r="U193" s="216"/>
      <c r="V193" s="215"/>
      <c r="W193" s="141"/>
      <c r="X193" s="141"/>
      <c r="Y193" s="216"/>
      <c r="Z193" s="215"/>
      <c r="AA193" s="141"/>
      <c r="AB193" s="141"/>
      <c r="AC193" s="216"/>
      <c r="AD193" s="215"/>
      <c r="AE193" s="141"/>
      <c r="AF193" s="141"/>
      <c r="AG193" s="216"/>
      <c r="AH193" s="215"/>
      <c r="AI193" s="141"/>
      <c r="AJ193" s="141"/>
      <c r="AK193" s="216"/>
      <c r="AL193" s="141"/>
      <c r="AM193" s="141"/>
      <c r="AN193" s="141"/>
      <c r="AO193" s="216"/>
      <c r="AP193" s="141"/>
      <c r="AQ193" s="141"/>
      <c r="AR193" s="141"/>
      <c r="AS193" s="216"/>
      <c r="AT193" s="141"/>
      <c r="AU193" s="141"/>
      <c r="AV193" s="141"/>
      <c r="AW193" s="216"/>
      <c r="AX193" s="141"/>
      <c r="AY193" s="141"/>
      <c r="AZ193" s="141"/>
      <c r="BA193" s="216"/>
      <c r="BB193" s="141"/>
      <c r="BC193" s="141"/>
      <c r="BD193" s="141"/>
      <c r="BE193" s="216"/>
      <c r="BF193" s="141"/>
      <c r="BG193" s="141"/>
      <c r="BH193" s="141"/>
      <c r="BI193" s="216"/>
      <c r="BJ193" s="141"/>
      <c r="BK193" s="141"/>
      <c r="BL193" s="141"/>
      <c r="BM193" s="216"/>
      <c r="BN193" s="215"/>
      <c r="BO193" s="141"/>
      <c r="BP193" s="141"/>
      <c r="BQ193" s="216"/>
      <c r="BR193" s="215"/>
      <c r="BS193" s="141"/>
      <c r="BT193" s="141"/>
      <c r="BU193" s="216"/>
      <c r="BV193" s="215"/>
      <c r="BW193" s="141"/>
      <c r="BX193" s="141"/>
      <c r="BY193" s="216"/>
      <c r="BZ193" s="215"/>
      <c r="CA193" s="141"/>
      <c r="CB193" s="141"/>
      <c r="CC193" s="216"/>
      <c r="CD193" s="228"/>
      <c r="CE193" s="141"/>
      <c r="CF193" s="141"/>
      <c r="CG193" s="141"/>
      <c r="CH193" s="141"/>
      <c r="CI193" s="141"/>
      <c r="CJ193" s="141"/>
      <c r="CK193" s="141"/>
      <c r="CL193" s="141"/>
      <c r="CM193" s="141"/>
      <c r="CN193" s="141"/>
      <c r="CO193" s="141"/>
      <c r="CP193" s="141"/>
      <c r="CQ193" s="141"/>
      <c r="CR193" s="215"/>
      <c r="CS193" s="141"/>
      <c r="CT193" s="141"/>
      <c r="CU193" s="141"/>
      <c r="CV193" s="141"/>
      <c r="CW193" s="141"/>
      <c r="CX193" s="141"/>
      <c r="CY193" s="141"/>
      <c r="CZ193" s="141"/>
      <c r="DA193" s="141"/>
      <c r="DB193" s="141"/>
      <c r="DC193" s="141"/>
      <c r="DD193" s="216"/>
      <c r="DE193" s="141"/>
      <c r="DF193" s="141"/>
      <c r="DG193" s="141"/>
      <c r="DH193" s="141"/>
      <c r="DI193" s="141"/>
      <c r="DJ193" s="141"/>
      <c r="DK193" s="141"/>
      <c r="DL193" s="141"/>
      <c r="DM193" s="141"/>
      <c r="DN193" s="141"/>
      <c r="DO193" s="141"/>
      <c r="DP193" s="141"/>
      <c r="DQ193" s="141"/>
      <c r="DR193" s="141"/>
    </row>
    <row r="194" spans="1:122" hidden="1" outlineLevel="1">
      <c r="A194" s="145"/>
      <c r="B194" s="214" t="s">
        <v>266</v>
      </c>
      <c r="C194" s="145"/>
      <c r="D194" s="145"/>
      <c r="E194" s="216"/>
      <c r="F194" s="215"/>
      <c r="G194" s="141"/>
      <c r="H194" s="141"/>
      <c r="I194" s="216"/>
      <c r="J194" s="215"/>
      <c r="K194" s="141"/>
      <c r="L194" s="141"/>
      <c r="M194" s="216"/>
      <c r="N194" s="215"/>
      <c r="O194" s="141"/>
      <c r="P194" s="141"/>
      <c r="Q194" s="216"/>
      <c r="R194" s="215"/>
      <c r="S194" s="141"/>
      <c r="T194" s="141"/>
      <c r="U194" s="216"/>
      <c r="V194" s="215"/>
      <c r="W194" s="141"/>
      <c r="X194" s="141"/>
      <c r="Y194" s="216"/>
      <c r="Z194" s="215"/>
      <c r="AA194" s="141"/>
      <c r="AB194" s="141"/>
      <c r="AC194" s="216"/>
      <c r="AD194" s="215"/>
      <c r="AE194" s="141"/>
      <c r="AF194" s="141"/>
      <c r="AG194" s="216"/>
      <c r="AH194" s="215"/>
      <c r="AI194" s="141"/>
      <c r="AJ194" s="141"/>
      <c r="AK194" s="216"/>
      <c r="AL194" s="141"/>
      <c r="AM194" s="141"/>
      <c r="AN194" s="141"/>
      <c r="AO194" s="216"/>
      <c r="AP194" s="141"/>
      <c r="AQ194" s="141"/>
      <c r="AR194" s="141"/>
      <c r="AS194" s="216"/>
      <c r="AT194" s="141"/>
      <c r="AU194" s="141"/>
      <c r="AV194" s="141"/>
      <c r="AW194" s="216"/>
      <c r="AX194" s="141"/>
      <c r="AY194" s="141"/>
      <c r="AZ194" s="141"/>
      <c r="BA194" s="216"/>
      <c r="BB194" s="141"/>
      <c r="BC194" s="141"/>
      <c r="BD194" s="141"/>
      <c r="BE194" s="216"/>
      <c r="BF194" s="141"/>
      <c r="BG194" s="141"/>
      <c r="BH194" s="141"/>
      <c r="BI194" s="216"/>
      <c r="BJ194" s="141"/>
      <c r="BK194" s="141"/>
      <c r="BL194" s="141"/>
      <c r="BM194" s="216"/>
      <c r="BN194" s="215"/>
      <c r="BO194" s="141"/>
      <c r="BP194" s="141"/>
      <c r="BQ194" s="216"/>
      <c r="BR194" s="215"/>
      <c r="BS194" s="141"/>
      <c r="BT194" s="141"/>
      <c r="BU194" s="216"/>
      <c r="BV194" s="215"/>
      <c r="BW194" s="141"/>
      <c r="BX194" s="141"/>
      <c r="BY194" s="216"/>
      <c r="BZ194" s="215"/>
      <c r="CA194" s="141"/>
      <c r="CB194" s="141"/>
      <c r="CC194" s="216"/>
      <c r="CD194" s="228"/>
      <c r="CE194" s="141"/>
      <c r="CF194" s="141"/>
      <c r="CG194" s="141"/>
      <c r="CH194" s="141"/>
      <c r="CI194" s="141"/>
      <c r="CJ194" s="141"/>
      <c r="CK194" s="141"/>
      <c r="CL194" s="141"/>
      <c r="CM194" s="141"/>
      <c r="CN194" s="141"/>
      <c r="CO194" s="141"/>
      <c r="CP194" s="141"/>
      <c r="CQ194" s="141"/>
      <c r="CR194" s="215"/>
      <c r="CS194" s="141"/>
      <c r="CT194" s="141"/>
      <c r="CU194" s="141"/>
      <c r="CV194" s="141"/>
      <c r="CW194" s="141"/>
      <c r="CX194" s="141"/>
      <c r="CY194" s="141"/>
      <c r="CZ194" s="141"/>
      <c r="DA194" s="141"/>
      <c r="DB194" s="141"/>
      <c r="DC194" s="141"/>
      <c r="DD194" s="216"/>
      <c r="DE194" s="141"/>
      <c r="DF194" s="141"/>
      <c r="DG194" s="141"/>
      <c r="DH194" s="141"/>
      <c r="DI194" s="141"/>
      <c r="DJ194" s="141"/>
      <c r="DK194" s="141"/>
      <c r="DL194" s="141"/>
      <c r="DM194" s="141"/>
      <c r="DN194" s="141"/>
      <c r="DO194" s="141"/>
      <c r="DP194" s="141"/>
      <c r="DQ194" s="141"/>
      <c r="DR194" s="141"/>
    </row>
    <row r="195" spans="1:122" hidden="1" outlineLevel="1">
      <c r="A195" s="145"/>
      <c r="B195" s="215"/>
      <c r="C195" s="145" t="s">
        <v>51</v>
      </c>
      <c r="D195" s="145"/>
      <c r="E195" s="216"/>
      <c r="F195" s="353"/>
      <c r="G195" s="578"/>
      <c r="H195" s="578"/>
      <c r="I195" s="352"/>
      <c r="J195" s="353"/>
      <c r="K195" s="578"/>
      <c r="L195" s="578"/>
      <c r="M195" s="352"/>
      <c r="N195" s="353"/>
      <c r="O195" s="578"/>
      <c r="P195" s="578"/>
      <c r="Q195" s="352">
        <f t="shared" ref="Q195:AV195" si="497">Q15/M15-1</f>
        <v>0.11455363018205755</v>
      </c>
      <c r="R195" s="353">
        <f t="shared" si="497"/>
        <v>0.41050562786166989</v>
      </c>
      <c r="S195" s="578">
        <f t="shared" si="497"/>
        <v>0.46688644926594791</v>
      </c>
      <c r="T195" s="578">
        <f t="shared" si="497"/>
        <v>0.57506462720575469</v>
      </c>
      <c r="U195" s="352">
        <f t="shared" si="497"/>
        <v>0.28372283722837244</v>
      </c>
      <c r="V195" s="353">
        <f t="shared" si="497"/>
        <v>0.21904472163066635</v>
      </c>
      <c r="W195" s="578">
        <f t="shared" si="497"/>
        <v>8.0542485469139224E-2</v>
      </c>
      <c r="X195" s="578">
        <f t="shared" si="497"/>
        <v>0.29289652935452493</v>
      </c>
      <c r="Y195" s="352">
        <f t="shared" si="497"/>
        <v>0.28680932609389953</v>
      </c>
      <c r="Z195" s="353">
        <f t="shared" si="497"/>
        <v>0.17394559520838526</v>
      </c>
      <c r="AA195" s="578">
        <f t="shared" si="497"/>
        <v>9.7079918032787038E-2</v>
      </c>
      <c r="AB195" s="578">
        <f t="shared" si="497"/>
        <v>0.21224284997491205</v>
      </c>
      <c r="AC195" s="352">
        <f t="shared" si="497"/>
        <v>0.19508562918838424</v>
      </c>
      <c r="AD195" s="353">
        <f t="shared" si="497"/>
        <v>0.3052721088435375</v>
      </c>
      <c r="AE195" s="578">
        <f t="shared" si="497"/>
        <v>0.55965444781695073</v>
      </c>
      <c r="AF195" s="578">
        <f t="shared" si="497"/>
        <v>0.47971854304635775</v>
      </c>
      <c r="AG195" s="352">
        <f t="shared" si="497"/>
        <v>0.44755970924195232</v>
      </c>
      <c r="AH195" s="353">
        <f t="shared" si="497"/>
        <v>0.60423452768729646</v>
      </c>
      <c r="AI195" s="578">
        <f t="shared" si="497"/>
        <v>0.62574850299401197</v>
      </c>
      <c r="AJ195" s="578">
        <f t="shared" si="497"/>
        <v>0.41818181818181821</v>
      </c>
      <c r="AK195" s="352">
        <f t="shared" si="497"/>
        <v>0.44906743185078901</v>
      </c>
      <c r="AL195" s="578">
        <f t="shared" si="497"/>
        <v>9.8477157360406187E-2</v>
      </c>
      <c r="AM195" s="578">
        <f t="shared" si="497"/>
        <v>-0.14732965009208099</v>
      </c>
      <c r="AN195" s="578">
        <f t="shared" si="497"/>
        <v>-0.18737672583826426</v>
      </c>
      <c r="AO195" s="352">
        <f t="shared" si="497"/>
        <v>-8.3168316831683131E-2</v>
      </c>
      <c r="AP195" s="578">
        <f t="shared" si="497"/>
        <v>4.5286506469500942E-2</v>
      </c>
      <c r="AQ195" s="578">
        <f t="shared" si="497"/>
        <v>0.47408207343412534</v>
      </c>
      <c r="AR195" s="578">
        <f t="shared" si="497"/>
        <v>0.52548543689320382</v>
      </c>
      <c r="AS195" s="352">
        <f t="shared" si="497"/>
        <v>0.35637149028077753</v>
      </c>
      <c r="AT195" s="578">
        <f t="shared" si="497"/>
        <v>0.17152961980548187</v>
      </c>
      <c r="AU195" s="578">
        <f t="shared" si="497"/>
        <v>-8.4249084249084283E-2</v>
      </c>
      <c r="AV195" s="578">
        <f t="shared" si="497"/>
        <v>-6.8416865552903716E-2</v>
      </c>
      <c r="AW195" s="352">
        <f t="shared" ref="AW195:BY195" si="498">AW15/AS15-1</f>
        <v>-3.9808917197452276E-2</v>
      </c>
      <c r="AX195" s="578">
        <f t="shared" si="498"/>
        <v>2.3396226415094423E-2</v>
      </c>
      <c r="AY195" s="578">
        <f t="shared" si="498"/>
        <v>-0.40239999999999998</v>
      </c>
      <c r="AZ195" s="578">
        <f t="shared" si="498"/>
        <v>1.0298889837745517</v>
      </c>
      <c r="BA195" s="352">
        <f t="shared" si="498"/>
        <v>0.96019900497512434</v>
      </c>
      <c r="BB195" s="578">
        <f t="shared" si="498"/>
        <v>0.4387905604719764</v>
      </c>
      <c r="BC195" s="578">
        <f t="shared" si="498"/>
        <v>1.3186077643908969</v>
      </c>
      <c r="BD195" s="578">
        <f t="shared" si="498"/>
        <v>-0.28481278923012199</v>
      </c>
      <c r="BE195" s="352">
        <f t="shared" si="498"/>
        <v>-0.24153976311336722</v>
      </c>
      <c r="BF195" s="578">
        <f t="shared" si="498"/>
        <v>-8.2009226037929261E-2</v>
      </c>
      <c r="BG195" s="578">
        <f t="shared" si="498"/>
        <v>0.13106235565819868</v>
      </c>
      <c r="BH195" s="578">
        <f t="shared" si="498"/>
        <v>6.0000000000000053E-2</v>
      </c>
      <c r="BI195" s="352">
        <f t="shared" si="498"/>
        <v>0.10931399888455107</v>
      </c>
      <c r="BJ195" s="578">
        <f t="shared" si="498"/>
        <v>6.9235064209938635E-2</v>
      </c>
      <c r="BK195" s="578">
        <f t="shared" si="498"/>
        <v>-4.0326697294538083E-2</v>
      </c>
      <c r="BL195" s="578">
        <f t="shared" si="498"/>
        <v>-5.8823529411764719E-2</v>
      </c>
      <c r="BM195" s="352">
        <f t="shared" si="498"/>
        <v>-0.22976370035193561</v>
      </c>
      <c r="BN195" s="353">
        <f t="shared" si="498"/>
        <v>-0.15613577023498693</v>
      </c>
      <c r="BO195" s="578">
        <f t="shared" si="498"/>
        <v>-0.12234042553191493</v>
      </c>
      <c r="BP195" s="578">
        <f t="shared" si="498"/>
        <v>-0.26061320754716977</v>
      </c>
      <c r="BQ195" s="352">
        <f t="shared" si="498"/>
        <v>-4.6344647519582227E-2</v>
      </c>
      <c r="BR195" s="353">
        <f t="shared" si="498"/>
        <v>0.25185643564356441</v>
      </c>
      <c r="BS195" s="578">
        <f t="shared" si="498"/>
        <v>0.21454545454545459</v>
      </c>
      <c r="BT195" s="578">
        <f t="shared" si="498"/>
        <v>0.5534290271132376</v>
      </c>
      <c r="BU195" s="352">
        <f t="shared" si="498"/>
        <v>0.33333333333333326</v>
      </c>
      <c r="BV195" s="353">
        <f t="shared" si="498"/>
        <v>3.8556599110232348E-2</v>
      </c>
      <c r="BW195" s="578">
        <f t="shared" si="498"/>
        <v>2.39520958083832E-2</v>
      </c>
      <c r="BX195" s="578">
        <f t="shared" si="498"/>
        <v>4.0898963820194423E-2</v>
      </c>
      <c r="BY195" s="352">
        <f t="shared" si="498"/>
        <v>-1.2896359402285618E-2</v>
      </c>
      <c r="BZ195" s="353">
        <f>BZ15/BV15-1</f>
        <v>-3.169138129701099E-3</v>
      </c>
      <c r="CA195" s="578">
        <f>CA15/BW15-1</f>
        <v>-2.1982916540810304E-2</v>
      </c>
      <c r="CB195" s="578">
        <f>CB15/BX15-1</f>
        <v>-5.6060008393157612E-2</v>
      </c>
      <c r="CC195" s="352">
        <f>CC15/BY15-1</f>
        <v>2.5470086333156727E-2</v>
      </c>
      <c r="CD195" s="228"/>
      <c r="CE195" s="578"/>
      <c r="CF195" s="578"/>
      <c r="CG195" s="578">
        <f t="shared" ref="CG195:CW195" si="499">CG15/CF15-1</f>
        <v>0.11455363018205755</v>
      </c>
      <c r="CH195" s="578">
        <f t="shared" si="499"/>
        <v>0.28372283722837244</v>
      </c>
      <c r="CI195" s="578">
        <f t="shared" si="499"/>
        <v>0.28680932609389953</v>
      </c>
      <c r="CJ195" s="578">
        <f t="shared" si="499"/>
        <v>0.19508562918838424</v>
      </c>
      <c r="CK195" s="578">
        <f t="shared" si="499"/>
        <v>0.44755970924195232</v>
      </c>
      <c r="CL195" s="578">
        <f t="shared" si="499"/>
        <v>0.44906743185078901</v>
      </c>
      <c r="CM195" s="578">
        <f t="shared" si="499"/>
        <v>-8.3168316831683131E-2</v>
      </c>
      <c r="CN195" s="578">
        <f t="shared" si="499"/>
        <v>0.35637149028077753</v>
      </c>
      <c r="CO195" s="578">
        <f t="shared" si="499"/>
        <v>-3.9808917197452276E-2</v>
      </c>
      <c r="CP195" s="578">
        <f t="shared" si="499"/>
        <v>0.96019900497512434</v>
      </c>
      <c r="CQ195" s="578">
        <f t="shared" si="499"/>
        <v>-0.24153976311336722</v>
      </c>
      <c r="CR195" s="353">
        <f t="shared" si="499"/>
        <v>0.10931399888455107</v>
      </c>
      <c r="CS195" s="578">
        <f t="shared" si="499"/>
        <v>-0.22976370035193561</v>
      </c>
      <c r="CT195" s="578">
        <f t="shared" si="499"/>
        <v>-4.6344647519582227E-2</v>
      </c>
      <c r="CU195" s="578">
        <f t="shared" si="499"/>
        <v>0.33333333333333326</v>
      </c>
      <c r="CV195" s="578">
        <f t="shared" si="499"/>
        <v>-1.2896359402285618E-2</v>
      </c>
      <c r="CW195" s="578">
        <f t="shared" si="499"/>
        <v>2.5470086333156727E-2</v>
      </c>
      <c r="CX195" s="578">
        <f t="shared" ref="CX195:DC195" si="500">CX15/CT15-1</f>
        <v>0.56969277796647644</v>
      </c>
      <c r="CY195" s="578">
        <f t="shared" si="500"/>
        <v>0.21994827352617152</v>
      </c>
      <c r="CZ195" s="578">
        <f t="shared" si="500"/>
        <v>0.28292908637122371</v>
      </c>
      <c r="DA195" s="578">
        <f t="shared" si="500"/>
        <v>0.30904804710831146</v>
      </c>
      <c r="DB195" s="578">
        <f t="shared" si="500"/>
        <v>0.18205544177935717</v>
      </c>
      <c r="DC195" s="578">
        <f t="shared" si="500"/>
        <v>0.20245683433055062</v>
      </c>
      <c r="DD195" s="352"/>
      <c r="DE195" s="141"/>
      <c r="DF195" s="141"/>
      <c r="DG195" s="141"/>
      <c r="DH195" s="141"/>
      <c r="DI195" s="141"/>
      <c r="DJ195" s="141"/>
      <c r="DK195" s="141"/>
      <c r="DL195" s="141"/>
      <c r="DM195" s="141"/>
      <c r="DN195" s="141"/>
      <c r="DO195" s="141"/>
      <c r="DP195" s="141"/>
      <c r="DQ195" s="141"/>
      <c r="DR195" s="141"/>
    </row>
    <row r="196" spans="1:122" hidden="1" outlineLevel="1">
      <c r="A196" s="145"/>
      <c r="B196" s="215"/>
      <c r="C196" s="145" t="s">
        <v>592</v>
      </c>
      <c r="D196" s="145"/>
      <c r="E196" s="216"/>
      <c r="F196" s="353"/>
      <c r="G196" s="578"/>
      <c r="H196" s="578"/>
      <c r="I196" s="352"/>
      <c r="J196" s="353"/>
      <c r="K196" s="578"/>
      <c r="L196" s="578"/>
      <c r="M196" s="352"/>
      <c r="N196" s="353">
        <f t="shared" ref="N196:AS196" si="501">N15/M15-1</f>
        <v>6.4912809826716433E-2</v>
      </c>
      <c r="O196" s="578">
        <f t="shared" si="501"/>
        <v>5.6930873638091795E-2</v>
      </c>
      <c r="P196" s="578">
        <f t="shared" si="501"/>
        <v>-0.20529914252306092</v>
      </c>
      <c r="Q196" s="352">
        <f t="shared" si="501"/>
        <v>0.24605339790945036</v>
      </c>
      <c r="R196" s="353">
        <f t="shared" si="501"/>
        <v>0.3476834768347683</v>
      </c>
      <c r="S196" s="578">
        <f t="shared" si="501"/>
        <v>9.9178582293885098E-2</v>
      </c>
      <c r="T196" s="578">
        <f t="shared" si="501"/>
        <v>-0.14669249930805428</v>
      </c>
      <c r="U196" s="352">
        <f t="shared" si="501"/>
        <v>1.5569250729808637E-2</v>
      </c>
      <c r="V196" s="353">
        <f t="shared" si="501"/>
        <v>0.27978281699137653</v>
      </c>
      <c r="W196" s="578">
        <f t="shared" si="501"/>
        <v>-2.5705016221612254E-2</v>
      </c>
      <c r="X196" s="578">
        <f t="shared" si="501"/>
        <v>2.1004098360655865E-2</v>
      </c>
      <c r="Y196" s="352">
        <f t="shared" si="501"/>
        <v>1.0787757150025001E-2</v>
      </c>
      <c r="Z196" s="353">
        <f t="shared" si="501"/>
        <v>0.16753536857781093</v>
      </c>
      <c r="AA196" s="578">
        <f t="shared" si="501"/>
        <v>-8.9498299319727859E-2</v>
      </c>
      <c r="AB196" s="578">
        <f t="shared" si="501"/>
        <v>0.12818118141489609</v>
      </c>
      <c r="AC196" s="352">
        <f t="shared" si="501"/>
        <v>-3.5182119205298124E-3</v>
      </c>
      <c r="AD196" s="353">
        <f t="shared" si="501"/>
        <v>0.27518172377985461</v>
      </c>
      <c r="AE196" s="578">
        <f t="shared" si="501"/>
        <v>8.7947882736156391E-2</v>
      </c>
      <c r="AF196" s="578">
        <f t="shared" si="501"/>
        <v>7.0359281437125665E-2</v>
      </c>
      <c r="AG196" s="352">
        <f t="shared" si="501"/>
        <v>-2.5174825174825166E-2</v>
      </c>
      <c r="AH196" s="353">
        <f t="shared" si="501"/>
        <v>0.41319942611190807</v>
      </c>
      <c r="AI196" s="578">
        <f t="shared" si="501"/>
        <v>0.10253807106598978</v>
      </c>
      <c r="AJ196" s="578">
        <f t="shared" si="501"/>
        <v>-6.6298342541436517E-2</v>
      </c>
      <c r="AK196" s="352">
        <f t="shared" si="501"/>
        <v>-3.9447731755424265E-3</v>
      </c>
      <c r="AL196" s="578">
        <f t="shared" si="501"/>
        <v>7.128712871287135E-2</v>
      </c>
      <c r="AM196" s="578">
        <f t="shared" si="501"/>
        <v>-0.14417744916820707</v>
      </c>
      <c r="AN196" s="578">
        <f t="shared" si="501"/>
        <v>-0.11015118790496758</v>
      </c>
      <c r="AO196" s="352">
        <f t="shared" si="501"/>
        <v>0.12378640776699035</v>
      </c>
      <c r="AP196" s="578">
        <f t="shared" si="501"/>
        <v>0.22138228941684668</v>
      </c>
      <c r="AQ196" s="578">
        <f t="shared" si="501"/>
        <v>0.2068965517241379</v>
      </c>
      <c r="AR196" s="578">
        <f t="shared" si="501"/>
        <v>-7.9120879120879173E-2</v>
      </c>
      <c r="AS196" s="352">
        <f t="shared" si="501"/>
        <v>-7.9554494828959488E-4</v>
      </c>
      <c r="AT196" s="578">
        <f t="shared" ref="AT196:BY196" si="502">AT15/AS15-1</f>
        <v>5.4936305732484092E-2</v>
      </c>
      <c r="AU196" s="578">
        <f t="shared" si="502"/>
        <v>-5.6603773584905648E-2</v>
      </c>
      <c r="AV196" s="578">
        <f t="shared" si="502"/>
        <v>-6.3200000000000034E-2</v>
      </c>
      <c r="AW196" s="352">
        <f t="shared" si="502"/>
        <v>2.9888983774551736E-2</v>
      </c>
      <c r="AX196" s="578">
        <f t="shared" si="502"/>
        <v>0.12437810945273631</v>
      </c>
      <c r="AY196" s="578">
        <f t="shared" si="502"/>
        <v>-0.44911504424778759</v>
      </c>
      <c r="AZ196" s="578">
        <f t="shared" si="502"/>
        <v>2.1820615796519411</v>
      </c>
      <c r="BA196" s="352">
        <f t="shared" si="502"/>
        <v>-5.4690786705932082E-3</v>
      </c>
      <c r="BB196" s="578">
        <f t="shared" si="502"/>
        <v>-0.17470389170896783</v>
      </c>
      <c r="BC196" s="578">
        <f t="shared" si="502"/>
        <v>-0.11225012813941571</v>
      </c>
      <c r="BD196" s="578">
        <f t="shared" si="502"/>
        <v>-1.8475750577367167E-2</v>
      </c>
      <c r="BE196" s="352">
        <f t="shared" si="502"/>
        <v>5.470588235294116E-2</v>
      </c>
      <c r="BF196" s="578">
        <f t="shared" si="502"/>
        <v>-1.115448968209698E-3</v>
      </c>
      <c r="BG196" s="578">
        <f t="shared" si="502"/>
        <v>9.3802345058626502E-2</v>
      </c>
      <c r="BH196" s="578">
        <f t="shared" si="502"/>
        <v>-8.0142930066360418E-2</v>
      </c>
      <c r="BI196" s="352">
        <f t="shared" si="502"/>
        <v>0.10377358490566047</v>
      </c>
      <c r="BJ196" s="578">
        <f t="shared" si="502"/>
        <v>-3.7204625439919536E-2</v>
      </c>
      <c r="BK196" s="578">
        <f t="shared" si="502"/>
        <v>-1.8276762402088753E-2</v>
      </c>
      <c r="BL196" s="578">
        <f t="shared" si="502"/>
        <v>-9.7872340425531945E-2</v>
      </c>
      <c r="BM196" s="352">
        <f t="shared" si="502"/>
        <v>-9.6698113207547176E-2</v>
      </c>
      <c r="BN196" s="353">
        <f t="shared" si="502"/>
        <v>5.4830287206266259E-2</v>
      </c>
      <c r="BO196" s="578">
        <f t="shared" si="502"/>
        <v>2.1039603960395947E-2</v>
      </c>
      <c r="BP196" s="578">
        <f t="shared" si="502"/>
        <v>-0.24</v>
      </c>
      <c r="BQ196" s="352">
        <f t="shared" si="502"/>
        <v>0.16507177033492826</v>
      </c>
      <c r="BR196" s="353">
        <f t="shared" si="502"/>
        <v>0.3846680355920602</v>
      </c>
      <c r="BS196" s="578">
        <f t="shared" si="502"/>
        <v>-9.3919920909539822E-3</v>
      </c>
      <c r="BT196" s="578">
        <f t="shared" si="502"/>
        <v>-2.7944111776447067E-2</v>
      </c>
      <c r="BU196" s="352">
        <f t="shared" si="502"/>
        <v>0</v>
      </c>
      <c r="BV196" s="353">
        <f t="shared" si="502"/>
        <v>7.8542094455852141E-2</v>
      </c>
      <c r="BW196" s="578">
        <f t="shared" si="502"/>
        <v>-2.3322227510709226E-2</v>
      </c>
      <c r="BX196" s="578">
        <f t="shared" si="502"/>
        <v>-1.1856149355877754E-2</v>
      </c>
      <c r="BY196" s="352">
        <f t="shared" si="502"/>
        <v>-5.1681599360082209E-2</v>
      </c>
      <c r="BZ196" s="353">
        <f>BZ15/BY15-1</f>
        <v>8.9170378227773073E-2</v>
      </c>
      <c r="CA196" s="578">
        <f>CA15/BZ15-1</f>
        <v>-4.1755644746802045E-2</v>
      </c>
      <c r="CB196" s="578">
        <f>CB15/CA15-1</f>
        <v>-4.6286088598485042E-2</v>
      </c>
      <c r="CC196" s="352">
        <f>CC15/CB15-1</f>
        <v>3.0226667820404396E-2</v>
      </c>
      <c r="CD196" s="228"/>
      <c r="CE196" s="578"/>
      <c r="CF196" s="578"/>
      <c r="CG196" s="578">
        <f t="shared" ref="CG196:DC196" si="503">CG15/CF15-1</f>
        <v>0.11455363018205755</v>
      </c>
      <c r="CH196" s="578">
        <f t="shared" si="503"/>
        <v>0.28372283722837244</v>
      </c>
      <c r="CI196" s="578">
        <f t="shared" si="503"/>
        <v>0.28680932609389953</v>
      </c>
      <c r="CJ196" s="578">
        <f t="shared" si="503"/>
        <v>0.19508562918838424</v>
      </c>
      <c r="CK196" s="578">
        <f t="shared" si="503"/>
        <v>0.44755970924195232</v>
      </c>
      <c r="CL196" s="578">
        <f t="shared" si="503"/>
        <v>0.44906743185078901</v>
      </c>
      <c r="CM196" s="578">
        <f t="shared" si="503"/>
        <v>-8.3168316831683131E-2</v>
      </c>
      <c r="CN196" s="578">
        <f t="shared" si="503"/>
        <v>0.35637149028077753</v>
      </c>
      <c r="CO196" s="578">
        <f t="shared" si="503"/>
        <v>-3.9808917197452276E-2</v>
      </c>
      <c r="CP196" s="578">
        <f t="shared" si="503"/>
        <v>0.96019900497512434</v>
      </c>
      <c r="CQ196" s="578">
        <f t="shared" si="503"/>
        <v>-0.24153976311336722</v>
      </c>
      <c r="CR196" s="353">
        <f t="shared" si="503"/>
        <v>0.10931399888455107</v>
      </c>
      <c r="CS196" s="578">
        <f t="shared" si="503"/>
        <v>-0.22976370035193561</v>
      </c>
      <c r="CT196" s="578">
        <f t="shared" si="503"/>
        <v>-4.6344647519582227E-2</v>
      </c>
      <c r="CU196" s="578">
        <f t="shared" si="503"/>
        <v>0.33333333333333326</v>
      </c>
      <c r="CV196" s="578">
        <f t="shared" si="503"/>
        <v>-1.2896359402285618E-2</v>
      </c>
      <c r="CW196" s="578">
        <f t="shared" si="503"/>
        <v>2.5470086333156727E-2</v>
      </c>
      <c r="CX196" s="578">
        <f t="shared" si="503"/>
        <v>0.16302800830885422</v>
      </c>
      <c r="CY196" s="578">
        <f t="shared" si="503"/>
        <v>3.6252265963877761E-2</v>
      </c>
      <c r="CZ196" s="578">
        <f t="shared" si="503"/>
        <v>3.8063661605375998E-2</v>
      </c>
      <c r="DA196" s="578">
        <f t="shared" si="503"/>
        <v>4.6347477925979153E-2</v>
      </c>
      <c r="DB196" s="578">
        <f t="shared" si="503"/>
        <v>5.0201013782605441E-2</v>
      </c>
      <c r="DC196" s="578">
        <f t="shared" si="503"/>
        <v>5.4137204785502879E-2</v>
      </c>
      <c r="DD196" s="352"/>
      <c r="DE196" s="141"/>
      <c r="DF196" s="141"/>
      <c r="DG196" s="141"/>
      <c r="DH196" s="141"/>
      <c r="DI196" s="141"/>
      <c r="DJ196" s="141"/>
      <c r="DK196" s="141"/>
      <c r="DL196" s="141"/>
      <c r="DM196" s="141"/>
      <c r="DN196" s="141"/>
      <c r="DO196" s="141"/>
      <c r="DP196" s="141"/>
      <c r="DQ196" s="141"/>
      <c r="DR196" s="141"/>
    </row>
    <row r="197" spans="1:122" ht="6.75" hidden="1" customHeight="1" outlineLevel="1">
      <c r="A197" s="145"/>
      <c r="B197" s="215"/>
      <c r="C197" s="145"/>
      <c r="D197" s="145"/>
      <c r="E197" s="216"/>
      <c r="F197" s="215"/>
      <c r="G197" s="141"/>
      <c r="H197" s="141"/>
      <c r="I197" s="216"/>
      <c r="J197" s="215"/>
      <c r="K197" s="141"/>
      <c r="L197" s="141"/>
      <c r="M197" s="216"/>
      <c r="N197" s="215"/>
      <c r="O197" s="141"/>
      <c r="P197" s="141"/>
      <c r="Q197" s="216"/>
      <c r="R197" s="215"/>
      <c r="S197" s="141"/>
      <c r="T197" s="141"/>
      <c r="U197" s="216"/>
      <c r="V197" s="215"/>
      <c r="W197" s="141"/>
      <c r="X197" s="141"/>
      <c r="Y197" s="216"/>
      <c r="Z197" s="215"/>
      <c r="AA197" s="141"/>
      <c r="AB197" s="141"/>
      <c r="AC197" s="216"/>
      <c r="AD197" s="215"/>
      <c r="AE197" s="141"/>
      <c r="AF197" s="141"/>
      <c r="AG197" s="216"/>
      <c r="AH197" s="215"/>
      <c r="AI197" s="141"/>
      <c r="AJ197" s="141"/>
      <c r="AK197" s="216"/>
      <c r="AL197" s="141"/>
      <c r="AM197" s="141"/>
      <c r="AN197" s="141"/>
      <c r="AO197" s="216"/>
      <c r="AP197" s="141"/>
      <c r="AQ197" s="141"/>
      <c r="AR197" s="141"/>
      <c r="AS197" s="216"/>
      <c r="AT197" s="141"/>
      <c r="AU197" s="141"/>
      <c r="AV197" s="141"/>
      <c r="AW197" s="216"/>
      <c r="AX197" s="141"/>
      <c r="AY197" s="141"/>
      <c r="AZ197" s="141"/>
      <c r="BA197" s="216"/>
      <c r="BB197" s="141"/>
      <c r="BC197" s="141"/>
      <c r="BD197" s="141"/>
      <c r="BE197" s="216"/>
      <c r="BF197" s="141"/>
      <c r="BG197" s="141"/>
      <c r="BH197" s="141"/>
      <c r="BI197" s="216"/>
      <c r="BJ197" s="141"/>
      <c r="BK197" s="141"/>
      <c r="BL197" s="141"/>
      <c r="BM197" s="216"/>
      <c r="BN197" s="215"/>
      <c r="BO197" s="141"/>
      <c r="BP197" s="141"/>
      <c r="BQ197" s="216"/>
      <c r="BR197" s="215"/>
      <c r="BS197" s="141"/>
      <c r="BT197" s="141"/>
      <c r="BU197" s="216"/>
      <c r="BV197" s="215"/>
      <c r="BW197" s="141"/>
      <c r="BX197" s="141"/>
      <c r="BY197" s="216"/>
      <c r="BZ197" s="215"/>
      <c r="CA197" s="141"/>
      <c r="CB197" s="141"/>
      <c r="CC197" s="216"/>
      <c r="CD197" s="228"/>
      <c r="CE197" s="141"/>
      <c r="CF197" s="141"/>
      <c r="CG197" s="141"/>
      <c r="CH197" s="141"/>
      <c r="CI197" s="141"/>
      <c r="CJ197" s="141"/>
      <c r="CK197" s="141"/>
      <c r="CL197" s="141"/>
      <c r="CM197" s="141"/>
      <c r="CN197" s="141"/>
      <c r="CO197" s="141"/>
      <c r="CP197" s="141"/>
      <c r="CQ197" s="141"/>
      <c r="CR197" s="215"/>
      <c r="CS197" s="141"/>
      <c r="CT197" s="141"/>
      <c r="CU197" s="141"/>
      <c r="CV197" s="141"/>
      <c r="CW197" s="141"/>
      <c r="CX197" s="141"/>
      <c r="CY197" s="141"/>
      <c r="CZ197" s="141"/>
      <c r="DA197" s="141"/>
      <c r="DB197" s="141"/>
      <c r="DC197" s="141"/>
      <c r="DD197" s="216"/>
      <c r="DE197" s="141"/>
      <c r="DF197" s="141"/>
      <c r="DG197" s="141"/>
      <c r="DH197" s="141"/>
      <c r="DI197" s="141"/>
      <c r="DJ197" s="141"/>
      <c r="DK197" s="141"/>
      <c r="DL197" s="141"/>
      <c r="DM197" s="141"/>
      <c r="DN197" s="141"/>
      <c r="DO197" s="141"/>
      <c r="DP197" s="141"/>
      <c r="DQ197" s="141"/>
      <c r="DR197" s="141"/>
    </row>
    <row r="198" spans="1:122" hidden="1" outlineLevel="1">
      <c r="A198" s="3"/>
      <c r="B198" s="92" t="s">
        <v>93</v>
      </c>
      <c r="C198" s="3"/>
      <c r="D198" s="3"/>
      <c r="E198" s="25"/>
      <c r="F198" s="23"/>
      <c r="G198" s="24"/>
      <c r="H198" s="24"/>
      <c r="I198" s="25"/>
      <c r="J198" s="23"/>
      <c r="K198" s="24"/>
      <c r="L198" s="24"/>
      <c r="M198" s="25"/>
      <c r="N198" s="23"/>
      <c r="O198" s="24"/>
      <c r="P198" s="24"/>
      <c r="Q198" s="25"/>
      <c r="R198" s="23"/>
      <c r="S198" s="24"/>
      <c r="T198" s="24"/>
      <c r="U198" s="25"/>
      <c r="V198" s="23"/>
      <c r="W198" s="24"/>
      <c r="X198" s="24"/>
      <c r="Y198" s="25"/>
      <c r="Z198" s="23"/>
      <c r="AA198" s="24"/>
      <c r="AB198" s="24"/>
      <c r="AC198" s="25"/>
      <c r="AD198" s="23"/>
      <c r="AE198" s="24"/>
      <c r="AF198" s="24"/>
      <c r="AG198" s="25"/>
      <c r="AH198" s="23"/>
      <c r="AI198" s="24"/>
      <c r="AJ198" s="24"/>
      <c r="AK198" s="25"/>
      <c r="AL198" s="24"/>
      <c r="AM198" s="24"/>
      <c r="AN198" s="24"/>
      <c r="AO198" s="25"/>
      <c r="AP198" s="24"/>
      <c r="AQ198" s="24"/>
      <c r="AR198" s="24"/>
      <c r="AS198" s="25"/>
      <c r="AT198" s="24"/>
      <c r="AU198" s="24"/>
      <c r="AV198" s="24"/>
      <c r="AW198" s="25"/>
      <c r="AX198" s="24"/>
      <c r="AY198" s="24"/>
      <c r="AZ198" s="24"/>
      <c r="BA198" s="25"/>
      <c r="BB198" s="24"/>
      <c r="BC198" s="24"/>
      <c r="BD198" s="24"/>
      <c r="BE198" s="25"/>
      <c r="BF198" s="24"/>
      <c r="BG198" s="24"/>
      <c r="BH198" s="24"/>
      <c r="BI198" s="25"/>
      <c r="BJ198" s="24"/>
      <c r="BK198" s="24"/>
      <c r="BL198" s="24"/>
      <c r="BM198" s="25"/>
      <c r="BN198" s="23"/>
      <c r="BO198" s="24"/>
      <c r="BP198" s="24"/>
      <c r="BQ198" s="25"/>
      <c r="BR198" s="23"/>
      <c r="BS198" s="24"/>
      <c r="BT198" s="24"/>
      <c r="BU198" s="25"/>
      <c r="BV198" s="23"/>
      <c r="BW198" s="24"/>
      <c r="BX198" s="24"/>
      <c r="BY198" s="25"/>
      <c r="BZ198" s="23"/>
      <c r="CA198" s="24"/>
      <c r="CB198" s="24"/>
      <c r="CC198" s="25"/>
      <c r="CD198" s="12"/>
      <c r="CE198" s="24"/>
      <c r="CF198" s="24"/>
      <c r="CG198" s="24"/>
      <c r="CH198" s="24"/>
      <c r="CI198" s="24"/>
      <c r="CJ198" s="24"/>
      <c r="CK198" s="24"/>
      <c r="CL198" s="24"/>
      <c r="CM198" s="24"/>
      <c r="CN198" s="24"/>
      <c r="CO198" s="24"/>
      <c r="CP198" s="24"/>
      <c r="CQ198" s="24"/>
      <c r="CR198" s="23"/>
      <c r="CS198" s="24"/>
      <c r="CT198" s="24"/>
      <c r="CU198" s="24"/>
      <c r="CV198" s="24"/>
      <c r="CW198" s="24"/>
      <c r="CX198" s="24"/>
      <c r="CY198" s="24"/>
      <c r="CZ198" s="24"/>
      <c r="DA198" s="24"/>
      <c r="DB198" s="24"/>
      <c r="DC198" s="24"/>
      <c r="DD198" s="25"/>
      <c r="DE198" s="24"/>
      <c r="DF198" s="24"/>
      <c r="DG198" s="24"/>
      <c r="DH198" s="24"/>
      <c r="DI198" s="24"/>
      <c r="DJ198" s="24"/>
      <c r="DK198" s="24"/>
      <c r="DL198" s="24"/>
      <c r="DM198" s="24"/>
      <c r="DN198" s="24"/>
      <c r="DO198" s="24"/>
      <c r="DP198" s="24"/>
      <c r="DQ198" s="24"/>
      <c r="DR198" s="24"/>
    </row>
    <row r="199" spans="1:122" hidden="1" outlineLevel="1">
      <c r="A199" s="3"/>
      <c r="B199" s="293"/>
      <c r="C199" s="3" t="s">
        <v>94</v>
      </c>
      <c r="D199" s="3"/>
      <c r="E199" s="294"/>
      <c r="F199" s="596"/>
      <c r="G199" s="144"/>
      <c r="H199" s="144"/>
      <c r="I199" s="577"/>
      <c r="J199" s="596"/>
      <c r="K199" s="144"/>
      <c r="L199" s="144"/>
      <c r="M199" s="577">
        <f t="shared" ref="M199:AR199" si="504">M60-M31-M74</f>
        <v>102.86199999999994</v>
      </c>
      <c r="N199" s="596">
        <f t="shared" si="504"/>
        <v>127.85100000000006</v>
      </c>
      <c r="O199" s="144">
        <f t="shared" si="504"/>
        <v>209.97000000000008</v>
      </c>
      <c r="P199" s="144">
        <f t="shared" si="504"/>
        <v>276.084</v>
      </c>
      <c r="Q199" s="577">
        <f t="shared" si="504"/>
        <v>327.39999999999998</v>
      </c>
      <c r="R199" s="596">
        <f t="shared" si="504"/>
        <v>344.30000000000007</v>
      </c>
      <c r="S199" s="144">
        <f t="shared" si="504"/>
        <v>384</v>
      </c>
      <c r="T199" s="144">
        <f t="shared" si="504"/>
        <v>439.5</v>
      </c>
      <c r="U199" s="577">
        <f t="shared" si="504"/>
        <v>487.60000000000019</v>
      </c>
      <c r="V199" s="596">
        <f t="shared" si="504"/>
        <v>507.50000000000006</v>
      </c>
      <c r="W199" s="144">
        <f t="shared" si="504"/>
        <v>568.30000000000007</v>
      </c>
      <c r="X199" s="144">
        <f t="shared" si="504"/>
        <v>662.8</v>
      </c>
      <c r="Y199" s="577">
        <f t="shared" si="504"/>
        <v>702.1</v>
      </c>
      <c r="Z199" s="596">
        <f t="shared" si="504"/>
        <v>776.69999999999993</v>
      </c>
      <c r="AA199" s="144">
        <f t="shared" si="504"/>
        <v>894.00000000000011</v>
      </c>
      <c r="AB199" s="144">
        <f t="shared" si="504"/>
        <v>1028</v>
      </c>
      <c r="AC199" s="577">
        <f t="shared" si="504"/>
        <v>1157.2</v>
      </c>
      <c r="AD199" s="596">
        <f t="shared" si="504"/>
        <v>1272</v>
      </c>
      <c r="AE199" s="144">
        <f t="shared" si="504"/>
        <v>1425</v>
      </c>
      <c r="AF199" s="144">
        <f t="shared" si="504"/>
        <v>1536</v>
      </c>
      <c r="AG199" s="577">
        <f t="shared" si="504"/>
        <v>1716</v>
      </c>
      <c r="AH199" s="596">
        <f t="shared" si="504"/>
        <v>1600</v>
      </c>
      <c r="AI199" s="144">
        <f t="shared" si="504"/>
        <v>1953</v>
      </c>
      <c r="AJ199" s="144">
        <f t="shared" si="504"/>
        <v>2230</v>
      </c>
      <c r="AK199" s="577">
        <f t="shared" si="504"/>
        <v>2499</v>
      </c>
      <c r="AL199" s="596">
        <f t="shared" si="504"/>
        <v>2693</v>
      </c>
      <c r="AM199" s="144">
        <f t="shared" si="504"/>
        <v>2735</v>
      </c>
      <c r="AN199" s="144">
        <f t="shared" si="504"/>
        <v>2761</v>
      </c>
      <c r="AO199" s="577">
        <f t="shared" si="504"/>
        <v>2964</v>
      </c>
      <c r="AP199" s="596">
        <f t="shared" si="504"/>
        <v>3298</v>
      </c>
      <c r="AQ199" s="144">
        <f t="shared" si="504"/>
        <v>3769</v>
      </c>
      <c r="AR199" s="144">
        <f t="shared" si="504"/>
        <v>4212</v>
      </c>
      <c r="AS199" s="577">
        <f t="shared" ref="AS199:BY199" si="505">AS60-AS31-AS74</f>
        <v>4475</v>
      </c>
      <c r="AT199" s="596">
        <f t="shared" si="505"/>
        <v>4678</v>
      </c>
      <c r="AU199" s="144">
        <f t="shared" si="505"/>
        <v>4929</v>
      </c>
      <c r="AV199" s="144">
        <f t="shared" si="505"/>
        <v>5090</v>
      </c>
      <c r="AW199" s="577">
        <f t="shared" si="505"/>
        <v>5266</v>
      </c>
      <c r="AX199" s="596">
        <f t="shared" si="505"/>
        <v>5505</v>
      </c>
      <c r="AY199" s="144">
        <f t="shared" si="505"/>
        <v>5772</v>
      </c>
      <c r="AZ199" s="144">
        <f t="shared" si="505"/>
        <v>4725</v>
      </c>
      <c r="BA199" s="577">
        <f t="shared" si="505"/>
        <v>5694</v>
      </c>
      <c r="BB199" s="596">
        <f t="shared" si="505"/>
        <v>6093</v>
      </c>
      <c r="BC199" s="144">
        <f t="shared" si="505"/>
        <v>6340</v>
      </c>
      <c r="BD199" s="144">
        <f t="shared" si="505"/>
        <v>6469</v>
      </c>
      <c r="BE199" s="577">
        <f t="shared" si="505"/>
        <v>5939</v>
      </c>
      <c r="BF199" s="596">
        <f t="shared" si="505"/>
        <v>6202</v>
      </c>
      <c r="BG199" s="144">
        <f t="shared" si="505"/>
        <v>6024</v>
      </c>
      <c r="BH199" s="144">
        <f t="shared" si="505"/>
        <v>6210</v>
      </c>
      <c r="BI199" s="577">
        <f t="shared" si="505"/>
        <v>6283</v>
      </c>
      <c r="BJ199" s="596">
        <f t="shared" si="505"/>
        <v>6404</v>
      </c>
      <c r="BK199" s="144">
        <f t="shared" si="505"/>
        <v>6516</v>
      </c>
      <c r="BL199" s="144">
        <f t="shared" si="505"/>
        <v>6481</v>
      </c>
      <c r="BM199" s="577">
        <f t="shared" si="505"/>
        <v>6453</v>
      </c>
      <c r="BN199" s="596">
        <f t="shared" si="505"/>
        <v>6570</v>
      </c>
      <c r="BO199" s="144">
        <f t="shared" si="505"/>
        <v>6791</v>
      </c>
      <c r="BP199" s="144">
        <f t="shared" si="505"/>
        <v>6843</v>
      </c>
      <c r="BQ199" s="577">
        <f t="shared" si="505"/>
        <v>-3840</v>
      </c>
      <c r="BR199" s="596">
        <f t="shared" si="505"/>
        <v>-3983</v>
      </c>
      <c r="BS199" s="144">
        <f t="shared" si="505"/>
        <v>727</v>
      </c>
      <c r="BT199" s="144">
        <f t="shared" si="505"/>
        <v>1019</v>
      </c>
      <c r="BU199" s="577">
        <f t="shared" si="505"/>
        <v>1404</v>
      </c>
      <c r="BV199" s="596">
        <f t="shared" si="505"/>
        <v>1986</v>
      </c>
      <c r="BW199" s="144">
        <f t="shared" si="505"/>
        <v>1196</v>
      </c>
      <c r="BX199" s="144">
        <f t="shared" si="505"/>
        <v>1707.5580367576804</v>
      </c>
      <c r="BY199" s="577">
        <f t="shared" si="505"/>
        <v>2131.5400651265227</v>
      </c>
      <c r="BZ199" s="596">
        <f>BZ60-BZ31-BZ74</f>
        <v>2713.083581556406</v>
      </c>
      <c r="CA199" s="144">
        <f>CA60-CA31-CA74</f>
        <v>3216.516389843202</v>
      </c>
      <c r="CB199" s="144">
        <f>CB60-CB31-CB74</f>
        <v>3549.4617951299479</v>
      </c>
      <c r="CC199" s="577">
        <f>CC60-CC31-CC74</f>
        <v>3824.8296508571275</v>
      </c>
      <c r="CD199" s="12"/>
      <c r="CE199" s="909"/>
      <c r="CF199" s="881">
        <f t="shared" ref="CF199:DA199" si="506">CF60-CF31-CF74</f>
        <v>102.86199999999994</v>
      </c>
      <c r="CG199" s="881">
        <f t="shared" si="506"/>
        <v>327.39999999999998</v>
      </c>
      <c r="CH199" s="881">
        <f t="shared" si="506"/>
        <v>487.60000000000019</v>
      </c>
      <c r="CI199" s="881">
        <f t="shared" si="506"/>
        <v>702.1</v>
      </c>
      <c r="CJ199" s="881">
        <f t="shared" si="506"/>
        <v>1157.2</v>
      </c>
      <c r="CK199" s="881">
        <f t="shared" si="506"/>
        <v>1716</v>
      </c>
      <c r="CL199" s="881">
        <f t="shared" si="506"/>
        <v>2499</v>
      </c>
      <c r="CM199" s="881">
        <f t="shared" si="506"/>
        <v>2964</v>
      </c>
      <c r="CN199" s="881">
        <f t="shared" si="506"/>
        <v>4475</v>
      </c>
      <c r="CO199" s="881">
        <f t="shared" si="506"/>
        <v>5266</v>
      </c>
      <c r="CP199" s="881">
        <f t="shared" si="506"/>
        <v>5694</v>
      </c>
      <c r="CQ199" s="881">
        <f t="shared" si="506"/>
        <v>5939</v>
      </c>
      <c r="CR199" s="909">
        <f t="shared" si="506"/>
        <v>6283</v>
      </c>
      <c r="CS199" s="881">
        <f t="shared" si="506"/>
        <v>6453</v>
      </c>
      <c r="CT199" s="881">
        <f t="shared" si="506"/>
        <v>-3840</v>
      </c>
      <c r="CU199" s="881">
        <f t="shared" si="506"/>
        <v>1404</v>
      </c>
      <c r="CV199" s="144">
        <f t="shared" si="506"/>
        <v>2131.5400651265227</v>
      </c>
      <c r="CW199" s="144">
        <f>CW60-CW31-CW74</f>
        <v>3824.8296508571275</v>
      </c>
      <c r="CX199" s="144">
        <f t="shared" si="506"/>
        <v>5854.8238888433552</v>
      </c>
      <c r="CY199" s="144">
        <f t="shared" si="506"/>
        <v>8030.9114879319895</v>
      </c>
      <c r="CZ199" s="144">
        <f t="shared" si="506"/>
        <v>10434.423681249369</v>
      </c>
      <c r="DA199" s="144">
        <f t="shared" si="506"/>
        <v>12862.794694998938</v>
      </c>
      <c r="DB199" s="144">
        <f>DB60-DB31-DB74</f>
        <v>15507.852078883039</v>
      </c>
      <c r="DC199" s="144">
        <f>DC60-DC31-DC74</f>
        <v>18397.859664722469</v>
      </c>
      <c r="DD199" s="577"/>
      <c r="DE199" s="24"/>
      <c r="DF199" s="24"/>
      <c r="DG199" s="29"/>
      <c r="DH199" s="29"/>
      <c r="DI199" s="29"/>
      <c r="DJ199" s="29"/>
      <c r="DK199" s="24"/>
      <c r="DL199" s="24"/>
      <c r="DM199" s="24"/>
      <c r="DN199" s="24"/>
      <c r="DO199" s="24"/>
      <c r="DP199" s="24"/>
      <c r="DQ199" s="24"/>
      <c r="DR199" s="24"/>
    </row>
    <row r="200" spans="1:122" hidden="1" outlineLevel="1">
      <c r="A200" s="3"/>
      <c r="B200" s="293"/>
      <c r="C200" s="3" t="s">
        <v>95</v>
      </c>
      <c r="D200" s="3"/>
      <c r="E200" s="294"/>
      <c r="F200" s="596"/>
      <c r="G200" s="144"/>
      <c r="H200" s="144"/>
      <c r="I200" s="577"/>
      <c r="J200" s="596"/>
      <c r="K200" s="144"/>
      <c r="L200" s="144"/>
      <c r="M200" s="577">
        <f t="shared" ref="M200:AS200" si="507">M201-M199</f>
        <v>0</v>
      </c>
      <c r="N200" s="596">
        <f t="shared" si="507"/>
        <v>0</v>
      </c>
      <c r="O200" s="144">
        <f t="shared" si="507"/>
        <v>0</v>
      </c>
      <c r="P200" s="144">
        <f t="shared" si="507"/>
        <v>0</v>
      </c>
      <c r="Q200" s="577">
        <f t="shared" si="507"/>
        <v>0</v>
      </c>
      <c r="R200" s="596">
        <f t="shared" si="507"/>
        <v>0</v>
      </c>
      <c r="S200" s="144">
        <f t="shared" si="507"/>
        <v>32.899999999999977</v>
      </c>
      <c r="T200" s="144">
        <f t="shared" si="507"/>
        <v>31.399999999999977</v>
      </c>
      <c r="U200" s="577">
        <f t="shared" si="507"/>
        <v>0</v>
      </c>
      <c r="V200" s="596">
        <f t="shared" si="507"/>
        <v>0</v>
      </c>
      <c r="W200" s="144">
        <f t="shared" si="507"/>
        <v>0</v>
      </c>
      <c r="X200" s="144">
        <f t="shared" si="507"/>
        <v>0</v>
      </c>
      <c r="Y200" s="577">
        <f t="shared" si="507"/>
        <v>0</v>
      </c>
      <c r="Z200" s="596">
        <f t="shared" si="507"/>
        <v>0</v>
      </c>
      <c r="AA200" s="144">
        <f t="shared" si="507"/>
        <v>0</v>
      </c>
      <c r="AB200" s="144">
        <f t="shared" si="507"/>
        <v>0</v>
      </c>
      <c r="AC200" s="577">
        <f t="shared" si="507"/>
        <v>0</v>
      </c>
      <c r="AD200" s="596">
        <f t="shared" si="507"/>
        <v>0</v>
      </c>
      <c r="AE200" s="144">
        <f t="shared" si="507"/>
        <v>0</v>
      </c>
      <c r="AF200" s="144">
        <f t="shared" si="507"/>
        <v>0</v>
      </c>
      <c r="AG200" s="577">
        <f t="shared" si="507"/>
        <v>0</v>
      </c>
      <c r="AH200" s="596">
        <f t="shared" si="507"/>
        <v>187</v>
      </c>
      <c r="AI200" s="144">
        <f t="shared" si="507"/>
        <v>174</v>
      </c>
      <c r="AJ200" s="144">
        <f t="shared" si="507"/>
        <v>187</v>
      </c>
      <c r="AK200" s="577">
        <f t="shared" si="507"/>
        <v>197</v>
      </c>
      <c r="AL200" s="596">
        <f t="shared" si="507"/>
        <v>194</v>
      </c>
      <c r="AM200" s="144">
        <f t="shared" si="507"/>
        <v>186</v>
      </c>
      <c r="AN200" s="144">
        <f t="shared" si="507"/>
        <v>231</v>
      </c>
      <c r="AO200" s="577">
        <f t="shared" si="507"/>
        <v>228</v>
      </c>
      <c r="AP200" s="596">
        <f t="shared" si="507"/>
        <v>225</v>
      </c>
      <c r="AQ200" s="144">
        <f t="shared" si="507"/>
        <v>222</v>
      </c>
      <c r="AR200" s="144">
        <f t="shared" si="507"/>
        <v>219</v>
      </c>
      <c r="AS200" s="577">
        <f t="shared" si="507"/>
        <v>234</v>
      </c>
      <c r="AT200" s="596">
        <f t="shared" ref="AT200:BA200" si="508">AT201-AT199</f>
        <v>233</v>
      </c>
      <c r="AU200" s="144">
        <f t="shared" si="508"/>
        <v>230</v>
      </c>
      <c r="AV200" s="144">
        <f t="shared" si="508"/>
        <v>226</v>
      </c>
      <c r="AW200" s="577">
        <f t="shared" si="508"/>
        <v>222</v>
      </c>
      <c r="AX200" s="596">
        <f t="shared" si="508"/>
        <v>218</v>
      </c>
      <c r="AY200" s="144">
        <f t="shared" si="508"/>
        <v>151</v>
      </c>
      <c r="AZ200" s="144">
        <f t="shared" si="508"/>
        <v>2691</v>
      </c>
      <c r="BA200" s="577">
        <f t="shared" si="508"/>
        <v>1975</v>
      </c>
      <c r="BB200" s="596">
        <f t="shared" ref="BB200:BH200" si="509">BB201-BB199</f>
        <v>1944</v>
      </c>
      <c r="BC200" s="144">
        <f t="shared" si="509"/>
        <v>1907</v>
      </c>
      <c r="BD200" s="144">
        <f t="shared" si="509"/>
        <v>1954</v>
      </c>
      <c r="BE200" s="577">
        <f>BE201-BE199</f>
        <v>1954</v>
      </c>
      <c r="BF200" s="596">
        <f t="shared" si="509"/>
        <v>2051</v>
      </c>
      <c r="BG200" s="144">
        <f t="shared" si="509"/>
        <v>2555</v>
      </c>
      <c r="BH200" s="144">
        <f t="shared" si="509"/>
        <v>2558</v>
      </c>
      <c r="BI200" s="577">
        <f>BI201-BI199</f>
        <v>2559</v>
      </c>
      <c r="BJ200" s="596">
        <f t="shared" ref="BJ200:BQ200" si="510">BJ201-BJ199</f>
        <v>2559</v>
      </c>
      <c r="BK200" s="144">
        <f t="shared" si="510"/>
        <v>2566</v>
      </c>
      <c r="BL200" s="144">
        <f t="shared" si="510"/>
        <v>2745</v>
      </c>
      <c r="BM200" s="577">
        <f t="shared" si="510"/>
        <v>2766</v>
      </c>
      <c r="BN200" s="596">
        <f t="shared" si="510"/>
        <v>2766</v>
      </c>
      <c r="BO200" s="144">
        <f t="shared" si="510"/>
        <v>2766</v>
      </c>
      <c r="BP200" s="144">
        <f t="shared" si="510"/>
        <v>2766</v>
      </c>
      <c r="BQ200" s="577">
        <f t="shared" si="510"/>
        <v>14985</v>
      </c>
      <c r="BR200" s="596">
        <f t="shared" ref="BR200:BY200" si="511">BR201-BR199</f>
        <v>14758</v>
      </c>
      <c r="BS200" s="144">
        <f t="shared" si="511"/>
        <v>10005</v>
      </c>
      <c r="BT200" s="144">
        <f t="shared" si="511"/>
        <v>10012</v>
      </c>
      <c r="BU200" s="577">
        <f t="shared" si="511"/>
        <v>10014</v>
      </c>
      <c r="BV200" s="596">
        <f t="shared" si="511"/>
        <v>10073</v>
      </c>
      <c r="BW200" s="144">
        <f t="shared" si="511"/>
        <v>10076</v>
      </c>
      <c r="BX200" s="144">
        <f t="shared" si="511"/>
        <v>10076</v>
      </c>
      <c r="BY200" s="577">
        <f t="shared" si="511"/>
        <v>10076</v>
      </c>
      <c r="BZ200" s="596">
        <f>BZ201-BZ199</f>
        <v>10076</v>
      </c>
      <c r="CA200" s="144">
        <f>CA201-CA199</f>
        <v>10076</v>
      </c>
      <c r="CB200" s="144">
        <f>CB201-CB199</f>
        <v>10076</v>
      </c>
      <c r="CC200" s="577">
        <f>CC201-CC199</f>
        <v>10076</v>
      </c>
      <c r="CD200" s="12"/>
      <c r="CE200" s="909"/>
      <c r="CF200" s="881">
        <f t="shared" ref="CF200:CT200" si="512">CF201-CF199</f>
        <v>0</v>
      </c>
      <c r="CG200" s="881">
        <f t="shared" si="512"/>
        <v>0</v>
      </c>
      <c r="CH200" s="881">
        <f t="shared" si="512"/>
        <v>0</v>
      </c>
      <c r="CI200" s="881">
        <f t="shared" si="512"/>
        <v>0</v>
      </c>
      <c r="CJ200" s="881">
        <f t="shared" si="512"/>
        <v>0</v>
      </c>
      <c r="CK200" s="881">
        <f t="shared" si="512"/>
        <v>0</v>
      </c>
      <c r="CL200" s="881">
        <f t="shared" si="512"/>
        <v>197</v>
      </c>
      <c r="CM200" s="881">
        <f t="shared" si="512"/>
        <v>228</v>
      </c>
      <c r="CN200" s="881">
        <f t="shared" si="512"/>
        <v>234</v>
      </c>
      <c r="CO200" s="881">
        <f t="shared" si="512"/>
        <v>222</v>
      </c>
      <c r="CP200" s="881">
        <f t="shared" si="512"/>
        <v>1975</v>
      </c>
      <c r="CQ200" s="881">
        <f t="shared" si="512"/>
        <v>1954</v>
      </c>
      <c r="CR200" s="909">
        <f>CR201-CR199</f>
        <v>2559</v>
      </c>
      <c r="CS200" s="881">
        <f t="shared" si="512"/>
        <v>2766</v>
      </c>
      <c r="CT200" s="881">
        <f t="shared" si="512"/>
        <v>14985</v>
      </c>
      <c r="CU200" s="881">
        <f t="shared" ref="CU200:DA200" si="513">CU201-CU199</f>
        <v>10014</v>
      </c>
      <c r="CV200" s="144">
        <f t="shared" si="513"/>
        <v>10076</v>
      </c>
      <c r="CW200" s="144">
        <f>CW201-CW199</f>
        <v>10076</v>
      </c>
      <c r="CX200" s="144">
        <f t="shared" si="513"/>
        <v>10076</v>
      </c>
      <c r="CY200" s="144">
        <f t="shared" si="513"/>
        <v>10076</v>
      </c>
      <c r="CZ200" s="144">
        <f t="shared" si="513"/>
        <v>10076</v>
      </c>
      <c r="DA200" s="144">
        <f t="shared" si="513"/>
        <v>10076</v>
      </c>
      <c r="DB200" s="144">
        <f>DB201-DB199</f>
        <v>10076</v>
      </c>
      <c r="DC200" s="144">
        <f>DC201-DC199</f>
        <v>10076</v>
      </c>
      <c r="DD200" s="577"/>
      <c r="DE200" s="24"/>
      <c r="DF200" s="24"/>
      <c r="DG200" s="29"/>
      <c r="DH200" s="29"/>
      <c r="DI200" s="29"/>
      <c r="DJ200" s="29"/>
      <c r="DK200" s="24"/>
      <c r="DL200" s="24"/>
      <c r="DM200" s="24"/>
      <c r="DN200" s="24"/>
      <c r="DO200" s="24"/>
      <c r="DP200" s="24"/>
      <c r="DQ200" s="24"/>
      <c r="DR200" s="24"/>
    </row>
    <row r="201" spans="1:122" hidden="1" outlineLevel="1">
      <c r="A201" s="3"/>
      <c r="B201" s="293"/>
      <c r="C201" s="3" t="s">
        <v>54</v>
      </c>
      <c r="D201" s="3"/>
      <c r="E201" s="294"/>
      <c r="F201" s="596"/>
      <c r="G201" s="144"/>
      <c r="H201" s="144"/>
      <c r="I201" s="577"/>
      <c r="J201" s="596"/>
      <c r="K201" s="144"/>
      <c r="L201" s="144"/>
      <c r="M201" s="577">
        <f t="shared" ref="M201:AR201" si="514">M60</f>
        <v>102.86199999999994</v>
      </c>
      <c r="N201" s="596">
        <f t="shared" si="514"/>
        <v>127.85100000000006</v>
      </c>
      <c r="O201" s="144">
        <f t="shared" si="514"/>
        <v>209.97000000000008</v>
      </c>
      <c r="P201" s="144">
        <f t="shared" si="514"/>
        <v>276.084</v>
      </c>
      <c r="Q201" s="577">
        <f t="shared" si="514"/>
        <v>327.39999999999998</v>
      </c>
      <c r="R201" s="596">
        <f t="shared" si="514"/>
        <v>344.30000000000007</v>
      </c>
      <c r="S201" s="144">
        <f t="shared" si="514"/>
        <v>416.9</v>
      </c>
      <c r="T201" s="144">
        <f t="shared" si="514"/>
        <v>470.9</v>
      </c>
      <c r="U201" s="577">
        <f t="shared" si="514"/>
        <v>487.60000000000019</v>
      </c>
      <c r="V201" s="596">
        <f t="shared" si="514"/>
        <v>507.50000000000006</v>
      </c>
      <c r="W201" s="144">
        <f t="shared" si="514"/>
        <v>568.30000000000007</v>
      </c>
      <c r="X201" s="144">
        <f t="shared" si="514"/>
        <v>662.8</v>
      </c>
      <c r="Y201" s="577">
        <f t="shared" si="514"/>
        <v>702.1</v>
      </c>
      <c r="Z201" s="596">
        <f t="shared" si="514"/>
        <v>776.69999999999993</v>
      </c>
      <c r="AA201" s="144">
        <f t="shared" si="514"/>
        <v>894.00000000000011</v>
      </c>
      <c r="AB201" s="144">
        <f t="shared" si="514"/>
        <v>1028</v>
      </c>
      <c r="AC201" s="577">
        <f t="shared" si="514"/>
        <v>1157.2</v>
      </c>
      <c r="AD201" s="596">
        <f t="shared" si="514"/>
        <v>1272</v>
      </c>
      <c r="AE201" s="144">
        <f t="shared" si="514"/>
        <v>1425</v>
      </c>
      <c r="AF201" s="144">
        <f t="shared" si="514"/>
        <v>1536</v>
      </c>
      <c r="AG201" s="577">
        <f t="shared" si="514"/>
        <v>1716</v>
      </c>
      <c r="AH201" s="596">
        <f t="shared" si="514"/>
        <v>1787</v>
      </c>
      <c r="AI201" s="144">
        <f t="shared" si="514"/>
        <v>2127</v>
      </c>
      <c r="AJ201" s="144">
        <f t="shared" si="514"/>
        <v>2417</v>
      </c>
      <c r="AK201" s="577">
        <f t="shared" si="514"/>
        <v>2696</v>
      </c>
      <c r="AL201" s="596">
        <f t="shared" si="514"/>
        <v>2887</v>
      </c>
      <c r="AM201" s="144">
        <f t="shared" si="514"/>
        <v>2921</v>
      </c>
      <c r="AN201" s="144">
        <f t="shared" si="514"/>
        <v>2992</v>
      </c>
      <c r="AO201" s="577">
        <f t="shared" si="514"/>
        <v>3192</v>
      </c>
      <c r="AP201" s="596">
        <f t="shared" si="514"/>
        <v>3523</v>
      </c>
      <c r="AQ201" s="144">
        <f t="shared" si="514"/>
        <v>3991</v>
      </c>
      <c r="AR201" s="144">
        <f t="shared" si="514"/>
        <v>4431</v>
      </c>
      <c r="AS201" s="577">
        <f t="shared" ref="AS201:BY201" si="515">AS60</f>
        <v>4709</v>
      </c>
      <c r="AT201" s="596">
        <f t="shared" si="515"/>
        <v>4911</v>
      </c>
      <c r="AU201" s="144">
        <f t="shared" si="515"/>
        <v>5159</v>
      </c>
      <c r="AV201" s="144">
        <f t="shared" si="515"/>
        <v>5316</v>
      </c>
      <c r="AW201" s="577">
        <f t="shared" si="515"/>
        <v>5488</v>
      </c>
      <c r="AX201" s="596">
        <f t="shared" si="515"/>
        <v>5723</v>
      </c>
      <c r="AY201" s="144">
        <f t="shared" si="515"/>
        <v>5923</v>
      </c>
      <c r="AZ201" s="144">
        <f t="shared" si="515"/>
        <v>7416</v>
      </c>
      <c r="BA201" s="577">
        <f t="shared" si="515"/>
        <v>7669</v>
      </c>
      <c r="BB201" s="596">
        <f t="shared" si="515"/>
        <v>8037</v>
      </c>
      <c r="BC201" s="144">
        <f t="shared" si="515"/>
        <v>8247</v>
      </c>
      <c r="BD201" s="144">
        <f t="shared" si="515"/>
        <v>8423</v>
      </c>
      <c r="BE201" s="577">
        <f t="shared" si="515"/>
        <v>7893</v>
      </c>
      <c r="BF201" s="596">
        <f t="shared" si="515"/>
        <v>8253</v>
      </c>
      <c r="BG201" s="144">
        <f t="shared" si="515"/>
        <v>8579</v>
      </c>
      <c r="BH201" s="144">
        <f t="shared" si="515"/>
        <v>8768</v>
      </c>
      <c r="BI201" s="577">
        <f t="shared" si="515"/>
        <v>8842</v>
      </c>
      <c r="BJ201" s="596">
        <f t="shared" si="515"/>
        <v>8963</v>
      </c>
      <c r="BK201" s="144">
        <f t="shared" si="515"/>
        <v>9082</v>
      </c>
      <c r="BL201" s="144">
        <f t="shared" si="515"/>
        <v>9226</v>
      </c>
      <c r="BM201" s="577">
        <f t="shared" si="515"/>
        <v>9219</v>
      </c>
      <c r="BN201" s="596">
        <f t="shared" si="515"/>
        <v>9336</v>
      </c>
      <c r="BO201" s="144">
        <f t="shared" si="515"/>
        <v>9557</v>
      </c>
      <c r="BP201" s="144">
        <f t="shared" si="515"/>
        <v>9609</v>
      </c>
      <c r="BQ201" s="577">
        <f t="shared" si="515"/>
        <v>11145</v>
      </c>
      <c r="BR201" s="596">
        <f t="shared" si="515"/>
        <v>10775</v>
      </c>
      <c r="BS201" s="144">
        <f t="shared" si="515"/>
        <v>10732</v>
      </c>
      <c r="BT201" s="144">
        <f t="shared" si="515"/>
        <v>11031</v>
      </c>
      <c r="BU201" s="577">
        <f t="shared" si="515"/>
        <v>11418</v>
      </c>
      <c r="BV201" s="596">
        <f t="shared" si="515"/>
        <v>12059</v>
      </c>
      <c r="BW201" s="144">
        <f t="shared" si="515"/>
        <v>11272</v>
      </c>
      <c r="BX201" s="144">
        <f t="shared" si="515"/>
        <v>11783.55803675768</v>
      </c>
      <c r="BY201" s="577">
        <f t="shared" si="515"/>
        <v>12207.540065126523</v>
      </c>
      <c r="BZ201" s="596">
        <f>BZ60</f>
        <v>12789.083581556406</v>
      </c>
      <c r="CA201" s="144">
        <f>CA60</f>
        <v>13292.516389843202</v>
      </c>
      <c r="CB201" s="144">
        <f>CB60</f>
        <v>13625.461795129948</v>
      </c>
      <c r="CC201" s="577">
        <f>CC60</f>
        <v>13900.829650857127</v>
      </c>
      <c r="CD201" s="12"/>
      <c r="CE201" s="909"/>
      <c r="CF201" s="881">
        <f t="shared" ref="CF201:DA201" si="516">CF60</f>
        <v>102.86199999999994</v>
      </c>
      <c r="CG201" s="881">
        <f t="shared" si="516"/>
        <v>327.39999999999998</v>
      </c>
      <c r="CH201" s="881">
        <f t="shared" si="516"/>
        <v>487.60000000000019</v>
      </c>
      <c r="CI201" s="881">
        <f t="shared" si="516"/>
        <v>702.1</v>
      </c>
      <c r="CJ201" s="881">
        <f t="shared" si="516"/>
        <v>1157.2</v>
      </c>
      <c r="CK201" s="881">
        <f t="shared" si="516"/>
        <v>1716</v>
      </c>
      <c r="CL201" s="881">
        <f t="shared" si="516"/>
        <v>2696</v>
      </c>
      <c r="CM201" s="881">
        <f t="shared" si="516"/>
        <v>3192</v>
      </c>
      <c r="CN201" s="881">
        <f t="shared" si="516"/>
        <v>4709</v>
      </c>
      <c r="CO201" s="881">
        <f t="shared" si="516"/>
        <v>5488</v>
      </c>
      <c r="CP201" s="881">
        <f t="shared" si="516"/>
        <v>7669</v>
      </c>
      <c r="CQ201" s="881">
        <f t="shared" si="516"/>
        <v>7893</v>
      </c>
      <c r="CR201" s="909">
        <f t="shared" si="516"/>
        <v>8842</v>
      </c>
      <c r="CS201" s="881">
        <f t="shared" si="516"/>
        <v>9219</v>
      </c>
      <c r="CT201" s="881">
        <f t="shared" si="516"/>
        <v>11145</v>
      </c>
      <c r="CU201" s="881">
        <f t="shared" si="516"/>
        <v>11418</v>
      </c>
      <c r="CV201" s="144">
        <f t="shared" si="516"/>
        <v>12207.540065126523</v>
      </c>
      <c r="CW201" s="144">
        <f>CW60</f>
        <v>13900.829650857127</v>
      </c>
      <c r="CX201" s="144">
        <f t="shared" si="516"/>
        <v>15930.823888843355</v>
      </c>
      <c r="CY201" s="144">
        <f t="shared" si="516"/>
        <v>18106.91148793199</v>
      </c>
      <c r="CZ201" s="144">
        <f t="shared" si="516"/>
        <v>20510.423681249369</v>
      </c>
      <c r="DA201" s="144">
        <f t="shared" si="516"/>
        <v>22938.794694998938</v>
      </c>
      <c r="DB201" s="144">
        <f>DB60</f>
        <v>25583.852078883039</v>
      </c>
      <c r="DC201" s="144">
        <f>DC60</f>
        <v>28473.859664722469</v>
      </c>
      <c r="DD201" s="577"/>
      <c r="DE201" s="24"/>
      <c r="DF201" s="24"/>
      <c r="DG201" s="29"/>
      <c r="DH201" s="29"/>
      <c r="DI201" s="29"/>
      <c r="DJ201" s="29"/>
      <c r="DK201" s="24"/>
      <c r="DL201" s="24"/>
      <c r="DM201" s="24"/>
      <c r="DN201" s="24"/>
      <c r="DO201" s="24"/>
      <c r="DP201" s="24"/>
      <c r="DQ201" s="24"/>
      <c r="DR201" s="24"/>
    </row>
    <row r="202" spans="1:122" hidden="1" outlineLevel="1">
      <c r="A202" s="3"/>
      <c r="B202" s="293"/>
      <c r="C202" s="3"/>
      <c r="D202" s="3"/>
      <c r="E202" s="294"/>
      <c r="F202" s="293"/>
      <c r="G202" s="447"/>
      <c r="H202" s="447"/>
      <c r="I202" s="294"/>
      <c r="J202" s="293"/>
      <c r="K202" s="447"/>
      <c r="L202" s="447"/>
      <c r="M202" s="294"/>
      <c r="N202" s="293"/>
      <c r="O202" s="447"/>
      <c r="P202" s="447"/>
      <c r="Q202" s="294"/>
      <c r="R202" s="293"/>
      <c r="S202" s="447"/>
      <c r="T202" s="447"/>
      <c r="U202" s="294"/>
      <c r="V202" s="293"/>
      <c r="W202" s="447"/>
      <c r="X202" s="447"/>
      <c r="Y202" s="294"/>
      <c r="Z202" s="293"/>
      <c r="AA202" s="447"/>
      <c r="AB202" s="447"/>
      <c r="AC202" s="294"/>
      <c r="AD202" s="293"/>
      <c r="AE202" s="447"/>
      <c r="AF202" s="447"/>
      <c r="AG202" s="294"/>
      <c r="AH202" s="293"/>
      <c r="AI202" s="447"/>
      <c r="AJ202" s="447"/>
      <c r="AK202" s="294"/>
      <c r="AL202" s="447"/>
      <c r="AM202" s="447"/>
      <c r="AN202" s="447"/>
      <c r="AO202" s="294"/>
      <c r="AP202" s="447"/>
      <c r="AQ202" s="447"/>
      <c r="AR202" s="447"/>
      <c r="AS202" s="294"/>
      <c r="AT202" s="447"/>
      <c r="AU202" s="447"/>
      <c r="AV202" s="447"/>
      <c r="AW202" s="294"/>
      <c r="AX202" s="447"/>
      <c r="AY202" s="447"/>
      <c r="AZ202" s="447"/>
      <c r="BA202" s="294"/>
      <c r="BB202" s="447"/>
      <c r="BC202" s="447"/>
      <c r="BD202" s="447"/>
      <c r="BE202" s="294"/>
      <c r="BF202" s="447"/>
      <c r="BG202" s="447"/>
      <c r="BH202" s="447"/>
      <c r="BI202" s="294"/>
      <c r="BJ202" s="447"/>
      <c r="BK202" s="447"/>
      <c r="BL202" s="447"/>
      <c r="BM202" s="294"/>
      <c r="BN202" s="293"/>
      <c r="BO202" s="447"/>
      <c r="BP202" s="447"/>
      <c r="BQ202" s="294"/>
      <c r="BR202" s="293"/>
      <c r="BS202" s="447"/>
      <c r="BT202" s="447"/>
      <c r="BU202" s="294"/>
      <c r="BV202" s="293"/>
      <c r="BW202" s="447"/>
      <c r="BX202" s="447"/>
      <c r="BY202" s="294"/>
      <c r="BZ202" s="293"/>
      <c r="CA202" s="447"/>
      <c r="CB202" s="447"/>
      <c r="CC202" s="294"/>
      <c r="CD202" s="12"/>
      <c r="CE202" s="447"/>
      <c r="CF202" s="447"/>
      <c r="CG202" s="447"/>
      <c r="CH202" s="447"/>
      <c r="CI202" s="447"/>
      <c r="CJ202" s="447"/>
      <c r="CK202" s="447"/>
      <c r="CL202" s="447"/>
      <c r="CM202" s="447"/>
      <c r="CN202" s="447"/>
      <c r="CO202" s="447"/>
      <c r="CP202" s="447"/>
      <c r="CQ202" s="447"/>
      <c r="CR202" s="293"/>
      <c r="CS202" s="447"/>
      <c r="CT202" s="447"/>
      <c r="CU202" s="447"/>
      <c r="CV202" s="447"/>
      <c r="CW202" s="447"/>
      <c r="CX202" s="447"/>
      <c r="CY202" s="447"/>
      <c r="CZ202" s="447"/>
      <c r="DA202" s="447"/>
      <c r="DB202" s="447"/>
      <c r="DC202" s="447"/>
      <c r="DD202" s="294"/>
      <c r="DE202" s="24"/>
      <c r="DF202" s="24"/>
      <c r="DG202" s="29"/>
      <c r="DH202" s="29"/>
      <c r="DI202" s="29"/>
      <c r="DJ202" s="29"/>
      <c r="DK202" s="24"/>
      <c r="DL202" s="24"/>
      <c r="DM202" s="24"/>
      <c r="DN202" s="24"/>
      <c r="DO202" s="24"/>
      <c r="DP202" s="24"/>
      <c r="DQ202" s="24"/>
      <c r="DR202" s="24"/>
    </row>
    <row r="203" spans="1:122" hidden="1" outlineLevel="1">
      <c r="A203" s="3"/>
      <c r="B203" s="256" t="s">
        <v>24</v>
      </c>
      <c r="C203" s="3"/>
      <c r="D203" s="3"/>
      <c r="E203" s="139"/>
      <c r="F203" s="256"/>
      <c r="G203" s="147"/>
      <c r="H203" s="147"/>
      <c r="I203" s="139"/>
      <c r="J203" s="256"/>
      <c r="K203" s="147"/>
      <c r="L203" s="147"/>
      <c r="M203" s="139"/>
      <c r="N203" s="256"/>
      <c r="O203" s="147"/>
      <c r="P203" s="147"/>
      <c r="Q203" s="139"/>
      <c r="R203" s="256"/>
      <c r="S203" s="147"/>
      <c r="T203" s="147"/>
      <c r="U203" s="139"/>
      <c r="V203" s="256"/>
      <c r="W203" s="147"/>
      <c r="X203" s="147"/>
      <c r="Y203" s="139"/>
      <c r="Z203" s="256"/>
      <c r="AA203" s="147"/>
      <c r="AB203" s="147"/>
      <c r="AC203" s="139"/>
      <c r="AD203" s="256"/>
      <c r="AE203" s="147"/>
      <c r="AF203" s="147"/>
      <c r="AG203" s="139"/>
      <c r="AH203" s="256"/>
      <c r="AI203" s="147"/>
      <c r="AJ203" s="147"/>
      <c r="AK203" s="139"/>
      <c r="AL203" s="147"/>
      <c r="AM203" s="147"/>
      <c r="AN203" s="147"/>
      <c r="AO203" s="139"/>
      <c r="AP203" s="147"/>
      <c r="AQ203" s="147"/>
      <c r="AR203" s="147"/>
      <c r="AS203" s="139"/>
      <c r="AT203" s="147"/>
      <c r="AU203" s="147"/>
      <c r="AV203" s="147"/>
      <c r="AW203" s="139"/>
      <c r="AX203" s="147"/>
      <c r="AY203" s="147"/>
      <c r="AZ203" s="147"/>
      <c r="BA203" s="139"/>
      <c r="BB203" s="147"/>
      <c r="BC203" s="147"/>
      <c r="BD203" s="147"/>
      <c r="BE203" s="139"/>
      <c r="BF203" s="147"/>
      <c r="BG203" s="147"/>
      <c r="BH203" s="147"/>
      <c r="BI203" s="139"/>
      <c r="BJ203" s="147"/>
      <c r="BK203" s="147"/>
      <c r="BL203" s="147"/>
      <c r="BM203" s="139"/>
      <c r="BN203" s="256"/>
      <c r="BO203" s="147"/>
      <c r="BP203" s="147"/>
      <c r="BQ203" s="139"/>
      <c r="BR203" s="256"/>
      <c r="BS203" s="147"/>
      <c r="BT203" s="147"/>
      <c r="BU203" s="139"/>
      <c r="BV203" s="256"/>
      <c r="BW203" s="147"/>
      <c r="BX203" s="147"/>
      <c r="BY203" s="139"/>
      <c r="BZ203" s="256"/>
      <c r="CA203" s="147"/>
      <c r="CB203" s="147"/>
      <c r="CC203" s="139"/>
      <c r="CD203" s="12"/>
      <c r="CE203" s="147"/>
      <c r="CF203" s="147"/>
      <c r="CG203" s="147"/>
      <c r="CH203" s="147"/>
      <c r="CI203" s="147"/>
      <c r="CJ203" s="147"/>
      <c r="CK203" s="147"/>
      <c r="CL203" s="147"/>
      <c r="CM203" s="147"/>
      <c r="CN203" s="147"/>
      <c r="CO203" s="147"/>
      <c r="CP203" s="147"/>
      <c r="CQ203" s="147"/>
      <c r="CR203" s="256"/>
      <c r="CS203" s="147"/>
      <c r="CT203" s="147"/>
      <c r="CU203" s="147"/>
      <c r="CV203" s="147"/>
      <c r="CW203" s="147"/>
      <c r="CX203" s="147"/>
      <c r="CY203" s="147"/>
      <c r="CZ203" s="147"/>
      <c r="DA203" s="147"/>
      <c r="DB203" s="147"/>
      <c r="DC203" s="147"/>
      <c r="DD203" s="139"/>
      <c r="DE203" s="24"/>
      <c r="DF203" s="24"/>
      <c r="DG203" s="19"/>
      <c r="DH203" s="19"/>
      <c r="DI203" s="19"/>
      <c r="DJ203" s="19"/>
      <c r="DK203" s="24"/>
      <c r="DL203" s="24"/>
      <c r="DM203" s="24"/>
      <c r="DN203" s="24"/>
      <c r="DO203" s="24"/>
      <c r="DP203" s="24"/>
      <c r="DQ203" s="24"/>
      <c r="DR203" s="24"/>
    </row>
    <row r="204" spans="1:122" hidden="1" outlineLevel="1">
      <c r="A204" s="3"/>
      <c r="B204" s="76"/>
      <c r="C204" s="3" t="s">
        <v>11</v>
      </c>
      <c r="D204" s="3"/>
      <c r="E204" s="97"/>
      <c r="F204" s="34"/>
      <c r="G204" s="35"/>
      <c r="H204" s="35"/>
      <c r="I204" s="66"/>
      <c r="J204" s="34"/>
      <c r="K204" s="35"/>
      <c r="L204" s="35"/>
      <c r="M204" s="66">
        <f t="shared" ref="M204:AR204" si="517">SUM(M15+M16+M21+M30)</f>
        <v>412.95199999999994</v>
      </c>
      <c r="N204" s="34">
        <f t="shared" si="517"/>
        <v>442.69900000000001</v>
      </c>
      <c r="O204" s="35">
        <f t="shared" si="517"/>
        <v>479.60400000000004</v>
      </c>
      <c r="P204" s="35">
        <f t="shared" si="517"/>
        <v>436.93700000000001</v>
      </c>
      <c r="Q204" s="66">
        <f t="shared" si="517"/>
        <v>473</v>
      </c>
      <c r="R204" s="34">
        <f t="shared" si="517"/>
        <v>677.90000000000009</v>
      </c>
      <c r="S204" s="35">
        <f t="shared" si="517"/>
        <v>763.1</v>
      </c>
      <c r="T204" s="35">
        <f t="shared" si="517"/>
        <v>715.8</v>
      </c>
      <c r="U204" s="66">
        <f t="shared" si="517"/>
        <v>754.2</v>
      </c>
      <c r="V204" s="34">
        <f t="shared" si="517"/>
        <v>866.4</v>
      </c>
      <c r="W204" s="35">
        <f t="shared" si="517"/>
        <v>856.4</v>
      </c>
      <c r="X204" s="35">
        <f t="shared" si="517"/>
        <v>899.59999999999991</v>
      </c>
      <c r="Y204" s="66">
        <f t="shared" si="517"/>
        <v>977.8</v>
      </c>
      <c r="Z204" s="34">
        <f t="shared" si="517"/>
        <v>1108.6000000000001</v>
      </c>
      <c r="AA204" s="35">
        <f t="shared" si="517"/>
        <v>1113.5999999999999</v>
      </c>
      <c r="AB204" s="35">
        <f t="shared" si="517"/>
        <v>1240</v>
      </c>
      <c r="AC204" s="66">
        <f t="shared" si="517"/>
        <v>1342</v>
      </c>
      <c r="AD204" s="34">
        <f t="shared" si="517"/>
        <v>1458</v>
      </c>
      <c r="AE204" s="35">
        <f t="shared" si="517"/>
        <v>1597</v>
      </c>
      <c r="AF204" s="35">
        <f t="shared" si="517"/>
        <v>1653</v>
      </c>
      <c r="AG204" s="66">
        <f t="shared" si="517"/>
        <v>1800</v>
      </c>
      <c r="AH204" s="34">
        <f t="shared" si="517"/>
        <v>3070</v>
      </c>
      <c r="AI204" s="35">
        <f t="shared" si="517"/>
        <v>3219</v>
      </c>
      <c r="AJ204" s="35">
        <f t="shared" si="517"/>
        <v>3173</v>
      </c>
      <c r="AK204" s="66">
        <f t="shared" si="517"/>
        <v>3256</v>
      </c>
      <c r="AL204" s="34">
        <f t="shared" si="517"/>
        <v>3407</v>
      </c>
      <c r="AM204" s="35">
        <f t="shared" si="517"/>
        <v>3139</v>
      </c>
      <c r="AN204" s="35">
        <f t="shared" si="517"/>
        <v>2913</v>
      </c>
      <c r="AO204" s="66">
        <f t="shared" si="517"/>
        <v>3020</v>
      </c>
      <c r="AP204" s="34">
        <f t="shared" si="517"/>
        <v>3319</v>
      </c>
      <c r="AQ204" s="35">
        <f t="shared" si="517"/>
        <v>3677</v>
      </c>
      <c r="AR204" s="35">
        <f t="shared" si="517"/>
        <v>3708</v>
      </c>
      <c r="AS204" s="66">
        <f t="shared" ref="AS204:BY204" si="518">SUM(AS15+AS16+AS21+AS30)</f>
        <v>4145</v>
      </c>
      <c r="AT204" s="34">
        <f t="shared" si="518"/>
        <v>4348</v>
      </c>
      <c r="AU204" s="35">
        <f t="shared" si="518"/>
        <v>4287</v>
      </c>
      <c r="AV204" s="35">
        <f t="shared" si="518"/>
        <v>4172</v>
      </c>
      <c r="AW204" s="66">
        <f t="shared" si="518"/>
        <v>4221</v>
      </c>
      <c r="AX204" s="34">
        <f t="shared" si="518"/>
        <v>4460</v>
      </c>
      <c r="AY204" s="35">
        <f t="shared" si="518"/>
        <v>3565</v>
      </c>
      <c r="AZ204" s="35">
        <f t="shared" si="518"/>
        <v>8239</v>
      </c>
      <c r="BA204" s="66">
        <f t="shared" si="518"/>
        <v>8000</v>
      </c>
      <c r="BB204" s="34">
        <f t="shared" si="518"/>
        <v>7676</v>
      </c>
      <c r="BC204" s="35">
        <f t="shared" si="518"/>
        <v>7297</v>
      </c>
      <c r="BD204" s="35">
        <f t="shared" si="518"/>
        <v>7083</v>
      </c>
      <c r="BE204" s="66">
        <f t="shared" si="518"/>
        <v>6989</v>
      </c>
      <c r="BF204" s="34">
        <f t="shared" si="518"/>
        <v>7030</v>
      </c>
      <c r="BG204" s="35">
        <f t="shared" si="518"/>
        <v>7142</v>
      </c>
      <c r="BH204" s="35">
        <f t="shared" si="518"/>
        <v>6847</v>
      </c>
      <c r="BI204" s="66">
        <f t="shared" si="518"/>
        <v>6925</v>
      </c>
      <c r="BJ204" s="34">
        <f t="shared" si="518"/>
        <v>6811</v>
      </c>
      <c r="BK204" s="35">
        <f t="shared" si="518"/>
        <v>6616</v>
      </c>
      <c r="BL204" s="35">
        <f t="shared" si="518"/>
        <v>6440</v>
      </c>
      <c r="BM204" s="66">
        <f t="shared" si="518"/>
        <v>6196</v>
      </c>
      <c r="BN204" s="34">
        <f t="shared" si="518"/>
        <v>6117</v>
      </c>
      <c r="BO204" s="35">
        <f t="shared" si="518"/>
        <v>5889</v>
      </c>
      <c r="BP204" s="35">
        <f t="shared" si="518"/>
        <v>5394</v>
      </c>
      <c r="BQ204" s="66">
        <f t="shared" si="518"/>
        <v>7709</v>
      </c>
      <c r="BR204" s="34">
        <f t="shared" si="518"/>
        <v>8157</v>
      </c>
      <c r="BS204" s="35">
        <f t="shared" si="518"/>
        <v>7743</v>
      </c>
      <c r="BT204" s="35">
        <f t="shared" si="518"/>
        <v>7735</v>
      </c>
      <c r="BU204" s="66">
        <f t="shared" si="518"/>
        <v>7711</v>
      </c>
      <c r="BV204" s="34">
        <f t="shared" si="518"/>
        <v>7947</v>
      </c>
      <c r="BW204" s="35">
        <f t="shared" si="518"/>
        <v>7872</v>
      </c>
      <c r="BX204" s="35">
        <f t="shared" si="518"/>
        <v>7682.2265041758546</v>
      </c>
      <c r="BY204" s="66">
        <f t="shared" si="518"/>
        <v>7716.4914338429007</v>
      </c>
      <c r="BZ204" s="34">
        <f>SUM(BZ15+BZ16+BZ21+BZ30)</f>
        <v>8063.6445934739986</v>
      </c>
      <c r="CA204" s="35">
        <f>SUM(CA15+CA16+CA21+CA30)</f>
        <v>7754.4025324310687</v>
      </c>
      <c r="CB204" s="35">
        <f>SUM(CB15+CB16+CB21+CB30)</f>
        <v>7316.9919120503509</v>
      </c>
      <c r="CC204" s="66">
        <f>SUM(CC15+CC16+CC21+CC30)</f>
        <v>7031.6264244990807</v>
      </c>
      <c r="CD204" s="12"/>
      <c r="CE204" s="34">
        <f t="shared" ref="CE204:DA204" si="519">SUM(CE15+CE16+CE21+CE30)</f>
        <v>324.29300000000001</v>
      </c>
      <c r="CF204" s="35">
        <f t="shared" si="519"/>
        <v>412.95199999999994</v>
      </c>
      <c r="CG204" s="35">
        <f t="shared" si="519"/>
        <v>472.99999999999994</v>
      </c>
      <c r="CH204" s="35">
        <f t="shared" si="519"/>
        <v>754.2</v>
      </c>
      <c r="CI204" s="35">
        <f t="shared" si="519"/>
        <v>977.8</v>
      </c>
      <c r="CJ204" s="35">
        <f t="shared" si="519"/>
        <v>1342</v>
      </c>
      <c r="CK204" s="35">
        <f t="shared" si="519"/>
        <v>1800</v>
      </c>
      <c r="CL204" s="35">
        <f t="shared" si="519"/>
        <v>3256</v>
      </c>
      <c r="CM204" s="35">
        <f t="shared" si="519"/>
        <v>3020</v>
      </c>
      <c r="CN204" s="35">
        <f t="shared" si="519"/>
        <v>4145</v>
      </c>
      <c r="CO204" s="35">
        <f t="shared" si="519"/>
        <v>4221</v>
      </c>
      <c r="CP204" s="35">
        <f t="shared" si="519"/>
        <v>8000</v>
      </c>
      <c r="CQ204" s="35">
        <f t="shared" si="519"/>
        <v>6989</v>
      </c>
      <c r="CR204" s="34">
        <f t="shared" si="519"/>
        <v>6925</v>
      </c>
      <c r="CS204" s="35">
        <f t="shared" si="519"/>
        <v>6196</v>
      </c>
      <c r="CT204" s="35">
        <f t="shared" si="519"/>
        <v>7709</v>
      </c>
      <c r="CU204" s="35">
        <f t="shared" si="519"/>
        <v>7711</v>
      </c>
      <c r="CV204" s="35">
        <f t="shared" si="519"/>
        <v>7716.4914338429007</v>
      </c>
      <c r="CW204" s="35">
        <f>SUM(CW15+CW16+CW21+CW30)</f>
        <v>7031.6264244990807</v>
      </c>
      <c r="CX204" s="35">
        <f t="shared" si="519"/>
        <v>7127.6770124101913</v>
      </c>
      <c r="CY204" s="35">
        <f t="shared" si="519"/>
        <v>7329.5586209221201</v>
      </c>
      <c r="CZ204" s="35">
        <f t="shared" si="519"/>
        <v>7520.5281844422025</v>
      </c>
      <c r="DA204" s="35">
        <f t="shared" si="519"/>
        <v>7976.3814142217234</v>
      </c>
      <c r="DB204" s="35">
        <f>SUM(DB15+DB16+DB21+DB30)</f>
        <v>8411.0298922847069</v>
      </c>
      <c r="DC204" s="35">
        <f>SUM(DC15+DC16+DC21+DC30)</f>
        <v>8832.8219144224877</v>
      </c>
      <c r="DD204" s="66"/>
      <c r="DE204" s="24"/>
      <c r="DF204" s="24"/>
      <c r="DG204" s="159"/>
      <c r="DH204" s="159"/>
      <c r="DI204" s="159"/>
      <c r="DJ204" s="159"/>
      <c r="DK204" s="24"/>
      <c r="DL204" s="24"/>
      <c r="DM204" s="24"/>
      <c r="DN204" s="24"/>
      <c r="DO204" s="24"/>
      <c r="DP204" s="24"/>
      <c r="DQ204" s="24"/>
      <c r="DR204" s="24"/>
    </row>
    <row r="205" spans="1:122" hidden="1" outlineLevel="1">
      <c r="A205" s="3"/>
      <c r="B205" s="76"/>
      <c r="C205" s="3" t="s">
        <v>12</v>
      </c>
      <c r="D205" s="3"/>
      <c r="E205" s="97"/>
      <c r="F205" s="34"/>
      <c r="G205" s="35"/>
      <c r="H205" s="35"/>
      <c r="I205" s="66"/>
      <c r="J205" s="34"/>
      <c r="K205" s="35"/>
      <c r="L205" s="35"/>
      <c r="M205" s="66">
        <f t="shared" ref="M205:AR205" si="520">SUM(M37:M40,M46:M46)</f>
        <v>447.61399999999998</v>
      </c>
      <c r="N205" s="34">
        <f t="shared" si="520"/>
        <v>487.93700000000001</v>
      </c>
      <c r="O205" s="35">
        <f t="shared" si="520"/>
        <v>523.88499999999999</v>
      </c>
      <c r="P205" s="35">
        <f t="shared" si="520"/>
        <v>508.45600000000002</v>
      </c>
      <c r="Q205" s="66">
        <f t="shared" si="520"/>
        <v>538.80000000000007</v>
      </c>
      <c r="R205" s="34">
        <f t="shared" si="520"/>
        <v>607.30000000000007</v>
      </c>
      <c r="S205" s="35">
        <f t="shared" si="520"/>
        <v>648.9</v>
      </c>
      <c r="T205" s="35">
        <f t="shared" si="520"/>
        <v>586.1</v>
      </c>
      <c r="U205" s="66">
        <f t="shared" si="520"/>
        <v>603.70000000000005</v>
      </c>
      <c r="V205" s="34">
        <f t="shared" si="520"/>
        <v>720.00000000000011</v>
      </c>
      <c r="W205" s="35">
        <f t="shared" si="520"/>
        <v>737.8</v>
      </c>
      <c r="X205" s="35">
        <f t="shared" si="520"/>
        <v>769.7</v>
      </c>
      <c r="Y205" s="66">
        <f t="shared" si="520"/>
        <v>833.80000000000007</v>
      </c>
      <c r="Z205" s="34">
        <f t="shared" si="520"/>
        <v>867.80000000000007</v>
      </c>
      <c r="AA205" s="35">
        <f t="shared" si="520"/>
        <v>827.6</v>
      </c>
      <c r="AB205" s="35">
        <f t="shared" si="520"/>
        <v>853.5</v>
      </c>
      <c r="AC205" s="66">
        <f t="shared" si="520"/>
        <v>872</v>
      </c>
      <c r="AD205" s="34">
        <f t="shared" si="520"/>
        <v>994</v>
      </c>
      <c r="AE205" s="35">
        <f t="shared" si="520"/>
        <v>1066</v>
      </c>
      <c r="AF205" s="35">
        <f t="shared" si="520"/>
        <v>1090</v>
      </c>
      <c r="AG205" s="66">
        <f t="shared" si="520"/>
        <v>1163</v>
      </c>
      <c r="AH205" s="34">
        <f t="shared" si="520"/>
        <v>1569</v>
      </c>
      <c r="AI205" s="35">
        <f t="shared" si="520"/>
        <v>1698</v>
      </c>
      <c r="AJ205" s="35">
        <f t="shared" si="520"/>
        <v>1612</v>
      </c>
      <c r="AK205" s="66">
        <f t="shared" si="520"/>
        <v>1670</v>
      </c>
      <c r="AL205" s="34">
        <f t="shared" si="520"/>
        <v>1698</v>
      </c>
      <c r="AM205" s="35">
        <f t="shared" si="520"/>
        <v>1546</v>
      </c>
      <c r="AN205" s="35">
        <f t="shared" si="520"/>
        <v>1498</v>
      </c>
      <c r="AO205" s="66">
        <f t="shared" si="520"/>
        <v>1617</v>
      </c>
      <c r="AP205" s="34">
        <f t="shared" si="520"/>
        <v>1863</v>
      </c>
      <c r="AQ205" s="35">
        <f t="shared" si="520"/>
        <v>2150</v>
      </c>
      <c r="AR205" s="35">
        <f t="shared" si="520"/>
        <v>2144</v>
      </c>
      <c r="AS205" s="66">
        <f t="shared" ref="AS205:BY205" si="521">SUM(AS37:AS40,AS46:AS46)</f>
        <v>2219</v>
      </c>
      <c r="AT205" s="34">
        <f t="shared" si="521"/>
        <v>2369</v>
      </c>
      <c r="AU205" s="35">
        <f t="shared" si="521"/>
        <v>2334</v>
      </c>
      <c r="AV205" s="35">
        <f t="shared" si="521"/>
        <v>2198</v>
      </c>
      <c r="AW205" s="66">
        <f t="shared" si="521"/>
        <v>2336</v>
      </c>
      <c r="AX205" s="34">
        <f t="shared" si="521"/>
        <v>2481</v>
      </c>
      <c r="AY205" s="35">
        <f t="shared" si="521"/>
        <v>1653</v>
      </c>
      <c r="AZ205" s="35">
        <f t="shared" si="521"/>
        <v>4351</v>
      </c>
      <c r="BA205" s="66">
        <f t="shared" si="521"/>
        <v>4352</v>
      </c>
      <c r="BB205" s="34">
        <f t="shared" si="521"/>
        <v>4007</v>
      </c>
      <c r="BC205" s="35">
        <f t="shared" si="521"/>
        <v>3554</v>
      </c>
      <c r="BD205" s="35">
        <f t="shared" si="521"/>
        <v>3491</v>
      </c>
      <c r="BE205" s="66">
        <f t="shared" si="521"/>
        <v>4188</v>
      </c>
      <c r="BF205" s="34">
        <f t="shared" si="521"/>
        <v>4155</v>
      </c>
      <c r="BG205" s="35">
        <f t="shared" si="521"/>
        <v>4363</v>
      </c>
      <c r="BH205" s="35">
        <f t="shared" si="521"/>
        <v>4095</v>
      </c>
      <c r="BI205" s="66">
        <f t="shared" si="521"/>
        <v>4219</v>
      </c>
      <c r="BJ205" s="34">
        <f t="shared" si="521"/>
        <v>4283</v>
      </c>
      <c r="BK205" s="35">
        <f t="shared" si="521"/>
        <v>3682</v>
      </c>
      <c r="BL205" s="35">
        <f t="shared" si="521"/>
        <v>3606</v>
      </c>
      <c r="BM205" s="66">
        <f t="shared" si="521"/>
        <v>3395</v>
      </c>
      <c r="BN205" s="34">
        <f t="shared" si="521"/>
        <v>3389</v>
      </c>
      <c r="BO205" s="35">
        <f t="shared" si="521"/>
        <v>3404</v>
      </c>
      <c r="BP205" s="35">
        <f t="shared" si="521"/>
        <v>3135</v>
      </c>
      <c r="BQ205" s="66">
        <f t="shared" si="521"/>
        <v>4723</v>
      </c>
      <c r="BR205" s="34">
        <f t="shared" si="521"/>
        <v>5102</v>
      </c>
      <c r="BS205" s="35">
        <f t="shared" si="521"/>
        <v>5170</v>
      </c>
      <c r="BT205" s="35">
        <f t="shared" si="521"/>
        <v>5329</v>
      </c>
      <c r="BU205" s="66">
        <f t="shared" si="521"/>
        <v>5291</v>
      </c>
      <c r="BV205" s="34">
        <f t="shared" si="521"/>
        <v>5315</v>
      </c>
      <c r="BW205" s="35">
        <f t="shared" si="521"/>
        <v>6517</v>
      </c>
      <c r="BX205" s="35">
        <f t="shared" si="521"/>
        <v>5406.0969082003039</v>
      </c>
      <c r="BY205" s="66">
        <f t="shared" si="521"/>
        <v>5622.7895367954106</v>
      </c>
      <c r="BZ205" s="34">
        <f>SUM(BZ37:BZ40,BZ46:BZ46)</f>
        <v>6075.3764677579802</v>
      </c>
      <c r="CA205" s="35">
        <f>SUM(CA37:CA40,CA46:CA46)</f>
        <v>6103.6698674252839</v>
      </c>
      <c r="CB205" s="35">
        <f>SUM(CB37:CB40,CB46:CB46)</f>
        <v>5577.9284835680774</v>
      </c>
      <c r="CC205" s="66">
        <f>SUM(CC37:CC40,CC46:CC46)</f>
        <v>5184.3281811054721</v>
      </c>
      <c r="CD205" s="12"/>
      <c r="CE205" s="34"/>
      <c r="CF205" s="35">
        <f t="shared" ref="CF205:DA205" si="522">SUM(CF37:CF40,CF46:CF46)</f>
        <v>447.61399999999998</v>
      </c>
      <c r="CG205" s="35">
        <f t="shared" si="522"/>
        <v>538.80000000000007</v>
      </c>
      <c r="CH205" s="35">
        <f t="shared" si="522"/>
        <v>603.70000000000005</v>
      </c>
      <c r="CI205" s="35">
        <f t="shared" si="522"/>
        <v>833.80000000000007</v>
      </c>
      <c r="CJ205" s="35">
        <f t="shared" si="522"/>
        <v>872</v>
      </c>
      <c r="CK205" s="35">
        <f t="shared" si="522"/>
        <v>1163</v>
      </c>
      <c r="CL205" s="35">
        <f t="shared" si="522"/>
        <v>1670</v>
      </c>
      <c r="CM205" s="35">
        <f t="shared" si="522"/>
        <v>1617</v>
      </c>
      <c r="CN205" s="35">
        <f t="shared" si="522"/>
        <v>2219</v>
      </c>
      <c r="CO205" s="35">
        <f t="shared" si="522"/>
        <v>2336</v>
      </c>
      <c r="CP205" s="35">
        <f t="shared" si="522"/>
        <v>4352</v>
      </c>
      <c r="CQ205" s="35">
        <f t="shared" si="522"/>
        <v>4188</v>
      </c>
      <c r="CR205" s="34">
        <f t="shared" si="522"/>
        <v>4219</v>
      </c>
      <c r="CS205" s="35">
        <f t="shared" si="522"/>
        <v>3395</v>
      </c>
      <c r="CT205" s="35">
        <f t="shared" si="522"/>
        <v>4723</v>
      </c>
      <c r="CU205" s="35">
        <f t="shared" si="522"/>
        <v>5291</v>
      </c>
      <c r="CV205" s="35">
        <f t="shared" si="522"/>
        <v>5622.7895367954106</v>
      </c>
      <c r="CW205" s="35">
        <f>SUM(CW37:CW40,CW46:CW46)</f>
        <v>5184.3281811054721</v>
      </c>
      <c r="CX205" s="35">
        <f t="shared" si="522"/>
        <v>5614.8083776832436</v>
      </c>
      <c r="CY205" s="35">
        <f t="shared" si="522"/>
        <v>5886.120734431488</v>
      </c>
      <c r="CZ205" s="35">
        <f t="shared" si="522"/>
        <v>6112.8962718764033</v>
      </c>
      <c r="DA205" s="35">
        <f t="shared" si="522"/>
        <v>6420.2771097336927</v>
      </c>
      <c r="DB205" s="35">
        <f>SUM(DB37:DB40,DB46:DB46)</f>
        <v>6771.6364799226667</v>
      </c>
      <c r="DC205" s="35">
        <f>SUM(DC37:DC40,DC46:DC46)</f>
        <v>7167.9980555848251</v>
      </c>
      <c r="DD205" s="66"/>
      <c r="DE205" s="24"/>
      <c r="DF205" s="24"/>
      <c r="DG205" s="159"/>
      <c r="DH205" s="159"/>
      <c r="DI205" s="159"/>
      <c r="DJ205" s="159"/>
      <c r="DK205" s="24"/>
      <c r="DL205" s="24"/>
      <c r="DM205" s="24"/>
      <c r="DN205" s="24"/>
      <c r="DO205" s="24"/>
      <c r="DP205" s="24"/>
      <c r="DQ205" s="24"/>
      <c r="DR205" s="24"/>
    </row>
    <row r="206" spans="1:122" hidden="1" outlineLevel="1">
      <c r="A206" s="3"/>
      <c r="B206" s="76"/>
      <c r="C206" s="3" t="s">
        <v>24</v>
      </c>
      <c r="D206" s="3"/>
      <c r="E206" s="97"/>
      <c r="F206" s="34"/>
      <c r="G206" s="35"/>
      <c r="H206" s="35"/>
      <c r="I206" s="66"/>
      <c r="J206" s="34"/>
      <c r="K206" s="35"/>
      <c r="L206" s="35"/>
      <c r="M206" s="66">
        <f t="shared" ref="M206:AS206" si="523">M204-M205</f>
        <v>-34.662000000000035</v>
      </c>
      <c r="N206" s="34">
        <f t="shared" si="523"/>
        <v>-45.238</v>
      </c>
      <c r="O206" s="35">
        <f t="shared" si="523"/>
        <v>-44.280999999999949</v>
      </c>
      <c r="P206" s="35">
        <f t="shared" si="523"/>
        <v>-71.519000000000005</v>
      </c>
      <c r="Q206" s="66">
        <f t="shared" si="523"/>
        <v>-65.800000000000068</v>
      </c>
      <c r="R206" s="34">
        <f t="shared" si="523"/>
        <v>70.600000000000023</v>
      </c>
      <c r="S206" s="35">
        <f t="shared" si="523"/>
        <v>114.20000000000005</v>
      </c>
      <c r="T206" s="35">
        <f t="shared" si="523"/>
        <v>129.69999999999993</v>
      </c>
      <c r="U206" s="66">
        <f t="shared" si="523"/>
        <v>150.5</v>
      </c>
      <c r="V206" s="34">
        <f t="shared" si="523"/>
        <v>146.39999999999986</v>
      </c>
      <c r="W206" s="35">
        <f t="shared" si="523"/>
        <v>118.60000000000002</v>
      </c>
      <c r="X206" s="35">
        <f t="shared" si="523"/>
        <v>129.89999999999986</v>
      </c>
      <c r="Y206" s="66">
        <f t="shared" si="523"/>
        <v>143.99999999999989</v>
      </c>
      <c r="Z206" s="34">
        <f t="shared" si="523"/>
        <v>240.80000000000007</v>
      </c>
      <c r="AA206" s="35">
        <f t="shared" si="523"/>
        <v>285.99999999999989</v>
      </c>
      <c r="AB206" s="35">
        <f t="shared" si="523"/>
        <v>386.5</v>
      </c>
      <c r="AC206" s="66">
        <f t="shared" si="523"/>
        <v>470</v>
      </c>
      <c r="AD206" s="34">
        <f t="shared" si="523"/>
        <v>464</v>
      </c>
      <c r="AE206" s="35">
        <f t="shared" si="523"/>
        <v>531</v>
      </c>
      <c r="AF206" s="35">
        <f t="shared" si="523"/>
        <v>563</v>
      </c>
      <c r="AG206" s="66">
        <f t="shared" si="523"/>
        <v>637</v>
      </c>
      <c r="AH206" s="34">
        <f t="shared" si="523"/>
        <v>1501</v>
      </c>
      <c r="AI206" s="35">
        <f t="shared" si="523"/>
        <v>1521</v>
      </c>
      <c r="AJ206" s="35">
        <f t="shared" si="523"/>
        <v>1561</v>
      </c>
      <c r="AK206" s="66">
        <f t="shared" si="523"/>
        <v>1586</v>
      </c>
      <c r="AL206" s="34">
        <f t="shared" si="523"/>
        <v>1709</v>
      </c>
      <c r="AM206" s="35">
        <f t="shared" si="523"/>
        <v>1593</v>
      </c>
      <c r="AN206" s="35">
        <f t="shared" si="523"/>
        <v>1415</v>
      </c>
      <c r="AO206" s="66">
        <f t="shared" si="523"/>
        <v>1403</v>
      </c>
      <c r="AP206" s="34">
        <f t="shared" si="523"/>
        <v>1456</v>
      </c>
      <c r="AQ206" s="35">
        <f t="shared" si="523"/>
        <v>1527</v>
      </c>
      <c r="AR206" s="35">
        <f t="shared" si="523"/>
        <v>1564</v>
      </c>
      <c r="AS206" s="66">
        <f t="shared" si="523"/>
        <v>1926</v>
      </c>
      <c r="AT206" s="34">
        <f t="shared" ref="AT206:BA206" si="524">AT204-AT205</f>
        <v>1979</v>
      </c>
      <c r="AU206" s="35">
        <f t="shared" si="524"/>
        <v>1953</v>
      </c>
      <c r="AV206" s="35">
        <f t="shared" si="524"/>
        <v>1974</v>
      </c>
      <c r="AW206" s="66">
        <f t="shared" si="524"/>
        <v>1885</v>
      </c>
      <c r="AX206" s="34">
        <f t="shared" si="524"/>
        <v>1979</v>
      </c>
      <c r="AY206" s="35">
        <f t="shared" si="524"/>
        <v>1912</v>
      </c>
      <c r="AZ206" s="35">
        <f t="shared" si="524"/>
        <v>3888</v>
      </c>
      <c r="BA206" s="66">
        <f t="shared" si="524"/>
        <v>3648</v>
      </c>
      <c r="BB206" s="34">
        <f t="shared" ref="BB206:BH206" si="525">BB204-BB205</f>
        <v>3669</v>
      </c>
      <c r="BC206" s="35">
        <f t="shared" si="525"/>
        <v>3743</v>
      </c>
      <c r="BD206" s="35">
        <f t="shared" si="525"/>
        <v>3592</v>
      </c>
      <c r="BE206" s="66">
        <f t="shared" si="525"/>
        <v>2801</v>
      </c>
      <c r="BF206" s="34">
        <f t="shared" si="525"/>
        <v>2875</v>
      </c>
      <c r="BG206" s="35">
        <f t="shared" si="525"/>
        <v>2779</v>
      </c>
      <c r="BH206" s="35">
        <f t="shared" si="525"/>
        <v>2752</v>
      </c>
      <c r="BI206" s="66">
        <f>BI204-BI205</f>
        <v>2706</v>
      </c>
      <c r="BJ206" s="34">
        <f t="shared" ref="BJ206:BQ206" si="526">BJ204-BJ205</f>
        <v>2528</v>
      </c>
      <c r="BK206" s="35">
        <f t="shared" si="526"/>
        <v>2934</v>
      </c>
      <c r="BL206" s="35">
        <f t="shared" si="526"/>
        <v>2834</v>
      </c>
      <c r="BM206" s="66">
        <f t="shared" si="526"/>
        <v>2801</v>
      </c>
      <c r="BN206" s="34">
        <f t="shared" si="526"/>
        <v>2728</v>
      </c>
      <c r="BO206" s="35">
        <f t="shared" si="526"/>
        <v>2485</v>
      </c>
      <c r="BP206" s="35">
        <f t="shared" si="526"/>
        <v>2259</v>
      </c>
      <c r="BQ206" s="66">
        <f t="shared" si="526"/>
        <v>2986</v>
      </c>
      <c r="BR206" s="34">
        <f t="shared" ref="BR206:BY206" si="527">BR204-BR205</f>
        <v>3055</v>
      </c>
      <c r="BS206" s="35">
        <f t="shared" si="527"/>
        <v>2573</v>
      </c>
      <c r="BT206" s="35">
        <f t="shared" si="527"/>
        <v>2406</v>
      </c>
      <c r="BU206" s="66">
        <f t="shared" si="527"/>
        <v>2420</v>
      </c>
      <c r="BV206" s="34">
        <f t="shared" si="527"/>
        <v>2632</v>
      </c>
      <c r="BW206" s="35">
        <f t="shared" si="527"/>
        <v>1355</v>
      </c>
      <c r="BX206" s="35">
        <f t="shared" si="527"/>
        <v>2276.1295959755507</v>
      </c>
      <c r="BY206" s="66">
        <f t="shared" si="527"/>
        <v>2093.7018970474901</v>
      </c>
      <c r="BZ206" s="34">
        <f>BZ204-BZ205</f>
        <v>1988.2681257160184</v>
      </c>
      <c r="CA206" s="35">
        <f>CA204-CA205</f>
        <v>1650.7326650057848</v>
      </c>
      <c r="CB206" s="35">
        <f>CB204-CB205</f>
        <v>1739.0634284822736</v>
      </c>
      <c r="CC206" s="66">
        <f>CC204-CC205</f>
        <v>1847.2982433936086</v>
      </c>
      <c r="CD206" s="12"/>
      <c r="CE206" s="34"/>
      <c r="CF206" s="35">
        <f t="shared" ref="CF206:CT206" si="528">CF204-CF205</f>
        <v>-34.662000000000035</v>
      </c>
      <c r="CG206" s="35">
        <f t="shared" si="528"/>
        <v>-65.800000000000125</v>
      </c>
      <c r="CH206" s="35">
        <f t="shared" si="528"/>
        <v>150.5</v>
      </c>
      <c r="CI206" s="35">
        <f t="shared" si="528"/>
        <v>143.99999999999989</v>
      </c>
      <c r="CJ206" s="35">
        <f t="shared" si="528"/>
        <v>470</v>
      </c>
      <c r="CK206" s="35">
        <f t="shared" si="528"/>
        <v>637</v>
      </c>
      <c r="CL206" s="35">
        <f t="shared" si="528"/>
        <v>1586</v>
      </c>
      <c r="CM206" s="35">
        <f t="shared" si="528"/>
        <v>1403</v>
      </c>
      <c r="CN206" s="35">
        <f t="shared" si="528"/>
        <v>1926</v>
      </c>
      <c r="CO206" s="35">
        <f t="shared" si="528"/>
        <v>1885</v>
      </c>
      <c r="CP206" s="35">
        <f t="shared" si="528"/>
        <v>3648</v>
      </c>
      <c r="CQ206" s="35">
        <f t="shared" si="528"/>
        <v>2801</v>
      </c>
      <c r="CR206" s="34">
        <f>CR204-CR205</f>
        <v>2706</v>
      </c>
      <c r="CS206" s="35">
        <f t="shared" si="528"/>
        <v>2801</v>
      </c>
      <c r="CT206" s="35">
        <f t="shared" si="528"/>
        <v>2986</v>
      </c>
      <c r="CU206" s="35">
        <f t="shared" ref="CU206:DA206" si="529">CU204-CU205</f>
        <v>2420</v>
      </c>
      <c r="CV206" s="35">
        <f t="shared" si="529"/>
        <v>2093.7018970474901</v>
      </c>
      <c r="CW206" s="35">
        <f>CW204-CW205</f>
        <v>1847.2982433936086</v>
      </c>
      <c r="CX206" s="35">
        <f t="shared" si="529"/>
        <v>1512.8686347269477</v>
      </c>
      <c r="CY206" s="35">
        <f t="shared" si="529"/>
        <v>1443.4378864906321</v>
      </c>
      <c r="CZ206" s="35">
        <f t="shared" si="529"/>
        <v>1407.6319125657992</v>
      </c>
      <c r="DA206" s="35">
        <f t="shared" si="529"/>
        <v>1556.1043044880307</v>
      </c>
      <c r="DB206" s="35">
        <f>DB204-DB205</f>
        <v>1639.3934123620402</v>
      </c>
      <c r="DC206" s="35">
        <f>DC204-DC205</f>
        <v>1664.8238588376626</v>
      </c>
      <c r="DD206" s="66"/>
      <c r="DE206" s="24"/>
      <c r="DF206" s="24"/>
      <c r="DG206" s="159"/>
      <c r="DH206" s="159"/>
      <c r="DI206" s="159"/>
      <c r="DJ206" s="159"/>
      <c r="DK206" s="24"/>
      <c r="DL206" s="24"/>
      <c r="DM206" s="24"/>
      <c r="DN206" s="24"/>
      <c r="DO206" s="24"/>
      <c r="DP206" s="24"/>
      <c r="DQ206" s="24"/>
      <c r="DR206" s="24"/>
    </row>
    <row r="207" spans="1:122" hidden="1" outlineLevel="1">
      <c r="A207" s="3"/>
      <c r="B207" s="76"/>
      <c r="C207" s="3"/>
      <c r="D207" s="3"/>
      <c r="E207" s="97"/>
      <c r="F207" s="76"/>
      <c r="G207" s="96"/>
      <c r="H207" s="96"/>
      <c r="I207" s="97"/>
      <c r="J207" s="76"/>
      <c r="K207" s="96"/>
      <c r="L207" s="96"/>
      <c r="M207" s="97"/>
      <c r="N207" s="76"/>
      <c r="O207" s="96"/>
      <c r="P207" s="96"/>
      <c r="Q207" s="97"/>
      <c r="R207" s="76"/>
      <c r="S207" s="96"/>
      <c r="T207" s="96"/>
      <c r="U207" s="97"/>
      <c r="V207" s="76"/>
      <c r="W207" s="96"/>
      <c r="X207" s="96"/>
      <c r="Y207" s="97"/>
      <c r="Z207" s="76"/>
      <c r="AA207" s="96"/>
      <c r="AB207" s="96"/>
      <c r="AC207" s="97"/>
      <c r="AD207" s="76"/>
      <c r="AE207" s="96"/>
      <c r="AF207" s="96"/>
      <c r="AG207" s="97"/>
      <c r="AH207" s="76"/>
      <c r="AI207" s="63"/>
      <c r="AJ207" s="63"/>
      <c r="AK207" s="97"/>
      <c r="AL207" s="63"/>
      <c r="AM207" s="63"/>
      <c r="AN207" s="63"/>
      <c r="AO207" s="97"/>
      <c r="AP207" s="63"/>
      <c r="AQ207" s="63"/>
      <c r="AR207" s="63"/>
      <c r="AS207" s="97"/>
      <c r="AT207" s="63"/>
      <c r="AU207" s="63"/>
      <c r="AV207" s="63"/>
      <c r="AW207" s="97"/>
      <c r="AX207" s="63"/>
      <c r="AY207" s="63"/>
      <c r="AZ207" s="63"/>
      <c r="BA207" s="97"/>
      <c r="BB207" s="63"/>
      <c r="BC207" s="63"/>
      <c r="BD207" s="63"/>
      <c r="BE207" s="97"/>
      <c r="BF207" s="63"/>
      <c r="BG207" s="63"/>
      <c r="BH207" s="63"/>
      <c r="BI207" s="97"/>
      <c r="BJ207" s="63"/>
      <c r="BK207" s="63"/>
      <c r="BL207" s="63"/>
      <c r="BM207" s="97"/>
      <c r="BN207" s="76"/>
      <c r="BO207" s="96"/>
      <c r="BP207" s="96"/>
      <c r="BQ207" s="97"/>
      <c r="BR207" s="76"/>
      <c r="BS207" s="96"/>
      <c r="BT207" s="96"/>
      <c r="BU207" s="97"/>
      <c r="BV207" s="76"/>
      <c r="BW207" s="96"/>
      <c r="BX207" s="96"/>
      <c r="BY207" s="97"/>
      <c r="BZ207" s="76"/>
      <c r="CA207" s="96"/>
      <c r="CB207" s="96"/>
      <c r="CC207" s="97"/>
      <c r="CD207" s="12"/>
      <c r="CE207" s="96"/>
      <c r="CF207" s="96"/>
      <c r="CG207" s="96"/>
      <c r="CH207" s="96"/>
      <c r="CI207" s="96"/>
      <c r="CJ207" s="96"/>
      <c r="CK207" s="96"/>
      <c r="CL207" s="96"/>
      <c r="CM207" s="96"/>
      <c r="CN207" s="96"/>
      <c r="CO207" s="96"/>
      <c r="CP207" s="96"/>
      <c r="CQ207" s="96"/>
      <c r="CR207" s="76"/>
      <c r="CS207" s="96"/>
      <c r="CT207" s="96"/>
      <c r="CU207" s="96"/>
      <c r="CV207" s="96"/>
      <c r="CW207" s="96"/>
      <c r="CX207" s="96"/>
      <c r="CY207" s="96"/>
      <c r="CZ207" s="96"/>
      <c r="DA207" s="96"/>
      <c r="DB207" s="96"/>
      <c r="DC207" s="96"/>
      <c r="DD207" s="97"/>
      <c r="DE207" s="24"/>
      <c r="DF207" s="24"/>
      <c r="DG207" s="24"/>
      <c r="DH207" s="24"/>
      <c r="DI207" s="24"/>
      <c r="DJ207" s="24"/>
      <c r="DK207" s="24"/>
      <c r="DL207" s="24"/>
      <c r="DM207" s="24"/>
      <c r="DN207" s="24"/>
      <c r="DO207" s="24"/>
      <c r="DP207" s="24"/>
      <c r="DQ207" s="24"/>
      <c r="DR207" s="24"/>
    </row>
    <row r="208" spans="1:122" hidden="1" outlineLevel="1">
      <c r="A208" s="3"/>
      <c r="B208" s="256" t="s">
        <v>267</v>
      </c>
      <c r="C208" s="3"/>
      <c r="D208" s="3"/>
      <c r="E208" s="97"/>
      <c r="F208" s="76"/>
      <c r="G208" s="96"/>
      <c r="H208" s="96"/>
      <c r="I208" s="97"/>
      <c r="J208" s="76"/>
      <c r="K208" s="96"/>
      <c r="L208" s="96"/>
      <c r="M208" s="97"/>
      <c r="N208" s="76"/>
      <c r="O208" s="96"/>
      <c r="P208" s="96"/>
      <c r="Q208" s="97"/>
      <c r="R208" s="76"/>
      <c r="S208" s="96"/>
      <c r="T208" s="96"/>
      <c r="U208" s="97"/>
      <c r="V208" s="76"/>
      <c r="W208" s="96"/>
      <c r="X208" s="96"/>
      <c r="Y208" s="97"/>
      <c r="Z208" s="76"/>
      <c r="AA208" s="96"/>
      <c r="AB208" s="96"/>
      <c r="AC208" s="97"/>
      <c r="AD208" s="76"/>
      <c r="AE208" s="96"/>
      <c r="AF208" s="96"/>
      <c r="AG208" s="649"/>
      <c r="AH208" s="76"/>
      <c r="AI208" s="650"/>
      <c r="AJ208" s="650"/>
      <c r="AK208" s="649"/>
      <c r="AL208" s="650"/>
      <c r="AM208" s="650"/>
      <c r="AN208" s="650"/>
      <c r="AO208" s="649"/>
      <c r="AP208" s="650"/>
      <c r="AQ208" s="650"/>
      <c r="AR208" s="650"/>
      <c r="AS208" s="649"/>
      <c r="AT208" s="650"/>
      <c r="AU208" s="650"/>
      <c r="AV208" s="650"/>
      <c r="AW208" s="649"/>
      <c r="AX208" s="650"/>
      <c r="AY208" s="650"/>
      <c r="AZ208" s="650"/>
      <c r="BA208" s="649"/>
      <c r="BB208" s="650"/>
      <c r="BC208" s="650"/>
      <c r="BD208" s="650"/>
      <c r="BE208" s="649"/>
      <c r="BF208" s="650"/>
      <c r="BG208" s="650"/>
      <c r="BH208" s="650"/>
      <c r="BI208" s="649"/>
      <c r="BJ208" s="650"/>
      <c r="BK208" s="650"/>
      <c r="BL208" s="650"/>
      <c r="BM208" s="649"/>
      <c r="BN208" s="1414"/>
      <c r="BO208" s="1405"/>
      <c r="BP208" s="1405"/>
      <c r="BQ208" s="649"/>
      <c r="BR208" s="1414"/>
      <c r="BS208" s="1405"/>
      <c r="BT208" s="1405"/>
      <c r="BU208" s="649"/>
      <c r="BV208" s="1414"/>
      <c r="BW208" s="1405"/>
      <c r="BX208" s="1405"/>
      <c r="BY208" s="649"/>
      <c r="BZ208" s="1414"/>
      <c r="CA208" s="1405"/>
      <c r="CB208" s="1405"/>
      <c r="CC208" s="649"/>
      <c r="CD208" s="12"/>
      <c r="CE208" s="96"/>
      <c r="CF208" s="96"/>
      <c r="CG208" s="96"/>
      <c r="CH208" s="96"/>
      <c r="CI208" s="96"/>
      <c r="CJ208" s="96"/>
      <c r="CK208" s="96"/>
      <c r="CL208" s="96"/>
      <c r="CM208" s="96"/>
      <c r="CN208" s="96"/>
      <c r="CO208" s="96"/>
      <c r="CP208" s="96"/>
      <c r="CQ208" s="96"/>
      <c r="CR208" s="76"/>
      <c r="CS208" s="96"/>
      <c r="CT208" s="96"/>
      <c r="CU208" s="1405"/>
      <c r="CV208" s="1405"/>
      <c r="CW208" s="1405"/>
      <c r="CX208" s="1405"/>
      <c r="CY208" s="1405"/>
      <c r="CZ208" s="1405"/>
      <c r="DA208" s="1405"/>
      <c r="DB208" s="1405"/>
      <c r="DC208" s="1405"/>
      <c r="DD208" s="649"/>
      <c r="DE208" s="24"/>
      <c r="DF208" s="24"/>
      <c r="DG208" s="24"/>
      <c r="DH208" s="24"/>
      <c r="DI208" s="24"/>
      <c r="DJ208" s="24"/>
      <c r="DK208" s="24"/>
      <c r="DL208" s="24"/>
      <c r="DM208" s="24"/>
      <c r="DN208" s="24"/>
      <c r="DO208" s="24"/>
      <c r="DP208" s="24"/>
      <c r="DQ208" s="24"/>
      <c r="DR208" s="24"/>
    </row>
    <row r="209" spans="1:122" hidden="1" outlineLevel="1">
      <c r="A209" s="3"/>
      <c r="B209" s="293"/>
      <c r="C209" s="3" t="s">
        <v>977</v>
      </c>
      <c r="D209" s="3"/>
      <c r="E209" s="294"/>
      <c r="F209" s="293"/>
      <c r="G209" s="447"/>
      <c r="H209" s="447"/>
      <c r="I209" s="294"/>
      <c r="J209" s="293"/>
      <c r="K209" s="447"/>
      <c r="L209" s="447"/>
      <c r="M209" s="294"/>
      <c r="N209" s="293"/>
      <c r="O209" s="447"/>
      <c r="P209" s="447"/>
      <c r="Q209" s="294"/>
      <c r="R209" s="293"/>
      <c r="S209" s="447"/>
      <c r="T209" s="447"/>
      <c r="U209" s="294"/>
      <c r="V209" s="293"/>
      <c r="W209" s="447"/>
      <c r="X209" s="447"/>
      <c r="Y209" s="294"/>
      <c r="Z209" s="293"/>
      <c r="AA209" s="447"/>
      <c r="AB209" s="447"/>
      <c r="AC209" s="294"/>
      <c r="AD209" s="293"/>
      <c r="AE209" s="447"/>
      <c r="AF209" s="447"/>
      <c r="AG209" s="604">
        <f>IS!AG606</f>
        <v>18.193850000000001</v>
      </c>
      <c r="AH209" s="1140">
        <f>IS!AH606</f>
        <v>21.92923</v>
      </c>
      <c r="AI209" s="441">
        <f>IS!AI606</f>
        <v>27.142620000000001</v>
      </c>
      <c r="AJ209" s="441">
        <f>IS!AJ606</f>
        <v>27.142620000000001</v>
      </c>
      <c r="AK209" s="441">
        <f>IS!AK606</f>
        <v>28.526940000000003</v>
      </c>
      <c r="AL209" s="1154">
        <f>IS!AL606</f>
        <v>28.342000000000002</v>
      </c>
      <c r="AM209" s="441">
        <f>IS!AM606</f>
        <v>13.933384999999999</v>
      </c>
      <c r="AN209" s="441">
        <f>IS!AN606</f>
        <v>15.296290000000001</v>
      </c>
      <c r="AO209" s="1160">
        <f>IS!AO606</f>
        <v>23.319540000000003</v>
      </c>
      <c r="AP209" s="1154">
        <f>IS!AP606</f>
        <v>31.889850000000003</v>
      </c>
      <c r="AQ209" s="441">
        <f>IS!AQ606</f>
        <v>38.219840000000005</v>
      </c>
      <c r="AR209" s="441">
        <f>IS!AR606</f>
        <v>41.179840000000006</v>
      </c>
      <c r="AS209" s="1160">
        <f>IS!AS606</f>
        <v>37.587690000000002</v>
      </c>
      <c r="AT209" s="1154">
        <f>IS!AT606</f>
        <v>27.395190000000003</v>
      </c>
      <c r="AU209" s="441">
        <f>IS!AU606</f>
        <v>32.423540000000003</v>
      </c>
      <c r="AV209" s="441">
        <f>IS!AV606</f>
        <v>33.806510000000003</v>
      </c>
      <c r="AW209" s="1160">
        <f>IS!AW606</f>
        <v>36.911230000000003</v>
      </c>
      <c r="AX209" s="1154">
        <f>IS!AX606</f>
        <v>31.516920000000002</v>
      </c>
      <c r="AY209" s="441">
        <f>IS!AY606</f>
        <v>28.236712671874997</v>
      </c>
      <c r="AZ209" s="441">
        <f>IS!AZ606</f>
        <v>37.455706349206352</v>
      </c>
      <c r="BA209" s="1160">
        <f>IS!BA606</f>
        <v>35.981164484375</v>
      </c>
      <c r="BB209" s="576">
        <f>IS!BB606</f>
        <v>39.06663850793651</v>
      </c>
      <c r="BC209" s="576">
        <f>IS!BC606</f>
        <v>36.527377000000001</v>
      </c>
      <c r="BD209" s="576">
        <f>IS!BD606</f>
        <v>47.025287819672137</v>
      </c>
      <c r="BE209" s="651">
        <f>IS!BE606</f>
        <v>57.97</v>
      </c>
      <c r="BF209" s="576">
        <f>IS!BF606</f>
        <v>65.31</v>
      </c>
      <c r="BG209" s="576">
        <f>IS!BG606</f>
        <v>73.599999999999994</v>
      </c>
      <c r="BH209" s="576">
        <f>IS!BH606</f>
        <v>86.19</v>
      </c>
      <c r="BI209" s="651">
        <f>IS!BI606</f>
        <v>88.72</v>
      </c>
      <c r="BJ209" s="576">
        <f>IS!BJ606</f>
        <v>99.326300938461515</v>
      </c>
      <c r="BK209" s="576">
        <f>IS!BK606</f>
        <v>99.682186859375008</v>
      </c>
      <c r="BL209" s="576">
        <f>IS!BL606</f>
        <v>103.92605150000001</v>
      </c>
      <c r="BM209" s="651">
        <f>IS!BM606</f>
        <v>94.682462230769261</v>
      </c>
      <c r="BN209" s="1415">
        <f>IS!BN606</f>
        <v>79.545462999999998</v>
      </c>
      <c r="BO209" s="576">
        <f>IS!BO606</f>
        <v>67.859923124999995</v>
      </c>
      <c r="BP209" s="576">
        <f>IS!BP606</f>
        <v>47.749839822580668</v>
      </c>
      <c r="BQ209" s="651">
        <f>IS!BQ606</f>
        <v>43.655683636363626</v>
      </c>
      <c r="BR209" s="1415">
        <f>IS!BR606</f>
        <v>49.81</v>
      </c>
      <c r="BS209" s="576">
        <f>IS!BS606</f>
        <v>60.954062984375014</v>
      </c>
      <c r="BT209" s="576">
        <f>IS!BT606</f>
        <v>75.106935822580624</v>
      </c>
      <c r="BU209" s="651">
        <f>IS!BU606</f>
        <v>87.748154184615402</v>
      </c>
      <c r="BV209" s="1415">
        <f>IS!BV606</f>
        <v>87.796406765625008</v>
      </c>
      <c r="BW209" s="576">
        <f>IS!BW606</f>
        <v>85.186668047619079</v>
      </c>
      <c r="BX209" s="576">
        <f>IS!BX606</f>
        <v>87.938701387974632</v>
      </c>
      <c r="BY209" s="651">
        <f>IS!BY606</f>
        <v>90.779641686191184</v>
      </c>
      <c r="BZ209" s="1415">
        <f>IS!BZ606</f>
        <v>93.712361162979207</v>
      </c>
      <c r="CA209" s="576">
        <f>IS!CA606</f>
        <v>96.739824828770125</v>
      </c>
      <c r="CB209" s="576">
        <f>IS!CB606</f>
        <v>99.865093481373236</v>
      </c>
      <c r="CC209" s="651">
        <f>IS!CC606</f>
        <v>103.09132680047468</v>
      </c>
      <c r="CD209" s="12"/>
      <c r="CE209" s="447"/>
      <c r="CF209" s="447"/>
      <c r="CG209" s="447"/>
      <c r="CH209" s="447"/>
      <c r="CI209" s="447"/>
      <c r="CJ209" s="447"/>
      <c r="CK209" s="447"/>
      <c r="CL209" s="447"/>
      <c r="CM209" s="447"/>
      <c r="CN209" s="447"/>
      <c r="CO209" s="447"/>
      <c r="CP209" s="447"/>
      <c r="CQ209" s="447"/>
      <c r="CR209" s="293"/>
      <c r="CS209" s="447"/>
      <c r="CT209" s="447"/>
      <c r="CU209" s="576"/>
      <c r="CV209" s="576"/>
      <c r="CW209" s="576"/>
      <c r="CX209" s="576"/>
      <c r="CY209" s="576"/>
      <c r="CZ209" s="576"/>
      <c r="DA209" s="576"/>
      <c r="DB209" s="576"/>
      <c r="DC209" s="576"/>
      <c r="DD209" s="651"/>
      <c r="DE209" s="24"/>
      <c r="DF209" s="24"/>
      <c r="DG209" s="29"/>
      <c r="DH209" s="29"/>
      <c r="DI209" s="29"/>
      <c r="DJ209" s="29"/>
      <c r="DK209" s="24"/>
      <c r="DL209" s="24"/>
      <c r="DM209" s="24"/>
      <c r="DN209" s="24"/>
      <c r="DO209" s="24"/>
      <c r="DP209" s="24"/>
      <c r="DQ209" s="24"/>
      <c r="DR209" s="24"/>
    </row>
    <row r="210" spans="1:122" hidden="1" outlineLevel="1">
      <c r="A210" s="128"/>
      <c r="B210" s="432"/>
      <c r="C210" s="128" t="s">
        <v>314</v>
      </c>
      <c r="D210" s="128"/>
      <c r="E210" s="433"/>
      <c r="F210" s="432"/>
      <c r="G210" s="449"/>
      <c r="H210" s="449"/>
      <c r="I210" s="433"/>
      <c r="J210" s="432"/>
      <c r="K210" s="449"/>
      <c r="L210" s="449"/>
      <c r="M210" s="433"/>
      <c r="N210" s="432"/>
      <c r="O210" s="449"/>
      <c r="P210" s="449"/>
      <c r="Q210" s="433"/>
      <c r="R210" s="432"/>
      <c r="S210" s="449"/>
      <c r="T210" s="449"/>
      <c r="U210" s="433"/>
      <c r="V210" s="432"/>
      <c r="W210" s="449"/>
      <c r="X210" s="449"/>
      <c r="Y210" s="433"/>
      <c r="Z210" s="432"/>
      <c r="AA210" s="449"/>
      <c r="AB210" s="449"/>
      <c r="AC210" s="433"/>
      <c r="AD210" s="432"/>
      <c r="AE210" s="449"/>
      <c r="AF210" s="449"/>
      <c r="AG210" s="66">
        <f>AG209*IS!AG121</f>
        <v>3984.4531500000003</v>
      </c>
      <c r="AH210" s="35">
        <f>AH209*IS!AH121</f>
        <v>4826.6235230000002</v>
      </c>
      <c r="AI210" s="35">
        <f>AI209*IS!AI121</f>
        <v>6025.6616400000003</v>
      </c>
      <c r="AJ210" s="35">
        <f>AJ209*IS!AJ121</f>
        <v>6009.2874744883202</v>
      </c>
      <c r="AK210" s="66">
        <f>AK209*IS!AK121</f>
        <v>6318.3095600274009</v>
      </c>
      <c r="AL210" s="35">
        <f>AL209*IS!AL121</f>
        <v>6291.9240000000009</v>
      </c>
      <c r="AM210" s="35">
        <f>AM209*IS!AM121</f>
        <v>3107.144855</v>
      </c>
      <c r="AN210" s="35">
        <f>AN209*IS!AN121</f>
        <v>3426.3689600000002</v>
      </c>
      <c r="AO210" s="66">
        <f>AO209*IS!AO121</f>
        <v>5246.8965000000007</v>
      </c>
      <c r="AP210" s="35">
        <f>AP209*IS!AP121</f>
        <v>7175.2162500000004</v>
      </c>
      <c r="AQ210" s="35">
        <f>AQ209*IS!AQ121</f>
        <v>8714.123520000001</v>
      </c>
      <c r="AR210" s="35">
        <f>AR209*IS!AR121</f>
        <v>9430.1833600000009</v>
      </c>
      <c r="AS210" s="66">
        <f>AS209*IS!AS121</f>
        <v>8682.7563900000005</v>
      </c>
      <c r="AT210" s="35">
        <f>AT209*IS!AT121</f>
        <v>6300.8937000000005</v>
      </c>
      <c r="AU210" s="35">
        <f>AU209*IS!AU121</f>
        <v>7522.2612800000006</v>
      </c>
      <c r="AV210" s="35">
        <f>AV209*IS!AV121</f>
        <v>7843.1103200000007</v>
      </c>
      <c r="AW210" s="66">
        <f>AW209*IS!AW121</f>
        <v>8600.3165900000004</v>
      </c>
      <c r="AX210" s="35">
        <f>AX209*IS!AX121</f>
        <v>7374.9592800000009</v>
      </c>
      <c r="AY210" s="35">
        <f>AY209*IS!AY121</f>
        <v>6635.6274778906245</v>
      </c>
      <c r="AZ210" s="35">
        <f>AZ209*IS!AZ121</f>
        <v>9775.9393571428573</v>
      </c>
      <c r="BA210" s="66">
        <f>BA209*IS!BA121</f>
        <v>8851.3664631562497</v>
      </c>
      <c r="BB210" s="35">
        <f>BB209*IS!BB121</f>
        <v>9493.1931574285718</v>
      </c>
      <c r="BC210" s="35">
        <f>BC209*IS!BC121</f>
        <v>8803.0978570000007</v>
      </c>
      <c r="BD210" s="35">
        <f>BD209*IS!BD121</f>
        <v>11192.018501081968</v>
      </c>
      <c r="BE210" s="66">
        <f>BE209*IS!BE121</f>
        <v>13738.89</v>
      </c>
      <c r="BF210" s="35">
        <f>BF209*IS!BF121</f>
        <v>15413.16</v>
      </c>
      <c r="BG210" s="35">
        <f>BG209*IS!BG121</f>
        <v>17443.199999999997</v>
      </c>
      <c r="BH210" s="35">
        <f>BH209*IS!BH121</f>
        <v>20254.649999999998</v>
      </c>
      <c r="BI210" s="66">
        <f>BI209*IS!BI121</f>
        <v>20760.48</v>
      </c>
      <c r="BJ210" s="35">
        <f>BJ209*IS!BJ121</f>
        <v>23242.354419599993</v>
      </c>
      <c r="BK210" s="35">
        <f>BK209*IS!BK121</f>
        <v>23126.267351375001</v>
      </c>
      <c r="BL210" s="35">
        <f>BL209*IS!BL121</f>
        <v>24006.917896500003</v>
      </c>
      <c r="BM210" s="66">
        <f>BM209*IS!BM121</f>
        <v>21776.96631307693</v>
      </c>
      <c r="BN210" s="34">
        <f>BN209*IS!BN121</f>
        <v>18375.001952999999</v>
      </c>
      <c r="BO210" s="35">
        <f>BO209*IS!BO121</f>
        <v>15743.502164999998</v>
      </c>
      <c r="BP210" s="35">
        <f>BP209*IS!BP121</f>
        <v>11125.712678661295</v>
      </c>
      <c r="BQ210" s="66">
        <f>BQ209*IS!BQ121</f>
        <v>12398.214152727271</v>
      </c>
      <c r="BR210" s="34">
        <f>BR209*IS!BR121</f>
        <v>14195.85</v>
      </c>
      <c r="BS210" s="35">
        <f>BS209*IS!BS121</f>
        <v>17554.770139500004</v>
      </c>
      <c r="BT210" s="35">
        <f>BT209*IS!BT121</f>
        <v>21856.11832437096</v>
      </c>
      <c r="BU210" s="66">
        <f>BU209*IS!BU121</f>
        <v>25797.957330276928</v>
      </c>
      <c r="BV210" s="34">
        <f>BV209*IS!BV121</f>
        <v>25997.394007369221</v>
      </c>
      <c r="BW210" s="35">
        <f>BW209*IS!BW121</f>
        <v>25523.084285752124</v>
      </c>
      <c r="BX210" s="35">
        <f>BX209*IS!BX121</f>
        <v>26445.530156454166</v>
      </c>
      <c r="BY210" s="66">
        <f>BY209*IS!BY121</f>
        <v>27365.035832606209</v>
      </c>
      <c r="BZ210" s="34">
        <f>BZ209*IS!BZ121</f>
        <v>28249.088380937581</v>
      </c>
      <c r="CA210" s="35">
        <f>CA209*IS!CA121</f>
        <v>29210.07096902949</v>
      </c>
      <c r="CB210" s="35">
        <f>CB209*IS!CB121</f>
        <v>30203.661614194509</v>
      </c>
      <c r="CC210" s="66">
        <f>CC209*IS!CC121</f>
        <v>31576.299759381152</v>
      </c>
      <c r="CD210" s="289"/>
      <c r="CE210" s="449"/>
      <c r="CF210" s="449"/>
      <c r="CG210" s="449"/>
      <c r="CH210" s="449"/>
      <c r="CI210" s="449"/>
      <c r="CJ210" s="449"/>
      <c r="CK210" s="449"/>
      <c r="CL210" s="449"/>
      <c r="CM210" s="449"/>
      <c r="CN210" s="449"/>
      <c r="CO210" s="35"/>
      <c r="CP210" s="35"/>
      <c r="CQ210" s="35"/>
      <c r="CR210" s="34"/>
      <c r="CS210" s="35"/>
      <c r="CT210" s="35"/>
      <c r="CU210" s="35"/>
      <c r="CV210" s="35"/>
      <c r="CW210" s="35"/>
      <c r="CX210" s="35"/>
      <c r="CY210" s="35"/>
      <c r="CZ210" s="35"/>
      <c r="DA210" s="35"/>
      <c r="DB210" s="35"/>
      <c r="DC210" s="35"/>
      <c r="DD210" s="66"/>
      <c r="DE210" s="158"/>
      <c r="DF210" s="158"/>
      <c r="DG210" s="158"/>
      <c r="DH210" s="158"/>
      <c r="DI210" s="158"/>
      <c r="DJ210" s="158"/>
      <c r="DK210" s="158"/>
      <c r="DL210" s="158"/>
      <c r="DM210" s="158"/>
      <c r="DN210" s="158"/>
      <c r="DO210" s="158"/>
      <c r="DP210" s="158"/>
      <c r="DQ210" s="158"/>
      <c r="DR210" s="158"/>
    </row>
    <row r="211" spans="1:122" hidden="1" outlineLevel="1">
      <c r="A211" s="128"/>
      <c r="B211" s="1260"/>
      <c r="C211" s="1262" t="s">
        <v>596</v>
      </c>
      <c r="D211" s="1262"/>
      <c r="E211" s="1263"/>
      <c r="F211" s="1260"/>
      <c r="G211" s="1261"/>
      <c r="H211" s="1261"/>
      <c r="I211" s="1263"/>
      <c r="J211" s="1260"/>
      <c r="K211" s="1261"/>
      <c r="L211" s="1261"/>
      <c r="M211" s="1263"/>
      <c r="N211" s="1260"/>
      <c r="O211" s="1261"/>
      <c r="P211" s="1261"/>
      <c r="Q211" s="1263"/>
      <c r="R211" s="1260"/>
      <c r="S211" s="1261"/>
      <c r="T211" s="1261"/>
      <c r="U211" s="1263"/>
      <c r="V211" s="1260"/>
      <c r="W211" s="1261"/>
      <c r="X211" s="1261"/>
      <c r="Y211" s="1263"/>
      <c r="Z211" s="1260"/>
      <c r="AA211" s="1261"/>
      <c r="AB211" s="1261"/>
      <c r="AC211" s="1263"/>
      <c r="AD211" s="1260"/>
      <c r="AE211" s="1261"/>
      <c r="AF211" s="1261"/>
      <c r="AG211" s="100">
        <f>AG210+AG171</f>
        <v>3099.4531500000003</v>
      </c>
      <c r="AH211" s="99">
        <f>AH210+AH171</f>
        <v>3994.6235230000002</v>
      </c>
      <c r="AI211" s="99">
        <f t="shared" ref="AI211:AS211" si="530">AI210+AI171</f>
        <v>5073.6616400000003</v>
      </c>
      <c r="AJ211" s="99">
        <f t="shared" si="530"/>
        <v>5574.2874744883202</v>
      </c>
      <c r="AK211" s="100">
        <f t="shared" si="530"/>
        <v>5720.3095600274009</v>
      </c>
      <c r="AL211" s="99">
        <f t="shared" si="530"/>
        <v>5583.9240000000009</v>
      </c>
      <c r="AM211" s="99">
        <f t="shared" si="530"/>
        <v>2235.144855</v>
      </c>
      <c r="AN211" s="99">
        <f t="shared" si="530"/>
        <v>2349.3689600000002</v>
      </c>
      <c r="AO211" s="100">
        <f t="shared" si="530"/>
        <v>3934.8965000000007</v>
      </c>
      <c r="AP211" s="99">
        <f t="shared" si="530"/>
        <v>5582.2162500000004</v>
      </c>
      <c r="AQ211" s="99">
        <f t="shared" si="530"/>
        <v>6723.123520000001</v>
      </c>
      <c r="AR211" s="99">
        <f t="shared" si="530"/>
        <v>7029.1833600000009</v>
      </c>
      <c r="AS211" s="100">
        <f t="shared" si="530"/>
        <v>6348.7563900000005</v>
      </c>
      <c r="AT211" s="99">
        <f t="shared" ref="AT211:BA211" si="531">AT210+AT171</f>
        <v>3817.8937000000005</v>
      </c>
      <c r="AU211" s="99">
        <f t="shared" si="531"/>
        <v>4762.2612800000006</v>
      </c>
      <c r="AV211" s="99">
        <f t="shared" si="531"/>
        <v>4938.1103200000007</v>
      </c>
      <c r="AW211" s="100">
        <f t="shared" si="531"/>
        <v>5404.3165900000004</v>
      </c>
      <c r="AX211" s="99">
        <f t="shared" si="531"/>
        <v>3962.9592800000009</v>
      </c>
      <c r="AY211" s="99">
        <f t="shared" si="531"/>
        <v>2942.6274778906245</v>
      </c>
      <c r="AZ211" s="99">
        <f t="shared" si="531"/>
        <v>8641.9393571428573</v>
      </c>
      <c r="BA211" s="100">
        <f t="shared" si="531"/>
        <v>7828.3664631562497</v>
      </c>
      <c r="BB211" s="99">
        <f t="shared" ref="BB211:BH211" si="532">BB210+BB171</f>
        <v>8084.1931574285718</v>
      </c>
      <c r="BC211" s="99">
        <f t="shared" si="532"/>
        <v>7115.0978570000007</v>
      </c>
      <c r="BD211" s="99">
        <f t="shared" si="532"/>
        <v>9145.0185010819678</v>
      </c>
      <c r="BE211" s="100">
        <f>BE210+BE171</f>
        <v>11384.89</v>
      </c>
      <c r="BF211" s="98">
        <f>BF210+BF171</f>
        <v>12442.16</v>
      </c>
      <c r="BG211" s="99">
        <f t="shared" si="532"/>
        <v>14628.199999999997</v>
      </c>
      <c r="BH211" s="99">
        <f t="shared" si="532"/>
        <v>17858.649999999998</v>
      </c>
      <c r="BI211" s="100">
        <f>BI210+BI171</f>
        <v>18110.48</v>
      </c>
      <c r="BJ211" s="98">
        <f t="shared" ref="BJ211:BQ211" si="533">BJ210+BJ171</f>
        <v>20267.354419599993</v>
      </c>
      <c r="BK211" s="99">
        <f t="shared" si="533"/>
        <v>20358.267351375001</v>
      </c>
      <c r="BL211" s="99">
        <f t="shared" si="533"/>
        <v>21310.917896500003</v>
      </c>
      <c r="BM211" s="100">
        <f t="shared" si="533"/>
        <v>18802.96631307693</v>
      </c>
      <c r="BN211" s="34">
        <f t="shared" si="533"/>
        <v>15228.001952999999</v>
      </c>
      <c r="BO211" s="99">
        <f t="shared" si="533"/>
        <v>12133.502164999998</v>
      </c>
      <c r="BP211" s="99">
        <f t="shared" si="533"/>
        <v>7295.7126786612953</v>
      </c>
      <c r="BQ211" s="100">
        <f t="shared" si="533"/>
        <v>21014.214152727269</v>
      </c>
      <c r="BR211" s="34">
        <f t="shared" ref="BR211:BY211" si="534">BR210+BR171</f>
        <v>23003.85</v>
      </c>
      <c r="BS211" s="99">
        <f t="shared" si="534"/>
        <v>25526.770139500004</v>
      </c>
      <c r="BT211" s="99">
        <f t="shared" si="534"/>
        <v>29267.11832437096</v>
      </c>
      <c r="BU211" s="100">
        <f t="shared" si="534"/>
        <v>32570.957330276928</v>
      </c>
      <c r="BV211" s="34">
        <f t="shared" si="534"/>
        <v>32207.394007369221</v>
      </c>
      <c r="BW211" s="99">
        <f t="shared" si="534"/>
        <v>31279.084285752124</v>
      </c>
      <c r="BX211" s="99">
        <f t="shared" si="534"/>
        <v>32611.101715672034</v>
      </c>
      <c r="BY211" s="100">
        <f t="shared" si="534"/>
        <v>32924.197664527172</v>
      </c>
      <c r="BZ211" s="34">
        <f>BZ210+BZ171</f>
        <v>33121.27292509719</v>
      </c>
      <c r="CA211" s="99">
        <f>CA210+CA171</f>
        <v>33241.287244192063</v>
      </c>
      <c r="CB211" s="99">
        <f>CB210+CB171</f>
        <v>33990.263247546827</v>
      </c>
      <c r="CC211" s="100">
        <f>CC210+CC171</f>
        <v>35195.768351917628</v>
      </c>
      <c r="CD211" s="289"/>
      <c r="CE211" s="1260"/>
      <c r="CF211" s="1261"/>
      <c r="CG211" s="1261"/>
      <c r="CH211" s="1261"/>
      <c r="CI211" s="1261"/>
      <c r="CJ211" s="1261"/>
      <c r="CK211" s="1261"/>
      <c r="CL211" s="1261"/>
      <c r="CM211" s="1261"/>
      <c r="CN211" s="1261"/>
      <c r="CO211" s="99"/>
      <c r="CP211" s="99"/>
      <c r="CQ211" s="99"/>
      <c r="CR211" s="98"/>
      <c r="CS211" s="99"/>
      <c r="CT211" s="99"/>
      <c r="CU211" s="99"/>
      <c r="CV211" s="99"/>
      <c r="CW211" s="99"/>
      <c r="CX211" s="99"/>
      <c r="CY211" s="99"/>
      <c r="CZ211" s="99"/>
      <c r="DA211" s="99"/>
      <c r="DB211" s="99"/>
      <c r="DC211" s="99"/>
      <c r="DD211" s="100"/>
      <c r="DE211" s="158"/>
      <c r="DF211" s="158"/>
      <c r="DG211" s="158"/>
      <c r="DH211" s="158"/>
      <c r="DI211" s="158"/>
      <c r="DJ211" s="158"/>
      <c r="DK211" s="158"/>
      <c r="DL211" s="158"/>
      <c r="DM211" s="158"/>
      <c r="DN211" s="158"/>
      <c r="DO211" s="158"/>
      <c r="DP211" s="158"/>
      <c r="DQ211" s="158"/>
      <c r="DR211" s="158"/>
    </row>
    <row r="212" spans="1:122" hidden="1" outlineLevel="1">
      <c r="BN212" s="1432"/>
      <c r="BR212" s="1432"/>
      <c r="BV212" s="1432"/>
      <c r="BZ212" s="1432"/>
      <c r="CL212" s="63"/>
      <c r="CT212" s="1432"/>
    </row>
    <row r="213" spans="1:122" ht="3.75" hidden="1" customHeight="1" outlineLevel="1">
      <c r="CL213" s="63"/>
    </row>
    <row r="214" spans="1:122" collapsed="1">
      <c r="CL214" s="63"/>
    </row>
    <row r="215" spans="1:122">
      <c r="CL215" s="63"/>
    </row>
    <row r="216" spans="1:122">
      <c r="CL216" s="63"/>
    </row>
    <row r="217" spans="1:122">
      <c r="CL217" s="63"/>
    </row>
    <row r="218" spans="1:122">
      <c r="CL218" s="63"/>
    </row>
    <row r="219" spans="1:122">
      <c r="CL219" s="63"/>
    </row>
    <row r="220" spans="1:122">
      <c r="CL220" s="63"/>
    </row>
    <row r="221" spans="1:122">
      <c r="CL221" s="63"/>
    </row>
    <row r="222" spans="1:122">
      <c r="CL222" s="63"/>
    </row>
    <row r="223" spans="1:122">
      <c r="CL223" s="63"/>
    </row>
    <row r="224" spans="1:122">
      <c r="CL224" s="63"/>
    </row>
    <row r="225" spans="90:90">
      <c r="CL225" s="63"/>
    </row>
    <row r="226" spans="90:90">
      <c r="CL226" s="63"/>
    </row>
    <row r="227" spans="90:90">
      <c r="CL227" s="63"/>
    </row>
    <row r="228" spans="90:90">
      <c r="CL228" s="63"/>
    </row>
    <row r="229" spans="90:90">
      <c r="CL229" s="63"/>
    </row>
    <row r="230" spans="90:90">
      <c r="CL230" s="63"/>
    </row>
    <row r="231" spans="90:90">
      <c r="CL231" s="63"/>
    </row>
    <row r="232" spans="90:90">
      <c r="CL232" s="63"/>
    </row>
    <row r="233" spans="90:90">
      <c r="CL233" s="63"/>
    </row>
    <row r="234" spans="90:90">
      <c r="CL234" s="63"/>
    </row>
    <row r="235" spans="90:90">
      <c r="CL235" s="63"/>
    </row>
    <row r="236" spans="90:90">
      <c r="CL236" s="63"/>
    </row>
    <row r="237" spans="90:90">
      <c r="CL237" s="63"/>
    </row>
    <row r="238" spans="90:90">
      <c r="CL238" s="63"/>
    </row>
    <row r="239" spans="90:90">
      <c r="CL239" s="63"/>
    </row>
    <row r="240" spans="90:90">
      <c r="CL240" s="63"/>
    </row>
    <row r="241" spans="90:90">
      <c r="CL241" s="63"/>
    </row>
    <row r="242" spans="90:90">
      <c r="CL242" s="63"/>
    </row>
    <row r="243" spans="90:90">
      <c r="CL243" s="63"/>
    </row>
    <row r="244" spans="90:90">
      <c r="CL244" s="63"/>
    </row>
    <row r="245" spans="90:90">
      <c r="CL245" s="63"/>
    </row>
    <row r="246" spans="90:90">
      <c r="CL246" s="63"/>
    </row>
    <row r="247" spans="90:90">
      <c r="CL247" s="63"/>
    </row>
    <row r="248" spans="90:90">
      <c r="CL248" s="63"/>
    </row>
    <row r="249" spans="90:90">
      <c r="CL249" s="63"/>
    </row>
    <row r="250" spans="90:90">
      <c r="CL250" s="63"/>
    </row>
    <row r="251" spans="90:90">
      <c r="CL251" s="63"/>
    </row>
    <row r="252" spans="90:90">
      <c r="CL252" s="63"/>
    </row>
    <row r="253" spans="90:90">
      <c r="CL253" s="63"/>
    </row>
    <row r="254" spans="90:90">
      <c r="CL254" s="63"/>
    </row>
    <row r="255" spans="90:90">
      <c r="CL255" s="63"/>
    </row>
    <row r="256" spans="90:90">
      <c r="CL256" s="63"/>
    </row>
    <row r="257" spans="90:90">
      <c r="CL257" s="63"/>
    </row>
    <row r="258" spans="90:90">
      <c r="CL258" s="63"/>
    </row>
    <row r="259" spans="90:90">
      <c r="CL259" s="63"/>
    </row>
    <row r="260" spans="90:90">
      <c r="CL260" s="63"/>
    </row>
    <row r="261" spans="90:90">
      <c r="CL261" s="63"/>
    </row>
    <row r="262" spans="90:90">
      <c r="CL262" s="63"/>
    </row>
    <row r="263" spans="90:90">
      <c r="CL263" s="63"/>
    </row>
    <row r="264" spans="90:90">
      <c r="CL264" s="63"/>
    </row>
    <row r="265" spans="90:90">
      <c r="CL265" s="63"/>
    </row>
    <row r="266" spans="90:90">
      <c r="CL266" s="63"/>
    </row>
    <row r="267" spans="90:90">
      <c r="CL267" s="63"/>
    </row>
    <row r="268" spans="90:90">
      <c r="CL268" s="63"/>
    </row>
    <row r="269" spans="90:90">
      <c r="CL269" s="63"/>
    </row>
    <row r="270" spans="90:90">
      <c r="CL270" s="63"/>
    </row>
    <row r="271" spans="90:90">
      <c r="CL271" s="63"/>
    </row>
    <row r="272" spans="90:90">
      <c r="CL272" s="63"/>
    </row>
    <row r="273" spans="90:90">
      <c r="CL273" s="63"/>
    </row>
    <row r="274" spans="90:90">
      <c r="CL274" s="63"/>
    </row>
    <row r="275" spans="90:90">
      <c r="CL275" s="63"/>
    </row>
    <row r="276" spans="90:90">
      <c r="CL276" s="63"/>
    </row>
    <row r="277" spans="90:90">
      <c r="CL277" s="63"/>
    </row>
    <row r="278" spans="90:90">
      <c r="CL278" s="63"/>
    </row>
    <row r="279" spans="90:90">
      <c r="CL279" s="63"/>
    </row>
    <row r="280" spans="90:90">
      <c r="CL280" s="63"/>
    </row>
    <row r="281" spans="90:90">
      <c r="CL281" s="63"/>
    </row>
    <row r="282" spans="90:90">
      <c r="CL282" s="63"/>
    </row>
    <row r="283" spans="90:90">
      <c r="CL283" s="63"/>
    </row>
    <row r="284" spans="90:90">
      <c r="CL284" s="63"/>
    </row>
    <row r="285" spans="90:90">
      <c r="CL285" s="63"/>
    </row>
    <row r="286" spans="90:90">
      <c r="CL286" s="63"/>
    </row>
    <row r="287" spans="90:90">
      <c r="CL287" s="63"/>
    </row>
    <row r="288" spans="90:90">
      <c r="CL288" s="63"/>
    </row>
    <row r="289" spans="90:90">
      <c r="CL289" s="63"/>
    </row>
    <row r="290" spans="90:90">
      <c r="CL290" s="63"/>
    </row>
    <row r="291" spans="90:90">
      <c r="CL291" s="63"/>
    </row>
    <row r="292" spans="90:90">
      <c r="CL292" s="63"/>
    </row>
    <row r="293" spans="90:90">
      <c r="CL293" s="63"/>
    </row>
    <row r="294" spans="90:90">
      <c r="CL294" s="63"/>
    </row>
    <row r="295" spans="90:90">
      <c r="CL295" s="63"/>
    </row>
    <row r="296" spans="90:90">
      <c r="CL296" s="63"/>
    </row>
    <row r="297" spans="90:90">
      <c r="CL297" s="63"/>
    </row>
    <row r="298" spans="90:90">
      <c r="CL298" s="63"/>
    </row>
    <row r="299" spans="90:90">
      <c r="CL299" s="63"/>
    </row>
    <row r="300" spans="90:90">
      <c r="CL300" s="63"/>
    </row>
    <row r="301" spans="90:90">
      <c r="CL301" s="63"/>
    </row>
    <row r="302" spans="90:90">
      <c r="CL302" s="63"/>
    </row>
    <row r="303" spans="90:90">
      <c r="CL303" s="63"/>
    </row>
    <row r="304" spans="90:90">
      <c r="CL304" s="63"/>
    </row>
    <row r="305" spans="90:90">
      <c r="CL305" s="63"/>
    </row>
    <row r="306" spans="90:90">
      <c r="CL306" s="63"/>
    </row>
    <row r="307" spans="90:90">
      <c r="CL307" s="63"/>
    </row>
    <row r="308" spans="90:90">
      <c r="CL308" s="63"/>
    </row>
    <row r="309" spans="90:90">
      <c r="CL309" s="63"/>
    </row>
    <row r="310" spans="90:90">
      <c r="CL310" s="63"/>
    </row>
    <row r="311" spans="90:90">
      <c r="CL311" s="63"/>
    </row>
    <row r="312" spans="90:90">
      <c r="CL312" s="63"/>
    </row>
    <row r="313" spans="90:90">
      <c r="CL313" s="63"/>
    </row>
    <row r="314" spans="90:90">
      <c r="CL314" s="63"/>
    </row>
    <row r="315" spans="90:90">
      <c r="CL315" s="63"/>
    </row>
    <row r="316" spans="90:90">
      <c r="CL316" s="63"/>
    </row>
    <row r="317" spans="90:90">
      <c r="CL317" s="63"/>
    </row>
    <row r="318" spans="90:90">
      <c r="CL318" s="63"/>
    </row>
    <row r="319" spans="90:90">
      <c r="CL319" s="63"/>
    </row>
    <row r="320" spans="90:90">
      <c r="CL320" s="63"/>
    </row>
    <row r="321" spans="90:90">
      <c r="CL321" s="63"/>
    </row>
    <row r="322" spans="90:90">
      <c r="CL322" s="63"/>
    </row>
    <row r="323" spans="90:90">
      <c r="CL323" s="63"/>
    </row>
    <row r="324" spans="90:90">
      <c r="CL324" s="63"/>
    </row>
    <row r="325" spans="90:90">
      <c r="CL325" s="63"/>
    </row>
    <row r="326" spans="90:90">
      <c r="CL326" s="63"/>
    </row>
    <row r="327" spans="90:90">
      <c r="CL327" s="63"/>
    </row>
    <row r="328" spans="90:90">
      <c r="CL328" s="63"/>
    </row>
    <row r="329" spans="90:90">
      <c r="CL329" s="63"/>
    </row>
    <row r="330" spans="90:90">
      <c r="CL330" s="63"/>
    </row>
    <row r="331" spans="90:90">
      <c r="CL331" s="63"/>
    </row>
    <row r="332" spans="90:90">
      <c r="CL332" s="63"/>
    </row>
    <row r="333" spans="90:90">
      <c r="CL333" s="63"/>
    </row>
    <row r="334" spans="90:90">
      <c r="CL334" s="63"/>
    </row>
    <row r="335" spans="90:90">
      <c r="CL335" s="63"/>
    </row>
    <row r="336" spans="90:90">
      <c r="CL336" s="63"/>
    </row>
    <row r="337" spans="90:90">
      <c r="CL337" s="63"/>
    </row>
    <row r="338" spans="90:90">
      <c r="CL338" s="63"/>
    </row>
    <row r="339" spans="90:90">
      <c r="CL339" s="63"/>
    </row>
    <row r="340" spans="90:90">
      <c r="CL340" s="63"/>
    </row>
    <row r="341" spans="90:90">
      <c r="CL341" s="63"/>
    </row>
    <row r="342" spans="90:90">
      <c r="CL342" s="63"/>
    </row>
    <row r="343" spans="90:90">
      <c r="CL343" s="63"/>
    </row>
    <row r="344" spans="90:90">
      <c r="CL344" s="63"/>
    </row>
    <row r="345" spans="90:90">
      <c r="CL345" s="63"/>
    </row>
    <row r="346" spans="90:90">
      <c r="CL346" s="63"/>
    </row>
    <row r="347" spans="90:90">
      <c r="CL347" s="63"/>
    </row>
    <row r="348" spans="90:90">
      <c r="CL348" s="63"/>
    </row>
    <row r="349" spans="90:90">
      <c r="CL349" s="63"/>
    </row>
    <row r="350" spans="90:90">
      <c r="CL350" s="63"/>
    </row>
    <row r="351" spans="90:90">
      <c r="CL351" s="63"/>
    </row>
    <row r="352" spans="90:90">
      <c r="CL352" s="63"/>
    </row>
    <row r="353" spans="90:90">
      <c r="CL353" s="63"/>
    </row>
    <row r="354" spans="90:90">
      <c r="CL354" s="63"/>
    </row>
    <row r="355" spans="90:90">
      <c r="CL355" s="63"/>
    </row>
    <row r="356" spans="90:90">
      <c r="CL356" s="63"/>
    </row>
    <row r="357" spans="90:90">
      <c r="CL357" s="63"/>
    </row>
    <row r="358" spans="90:90">
      <c r="CL358" s="63"/>
    </row>
    <row r="359" spans="90:90">
      <c r="CL359" s="63"/>
    </row>
    <row r="360" spans="90:90">
      <c r="CL360" s="63"/>
    </row>
    <row r="361" spans="90:90">
      <c r="CL361" s="63"/>
    </row>
    <row r="362" spans="90:90">
      <c r="CL362" s="63"/>
    </row>
    <row r="363" spans="90:90">
      <c r="CL363" s="63"/>
    </row>
    <row r="364" spans="90:90">
      <c r="CL364" s="63"/>
    </row>
    <row r="365" spans="90:90">
      <c r="CL365" s="63"/>
    </row>
    <row r="366" spans="90:90">
      <c r="CL366" s="63"/>
    </row>
    <row r="367" spans="90:90">
      <c r="CL367" s="63"/>
    </row>
    <row r="368" spans="90:90">
      <c r="CL368" s="63"/>
    </row>
    <row r="369" spans="90:90">
      <c r="CL369" s="63"/>
    </row>
    <row r="370" spans="90:90">
      <c r="CL370" s="63"/>
    </row>
    <row r="371" spans="90:90">
      <c r="CL371" s="63"/>
    </row>
    <row r="372" spans="90:90">
      <c r="CL372" s="63"/>
    </row>
    <row r="373" spans="90:90">
      <c r="CL373" s="63"/>
    </row>
    <row r="374" spans="90:90">
      <c r="CL374" s="63"/>
    </row>
    <row r="375" spans="90:90">
      <c r="CL375" s="63"/>
    </row>
    <row r="376" spans="90:90">
      <c r="CL376" s="63"/>
    </row>
    <row r="377" spans="90:90">
      <c r="CL377" s="63"/>
    </row>
    <row r="378" spans="90:90">
      <c r="CL378" s="63"/>
    </row>
    <row r="379" spans="90:90">
      <c r="CL379" s="63"/>
    </row>
    <row r="380" spans="90:90">
      <c r="CL380" s="63"/>
    </row>
    <row r="381" spans="90:90">
      <c r="CL381" s="63"/>
    </row>
    <row r="382" spans="90:90">
      <c r="CL382" s="63"/>
    </row>
    <row r="383" spans="90:90">
      <c r="CL383" s="63"/>
    </row>
    <row r="384" spans="90:90">
      <c r="CL384" s="63"/>
    </row>
    <row r="385" spans="90:90">
      <c r="CL385" s="63"/>
    </row>
    <row r="386" spans="90:90">
      <c r="CL386" s="63"/>
    </row>
    <row r="387" spans="90:90">
      <c r="CL387" s="63"/>
    </row>
    <row r="388" spans="90:90">
      <c r="CL388" s="63"/>
    </row>
    <row r="389" spans="90:90">
      <c r="CL389" s="63"/>
    </row>
    <row r="390" spans="90:90">
      <c r="CL390" s="63"/>
    </row>
    <row r="391" spans="90:90">
      <c r="CL391" s="63"/>
    </row>
    <row r="392" spans="90:90">
      <c r="CL392" s="63"/>
    </row>
    <row r="393" spans="90:90">
      <c r="CL393" s="63"/>
    </row>
    <row r="394" spans="90:90">
      <c r="CL394" s="63"/>
    </row>
    <row r="395" spans="90:90">
      <c r="CL395" s="63"/>
    </row>
    <row r="396" spans="90:90">
      <c r="CL396" s="63"/>
    </row>
    <row r="397" spans="90:90">
      <c r="CL397" s="63"/>
    </row>
    <row r="398" spans="90:90">
      <c r="CL398" s="63"/>
    </row>
    <row r="399" spans="90:90">
      <c r="CL399" s="63"/>
    </row>
    <row r="400" spans="90:90">
      <c r="CL400" s="63"/>
    </row>
    <row r="401" spans="90:90">
      <c r="CL401" s="63"/>
    </row>
    <row r="402" spans="90:90">
      <c r="CL402" s="63"/>
    </row>
    <row r="403" spans="90:90">
      <c r="CL403" s="63"/>
    </row>
    <row r="404" spans="90:90">
      <c r="CL404" s="63"/>
    </row>
    <row r="405" spans="90:90">
      <c r="CL405" s="63"/>
    </row>
    <row r="406" spans="90:90">
      <c r="CL406" s="63"/>
    </row>
    <row r="407" spans="90:90">
      <c r="CL407" s="63"/>
    </row>
    <row r="408" spans="90:90">
      <c r="CL408" s="63"/>
    </row>
    <row r="409" spans="90:90">
      <c r="CL409" s="63"/>
    </row>
    <row r="410" spans="90:90">
      <c r="CL410" s="63"/>
    </row>
    <row r="411" spans="90:90">
      <c r="CL411" s="63"/>
    </row>
    <row r="412" spans="90:90">
      <c r="CL412" s="63"/>
    </row>
    <row r="413" spans="90:90">
      <c r="CL413" s="63"/>
    </row>
    <row r="414" spans="90:90">
      <c r="CL414" s="63"/>
    </row>
    <row r="415" spans="90:90">
      <c r="CL415" s="63"/>
    </row>
    <row r="416" spans="90:90">
      <c r="CL416" s="63"/>
    </row>
    <row r="417" spans="90:90">
      <c r="CL417" s="63"/>
    </row>
    <row r="418" spans="90:90">
      <c r="CL418" s="63"/>
    </row>
    <row r="419" spans="90:90">
      <c r="CL419" s="63"/>
    </row>
    <row r="420" spans="90:90">
      <c r="CL420" s="63"/>
    </row>
    <row r="421" spans="90:90">
      <c r="CL421" s="63"/>
    </row>
    <row r="422" spans="90:90">
      <c r="CL422" s="63"/>
    </row>
    <row r="423" spans="90:90">
      <c r="CL423" s="63"/>
    </row>
    <row r="424" spans="90:90">
      <c r="CL424" s="63"/>
    </row>
    <row r="425" spans="90:90">
      <c r="CL425" s="63"/>
    </row>
    <row r="426" spans="90:90">
      <c r="CL426" s="63"/>
    </row>
    <row r="427" spans="90:90">
      <c r="CL427" s="63"/>
    </row>
    <row r="428" spans="90:90">
      <c r="CL428" s="63"/>
    </row>
    <row r="429" spans="90:90">
      <c r="CL429" s="63"/>
    </row>
    <row r="430" spans="90:90">
      <c r="CL430" s="63"/>
    </row>
    <row r="431" spans="90:90">
      <c r="CL431" s="63"/>
    </row>
    <row r="432" spans="90:90">
      <c r="CL432" s="63"/>
    </row>
    <row r="433" spans="90:90">
      <c r="CL433" s="63"/>
    </row>
    <row r="434" spans="90:90">
      <c r="CL434" s="63"/>
    </row>
    <row r="435" spans="90:90">
      <c r="CL435" s="63"/>
    </row>
    <row r="436" spans="90:90">
      <c r="CL436" s="63"/>
    </row>
    <row r="437" spans="90:90">
      <c r="CL437" s="63"/>
    </row>
    <row r="438" spans="90:90">
      <c r="CL438" s="63"/>
    </row>
    <row r="439" spans="90:90">
      <c r="CL439" s="63"/>
    </row>
    <row r="440" spans="90:90">
      <c r="CL440" s="63"/>
    </row>
    <row r="441" spans="90:90">
      <c r="CL441" s="63"/>
    </row>
    <row r="442" spans="90:90">
      <c r="CL442" s="63"/>
    </row>
    <row r="443" spans="90:90">
      <c r="CL443" s="63"/>
    </row>
    <row r="444" spans="90:90">
      <c r="CL444" s="63"/>
    </row>
    <row r="445" spans="90:90">
      <c r="CL445" s="63"/>
    </row>
    <row r="446" spans="90:90">
      <c r="CL446" s="63"/>
    </row>
    <row r="447" spans="90:90">
      <c r="CL447" s="63"/>
    </row>
    <row r="448" spans="90:90">
      <c r="CL448" s="63"/>
    </row>
    <row r="449" spans="90:90">
      <c r="CL449" s="63"/>
    </row>
    <row r="450" spans="90:90">
      <c r="CL450" s="63"/>
    </row>
    <row r="451" spans="90:90">
      <c r="CL451" s="63"/>
    </row>
    <row r="452" spans="90:90">
      <c r="CL452" s="63"/>
    </row>
    <row r="453" spans="90:90">
      <c r="CL453" s="63"/>
    </row>
    <row r="454" spans="90:90">
      <c r="CL454" s="63"/>
    </row>
    <row r="455" spans="90:90">
      <c r="CL455" s="63"/>
    </row>
    <row r="456" spans="90:90">
      <c r="CL456" s="63"/>
    </row>
    <row r="457" spans="90:90">
      <c r="CL457" s="63"/>
    </row>
    <row r="458" spans="90:90">
      <c r="CL458" s="63"/>
    </row>
    <row r="459" spans="90:90">
      <c r="CL459" s="63"/>
    </row>
    <row r="460" spans="90:90">
      <c r="CL460" s="63"/>
    </row>
    <row r="461" spans="90:90">
      <c r="CL461" s="63"/>
    </row>
    <row r="462" spans="90:90">
      <c r="CL462" s="63"/>
    </row>
    <row r="463" spans="90:90">
      <c r="CL463" s="63"/>
    </row>
    <row r="464" spans="90:90">
      <c r="CL464" s="63"/>
    </row>
    <row r="465" spans="90:90">
      <c r="CL465" s="63"/>
    </row>
    <row r="466" spans="90:90">
      <c r="CL466" s="63"/>
    </row>
    <row r="467" spans="90:90">
      <c r="CL467" s="63"/>
    </row>
    <row r="468" spans="90:90">
      <c r="CL468" s="63"/>
    </row>
    <row r="469" spans="90:90">
      <c r="CL469" s="63"/>
    </row>
    <row r="470" spans="90:90">
      <c r="CL470" s="63"/>
    </row>
    <row r="471" spans="90:90">
      <c r="CL471" s="63"/>
    </row>
    <row r="472" spans="90:90">
      <c r="CL472" s="63"/>
    </row>
  </sheetData>
  <mergeCells count="17">
    <mergeCell ref="J7:M7"/>
    <mergeCell ref="N7:Q7"/>
    <mergeCell ref="R7:U7"/>
    <mergeCell ref="F7:I7"/>
    <mergeCell ref="BJ7:BM7"/>
    <mergeCell ref="AX7:BA7"/>
    <mergeCell ref="AL7:AO7"/>
    <mergeCell ref="BB7:BE7"/>
    <mergeCell ref="BF7:BI7"/>
    <mergeCell ref="V7:Y7"/>
    <mergeCell ref="BZ7:CC7"/>
    <mergeCell ref="Z7:AC7"/>
    <mergeCell ref="AD7:AG7"/>
    <mergeCell ref="AT7:AW7"/>
    <mergeCell ref="BV7:BY7"/>
    <mergeCell ref="BR7:BU7"/>
    <mergeCell ref="BN7:BQ7"/>
  </mergeCells>
  <phoneticPr fontId="5" type="noConversion"/>
  <pageMargins left="0" right="0" top="0" bottom="0" header="0" footer="0"/>
  <pageSetup paperSize="5" scale="57" pageOrder="overThenDown" orientation="landscape" r:id="rId1"/>
  <headerFooter alignWithMargins="0"/>
  <rowBreaks count="3" manualBreakCount="3">
    <brk id="64" min="1" max="69" man="1"/>
    <brk id="114" min="1" max="69" man="1"/>
    <brk id="172" min="1" max="69" man="1"/>
  </rowBreaks>
  <colBreaks count="1" manualBreakCount="1">
    <brk id="110" max="1048575" man="1"/>
  </colBreaks>
  <ignoredErrors>
    <ignoredError sqref="AO132:AO133 Q107:Q110 CJ34 AC107:AF110 AG109:AG110 AH127 N68 AH137:AQ138 AO91:AO92 CE50:CE51 CE23:CN23 BA90:BA91 CK30:CM30 AW90:AW91 AS90:AS92 M107:M110 CK33:CM34 CE52:CM52 AG107 CE43:CM44 CN44 U107:U110 Y107:Y110 AH132:AJ133 CF30:CI30 CE33:CI34 AM132:AM133 CS13:CT34 CD55 BI23:BI28 CS49:CT60 CS36:CT47" formula="1"/>
    <ignoredError sqref="CE74:CM74 M34:M36 AG205:AH205 M44:M45 Q23 CM82 CD182:CD184 CE9:CN9 R23:T23 R33:U33 CD185 AD23:AF23 N33:Q33 M50 M182:Y184 AG23 AH182:AH184 U23 AC23 AA33:AB33 N23:P23 M52:M53 AD16:AF16 M205 O205:U205" formulaRange="1"/>
    <ignoredError sqref="AH180:AS181 M176:AG181 M174:AG174" evalError="1"/>
    <ignoredError sqref="N185:Y185 M185 AD185:AG185 Z185:AC185" evalError="1" formulaRange="1"/>
    <ignoredError sqref="BI16:BI22" formula="1"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13561" r:id="rId4" name="Drop Down 1273">
              <controlPr defaultSize="0" autoLine="0" autoPict="0">
                <anchor moveWithCells="1">
                  <from>
                    <xdr:col>4</xdr:col>
                    <xdr:colOff>1914525</xdr:colOff>
                    <xdr:row>0</xdr:row>
                    <xdr:rowOff>28575</xdr:rowOff>
                  </from>
                  <to>
                    <xdr:col>66</xdr:col>
                    <xdr:colOff>238125</xdr:colOff>
                    <xdr:row>2</xdr:row>
                    <xdr:rowOff>76200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EH141"/>
  <sheetViews>
    <sheetView showGridLines="0" workbookViewId="0"/>
  </sheetViews>
  <sheetFormatPr defaultRowHeight="11.25" outlineLevelRow="1" outlineLevelCol="1"/>
  <cols>
    <col min="1" max="4" width="1.83203125" customWidth="1"/>
    <col min="5" max="5" width="38.83203125" customWidth="1"/>
    <col min="6" max="16" width="9.33203125" hidden="1" customWidth="1" outlineLevel="1"/>
    <col min="17" max="17" width="8.6640625" hidden="1" customWidth="1" outlineLevel="1"/>
    <col min="18" max="20" width="9.5" hidden="1" customWidth="1" outlineLevel="1"/>
    <col min="21" max="22" width="9.6640625" hidden="1" customWidth="1" outlineLevel="1"/>
    <col min="23" max="25" width="9.5" hidden="1" customWidth="1" outlineLevel="1"/>
    <col min="26" max="26" width="9.5" hidden="1" customWidth="1" outlineLevel="1" collapsed="1"/>
    <col min="27" max="28" width="9.5" hidden="1" customWidth="1" outlineLevel="1"/>
    <col min="29" max="30" width="9.6640625" hidden="1" customWidth="1" outlineLevel="1"/>
    <col min="31" max="33" width="9.5" hidden="1" customWidth="1" outlineLevel="1"/>
    <col min="34" max="41" width="9.33203125" hidden="1" customWidth="1" outlineLevel="1"/>
    <col min="42" max="42" width="9.33203125" hidden="1" customWidth="1" outlineLevel="1" collapsed="1"/>
    <col min="43" max="45" width="9.33203125" hidden="1" customWidth="1" outlineLevel="1"/>
    <col min="46" max="46" width="9.33203125" hidden="1" customWidth="1" outlineLevel="1" collapsed="1"/>
    <col min="47" max="49" width="9.33203125" hidden="1" customWidth="1" outlineLevel="1"/>
    <col min="50" max="50" width="9.33203125" hidden="1" customWidth="1" outlineLevel="1" collapsed="1"/>
    <col min="51" max="54" width="9.33203125" hidden="1" customWidth="1" outlineLevel="1"/>
    <col min="55" max="55" width="9.1640625" hidden="1" customWidth="1" outlineLevel="1"/>
    <col min="56" max="57" width="9.33203125" hidden="1" customWidth="1" outlineLevel="1"/>
    <col min="58" max="58" width="9.33203125" hidden="1" customWidth="1" outlineLevel="1" collapsed="1"/>
    <col min="59" max="61" width="9.33203125" hidden="1" customWidth="1" outlineLevel="1"/>
    <col min="62" max="62" width="9.33203125" hidden="1" customWidth="1" outlineLevel="1" collapsed="1"/>
    <col min="63" max="65" width="9.33203125" hidden="1" customWidth="1" outlineLevel="1"/>
    <col min="66" max="66" width="9.33203125" customWidth="1" collapsed="1"/>
    <col min="67" max="74" width="9.33203125" customWidth="1"/>
    <col min="75" max="75" width="10.83203125" customWidth="1"/>
    <col min="76" max="81" width="9.33203125" customWidth="1"/>
    <col min="82" max="82" width="1.83203125" customWidth="1"/>
    <col min="83" max="89" width="9.83203125" hidden="1" customWidth="1" outlineLevel="1"/>
    <col min="90" max="90" width="9.5" hidden="1" customWidth="1" outlineLevel="1"/>
    <col min="91" max="91" width="10.5" hidden="1" customWidth="1" outlineLevel="1"/>
    <col min="92" max="95" width="10.5" style="63" hidden="1" customWidth="1" outlineLevel="1"/>
    <col min="96" max="96" width="10.5" customWidth="1" collapsed="1"/>
    <col min="97" max="98" width="10.5" style="63" customWidth="1"/>
    <col min="99" max="102" width="10.5" customWidth="1"/>
    <col min="103" max="107" width="10.5" hidden="1" customWidth="1" outlineLevel="1"/>
    <col min="108" max="108" width="2.6640625" style="63" customWidth="1" collapsed="1"/>
    <col min="109" max="109" width="9" style="63" customWidth="1"/>
    <col min="110" max="110" width="9" customWidth="1"/>
    <col min="111" max="111" width="9" hidden="1" customWidth="1" outlineLevel="1"/>
    <col min="112" max="112" width="7.83203125" hidden="1" customWidth="1" outlineLevel="1"/>
    <col min="113" max="116" width="8.83203125" hidden="1" customWidth="1" outlineLevel="1"/>
    <col min="117" max="117" width="7.83203125" hidden="1" customWidth="1" outlineLevel="1"/>
    <col min="118" max="127" width="9.33203125" hidden="1" customWidth="1" outlineLevel="1"/>
    <col min="128" max="128" width="36.5" customWidth="1" collapsed="1"/>
    <col min="129" max="129" width="3.83203125" customWidth="1"/>
    <col min="130" max="130" width="5.33203125" customWidth="1"/>
    <col min="131" max="131" width="11.6640625" customWidth="1"/>
    <col min="132" max="132" width="10.33203125" customWidth="1"/>
    <col min="133" max="133" width="9.83203125" customWidth="1"/>
    <col min="134" max="135" width="9.33203125" customWidth="1"/>
  </cols>
  <sheetData>
    <row r="1" spans="1:138">
      <c r="A1" s="320"/>
      <c r="B1" s="264"/>
      <c r="C1" s="264"/>
      <c r="D1" s="264"/>
      <c r="E1" s="264"/>
      <c r="F1" s="264"/>
      <c r="G1" s="264"/>
      <c r="H1" s="264"/>
      <c r="I1" s="264"/>
      <c r="J1" s="264"/>
      <c r="K1" s="264"/>
      <c r="L1" s="264"/>
      <c r="M1" s="264"/>
      <c r="N1" s="264"/>
      <c r="O1" s="264"/>
      <c r="P1" s="264"/>
      <c r="Q1" s="264"/>
      <c r="R1" s="264"/>
      <c r="S1" s="264"/>
      <c r="T1" s="264"/>
      <c r="U1" s="264"/>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2132"/>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29"/>
      <c r="DG1" s="29"/>
      <c r="DH1" s="29"/>
      <c r="DI1" s="29"/>
      <c r="DJ1" s="29"/>
      <c r="DK1" s="29"/>
      <c r="DL1" s="29"/>
      <c r="DM1" s="29"/>
      <c r="DN1" s="29"/>
      <c r="DO1" s="29"/>
      <c r="DP1" s="29"/>
      <c r="DQ1" s="29"/>
      <c r="DR1" s="29"/>
      <c r="DS1" s="29"/>
      <c r="DT1" s="29"/>
      <c r="DU1" s="29"/>
      <c r="DV1" s="29"/>
      <c r="DW1" s="29"/>
    </row>
    <row r="2" spans="1:138" hidden="1" outlineLevel="1">
      <c r="CN2"/>
      <c r="CO2"/>
      <c r="CP2"/>
      <c r="CQ2"/>
      <c r="CS2"/>
      <c r="CT2"/>
      <c r="DD2"/>
      <c r="DE2"/>
    </row>
    <row r="3" spans="1:138" collapsed="1">
      <c r="A3" s="3"/>
      <c r="B3" s="3"/>
      <c r="C3" s="3"/>
      <c r="D3" s="3"/>
      <c r="E3" s="43"/>
      <c r="F3" s="43"/>
      <c r="G3" s="43"/>
      <c r="H3" s="43"/>
      <c r="I3" s="43"/>
      <c r="J3" s="43"/>
      <c r="K3" s="43"/>
      <c r="L3" s="43"/>
      <c r="M3" s="43"/>
      <c r="N3" s="43"/>
      <c r="O3" s="43"/>
      <c r="P3" s="43"/>
      <c r="Q3" s="43"/>
      <c r="R3" s="43"/>
      <c r="S3" s="43"/>
      <c r="T3" s="43"/>
      <c r="U3" s="43"/>
      <c r="V3" s="3"/>
      <c r="W3" s="3"/>
      <c r="X3" s="3"/>
      <c r="Y3" s="3"/>
      <c r="Z3" s="3"/>
      <c r="AA3" s="3"/>
      <c r="AB3" s="3"/>
      <c r="AC3" s="3"/>
      <c r="AD3" s="3"/>
      <c r="AE3" s="3"/>
      <c r="AF3" s="3"/>
      <c r="AG3" s="4"/>
      <c r="AH3" s="3"/>
      <c r="AI3" s="3"/>
      <c r="AJ3" s="443"/>
      <c r="AK3" s="3"/>
      <c r="AL3" s="3"/>
      <c r="AM3" s="3"/>
      <c r="AN3" s="3"/>
      <c r="AO3" s="3"/>
      <c r="AP3" s="3"/>
      <c r="AQ3" s="3"/>
      <c r="AR3" s="3"/>
      <c r="AS3" s="3"/>
      <c r="AT3" s="3"/>
      <c r="AU3" s="24"/>
      <c r="AV3" s="24"/>
      <c r="AW3" s="24"/>
      <c r="AX3" s="24"/>
      <c r="AY3" s="24"/>
      <c r="AZ3" s="24"/>
      <c r="BA3" s="3"/>
      <c r="BB3" s="29"/>
      <c r="BC3" s="29"/>
      <c r="BD3" s="29"/>
      <c r="BE3" s="29"/>
      <c r="BF3" s="29"/>
      <c r="BG3" s="29"/>
      <c r="BH3" s="29"/>
      <c r="BI3" s="29"/>
      <c r="BJ3" s="29"/>
      <c r="BK3" s="29"/>
      <c r="BL3" s="29"/>
      <c r="BM3" s="29"/>
      <c r="BN3" s="29"/>
      <c r="BO3" s="29"/>
      <c r="BP3" s="29"/>
      <c r="BQ3" s="29"/>
      <c r="BR3" s="29"/>
      <c r="BS3" s="29"/>
      <c r="BT3" s="118"/>
      <c r="BU3" s="29"/>
      <c r="BV3" s="29"/>
      <c r="BW3" s="29"/>
      <c r="BX3" s="29"/>
      <c r="BY3" s="29"/>
      <c r="BZ3" s="29"/>
      <c r="CA3" s="29"/>
      <c r="CB3" s="29"/>
      <c r="CC3" s="29"/>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24"/>
      <c r="DH3" s="24"/>
      <c r="DI3" s="24"/>
      <c r="DJ3" s="24"/>
      <c r="DK3" s="24"/>
      <c r="DL3" s="24"/>
      <c r="DM3" s="24"/>
      <c r="DN3" s="24"/>
      <c r="DO3" s="24"/>
      <c r="DP3" s="24"/>
      <c r="DQ3" s="24"/>
      <c r="DR3" s="24"/>
      <c r="DS3" s="24"/>
      <c r="DT3" s="24"/>
      <c r="DU3" s="24"/>
      <c r="DV3" s="24"/>
      <c r="DW3" s="24"/>
    </row>
    <row r="4" spans="1:138" ht="12" customHeight="1">
      <c r="A4" s="320"/>
      <c r="B4" s="812" t="str">
        <f>IS!$B$5</f>
        <v>Western Digital</v>
      </c>
      <c r="C4" s="188"/>
      <c r="D4" s="188"/>
      <c r="E4" s="201"/>
      <c r="F4" s="201"/>
      <c r="G4" s="201"/>
      <c r="H4" s="201"/>
      <c r="I4" s="201"/>
      <c r="J4" s="201"/>
      <c r="K4" s="201"/>
      <c r="L4" s="201"/>
      <c r="M4" s="201"/>
      <c r="N4" s="201"/>
      <c r="O4" s="201"/>
      <c r="P4" s="201"/>
      <c r="Q4" s="201"/>
      <c r="R4" s="201"/>
      <c r="S4" s="201"/>
      <c r="T4" s="201"/>
      <c r="U4" s="201"/>
      <c r="V4" s="3"/>
      <c r="W4" s="3"/>
      <c r="X4" s="3"/>
      <c r="Y4" s="3"/>
      <c r="Z4" s="3"/>
      <c r="AA4" s="3"/>
      <c r="AB4" s="3"/>
      <c r="AC4" s="3"/>
      <c r="AD4" s="11"/>
      <c r="AE4" s="3"/>
      <c r="AF4" s="340"/>
      <c r="AG4" s="11"/>
      <c r="AH4" s="11"/>
      <c r="AI4" s="11"/>
      <c r="AJ4" s="11"/>
      <c r="AK4" s="3"/>
      <c r="AL4" s="11"/>
      <c r="AM4" s="3"/>
      <c r="AN4" s="3"/>
      <c r="AO4" s="3"/>
      <c r="AP4" s="11"/>
      <c r="AQ4" s="11"/>
      <c r="AR4" s="3"/>
      <c r="AS4" s="11"/>
      <c r="AT4" s="11"/>
      <c r="AU4" s="11"/>
      <c r="AV4" s="3"/>
      <c r="AW4" s="3"/>
      <c r="AX4" s="3"/>
      <c r="AY4" s="11"/>
      <c r="AZ4" s="3"/>
      <c r="BA4" s="11"/>
      <c r="BB4" s="29"/>
      <c r="BC4" s="29"/>
      <c r="BD4" s="29"/>
      <c r="BE4" s="1337"/>
      <c r="BF4" s="29"/>
      <c r="BG4" s="29"/>
      <c r="BH4" s="29"/>
      <c r="BI4" s="1337"/>
      <c r="BJ4" s="29"/>
      <c r="BK4" s="29"/>
      <c r="BL4" s="29"/>
      <c r="BM4" s="1337"/>
      <c r="BN4" s="29"/>
      <c r="BO4" s="29"/>
      <c r="BP4" s="29"/>
      <c r="BQ4" s="1337"/>
      <c r="BR4" s="29"/>
      <c r="BS4" s="29"/>
      <c r="BT4" s="29"/>
      <c r="BV4" s="29"/>
      <c r="BW4" s="118"/>
      <c r="BX4" s="29"/>
      <c r="BY4" s="1337"/>
      <c r="BZ4" s="29"/>
      <c r="CA4" s="118"/>
      <c r="CB4" s="29"/>
      <c r="CC4" s="1337"/>
      <c r="CD4" s="355"/>
      <c r="CE4" s="3"/>
      <c r="CF4" s="3"/>
      <c r="CG4" s="3"/>
      <c r="CH4" s="3"/>
      <c r="CI4" s="3"/>
      <c r="CJ4" s="3"/>
      <c r="CK4" s="3"/>
      <c r="CL4" s="3"/>
      <c r="CM4" s="3"/>
      <c r="CN4" s="3"/>
      <c r="CO4" s="3"/>
      <c r="CP4" s="3"/>
      <c r="CQ4" s="3"/>
      <c r="CR4" s="3"/>
      <c r="CS4" s="3"/>
      <c r="CT4" s="3"/>
      <c r="CU4" s="3"/>
      <c r="CV4" s="3"/>
      <c r="CW4" s="3"/>
      <c r="CX4" s="3"/>
      <c r="CY4" s="3"/>
      <c r="CZ4" s="3"/>
      <c r="DA4" s="3"/>
      <c r="DB4" s="3"/>
      <c r="DC4" s="3"/>
      <c r="DD4" s="3"/>
      <c r="DE4" s="3"/>
      <c r="DF4" s="185"/>
      <c r="DG4" s="24"/>
      <c r="DH4" s="24"/>
      <c r="DI4" s="24"/>
      <c r="DJ4" s="24"/>
      <c r="DK4" s="24"/>
      <c r="DL4" s="24"/>
      <c r="DM4" s="24"/>
      <c r="DN4" s="24"/>
      <c r="DO4" s="24"/>
      <c r="DP4" s="24"/>
      <c r="DQ4" s="24"/>
      <c r="DR4" s="24"/>
      <c r="DS4" s="24"/>
      <c r="DT4" s="24"/>
      <c r="DU4" s="24"/>
      <c r="DV4" s="24"/>
      <c r="DW4" s="24"/>
    </row>
    <row r="5" spans="1:138" ht="12">
      <c r="A5" s="321"/>
      <c r="B5" s="315" t="s">
        <v>628</v>
      </c>
      <c r="C5" s="188"/>
      <c r="D5" s="188"/>
      <c r="E5" s="196"/>
      <c r="F5" s="196"/>
      <c r="G5" s="196"/>
      <c r="H5" s="196"/>
      <c r="I5" s="196"/>
      <c r="J5" s="196"/>
      <c r="K5" s="196"/>
      <c r="L5" s="196"/>
      <c r="M5" s="196"/>
      <c r="N5" s="196"/>
      <c r="O5" s="196"/>
      <c r="P5" s="196"/>
      <c r="Q5" s="196"/>
      <c r="R5" s="196"/>
      <c r="S5" s="196"/>
      <c r="T5" s="196"/>
      <c r="U5" s="196"/>
      <c r="V5" s="3"/>
      <c r="W5" s="3"/>
      <c r="X5" s="3"/>
      <c r="Y5" s="148"/>
      <c r="Z5" s="11"/>
      <c r="AA5" s="11"/>
      <c r="AB5" s="11"/>
      <c r="AC5" s="11"/>
      <c r="AD5" s="11"/>
      <c r="AE5" s="11"/>
      <c r="AF5" s="341"/>
      <c r="AG5" s="3"/>
      <c r="AH5" s="11"/>
      <c r="AI5" s="3"/>
      <c r="AJ5" s="3"/>
      <c r="AK5" s="11"/>
      <c r="AL5" s="11"/>
      <c r="AM5" s="11"/>
      <c r="AN5" s="11"/>
      <c r="AO5" s="11"/>
      <c r="AP5" s="11"/>
      <c r="AQ5" s="11"/>
      <c r="AR5" s="11"/>
      <c r="AS5" s="3"/>
      <c r="AT5" s="3"/>
      <c r="AU5" s="11"/>
      <c r="AV5" s="372"/>
      <c r="AW5" s="11"/>
      <c r="AX5" s="11"/>
      <c r="AY5" s="11"/>
      <c r="AZ5" s="372"/>
      <c r="BA5" s="3"/>
      <c r="BB5" s="1338"/>
      <c r="BC5" s="1338"/>
      <c r="BD5" s="1340"/>
      <c r="BE5" s="1341"/>
      <c r="BF5" s="1338"/>
      <c r="BG5" s="1338"/>
      <c r="BH5" s="1338"/>
      <c r="BI5" s="1338"/>
      <c r="BJ5" s="1338"/>
      <c r="BK5" s="1338"/>
      <c r="BL5" s="1338"/>
      <c r="BM5" s="1338"/>
      <c r="BN5" s="1338"/>
      <c r="BO5" s="1338"/>
      <c r="BP5" s="1338"/>
      <c r="BQ5" s="1338"/>
      <c r="BR5" s="1338"/>
      <c r="BS5" s="1338"/>
      <c r="BT5" s="1338"/>
      <c r="BU5" s="1338"/>
      <c r="BV5" s="1338"/>
      <c r="BW5" s="1338"/>
      <c r="BX5" s="1338"/>
      <c r="BY5" s="1338"/>
      <c r="BZ5" s="1338"/>
      <c r="CA5" s="1338"/>
      <c r="CB5" s="1338"/>
      <c r="CC5" s="1338"/>
      <c r="CD5" s="355"/>
      <c r="CE5" s="3"/>
      <c r="CF5" s="3"/>
      <c r="CG5" s="3"/>
      <c r="CH5" s="3"/>
      <c r="CI5" s="3"/>
      <c r="CJ5" s="3"/>
      <c r="CK5" s="3"/>
      <c r="CL5" s="3"/>
      <c r="CM5" s="3"/>
      <c r="CN5" s="3"/>
      <c r="CO5" s="3"/>
      <c r="CP5" s="3"/>
      <c r="CQ5" s="3"/>
      <c r="CR5" s="3"/>
      <c r="CS5" s="3"/>
      <c r="CT5" s="3"/>
      <c r="CU5" s="3"/>
      <c r="CV5" s="3"/>
      <c r="CW5" s="3"/>
      <c r="CX5" s="3"/>
      <c r="CY5" s="3"/>
      <c r="CZ5" s="3"/>
      <c r="DA5" s="3"/>
      <c r="DB5" s="3"/>
      <c r="DC5" s="3"/>
      <c r="DD5" s="3"/>
      <c r="DE5" s="185"/>
      <c r="DF5" s="185"/>
      <c r="DG5" s="24"/>
      <c r="DH5" s="24"/>
      <c r="DI5" s="24"/>
      <c r="DJ5" s="24"/>
      <c r="DK5" s="24"/>
      <c r="DL5" s="24"/>
      <c r="DM5" s="24"/>
      <c r="DN5" s="24"/>
      <c r="DO5" s="24"/>
      <c r="DP5" s="24"/>
      <c r="DQ5" s="24"/>
      <c r="DR5" s="24"/>
      <c r="DS5" s="24"/>
      <c r="DT5" s="24"/>
      <c r="DU5" s="24"/>
      <c r="DV5" s="24"/>
      <c r="DW5" s="24"/>
    </row>
    <row r="6" spans="1:138" ht="4.5" customHeight="1">
      <c r="A6" s="320"/>
      <c r="B6" s="229"/>
      <c r="C6" s="229"/>
      <c r="D6" s="229"/>
      <c r="E6" s="229"/>
      <c r="F6" s="229"/>
      <c r="G6" s="229"/>
      <c r="H6" s="229"/>
      <c r="I6" s="229"/>
      <c r="J6" s="229"/>
      <c r="K6" s="229"/>
      <c r="L6" s="229"/>
      <c r="M6" s="229"/>
      <c r="N6" s="229"/>
      <c r="O6" s="229"/>
      <c r="P6" s="229"/>
      <c r="Q6" s="229"/>
      <c r="R6" s="229"/>
      <c r="S6" s="229"/>
      <c r="T6" s="229"/>
      <c r="U6" s="229"/>
      <c r="V6" s="113"/>
      <c r="W6" s="113"/>
      <c r="X6" s="113"/>
      <c r="Y6" s="113"/>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149"/>
      <c r="CE6" s="149"/>
      <c r="CF6" s="149"/>
      <c r="CG6" s="149"/>
      <c r="CH6" s="149"/>
      <c r="CI6" s="113"/>
      <c r="CJ6" s="113"/>
      <c r="CK6" s="113"/>
      <c r="CL6" s="113"/>
      <c r="CM6" s="113"/>
      <c r="CN6" s="113"/>
      <c r="CO6" s="113"/>
      <c r="CP6" s="113"/>
      <c r="CQ6" s="113"/>
      <c r="CR6" s="113"/>
      <c r="CS6" s="113"/>
      <c r="CT6" s="113"/>
      <c r="CU6" s="113"/>
      <c r="CV6" s="113"/>
      <c r="CW6" s="113"/>
      <c r="CX6" s="113"/>
      <c r="CY6" s="113"/>
      <c r="CZ6" s="113"/>
      <c r="DA6" s="113"/>
      <c r="DB6" s="113"/>
      <c r="DC6" s="113"/>
      <c r="DD6" s="113"/>
      <c r="DE6" s="185"/>
      <c r="DF6" s="11"/>
      <c r="DG6" s="24"/>
      <c r="DH6" s="24"/>
      <c r="DI6" s="141"/>
      <c r="DJ6" s="24"/>
      <c r="DK6" s="24"/>
      <c r="DL6" s="24"/>
      <c r="DM6" s="141"/>
      <c r="DN6" s="24"/>
      <c r="DO6" s="24"/>
      <c r="DP6" s="24"/>
      <c r="DQ6" s="24"/>
      <c r="DR6" s="24"/>
      <c r="DS6" s="24"/>
      <c r="DT6" s="24"/>
      <c r="DU6" s="24"/>
      <c r="DV6" s="24"/>
      <c r="DW6" s="24"/>
    </row>
    <row r="7" spans="1:138">
      <c r="A7" s="321"/>
      <c r="B7" s="277" t="s">
        <v>1</v>
      </c>
      <c r="C7" s="258"/>
      <c r="D7" s="258"/>
      <c r="E7" s="259"/>
      <c r="F7" s="2283" t="s">
        <v>2</v>
      </c>
      <c r="G7" s="2284"/>
      <c r="H7" s="2284"/>
      <c r="I7" s="2285"/>
      <c r="J7" s="2284" t="s">
        <v>3</v>
      </c>
      <c r="K7" s="2284"/>
      <c r="L7" s="2284"/>
      <c r="M7" s="2284"/>
      <c r="N7" s="2283" t="s">
        <v>78</v>
      </c>
      <c r="O7" s="2284"/>
      <c r="P7" s="2284"/>
      <c r="Q7" s="2285"/>
      <c r="R7" s="2284" t="s">
        <v>287</v>
      </c>
      <c r="S7" s="2284"/>
      <c r="T7" s="2284"/>
      <c r="U7" s="2285"/>
      <c r="V7" s="2283" t="s">
        <v>288</v>
      </c>
      <c r="W7" s="2284"/>
      <c r="X7" s="2284"/>
      <c r="Y7" s="2285"/>
      <c r="Z7" s="2283" t="s">
        <v>285</v>
      </c>
      <c r="AA7" s="2284"/>
      <c r="AB7" s="2284"/>
      <c r="AC7" s="2285"/>
      <c r="AD7" s="2283" t="s">
        <v>674</v>
      </c>
      <c r="AE7" s="2284"/>
      <c r="AF7" s="2284"/>
      <c r="AG7" s="2285"/>
      <c r="AH7" s="1061" t="s">
        <v>529</v>
      </c>
      <c r="AI7" s="1059"/>
      <c r="AJ7" s="1059"/>
      <c r="AK7" s="1060"/>
      <c r="AL7" s="2283" t="s">
        <v>234</v>
      </c>
      <c r="AM7" s="2284"/>
      <c r="AN7" s="2284"/>
      <c r="AO7" s="2285"/>
      <c r="AP7" s="1059" t="s">
        <v>423</v>
      </c>
      <c r="AQ7" s="1165"/>
      <c r="AR7" s="1165"/>
      <c r="AS7" s="1166"/>
      <c r="AT7" s="2292" t="s">
        <v>43</v>
      </c>
      <c r="AU7" s="2293"/>
      <c r="AV7" s="2293"/>
      <c r="AW7" s="2293"/>
      <c r="AX7" s="2292" t="s">
        <v>250</v>
      </c>
      <c r="AY7" s="2293"/>
      <c r="AZ7" s="2293"/>
      <c r="BA7" s="2293"/>
      <c r="BB7" s="2289" t="s">
        <v>324</v>
      </c>
      <c r="BC7" s="2290"/>
      <c r="BD7" s="2290"/>
      <c r="BE7" s="2291"/>
      <c r="BF7" s="2286" t="s">
        <v>908</v>
      </c>
      <c r="BG7" s="2287"/>
      <c r="BH7" s="2287"/>
      <c r="BI7" s="2288"/>
      <c r="BJ7" s="2286" t="s">
        <v>725</v>
      </c>
      <c r="BK7" s="2287"/>
      <c r="BL7" s="2287"/>
      <c r="BM7" s="2288"/>
      <c r="BN7" s="2289" t="s">
        <v>940</v>
      </c>
      <c r="BO7" s="2287"/>
      <c r="BP7" s="2287"/>
      <c r="BQ7" s="2288"/>
      <c r="BR7" s="2289" t="s">
        <v>983</v>
      </c>
      <c r="BS7" s="2287"/>
      <c r="BT7" s="2287"/>
      <c r="BU7" s="2288"/>
      <c r="BV7" s="2280" t="s">
        <v>928</v>
      </c>
      <c r="BW7" s="2281"/>
      <c r="BX7" s="2281"/>
      <c r="BY7" s="2282"/>
      <c r="BZ7" s="2280" t="s">
        <v>985</v>
      </c>
      <c r="CA7" s="2281"/>
      <c r="CB7" s="2281"/>
      <c r="CC7" s="2282"/>
      <c r="CD7" s="115"/>
      <c r="CE7" s="1232"/>
      <c r="CF7" s="1233"/>
      <c r="CG7" s="1233"/>
      <c r="CH7" s="1233"/>
      <c r="CI7" s="1233"/>
      <c r="CJ7" s="1233"/>
      <c r="CK7" s="1233"/>
      <c r="CL7" s="1233"/>
      <c r="CM7" s="1233"/>
      <c r="CN7" s="20"/>
      <c r="CO7" s="20"/>
      <c r="CP7" s="20"/>
      <c r="CQ7" s="20"/>
      <c r="CR7" s="1241" t="s">
        <v>270</v>
      </c>
      <c r="CS7" s="20"/>
      <c r="CT7" s="20"/>
      <c r="CU7" s="20"/>
      <c r="CV7" s="20"/>
      <c r="CW7" s="20"/>
      <c r="CX7" s="20"/>
      <c r="CY7" s="20"/>
      <c r="CZ7" s="20"/>
      <c r="DA7" s="20"/>
      <c r="DB7" s="20"/>
      <c r="DC7" s="20"/>
      <c r="DD7" s="21"/>
      <c r="DE7" s="185"/>
      <c r="DF7" s="91"/>
      <c r="DG7" s="171"/>
      <c r="DH7" s="716"/>
      <c r="DI7" s="717"/>
      <c r="DJ7" s="717"/>
      <c r="DK7" s="717"/>
      <c r="DL7" s="717"/>
      <c r="DM7" s="24"/>
      <c r="DN7" s="24"/>
      <c r="DO7" s="24"/>
      <c r="DP7" s="24"/>
      <c r="DQ7" s="24"/>
      <c r="DR7" s="24"/>
      <c r="DS7" s="24"/>
      <c r="DT7" s="24"/>
      <c r="DU7" s="24"/>
      <c r="DV7" s="24"/>
      <c r="DW7" s="24"/>
    </row>
    <row r="8" spans="1:138">
      <c r="A8" s="321"/>
      <c r="B8" s="231"/>
      <c r="C8" s="260"/>
      <c r="D8" s="191"/>
      <c r="E8" s="192"/>
      <c r="F8" s="454">
        <v>36776</v>
      </c>
      <c r="G8" s="452">
        <v>36867</v>
      </c>
      <c r="H8" s="452">
        <v>36956</v>
      </c>
      <c r="I8" s="453">
        <v>37048</v>
      </c>
      <c r="J8" s="476">
        <v>37141</v>
      </c>
      <c r="K8" s="452">
        <v>37232</v>
      </c>
      <c r="L8" s="452">
        <v>37321</v>
      </c>
      <c r="M8" s="476">
        <v>37413</v>
      </c>
      <c r="N8" s="454">
        <v>37506</v>
      </c>
      <c r="O8" s="452">
        <v>37597</v>
      </c>
      <c r="P8" s="452">
        <v>37686</v>
      </c>
      <c r="Q8" s="453">
        <v>37778</v>
      </c>
      <c r="R8" s="476">
        <v>37871</v>
      </c>
      <c r="S8" s="452">
        <v>37962</v>
      </c>
      <c r="T8" s="452">
        <v>38052</v>
      </c>
      <c r="U8" s="453">
        <v>38144</v>
      </c>
      <c r="V8" s="454">
        <v>38237</v>
      </c>
      <c r="W8" s="452">
        <v>38328</v>
      </c>
      <c r="X8" s="452">
        <v>38417</v>
      </c>
      <c r="Y8" s="453">
        <v>38509</v>
      </c>
      <c r="Z8" s="454">
        <v>38602</v>
      </c>
      <c r="AA8" s="452">
        <v>38693</v>
      </c>
      <c r="AB8" s="452">
        <v>38782</v>
      </c>
      <c r="AC8" s="453">
        <v>38874</v>
      </c>
      <c r="AD8" s="454">
        <v>38967</v>
      </c>
      <c r="AE8" s="452">
        <v>39058</v>
      </c>
      <c r="AF8" s="452">
        <v>39147</v>
      </c>
      <c r="AG8" s="453">
        <v>39239</v>
      </c>
      <c r="AH8" s="454">
        <v>39331</v>
      </c>
      <c r="AI8" s="986">
        <v>39422</v>
      </c>
      <c r="AJ8" s="986">
        <v>39513</v>
      </c>
      <c r="AK8" s="1048">
        <v>39605</v>
      </c>
      <c r="AL8" s="986">
        <v>39697</v>
      </c>
      <c r="AM8" s="986">
        <v>39788</v>
      </c>
      <c r="AN8" s="986">
        <v>39878</v>
      </c>
      <c r="AO8" s="1048">
        <v>39970</v>
      </c>
      <c r="AP8" s="986">
        <v>40062</v>
      </c>
      <c r="AQ8" s="986">
        <v>40153</v>
      </c>
      <c r="AR8" s="986">
        <v>40243</v>
      </c>
      <c r="AS8" s="1048">
        <v>40335</v>
      </c>
      <c r="AT8" s="151">
        <v>40451</v>
      </c>
      <c r="AU8" s="151">
        <v>40542</v>
      </c>
      <c r="AV8" s="151">
        <v>40632</v>
      </c>
      <c r="AW8" s="151">
        <v>40724</v>
      </c>
      <c r="AX8" s="1339">
        <v>40816</v>
      </c>
      <c r="AY8" s="151">
        <v>40907</v>
      </c>
      <c r="AZ8" s="151">
        <v>40998</v>
      </c>
      <c r="BA8" s="151">
        <v>41090</v>
      </c>
      <c r="BB8" s="1220">
        <v>41182</v>
      </c>
      <c r="BC8" s="151">
        <v>41273</v>
      </c>
      <c r="BD8" s="151">
        <v>41363</v>
      </c>
      <c r="BE8" s="1342">
        <v>41455</v>
      </c>
      <c r="BF8" s="1443">
        <v>41547</v>
      </c>
      <c r="BG8" s="1394">
        <v>41638</v>
      </c>
      <c r="BH8" s="1394">
        <v>41728</v>
      </c>
      <c r="BI8" s="1444">
        <v>41820</v>
      </c>
      <c r="BJ8" s="1443">
        <v>41912</v>
      </c>
      <c r="BK8" s="1394">
        <v>42003</v>
      </c>
      <c r="BL8" s="1394">
        <v>42093</v>
      </c>
      <c r="BM8" s="1444">
        <v>42185</v>
      </c>
      <c r="BN8" s="1443">
        <v>42277</v>
      </c>
      <c r="BO8" s="1394">
        <v>42368</v>
      </c>
      <c r="BP8" s="1394">
        <v>42459</v>
      </c>
      <c r="BQ8" s="1444">
        <v>42551</v>
      </c>
      <c r="BR8" s="1443">
        <v>42643</v>
      </c>
      <c r="BS8" s="1394">
        <v>42734</v>
      </c>
      <c r="BT8" s="1394">
        <v>42824</v>
      </c>
      <c r="BU8" s="1444">
        <v>42916</v>
      </c>
      <c r="BV8" s="1443">
        <v>43008</v>
      </c>
      <c r="BW8" s="940">
        <v>43100</v>
      </c>
      <c r="BX8" s="940">
        <v>43190</v>
      </c>
      <c r="BY8" s="1402">
        <v>43281</v>
      </c>
      <c r="BZ8" s="940">
        <v>43373</v>
      </c>
      <c r="CA8" s="940">
        <v>43465</v>
      </c>
      <c r="CB8" s="940">
        <v>43555</v>
      </c>
      <c r="CC8" s="1402">
        <v>43646</v>
      </c>
      <c r="CD8" s="115"/>
      <c r="CE8" s="1143" t="s">
        <v>2</v>
      </c>
      <c r="CF8" s="783" t="s">
        <v>3</v>
      </c>
      <c r="CG8" s="783" t="s">
        <v>78</v>
      </c>
      <c r="CH8" s="783" t="s">
        <v>287</v>
      </c>
      <c r="CI8" s="783" t="s">
        <v>288</v>
      </c>
      <c r="CJ8" s="784" t="s">
        <v>285</v>
      </c>
      <c r="CK8" s="784" t="s">
        <v>674</v>
      </c>
      <c r="CL8" s="784" t="s">
        <v>529</v>
      </c>
      <c r="CM8" s="1" t="s">
        <v>234</v>
      </c>
      <c r="CN8" s="1" t="s">
        <v>423</v>
      </c>
      <c r="CO8" s="1" t="s">
        <v>44</v>
      </c>
      <c r="CP8" s="1" t="s">
        <v>251</v>
      </c>
      <c r="CQ8" s="1" t="s">
        <v>325</v>
      </c>
      <c r="CR8" s="1234" t="s">
        <v>909</v>
      </c>
      <c r="CS8" s="1" t="s">
        <v>910</v>
      </c>
      <c r="CT8" s="1" t="s">
        <v>937</v>
      </c>
      <c r="CU8" s="1" t="s">
        <v>984</v>
      </c>
      <c r="CV8" s="6" t="s">
        <v>911</v>
      </c>
      <c r="CW8" s="6" t="s">
        <v>912</v>
      </c>
      <c r="CX8" s="6" t="s">
        <v>913</v>
      </c>
      <c r="CY8" s="6" t="s">
        <v>914</v>
      </c>
      <c r="CZ8" s="6" t="s">
        <v>915</v>
      </c>
      <c r="DA8" s="6" t="s">
        <v>916</v>
      </c>
      <c r="DB8" s="6" t="s">
        <v>986</v>
      </c>
      <c r="DC8" s="6" t="s">
        <v>987</v>
      </c>
      <c r="DD8" s="7"/>
      <c r="DE8" s="1693"/>
      <c r="DF8" s="91"/>
      <c r="DG8" s="144"/>
      <c r="DH8" s="718"/>
      <c r="DI8" s="719"/>
      <c r="DJ8" s="719"/>
      <c r="DK8" s="719"/>
      <c r="DL8" s="719"/>
      <c r="DM8" s="24"/>
      <c r="DN8" s="24"/>
      <c r="DO8" s="24"/>
      <c r="DP8" s="24"/>
      <c r="DQ8" s="24"/>
      <c r="DR8" s="24"/>
      <c r="DS8" s="24"/>
      <c r="DT8" s="24"/>
      <c r="DU8" s="24"/>
      <c r="DV8" s="24"/>
      <c r="DW8" s="24"/>
    </row>
    <row r="9" spans="1:138" ht="3" customHeight="1">
      <c r="A9" s="321"/>
      <c r="B9" s="268"/>
      <c r="C9" s="261"/>
      <c r="D9" s="261"/>
      <c r="E9" s="262"/>
      <c r="F9" s="268"/>
      <c r="G9" s="261"/>
      <c r="H9" s="261"/>
      <c r="I9" s="262"/>
      <c r="J9" s="261"/>
      <c r="K9" s="261"/>
      <c r="L9" s="261"/>
      <c r="M9" s="261"/>
      <c r="N9" s="268"/>
      <c r="O9" s="261"/>
      <c r="P9" s="261"/>
      <c r="Q9" s="262"/>
      <c r="R9" s="261"/>
      <c r="S9" s="261"/>
      <c r="T9" s="261"/>
      <c r="U9" s="261"/>
      <c r="V9" s="85"/>
      <c r="W9" s="86"/>
      <c r="X9" s="86"/>
      <c r="Y9" s="87"/>
      <c r="Z9" s="85"/>
      <c r="AA9" s="86"/>
      <c r="AB9" s="86"/>
      <c r="AC9" s="87"/>
      <c r="AD9" s="85"/>
      <c r="AE9" s="86"/>
      <c r="AF9" s="86"/>
      <c r="AG9" s="87"/>
      <c r="AH9" s="85"/>
      <c r="AI9" s="86"/>
      <c r="AJ9" s="86"/>
      <c r="AK9" s="87"/>
      <c r="AL9" s="85"/>
      <c r="AM9" s="86"/>
      <c r="AN9" s="86"/>
      <c r="AO9" s="87"/>
      <c r="AP9" s="85"/>
      <c r="AQ9" s="86"/>
      <c r="AR9" s="86">
        <v>3</v>
      </c>
      <c r="AS9" s="87"/>
      <c r="AT9" s="85"/>
      <c r="AU9" s="86"/>
      <c r="AV9" s="86">
        <v>3</v>
      </c>
      <c r="AW9" s="87"/>
      <c r="AX9" s="85"/>
      <c r="AY9" s="86"/>
      <c r="AZ9" s="86">
        <v>3</v>
      </c>
      <c r="BA9" s="87"/>
      <c r="BB9" s="85"/>
      <c r="BC9" s="86"/>
      <c r="BD9" s="86">
        <v>3</v>
      </c>
      <c r="BE9" s="87"/>
      <c r="BF9" s="85"/>
      <c r="BG9" s="86"/>
      <c r="BH9" s="86"/>
      <c r="BI9" s="87"/>
      <c r="BJ9" s="85"/>
      <c r="BK9" s="86"/>
      <c r="BL9" s="86"/>
      <c r="BM9" s="87"/>
      <c r="BN9" s="85"/>
      <c r="BO9" s="86"/>
      <c r="BP9" s="86"/>
      <c r="BQ9" s="87"/>
      <c r="BR9" s="85"/>
      <c r="BS9" s="86"/>
      <c r="BT9" s="86"/>
      <c r="BU9" s="87"/>
      <c r="BV9" s="85"/>
      <c r="BW9" s="86"/>
      <c r="BX9" s="86"/>
      <c r="BY9" s="87"/>
      <c r="BZ9" s="85"/>
      <c r="CA9" s="86"/>
      <c r="CB9" s="86"/>
      <c r="CC9" s="87"/>
      <c r="CD9" s="115"/>
      <c r="CE9" s="86"/>
      <c r="CF9" s="86"/>
      <c r="CG9" s="86"/>
      <c r="CH9" s="86"/>
      <c r="CI9" s="86"/>
      <c r="CJ9" s="86"/>
      <c r="CK9" s="86"/>
      <c r="CL9" s="86"/>
      <c r="CM9" s="785"/>
      <c r="CN9" s="785"/>
      <c r="CO9" s="785"/>
      <c r="CP9" s="785"/>
      <c r="CQ9" s="785"/>
      <c r="CR9" s="1235"/>
      <c r="CS9" s="785"/>
      <c r="CT9" s="785"/>
      <c r="CU9" s="1546"/>
      <c r="CV9" s="1546"/>
      <c r="CW9" s="1546"/>
      <c r="CX9" s="1546"/>
      <c r="CY9" s="1546"/>
      <c r="CZ9" s="1546"/>
      <c r="DA9" s="1546"/>
      <c r="DB9" s="1546"/>
      <c r="DC9" s="1546"/>
      <c r="DD9" s="1431"/>
      <c r="DE9" s="35"/>
      <c r="DF9" s="91"/>
      <c r="DG9" s="24"/>
      <c r="DH9" s="548"/>
      <c r="DI9" s="548"/>
      <c r="DJ9" s="548"/>
      <c r="DK9" s="548"/>
      <c r="DL9" s="548"/>
      <c r="DM9" s="548"/>
      <c r="DN9" s="24"/>
      <c r="DO9" s="24"/>
      <c r="DP9" s="24"/>
      <c r="DQ9" s="24"/>
      <c r="DR9" s="24"/>
      <c r="DS9" s="24"/>
      <c r="DT9" s="24"/>
      <c r="DU9" s="24"/>
      <c r="DV9" s="24"/>
      <c r="DW9" s="24"/>
    </row>
    <row r="10" spans="1:138" ht="14.25" customHeight="1">
      <c r="A10" s="321" t="s">
        <v>25</v>
      </c>
      <c r="B10" s="242" t="s">
        <v>74</v>
      </c>
      <c r="C10" s="223"/>
      <c r="D10" s="243"/>
      <c r="E10" s="263"/>
      <c r="F10" s="243"/>
      <c r="G10" s="243"/>
      <c r="H10" s="243"/>
      <c r="I10" s="263"/>
      <c r="J10" s="243"/>
      <c r="K10" s="243"/>
      <c r="L10" s="243"/>
      <c r="M10" s="263"/>
      <c r="N10" s="243"/>
      <c r="O10" s="243"/>
      <c r="P10" s="243"/>
      <c r="Q10" s="263"/>
      <c r="R10" s="243"/>
      <c r="S10" s="243"/>
      <c r="T10" s="243"/>
      <c r="U10" s="263"/>
      <c r="V10" s="538"/>
      <c r="W10" s="74"/>
      <c r="X10" s="74"/>
      <c r="Y10" s="75"/>
      <c r="Z10" s="538"/>
      <c r="AA10" s="74"/>
      <c r="AB10" s="74"/>
      <c r="AC10" s="75"/>
      <c r="AD10" s="538"/>
      <c r="AE10" s="74"/>
      <c r="AF10" s="74"/>
      <c r="AG10" s="75"/>
      <c r="AH10" s="538"/>
      <c r="AI10" s="14"/>
      <c r="AJ10" s="14"/>
      <c r="AK10" s="16"/>
      <c r="AL10" s="15"/>
      <c r="AM10" s="14"/>
      <c r="AN10" s="14"/>
      <c r="AO10" s="16"/>
      <c r="AP10" s="15"/>
      <c r="AQ10" s="14"/>
      <c r="AR10" s="14"/>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15"/>
      <c r="CE10" s="81"/>
      <c r="CF10" s="81"/>
      <c r="CG10" s="81"/>
      <c r="CH10" s="81"/>
      <c r="CI10" s="81"/>
      <c r="CJ10" s="74"/>
      <c r="CK10" s="82"/>
      <c r="CL10" s="82"/>
      <c r="CM10" s="1293"/>
      <c r="CN10" s="1236"/>
      <c r="CO10" s="1236"/>
      <c r="CP10" s="1236"/>
      <c r="CQ10" s="1236"/>
      <c r="CR10" s="1294"/>
      <c r="CS10" s="14"/>
      <c r="CT10" s="16"/>
      <c r="CU10" s="14"/>
      <c r="CV10" s="14"/>
      <c r="CW10" s="14"/>
      <c r="CX10" s="14"/>
      <c r="CY10" s="14"/>
      <c r="CZ10" s="14"/>
      <c r="DA10" s="14"/>
      <c r="DB10" s="14"/>
      <c r="DC10" s="14"/>
      <c r="DD10" s="16"/>
      <c r="DE10" s="35"/>
      <c r="DF10" s="91"/>
      <c r="DG10" s="24"/>
      <c r="DH10" s="24"/>
      <c r="DI10" s="720"/>
      <c r="DJ10" s="720"/>
      <c r="DK10" s="720"/>
      <c r="DL10" s="720"/>
      <c r="DM10" s="721"/>
      <c r="DN10" s="722"/>
      <c r="DO10" s="722"/>
      <c r="DP10" s="722"/>
      <c r="DQ10" s="722"/>
      <c r="DR10" s="722"/>
      <c r="DS10" s="722"/>
      <c r="DT10" s="722"/>
      <c r="DU10" s="722"/>
      <c r="DV10" s="722"/>
      <c r="DW10" s="722"/>
    </row>
    <row r="11" spans="1:138" ht="3" customHeight="1">
      <c r="A11" s="320"/>
      <c r="B11" s="270"/>
      <c r="C11" s="264"/>
      <c r="D11" s="264"/>
      <c r="E11" s="265"/>
      <c r="F11" s="264"/>
      <c r="G11" s="264"/>
      <c r="H11" s="264"/>
      <c r="I11" s="265"/>
      <c r="J11" s="264"/>
      <c r="K11" s="264"/>
      <c r="L11" s="264"/>
      <c r="M11" s="265"/>
      <c r="N11" s="264"/>
      <c r="O11" s="264"/>
      <c r="P11" s="264"/>
      <c r="Q11" s="265"/>
      <c r="R11" s="264"/>
      <c r="S11" s="264"/>
      <c r="T11" s="264"/>
      <c r="U11" s="265"/>
      <c r="V11" s="35"/>
      <c r="W11" s="35"/>
      <c r="X11" s="35"/>
      <c r="Y11" s="66"/>
      <c r="Z11" s="35"/>
      <c r="AA11" s="35"/>
      <c r="AB11" s="35"/>
      <c r="AC11" s="66"/>
      <c r="AD11" s="35"/>
      <c r="AE11" s="35"/>
      <c r="AF11" s="35"/>
      <c r="AG11" s="66"/>
      <c r="AH11" s="35"/>
      <c r="AI11" s="35"/>
      <c r="AJ11" s="35"/>
      <c r="AK11" s="66"/>
      <c r="AL11" s="34"/>
      <c r="AM11" s="35"/>
      <c r="AN11" s="35"/>
      <c r="AO11" s="66"/>
      <c r="AP11" s="34"/>
      <c r="AQ11" s="35"/>
      <c r="AR11" s="35"/>
      <c r="AS11" s="66"/>
      <c r="AT11" s="34"/>
      <c r="AU11" s="35"/>
      <c r="AV11" s="35"/>
      <c r="AW11" s="66"/>
      <c r="AX11" s="34"/>
      <c r="AY11" s="35"/>
      <c r="AZ11" s="35"/>
      <c r="BA11" s="66"/>
      <c r="BB11" s="34"/>
      <c r="BC11" s="35"/>
      <c r="BD11" s="35"/>
      <c r="BE11" s="66"/>
      <c r="BF11" s="34"/>
      <c r="BG11" s="35"/>
      <c r="BH11" s="35"/>
      <c r="BI11" s="66"/>
      <c r="BJ11" s="34"/>
      <c r="BK11" s="35"/>
      <c r="BL11" s="35"/>
      <c r="BM11" s="66"/>
      <c r="BN11" s="34"/>
      <c r="BO11" s="35"/>
      <c r="BP11" s="35"/>
      <c r="BQ11" s="66"/>
      <c r="BR11" s="34"/>
      <c r="BS11" s="35"/>
      <c r="BT11" s="35"/>
      <c r="BU11" s="66"/>
      <c r="BV11" s="34"/>
      <c r="BW11" s="35"/>
      <c r="BX11" s="35"/>
      <c r="BY11" s="66"/>
      <c r="BZ11" s="34"/>
      <c r="CA11" s="35"/>
      <c r="CB11" s="35"/>
      <c r="CC11" s="66"/>
      <c r="CD11" s="116"/>
      <c r="CE11" s="35"/>
      <c r="CF11" s="35"/>
      <c r="CG11" s="35"/>
      <c r="CH11" s="35"/>
      <c r="CI11" s="35"/>
      <c r="CJ11" s="35"/>
      <c r="CK11" s="35"/>
      <c r="CL11" s="35"/>
      <c r="CM11" s="35"/>
      <c r="CN11" s="35"/>
      <c r="CO11" s="35"/>
      <c r="CP11" s="35"/>
      <c r="CQ11" s="35"/>
      <c r="CR11" s="34"/>
      <c r="CS11" s="35"/>
      <c r="CT11" s="35"/>
      <c r="CU11" s="35"/>
      <c r="CV11" s="35"/>
      <c r="CW11" s="35"/>
      <c r="CX11" s="35"/>
      <c r="CY11" s="35"/>
      <c r="CZ11" s="35"/>
      <c r="DA11" s="35"/>
      <c r="DB11" s="35"/>
      <c r="DC11" s="35"/>
      <c r="DD11" s="66"/>
      <c r="DE11" s="35"/>
      <c r="DF11" s="29"/>
      <c r="DG11" s="29"/>
      <c r="DH11" s="29"/>
      <c r="DI11" s="29"/>
      <c r="DJ11" s="29"/>
      <c r="DK11" s="29"/>
      <c r="DL11" s="29"/>
      <c r="DM11" s="29"/>
      <c r="DN11" s="29"/>
      <c r="DO11" s="29"/>
      <c r="DP11" s="29"/>
      <c r="DQ11" s="29"/>
      <c r="DR11" s="29"/>
      <c r="DS11" s="29"/>
      <c r="DT11" s="29"/>
      <c r="DU11" s="29"/>
      <c r="DV11" s="29"/>
      <c r="DW11" s="29"/>
    </row>
    <row r="12" spans="1:138">
      <c r="A12" s="320"/>
      <c r="B12" s="270" t="s">
        <v>622</v>
      </c>
      <c r="C12" s="266"/>
      <c r="D12" s="266"/>
      <c r="E12" s="267"/>
      <c r="F12" s="266"/>
      <c r="G12" s="266"/>
      <c r="H12" s="266"/>
      <c r="I12" s="267"/>
      <c r="J12" s="266"/>
      <c r="K12" s="266"/>
      <c r="L12" s="266"/>
      <c r="M12" s="267"/>
      <c r="N12" s="266"/>
      <c r="O12" s="266"/>
      <c r="P12" s="266"/>
      <c r="Q12" s="267"/>
      <c r="R12" s="266"/>
      <c r="S12" s="266"/>
      <c r="T12" s="266"/>
      <c r="U12" s="267"/>
      <c r="V12" s="266"/>
      <c r="W12" s="266"/>
      <c r="X12" s="266"/>
      <c r="Y12" s="267"/>
      <c r="Z12" s="266"/>
      <c r="AA12" s="266"/>
      <c r="AB12" s="266"/>
      <c r="AC12" s="267"/>
      <c r="AD12" s="133"/>
      <c r="AE12" s="133"/>
      <c r="AF12" s="89"/>
      <c r="AG12" s="134"/>
      <c r="AH12" s="133"/>
      <c r="AI12" s="53"/>
      <c r="AJ12" s="53"/>
      <c r="AK12" s="645"/>
      <c r="AL12" s="53"/>
      <c r="AM12" s="53"/>
      <c r="AN12" s="53"/>
      <c r="AO12" s="645"/>
      <c r="AP12" s="53"/>
      <c r="AQ12" s="53"/>
      <c r="AR12" s="53"/>
      <c r="AS12" s="645"/>
      <c r="AT12" s="53"/>
      <c r="AU12" s="53"/>
      <c r="AV12" s="53"/>
      <c r="AW12" s="645"/>
      <c r="AX12" s="53"/>
      <c r="AY12" s="53"/>
      <c r="AZ12" s="53"/>
      <c r="BA12" s="645"/>
      <c r="BB12" s="53"/>
      <c r="BC12" s="53"/>
      <c r="BD12" s="53"/>
      <c r="BE12" s="645"/>
      <c r="BF12" s="53"/>
      <c r="BG12" s="53"/>
      <c r="BH12" s="53"/>
      <c r="BI12" s="645"/>
      <c r="BJ12" s="53"/>
      <c r="BK12" s="53"/>
      <c r="BL12" s="53"/>
      <c r="BM12" s="645"/>
      <c r="BN12" s="53"/>
      <c r="BO12" s="53"/>
      <c r="BP12" s="53"/>
      <c r="BQ12" s="645"/>
      <c r="BR12" s="53"/>
      <c r="BS12" s="53"/>
      <c r="BT12" s="53"/>
      <c r="BU12" s="645"/>
      <c r="BV12" s="53"/>
      <c r="BW12" s="53"/>
      <c r="BX12" s="53"/>
      <c r="BY12" s="645"/>
      <c r="BZ12" s="53"/>
      <c r="CA12" s="53"/>
      <c r="CB12" s="53"/>
      <c r="CC12" s="645"/>
      <c r="CD12" s="115"/>
      <c r="CE12" s="35"/>
      <c r="CF12" s="35"/>
      <c r="CG12" s="35"/>
      <c r="CH12" s="35"/>
      <c r="CI12" s="35"/>
      <c r="CJ12" s="35"/>
      <c r="CK12" s="35"/>
      <c r="CL12" s="35"/>
      <c r="CM12" s="35"/>
      <c r="CN12" s="35"/>
      <c r="CO12" s="35"/>
      <c r="CP12" s="35"/>
      <c r="CQ12" s="35"/>
      <c r="CR12" s="34"/>
      <c r="CS12" s="35"/>
      <c r="CT12" s="35"/>
      <c r="CU12" s="35"/>
      <c r="CV12" s="35"/>
      <c r="CW12" s="35"/>
      <c r="CX12" s="35"/>
      <c r="CY12" s="35"/>
      <c r="CZ12" s="35"/>
      <c r="DA12" s="35"/>
      <c r="DB12" s="35"/>
      <c r="DC12" s="35"/>
      <c r="DD12" s="66"/>
      <c r="DE12" s="35"/>
      <c r="DF12" s="91"/>
      <c r="DG12" s="29"/>
      <c r="DH12" s="29"/>
      <c r="DI12" s="39"/>
      <c r="DJ12" s="29"/>
      <c r="DK12" s="29"/>
      <c r="DL12" s="29"/>
      <c r="DM12" s="91"/>
      <c r="DN12" s="29"/>
      <c r="DO12" s="29"/>
      <c r="DP12" s="29"/>
      <c r="DQ12" s="29"/>
      <c r="DR12" s="29"/>
      <c r="DS12" s="29"/>
      <c r="DT12" s="29"/>
      <c r="DU12" s="29"/>
      <c r="DV12" s="29"/>
      <c r="DW12" s="29"/>
    </row>
    <row r="13" spans="1:138">
      <c r="A13" s="321"/>
      <c r="B13" s="270"/>
      <c r="C13" s="264" t="s">
        <v>65</v>
      </c>
      <c r="D13" s="264"/>
      <c r="E13" s="265"/>
      <c r="F13" s="460">
        <f t="shared" ref="F13:F21" si="0">F60</f>
        <v>-33.520000000000003</v>
      </c>
      <c r="G13" s="460">
        <f t="shared" ref="G13:I28" si="1">G60-F60</f>
        <v>1.5810000000000031</v>
      </c>
      <c r="H13" s="460">
        <f t="shared" si="1"/>
        <v>-5.7479999999999976</v>
      </c>
      <c r="I13" s="468">
        <f t="shared" si="1"/>
        <v>-61.176000000000002</v>
      </c>
      <c r="J13" s="460">
        <f t="shared" ref="J13:J21" si="2">J60</f>
        <v>20.518000000000001</v>
      </c>
      <c r="K13" s="460">
        <f t="shared" ref="K13:M28" si="3">K60-J60</f>
        <v>12.594000000000001</v>
      </c>
      <c r="L13" s="460">
        <f t="shared" si="3"/>
        <v>19.198</v>
      </c>
      <c r="M13" s="468">
        <f t="shared" si="3"/>
        <v>13.117999999999995</v>
      </c>
      <c r="N13" s="460">
        <f t="shared" ref="N13:N21" si="4">N60</f>
        <v>22.215</v>
      </c>
      <c r="O13" s="460">
        <f t="shared" ref="O13:Q28" si="5">O60-N60</f>
        <v>74.36</v>
      </c>
      <c r="P13" s="460">
        <f t="shared" si="5"/>
        <v>54.501999999999995</v>
      </c>
      <c r="Q13" s="468">
        <f t="shared" si="5"/>
        <v>31.022999999999996</v>
      </c>
      <c r="R13" s="460">
        <f t="shared" ref="R13:R21" si="6">R60</f>
        <v>5</v>
      </c>
      <c r="S13" s="460">
        <f t="shared" ref="S13:U28" si="7">S60-R60</f>
        <v>68.8</v>
      </c>
      <c r="T13" s="460">
        <f t="shared" si="7"/>
        <v>47.900000000000006</v>
      </c>
      <c r="U13" s="468">
        <f t="shared" si="7"/>
        <v>29.600000000000009</v>
      </c>
      <c r="V13" s="610">
        <f t="shared" ref="V13:V21" si="8">V60</f>
        <v>30.4</v>
      </c>
      <c r="W13" s="610">
        <f t="shared" ref="W13:Y28" si="9">W60-V60</f>
        <v>56.000000000000007</v>
      </c>
      <c r="X13" s="610">
        <f t="shared" si="9"/>
        <v>70.799999999999983</v>
      </c>
      <c r="Y13" s="611">
        <f t="shared" si="9"/>
        <v>41.200000000000017</v>
      </c>
      <c r="Z13" s="610">
        <f t="shared" ref="Z13:Z21" si="10">Z60</f>
        <v>68.8</v>
      </c>
      <c r="AA13" s="610">
        <f t="shared" ref="AA13:AC28" si="11">AA60-Z60</f>
        <v>104.3</v>
      </c>
      <c r="AB13" s="610">
        <f t="shared" si="11"/>
        <v>102.9</v>
      </c>
      <c r="AC13" s="611">
        <f t="shared" si="11"/>
        <v>118.60000000000002</v>
      </c>
      <c r="AD13" s="610">
        <f>AD60</f>
        <v>103</v>
      </c>
      <c r="AE13" s="610">
        <f>AE60-AD60</f>
        <v>128</v>
      </c>
      <c r="AF13" s="460">
        <f>AF60-AE60</f>
        <v>121</v>
      </c>
      <c r="AG13" s="468">
        <f>AG60-AF60</f>
        <v>212</v>
      </c>
      <c r="AH13" s="460">
        <f>AH60</f>
        <v>69</v>
      </c>
      <c r="AI13" s="460">
        <f t="shared" ref="AI13:AI21" si="12">AI60-AH13</f>
        <v>305</v>
      </c>
      <c r="AJ13" s="460">
        <f>AJ60-AI60</f>
        <v>280</v>
      </c>
      <c r="AK13" s="468">
        <f>AK60-AJ60</f>
        <v>213</v>
      </c>
      <c r="AL13" s="524">
        <f>AL60</f>
        <v>211</v>
      </c>
      <c r="AM13" s="460">
        <f t="shared" ref="AM13:AM21" si="13">AM60-AL13</f>
        <v>14</v>
      </c>
      <c r="AN13" s="460">
        <f>AN60-AM60</f>
        <v>49</v>
      </c>
      <c r="AO13" s="468">
        <f>AO60-AN60</f>
        <v>196</v>
      </c>
      <c r="AP13" s="524">
        <f>AP60</f>
        <v>288</v>
      </c>
      <c r="AQ13" s="460">
        <f t="shared" ref="AQ13:AQ21" si="14">AQ60-AP13</f>
        <v>429</v>
      </c>
      <c r="AR13" s="460">
        <f>AR60-AQ60</f>
        <v>401</v>
      </c>
      <c r="AS13" s="468">
        <f>AS60-AR60</f>
        <v>264</v>
      </c>
      <c r="AT13" s="524">
        <f>AT60</f>
        <v>197</v>
      </c>
      <c r="AU13" s="460">
        <f t="shared" ref="AU13:AU21" si="15">AU60-AT13</f>
        <v>225</v>
      </c>
      <c r="AV13" s="460">
        <f>AV60-AU60</f>
        <v>146</v>
      </c>
      <c r="AW13" s="468">
        <f>AW60-AV60</f>
        <v>158</v>
      </c>
      <c r="AX13" s="524">
        <f>AX60</f>
        <v>239</v>
      </c>
      <c r="AY13" s="460">
        <f t="shared" ref="AY13:AY21" si="16">AY60-AX13</f>
        <v>145</v>
      </c>
      <c r="AZ13" s="460">
        <f>AZ60-AY60</f>
        <v>483</v>
      </c>
      <c r="BA13" s="468">
        <f>BA60-AZ60</f>
        <v>745</v>
      </c>
      <c r="BB13" s="524">
        <f>BB60</f>
        <v>519</v>
      </c>
      <c r="BC13" s="460">
        <f t="shared" ref="BC13:BC21" si="17">BC60-BB13</f>
        <v>335</v>
      </c>
      <c r="BD13" s="460">
        <f>BD60-BC60</f>
        <v>391</v>
      </c>
      <c r="BE13" s="468">
        <f>BE60-BD60</f>
        <v>-265</v>
      </c>
      <c r="BF13" s="524">
        <f>BF60</f>
        <v>495</v>
      </c>
      <c r="BG13" s="460">
        <f t="shared" ref="BG13:BG21" si="18">BG60-BF13</f>
        <v>430</v>
      </c>
      <c r="BH13" s="460">
        <f>BH60-BG60</f>
        <v>375</v>
      </c>
      <c r="BI13" s="468">
        <f>BI60-BH60</f>
        <v>317</v>
      </c>
      <c r="BJ13" s="524">
        <f>BJ60</f>
        <v>423</v>
      </c>
      <c r="BK13" s="460">
        <f t="shared" ref="BK13:BK21" si="19">BK60-BJ13</f>
        <v>438</v>
      </c>
      <c r="BL13" s="460">
        <f>BL60-BK60</f>
        <v>384</v>
      </c>
      <c r="BM13" s="468">
        <f>BM60-BL60</f>
        <v>220</v>
      </c>
      <c r="BN13" s="524">
        <f>BN60</f>
        <v>283</v>
      </c>
      <c r="BO13" s="460">
        <f t="shared" ref="BO13:BO21" si="20">BO60-BN13</f>
        <v>251</v>
      </c>
      <c r="BP13" s="460">
        <f>BP60-BO60</f>
        <v>74</v>
      </c>
      <c r="BQ13" s="468">
        <f>BQ60-BP60</f>
        <v>-366</v>
      </c>
      <c r="BR13" s="524">
        <f>BR60</f>
        <v>-366</v>
      </c>
      <c r="BS13" s="460">
        <f t="shared" ref="BS13:BS21" si="21">BS60-BR13</f>
        <v>235</v>
      </c>
      <c r="BT13" s="460">
        <f>BT60-BS60</f>
        <v>248</v>
      </c>
      <c r="BU13" s="468">
        <f>BU60-BT60</f>
        <v>280</v>
      </c>
      <c r="BV13" s="524">
        <f>BV60</f>
        <v>681</v>
      </c>
      <c r="BW13" s="460">
        <f t="shared" ref="BW13:BW21" si="22">BW60-BV13</f>
        <v>-823</v>
      </c>
      <c r="BX13" s="460">
        <f>IS!BX100</f>
        <v>570.84186636899972</v>
      </c>
      <c r="BY13" s="468">
        <f>IS!BY100</f>
        <v>483.53341067384486</v>
      </c>
      <c r="BZ13" s="460">
        <f>IS!BZ100</f>
        <v>638.19150366399299</v>
      </c>
      <c r="CA13" s="460">
        <f>IS!CA100</f>
        <v>561.8225461503547</v>
      </c>
      <c r="CB13" s="460">
        <f>IS!CB100</f>
        <v>398.19404159051226</v>
      </c>
      <c r="CC13" s="468">
        <f>IS!CC100</f>
        <v>347.13813011965897</v>
      </c>
      <c r="CD13" s="805"/>
      <c r="CE13" s="848">
        <f t="shared" ref="CE13:CF21" si="23">CE60</f>
        <v>-98.863</v>
      </c>
      <c r="CF13" s="848">
        <f t="shared" si="23"/>
        <v>65.427999999999997</v>
      </c>
      <c r="CG13" s="136">
        <f t="shared" ref="CG13:CG21" si="24">SUM(N13:Q13)</f>
        <v>182.1</v>
      </c>
      <c r="CH13" s="136">
        <f t="shared" ref="CH13:CH21" si="25">SUM(R13:U13)</f>
        <v>151.30000000000001</v>
      </c>
      <c r="CI13" s="136">
        <f t="shared" ref="CI13:CI21" si="26">SUM(V13:Y13)</f>
        <v>198.4</v>
      </c>
      <c r="CJ13" s="53">
        <f t="shared" ref="CJ13:CJ21" si="27">SUM(Z13:AC13)</f>
        <v>394.6</v>
      </c>
      <c r="CK13" s="53">
        <f t="shared" ref="CK13:CK21" si="28">SUM(AD13:AG13)</f>
        <v>564</v>
      </c>
      <c r="CL13" s="136">
        <f t="shared" ref="CL13:CL21" si="29">SUM(AH13:AK13)</f>
        <v>867</v>
      </c>
      <c r="CM13" s="136">
        <f t="shared" ref="CM13:CM21" si="30">SUM(AL13:AO13)</f>
        <v>470</v>
      </c>
      <c r="CN13" s="136">
        <f t="shared" ref="CN13:CN21" si="31">SUM(AP13:AS13)</f>
        <v>1382</v>
      </c>
      <c r="CO13" s="136">
        <f t="shared" ref="CO13:CO21" si="32">SUM(AT13:AW13)</f>
        <v>726</v>
      </c>
      <c r="CP13" s="136">
        <f t="shared" ref="CP13:CP21" si="33">SUM(AX13:BA13)</f>
        <v>1612</v>
      </c>
      <c r="CQ13" s="136">
        <f t="shared" ref="CQ13:CQ21" si="34">SUM(BB13:BE13)</f>
        <v>980</v>
      </c>
      <c r="CR13" s="655">
        <f t="shared" ref="CR13:CR21" si="35">SUM(BF13:BI13)</f>
        <v>1617</v>
      </c>
      <c r="CS13" s="35">
        <f t="shared" ref="CS13:CS21" si="36">SUM(BJ13:BM13)</f>
        <v>1465</v>
      </c>
      <c r="CT13" s="136">
        <f t="shared" ref="CT13:CT21" si="37">SUM(BN13:BQ13)</f>
        <v>242</v>
      </c>
      <c r="CU13" s="524">
        <f t="shared" ref="CU13:CU21" si="38">SUM(BR13:BU13)</f>
        <v>397</v>
      </c>
      <c r="CV13" s="524">
        <f>SUM(BV13:BY13)</f>
        <v>912.37527704284457</v>
      </c>
      <c r="CW13" s="524">
        <f t="shared" ref="CW13:CW28" si="39">SUM(BZ13:CC13)</f>
        <v>1945.346221524519</v>
      </c>
      <c r="CX13" s="460">
        <f>IS!CX100</f>
        <v>2275.2020940646489</v>
      </c>
      <c r="CY13" s="460">
        <f>IS!CY100</f>
        <v>2421.2963633356276</v>
      </c>
      <c r="CZ13" s="460">
        <f>IS!CZ100</f>
        <v>2648.6104222752533</v>
      </c>
      <c r="DA13" s="460">
        <f>IS!DA100</f>
        <v>2670.3340380490326</v>
      </c>
      <c r="DB13" s="460">
        <f>IS!DB100</f>
        <v>2881.31318536872</v>
      </c>
      <c r="DC13" s="460">
        <f>IS!DC100</f>
        <v>3117.7365510555992</v>
      </c>
      <c r="DD13" s="468"/>
      <c r="DE13" s="460"/>
      <c r="DF13" s="460"/>
      <c r="DG13" s="29"/>
      <c r="DH13" s="29"/>
      <c r="DI13" s="39"/>
      <c r="DJ13" s="29"/>
      <c r="DK13" s="29"/>
      <c r="DL13" s="29"/>
      <c r="DM13" s="91"/>
      <c r="DN13" s="29"/>
      <c r="DO13" s="29"/>
      <c r="DP13" s="29"/>
      <c r="DQ13" s="29"/>
      <c r="DR13" s="29"/>
      <c r="DS13" s="29"/>
      <c r="DT13" s="29"/>
      <c r="DU13" s="29"/>
      <c r="DV13" s="29"/>
      <c r="DW13" s="29"/>
      <c r="EH13" s="1330"/>
    </row>
    <row r="14" spans="1:138">
      <c r="A14" s="321"/>
      <c r="B14" s="270"/>
      <c r="C14" s="264" t="s">
        <v>358</v>
      </c>
      <c r="D14" s="264"/>
      <c r="E14" s="265"/>
      <c r="F14" s="460">
        <f t="shared" si="0"/>
        <v>0</v>
      </c>
      <c r="G14" s="460">
        <f t="shared" si="1"/>
        <v>0</v>
      </c>
      <c r="H14" s="460">
        <f t="shared" si="1"/>
        <v>0</v>
      </c>
      <c r="I14" s="468">
        <f t="shared" si="1"/>
        <v>0</v>
      </c>
      <c r="J14" s="460">
        <f t="shared" si="2"/>
        <v>0</v>
      </c>
      <c r="K14" s="460">
        <f t="shared" si="3"/>
        <v>0</v>
      </c>
      <c r="L14" s="460">
        <f t="shared" si="3"/>
        <v>0</v>
      </c>
      <c r="M14" s="468">
        <f t="shared" si="3"/>
        <v>0</v>
      </c>
      <c r="N14" s="460">
        <f t="shared" si="4"/>
        <v>0</v>
      </c>
      <c r="O14" s="460">
        <f t="shared" si="5"/>
        <v>0</v>
      </c>
      <c r="P14" s="460">
        <f t="shared" si="5"/>
        <v>0</v>
      </c>
      <c r="Q14" s="468">
        <f t="shared" si="5"/>
        <v>0</v>
      </c>
      <c r="R14" s="460">
        <f t="shared" si="6"/>
        <v>0</v>
      </c>
      <c r="S14" s="460">
        <f t="shared" si="7"/>
        <v>0</v>
      </c>
      <c r="T14" s="460">
        <f t="shared" si="7"/>
        <v>0</v>
      </c>
      <c r="U14" s="468">
        <f t="shared" si="7"/>
        <v>0</v>
      </c>
      <c r="V14" s="460">
        <f t="shared" si="8"/>
        <v>0</v>
      </c>
      <c r="W14" s="460">
        <f t="shared" si="9"/>
        <v>0</v>
      </c>
      <c r="X14" s="460">
        <f t="shared" si="9"/>
        <v>0</v>
      </c>
      <c r="Y14" s="468">
        <f t="shared" si="9"/>
        <v>0</v>
      </c>
      <c r="Z14" s="460">
        <f t="shared" si="10"/>
        <v>0</v>
      </c>
      <c r="AA14" s="460">
        <f t="shared" si="11"/>
        <v>0</v>
      </c>
      <c r="AB14" s="460">
        <f t="shared" si="11"/>
        <v>0</v>
      </c>
      <c r="AC14" s="468">
        <f t="shared" si="11"/>
        <v>0</v>
      </c>
      <c r="AD14" s="610">
        <f t="shared" ref="AD14:AD28" si="40">AD61</f>
        <v>0</v>
      </c>
      <c r="AE14" s="610">
        <f t="shared" ref="AE14:AE28" si="41">AE61-AD61</f>
        <v>0</v>
      </c>
      <c r="AF14" s="460">
        <f t="shared" ref="AF14:AG27" si="42">AF61-AE61</f>
        <v>0</v>
      </c>
      <c r="AG14" s="468">
        <f t="shared" si="42"/>
        <v>0</v>
      </c>
      <c r="AH14" s="460">
        <f t="shared" ref="AH14:AH28" si="43">AH61</f>
        <v>0</v>
      </c>
      <c r="AI14" s="460">
        <f t="shared" si="12"/>
        <v>0</v>
      </c>
      <c r="AJ14" s="460">
        <f t="shared" ref="AJ14:AK21" si="44">AJ61-AI61</f>
        <v>0</v>
      </c>
      <c r="AK14" s="468">
        <f t="shared" si="44"/>
        <v>0</v>
      </c>
      <c r="AL14" s="374">
        <f t="shared" ref="AL14:AL28" si="45">AL61</f>
        <v>0</v>
      </c>
      <c r="AM14" s="460">
        <f t="shared" si="13"/>
        <v>0</v>
      </c>
      <c r="AN14" s="460">
        <f t="shared" ref="AN14:AO21" si="46">AN61-AM61</f>
        <v>0</v>
      </c>
      <c r="AO14" s="468">
        <f t="shared" si="46"/>
        <v>0</v>
      </c>
      <c r="AP14" s="374">
        <f t="shared" ref="AP14:AP28" si="47">AP61</f>
        <v>0</v>
      </c>
      <c r="AQ14" s="460">
        <f t="shared" si="14"/>
        <v>0</v>
      </c>
      <c r="AR14" s="460">
        <f t="shared" ref="AR14:AS21" si="48">AR61-AQ61</f>
        <v>0</v>
      </c>
      <c r="AS14" s="468">
        <f t="shared" si="48"/>
        <v>0</v>
      </c>
      <c r="AT14" s="374">
        <f t="shared" ref="AT14:AT28" si="49">AT61</f>
        <v>0</v>
      </c>
      <c r="AU14" s="460">
        <f t="shared" si="15"/>
        <v>0</v>
      </c>
      <c r="AV14" s="460">
        <f t="shared" ref="AV14:AW21" si="50">AV61-AU61</f>
        <v>0</v>
      </c>
      <c r="AW14" s="468">
        <f t="shared" si="50"/>
        <v>0</v>
      </c>
      <c r="AX14" s="374">
        <f t="shared" ref="AX14:AX28" si="51">AX61</f>
        <v>0</v>
      </c>
      <c r="AY14" s="460">
        <f t="shared" si="16"/>
        <v>0</v>
      </c>
      <c r="AZ14" s="460">
        <f t="shared" ref="AZ14:BA21" si="52">AZ61-AY61</f>
        <v>0</v>
      </c>
      <c r="BA14" s="468">
        <f t="shared" si="52"/>
        <v>0</v>
      </c>
      <c r="BB14" s="374">
        <f t="shared" ref="BB14:BB28" si="53">BB61</f>
        <v>0</v>
      </c>
      <c r="BC14" s="460">
        <f t="shared" si="17"/>
        <v>0</v>
      </c>
      <c r="BD14" s="460">
        <f t="shared" ref="BD14:BE21" si="54">BD61-BC61</f>
        <v>0</v>
      </c>
      <c r="BE14" s="468">
        <f t="shared" si="54"/>
        <v>0</v>
      </c>
      <c r="BF14" s="374">
        <f t="shared" ref="BF14:BF28" si="55">BF61</f>
        <v>0</v>
      </c>
      <c r="BG14" s="460">
        <f t="shared" si="18"/>
        <v>0</v>
      </c>
      <c r="BH14" s="460">
        <f t="shared" ref="BH14:BI21" si="56">BH61-BG61</f>
        <v>0</v>
      </c>
      <c r="BI14" s="468">
        <f t="shared" si="56"/>
        <v>0</v>
      </c>
      <c r="BJ14" s="374">
        <f t="shared" ref="BJ14:BJ28" si="57">BJ61</f>
        <v>0</v>
      </c>
      <c r="BK14" s="460">
        <f t="shared" si="19"/>
        <v>0</v>
      </c>
      <c r="BL14" s="460">
        <f t="shared" ref="BL14:BM28" si="58">BL61-BK61</f>
        <v>0</v>
      </c>
      <c r="BM14" s="468">
        <f t="shared" si="58"/>
        <v>0</v>
      </c>
      <c r="BN14" s="374">
        <f t="shared" ref="BN14:BN28" si="59">BN61</f>
        <v>0</v>
      </c>
      <c r="BO14" s="460">
        <f t="shared" si="20"/>
        <v>0</v>
      </c>
      <c r="BP14" s="460">
        <f t="shared" ref="BP14:BQ28" si="60">BP61-BO61</f>
        <v>0</v>
      </c>
      <c r="BQ14" s="468">
        <f t="shared" si="60"/>
        <v>0</v>
      </c>
      <c r="BR14" s="374">
        <f t="shared" ref="BR14:BR28" si="61">BR61</f>
        <v>0</v>
      </c>
      <c r="BS14" s="460">
        <f t="shared" si="21"/>
        <v>0</v>
      </c>
      <c r="BT14" s="460">
        <f t="shared" ref="BT14:BU28" si="62">BT61-BS61</f>
        <v>0</v>
      </c>
      <c r="BU14" s="468">
        <f t="shared" si="62"/>
        <v>0</v>
      </c>
      <c r="BV14" s="374">
        <f t="shared" ref="BV14:BV28" si="63">BV61</f>
        <v>0</v>
      </c>
      <c r="BW14" s="460">
        <f t="shared" si="22"/>
        <v>0</v>
      </c>
      <c r="BX14" s="459">
        <v>0</v>
      </c>
      <c r="BY14" s="522">
        <v>0</v>
      </c>
      <c r="BZ14" s="459">
        <v>0</v>
      </c>
      <c r="CA14" s="459">
        <v>0</v>
      </c>
      <c r="CB14" s="459">
        <v>0</v>
      </c>
      <c r="CC14" s="522">
        <v>0</v>
      </c>
      <c r="CD14" s="805"/>
      <c r="CE14" s="848">
        <f t="shared" si="23"/>
        <v>0</v>
      </c>
      <c r="CF14" s="848">
        <f t="shared" si="23"/>
        <v>0</v>
      </c>
      <c r="CG14" s="136">
        <f t="shared" si="24"/>
        <v>0</v>
      </c>
      <c r="CH14" s="136">
        <f t="shared" si="25"/>
        <v>0</v>
      </c>
      <c r="CI14" s="136">
        <f t="shared" si="26"/>
        <v>0</v>
      </c>
      <c r="CJ14" s="53">
        <f t="shared" si="27"/>
        <v>0</v>
      </c>
      <c r="CK14" s="53">
        <f t="shared" si="28"/>
        <v>0</v>
      </c>
      <c r="CL14" s="136">
        <f t="shared" si="29"/>
        <v>0</v>
      </c>
      <c r="CM14" s="136">
        <f t="shared" si="30"/>
        <v>0</v>
      </c>
      <c r="CN14" s="136">
        <f t="shared" si="31"/>
        <v>0</v>
      </c>
      <c r="CO14" s="374">
        <f t="shared" si="32"/>
        <v>0</v>
      </c>
      <c r="CP14" s="374">
        <f t="shared" si="33"/>
        <v>0</v>
      </c>
      <c r="CQ14" s="374">
        <f t="shared" si="34"/>
        <v>0</v>
      </c>
      <c r="CR14" s="498">
        <f t="shared" si="35"/>
        <v>0</v>
      </c>
      <c r="CS14" s="374">
        <f t="shared" si="36"/>
        <v>0</v>
      </c>
      <c r="CT14" s="459">
        <f t="shared" si="37"/>
        <v>0</v>
      </c>
      <c r="CU14" s="374">
        <f t="shared" si="38"/>
        <v>0</v>
      </c>
      <c r="CV14" s="374">
        <f t="shared" ref="CV14:CV28" si="64">SUM(BV14:BY14)</f>
        <v>0</v>
      </c>
      <c r="CW14" s="374">
        <f t="shared" si="39"/>
        <v>0</v>
      </c>
      <c r="CX14" s="459">
        <v>0</v>
      </c>
      <c r="CY14" s="459">
        <v>0</v>
      </c>
      <c r="CZ14" s="459">
        <v>0</v>
      </c>
      <c r="DA14" s="459">
        <v>0</v>
      </c>
      <c r="DB14" s="459">
        <v>0</v>
      </c>
      <c r="DC14" s="459">
        <v>0</v>
      </c>
      <c r="DD14" s="522"/>
      <c r="DE14" s="460"/>
      <c r="DF14" s="460"/>
      <c r="DG14" s="29"/>
      <c r="DH14" s="29"/>
      <c r="DI14" s="39"/>
      <c r="DJ14" s="29"/>
      <c r="DK14" s="29"/>
      <c r="DL14" s="29"/>
      <c r="DM14" s="91"/>
      <c r="DN14" s="29"/>
      <c r="DO14" s="29"/>
      <c r="DP14" s="29"/>
      <c r="DQ14" s="29"/>
      <c r="DR14" s="29"/>
      <c r="DS14" s="29"/>
      <c r="DT14" s="29"/>
      <c r="DU14" s="29"/>
      <c r="DV14" s="29"/>
      <c r="DW14" s="29"/>
      <c r="EH14" s="1330"/>
    </row>
    <row r="15" spans="1:138">
      <c r="A15" s="320"/>
      <c r="B15" s="208"/>
      <c r="C15" s="196" t="s">
        <v>617</v>
      </c>
      <c r="D15" s="196"/>
      <c r="E15" s="197"/>
      <c r="F15" s="460">
        <f t="shared" si="0"/>
        <v>13.76</v>
      </c>
      <c r="G15" s="460">
        <f t="shared" si="1"/>
        <v>12.929</v>
      </c>
      <c r="H15" s="460">
        <f t="shared" si="1"/>
        <v>12.841999999999999</v>
      </c>
      <c r="I15" s="468">
        <f t="shared" si="1"/>
        <v>12.374000000000002</v>
      </c>
      <c r="J15" s="460">
        <f t="shared" si="2"/>
        <v>11.26</v>
      </c>
      <c r="K15" s="460">
        <f t="shared" si="3"/>
        <v>11.349000000000002</v>
      </c>
      <c r="L15" s="460">
        <f t="shared" si="3"/>
        <v>11.714999999999996</v>
      </c>
      <c r="M15" s="468">
        <f t="shared" si="3"/>
        <v>11.469999999999999</v>
      </c>
      <c r="N15" s="460">
        <f t="shared" si="4"/>
        <v>11.634</v>
      </c>
      <c r="O15" s="460">
        <f t="shared" si="5"/>
        <v>11.802</v>
      </c>
      <c r="P15" s="460">
        <f t="shared" si="5"/>
        <v>12.862000000000002</v>
      </c>
      <c r="Q15" s="468">
        <f t="shared" si="5"/>
        <v>14.101999999999997</v>
      </c>
      <c r="R15" s="460">
        <f t="shared" si="6"/>
        <v>21.4</v>
      </c>
      <c r="S15" s="460">
        <f t="shared" si="7"/>
        <v>25.800000000000004</v>
      </c>
      <c r="T15" s="460">
        <f t="shared" si="7"/>
        <v>26.799999999999997</v>
      </c>
      <c r="U15" s="468">
        <f t="shared" si="7"/>
        <v>27.700000000000003</v>
      </c>
      <c r="V15" s="460">
        <f t="shared" si="8"/>
        <v>29</v>
      </c>
      <c r="W15" s="460">
        <f t="shared" si="9"/>
        <v>32.5</v>
      </c>
      <c r="X15" s="460">
        <f t="shared" si="9"/>
        <v>35.700000000000003</v>
      </c>
      <c r="Y15" s="468">
        <f t="shared" si="9"/>
        <v>37.600000000000009</v>
      </c>
      <c r="Z15" s="460">
        <f t="shared" si="10"/>
        <v>35.6</v>
      </c>
      <c r="AA15" s="460">
        <f t="shared" si="11"/>
        <v>38.6</v>
      </c>
      <c r="AB15" s="460">
        <f t="shared" si="11"/>
        <v>41.899999999999991</v>
      </c>
      <c r="AC15" s="468">
        <f t="shared" si="11"/>
        <v>43.700000000000017</v>
      </c>
      <c r="AD15" s="610">
        <f t="shared" si="40"/>
        <v>45</v>
      </c>
      <c r="AE15" s="610">
        <f t="shared" si="41"/>
        <v>49</v>
      </c>
      <c r="AF15" s="460">
        <f t="shared" si="42"/>
        <v>55</v>
      </c>
      <c r="AG15" s="468">
        <f t="shared" si="42"/>
        <v>61</v>
      </c>
      <c r="AH15" s="460">
        <f t="shared" si="43"/>
        <v>78</v>
      </c>
      <c r="AI15" s="460">
        <f t="shared" si="12"/>
        <v>111</v>
      </c>
      <c r="AJ15" s="460">
        <f t="shared" si="44"/>
        <v>111</v>
      </c>
      <c r="AK15" s="468">
        <f t="shared" si="44"/>
        <v>113</v>
      </c>
      <c r="AL15" s="524">
        <f t="shared" si="45"/>
        <v>117</v>
      </c>
      <c r="AM15" s="460">
        <f t="shared" si="13"/>
        <v>122</v>
      </c>
      <c r="AN15" s="460">
        <f>AN62-AM62</f>
        <v>119</v>
      </c>
      <c r="AO15" s="468">
        <f t="shared" si="46"/>
        <v>121</v>
      </c>
      <c r="AP15" s="524">
        <f t="shared" si="47"/>
        <v>121</v>
      </c>
      <c r="AQ15" s="460">
        <f t="shared" si="14"/>
        <v>126</v>
      </c>
      <c r="AR15" s="460">
        <f>AR62-AQ62</f>
        <v>129</v>
      </c>
      <c r="AS15" s="468">
        <f t="shared" si="48"/>
        <v>134</v>
      </c>
      <c r="AT15" s="524">
        <f t="shared" si="49"/>
        <v>150</v>
      </c>
      <c r="AU15" s="460">
        <f t="shared" si="15"/>
        <v>151</v>
      </c>
      <c r="AV15" s="460">
        <f>AV62-AU62</f>
        <v>151</v>
      </c>
      <c r="AW15" s="468">
        <f t="shared" si="50"/>
        <v>150</v>
      </c>
      <c r="AX15" s="524">
        <f t="shared" si="51"/>
        <v>158</v>
      </c>
      <c r="AY15" s="460">
        <f t="shared" si="16"/>
        <v>140</v>
      </c>
      <c r="AZ15" s="460">
        <f>AZ62-AY62</f>
        <v>188</v>
      </c>
      <c r="BA15" s="468">
        <f t="shared" si="52"/>
        <v>339</v>
      </c>
      <c r="BB15" s="524">
        <f t="shared" si="53"/>
        <v>313</v>
      </c>
      <c r="BC15" s="460">
        <f t="shared" si="17"/>
        <v>309</v>
      </c>
      <c r="BD15" s="460">
        <f>BD62-BC62</f>
        <v>309</v>
      </c>
      <c r="BE15" s="468">
        <f t="shared" si="54"/>
        <v>302</v>
      </c>
      <c r="BF15" s="524">
        <f t="shared" si="55"/>
        <v>312</v>
      </c>
      <c r="BG15" s="460">
        <f t="shared" si="18"/>
        <v>317</v>
      </c>
      <c r="BH15" s="460">
        <f>BH62-BG62</f>
        <v>307</v>
      </c>
      <c r="BI15" s="468">
        <f t="shared" si="56"/>
        <v>308</v>
      </c>
      <c r="BJ15" s="524">
        <f t="shared" si="57"/>
        <v>289</v>
      </c>
      <c r="BK15" s="460">
        <f t="shared" si="19"/>
        <v>290</v>
      </c>
      <c r="BL15" s="460">
        <f t="shared" si="58"/>
        <v>285</v>
      </c>
      <c r="BM15" s="468">
        <f t="shared" si="58"/>
        <v>250</v>
      </c>
      <c r="BN15" s="524">
        <f t="shared" si="59"/>
        <v>236</v>
      </c>
      <c r="BO15" s="460">
        <f t="shared" si="20"/>
        <v>252</v>
      </c>
      <c r="BP15" s="460">
        <f t="shared" si="60"/>
        <v>246</v>
      </c>
      <c r="BQ15" s="468">
        <f t="shared" si="60"/>
        <v>420</v>
      </c>
      <c r="BR15" s="524">
        <f t="shared" si="61"/>
        <v>508</v>
      </c>
      <c r="BS15" s="460">
        <f t="shared" si="21"/>
        <v>514</v>
      </c>
      <c r="BT15" s="460">
        <f t="shared" si="62"/>
        <v>560</v>
      </c>
      <c r="BU15" s="468">
        <f t="shared" si="62"/>
        <v>546</v>
      </c>
      <c r="BV15" s="524">
        <f t="shared" si="63"/>
        <v>533</v>
      </c>
      <c r="BW15" s="460">
        <f t="shared" si="22"/>
        <v>535</v>
      </c>
      <c r="BX15" s="460">
        <f>-BS!BX89</f>
        <v>375.71537575892859</v>
      </c>
      <c r="BY15" s="468">
        <f>-BS!BY89</f>
        <v>384.68042097407499</v>
      </c>
      <c r="BZ15" s="460">
        <f>-BS!BZ89</f>
        <v>396.70836252236114</v>
      </c>
      <c r="CA15" s="460">
        <f>-BS!CA89</f>
        <v>408.38586652101446</v>
      </c>
      <c r="CB15" s="460">
        <f>-BS!CB89</f>
        <v>419.14284257596904</v>
      </c>
      <c r="CC15" s="468">
        <f>-BS!CC89</f>
        <v>433.76446820149471</v>
      </c>
      <c r="CD15" s="805"/>
      <c r="CE15" s="848">
        <f t="shared" si="23"/>
        <v>51.905000000000001</v>
      </c>
      <c r="CF15" s="848">
        <f t="shared" si="23"/>
        <v>45.793999999999997</v>
      </c>
      <c r="CG15" s="136">
        <f t="shared" si="24"/>
        <v>50.4</v>
      </c>
      <c r="CH15" s="136">
        <f t="shared" si="25"/>
        <v>101.7</v>
      </c>
      <c r="CI15" s="136">
        <f t="shared" si="26"/>
        <v>134.80000000000001</v>
      </c>
      <c r="CJ15" s="53">
        <f t="shared" si="27"/>
        <v>159.80000000000001</v>
      </c>
      <c r="CK15" s="53">
        <f t="shared" si="28"/>
        <v>210</v>
      </c>
      <c r="CL15" s="136">
        <f t="shared" si="29"/>
        <v>413</v>
      </c>
      <c r="CM15" s="136">
        <f t="shared" si="30"/>
        <v>479</v>
      </c>
      <c r="CN15" s="136">
        <f t="shared" si="31"/>
        <v>510</v>
      </c>
      <c r="CO15" s="374">
        <f t="shared" si="32"/>
        <v>602</v>
      </c>
      <c r="CP15" s="374">
        <f t="shared" si="33"/>
        <v>825</v>
      </c>
      <c r="CQ15" s="374">
        <f t="shared" si="34"/>
        <v>1233</v>
      </c>
      <c r="CR15" s="498">
        <f t="shared" si="35"/>
        <v>1244</v>
      </c>
      <c r="CS15" s="524">
        <f t="shared" si="36"/>
        <v>1114</v>
      </c>
      <c r="CT15" s="136">
        <f t="shared" si="37"/>
        <v>1154</v>
      </c>
      <c r="CU15" s="524">
        <f t="shared" si="38"/>
        <v>2128</v>
      </c>
      <c r="CV15" s="524">
        <f t="shared" si="64"/>
        <v>1828.3957967330034</v>
      </c>
      <c r="CW15" s="524">
        <f t="shared" si="39"/>
        <v>1658.0015398208395</v>
      </c>
      <c r="CX15" s="460">
        <f>-BS!CX89</f>
        <v>1829.0753339658129</v>
      </c>
      <c r="CY15" s="460">
        <f>-BS!CY89</f>
        <v>1415.8333134950572</v>
      </c>
      <c r="CZ15" s="460">
        <f>-BS!CZ89</f>
        <v>1561.8556946851677</v>
      </c>
      <c r="DA15" s="460">
        <f>-BS!DA89</f>
        <v>1432.9834507693315</v>
      </c>
      <c r="DB15" s="460">
        <f>-BS!DB89</f>
        <v>1570.7712490121428</v>
      </c>
      <c r="DC15" s="460">
        <f>-BS!DC89</f>
        <v>1715.7539540343084</v>
      </c>
      <c r="DD15" s="468"/>
      <c r="DE15" s="460"/>
      <c r="DF15" s="460"/>
      <c r="DG15" s="29"/>
      <c r="DH15" s="29"/>
      <c r="DI15" s="39"/>
      <c r="DJ15" s="29"/>
      <c r="DK15" s="29"/>
      <c r="DL15" s="29"/>
      <c r="DM15" s="91"/>
      <c r="DN15" s="29"/>
      <c r="DO15" s="29"/>
      <c r="DP15" s="29"/>
      <c r="DQ15" s="29"/>
      <c r="DR15" s="29"/>
      <c r="DS15" s="29"/>
      <c r="DT15" s="29"/>
      <c r="DU15" s="29"/>
      <c r="DV15" s="29"/>
      <c r="DW15" s="29"/>
      <c r="EH15" s="1330"/>
    </row>
    <row r="16" spans="1:138">
      <c r="A16" s="320"/>
      <c r="B16" s="208"/>
      <c r="C16" s="52" t="s">
        <v>786</v>
      </c>
      <c r="D16" s="196"/>
      <c r="E16" s="197"/>
      <c r="F16" s="460">
        <f t="shared" si="0"/>
        <v>0</v>
      </c>
      <c r="G16" s="460">
        <f>G63-F63</f>
        <v>0</v>
      </c>
      <c r="H16" s="460">
        <f>H63-G63</f>
        <v>0</v>
      </c>
      <c r="I16" s="468">
        <f t="shared" si="1"/>
        <v>0</v>
      </c>
      <c r="J16" s="460">
        <f t="shared" si="2"/>
        <v>0</v>
      </c>
      <c r="K16" s="460">
        <f t="shared" si="3"/>
        <v>0</v>
      </c>
      <c r="L16" s="460">
        <f t="shared" si="3"/>
        <v>0</v>
      </c>
      <c r="M16" s="468">
        <f>M63-L63</f>
        <v>0</v>
      </c>
      <c r="N16" s="460">
        <f t="shared" si="4"/>
        <v>0</v>
      </c>
      <c r="O16" s="460">
        <f t="shared" si="5"/>
        <v>0</v>
      </c>
      <c r="P16" s="460">
        <f t="shared" si="5"/>
        <v>0</v>
      </c>
      <c r="Q16" s="468">
        <f t="shared" si="5"/>
        <v>0</v>
      </c>
      <c r="R16" s="460">
        <f t="shared" si="6"/>
        <v>0</v>
      </c>
      <c r="S16" s="460">
        <f t="shared" si="7"/>
        <v>0</v>
      </c>
      <c r="T16" s="460">
        <f t="shared" si="7"/>
        <v>0</v>
      </c>
      <c r="U16" s="468">
        <f t="shared" si="7"/>
        <v>0</v>
      </c>
      <c r="V16" s="460">
        <f t="shared" si="8"/>
        <v>0</v>
      </c>
      <c r="W16" s="460">
        <f t="shared" si="9"/>
        <v>0</v>
      </c>
      <c r="X16" s="460">
        <f t="shared" si="9"/>
        <v>0</v>
      </c>
      <c r="Y16" s="468">
        <f t="shared" si="9"/>
        <v>0</v>
      </c>
      <c r="Z16" s="460">
        <f t="shared" si="10"/>
        <v>0</v>
      </c>
      <c r="AA16" s="460">
        <f t="shared" si="11"/>
        <v>0</v>
      </c>
      <c r="AB16" s="460">
        <f t="shared" si="11"/>
        <v>0</v>
      </c>
      <c r="AC16" s="468">
        <f t="shared" si="11"/>
        <v>-22.3</v>
      </c>
      <c r="AD16" s="610">
        <f t="shared" si="40"/>
        <v>0</v>
      </c>
      <c r="AE16" s="610">
        <f t="shared" si="41"/>
        <v>0</v>
      </c>
      <c r="AF16" s="460">
        <f t="shared" si="42"/>
        <v>3</v>
      </c>
      <c r="AG16" s="468">
        <f t="shared" si="42"/>
        <v>-129</v>
      </c>
      <c r="AH16" s="460">
        <f t="shared" si="43"/>
        <v>60</v>
      </c>
      <c r="AI16" s="460">
        <f t="shared" si="12"/>
        <v>2</v>
      </c>
      <c r="AJ16" s="460">
        <f t="shared" si="44"/>
        <v>14</v>
      </c>
      <c r="AK16" s="468">
        <f t="shared" si="44"/>
        <v>-78</v>
      </c>
      <c r="AL16" s="374">
        <f t="shared" si="45"/>
        <v>0</v>
      </c>
      <c r="AM16" s="460">
        <f t="shared" si="13"/>
        <v>-7</v>
      </c>
      <c r="AN16" s="460">
        <f t="shared" si="46"/>
        <v>0</v>
      </c>
      <c r="AO16" s="468">
        <f t="shared" si="46"/>
        <v>31</v>
      </c>
      <c r="AP16" s="374">
        <f t="shared" si="47"/>
        <v>0</v>
      </c>
      <c r="AQ16" s="460">
        <f t="shared" si="14"/>
        <v>-5</v>
      </c>
      <c r="AR16" s="460">
        <f t="shared" si="48"/>
        <v>3</v>
      </c>
      <c r="AS16" s="468">
        <f t="shared" si="48"/>
        <v>29</v>
      </c>
      <c r="AT16" s="374">
        <f t="shared" si="49"/>
        <v>0</v>
      </c>
      <c r="AU16" s="460">
        <f t="shared" si="15"/>
        <v>1</v>
      </c>
      <c r="AV16" s="460">
        <f t="shared" si="50"/>
        <v>3</v>
      </c>
      <c r="AW16" s="468">
        <f t="shared" si="50"/>
        <v>16</v>
      </c>
      <c r="AX16" s="374">
        <f t="shared" si="51"/>
        <v>9</v>
      </c>
      <c r="AY16" s="460">
        <f t="shared" si="16"/>
        <v>9</v>
      </c>
      <c r="AZ16" s="460">
        <f t="shared" si="52"/>
        <v>24</v>
      </c>
      <c r="BA16" s="468">
        <f t="shared" si="52"/>
        <v>-8</v>
      </c>
      <c r="BB16" s="374">
        <f t="shared" si="53"/>
        <v>-12</v>
      </c>
      <c r="BC16" s="460">
        <f t="shared" si="17"/>
        <v>80</v>
      </c>
      <c r="BD16" s="460">
        <f t="shared" si="54"/>
        <v>-9</v>
      </c>
      <c r="BE16" s="468">
        <f t="shared" si="54"/>
        <v>-24</v>
      </c>
      <c r="BF16" s="374">
        <f t="shared" si="55"/>
        <v>-10</v>
      </c>
      <c r="BG16" s="460">
        <f t="shared" si="18"/>
        <v>-29</v>
      </c>
      <c r="BH16" s="460">
        <f t="shared" si="56"/>
        <v>-27</v>
      </c>
      <c r="BI16" s="468">
        <f t="shared" si="56"/>
        <v>53</v>
      </c>
      <c r="BJ16" s="374">
        <f t="shared" si="57"/>
        <v>10</v>
      </c>
      <c r="BK16" s="460">
        <f t="shared" si="19"/>
        <v>21</v>
      </c>
      <c r="BL16" s="460">
        <f t="shared" si="58"/>
        <v>-22</v>
      </c>
      <c r="BM16" s="468">
        <f t="shared" si="58"/>
        <v>19</v>
      </c>
      <c r="BN16" s="374">
        <f t="shared" si="59"/>
        <v>-7</v>
      </c>
      <c r="BO16" s="460">
        <f t="shared" si="20"/>
        <v>22</v>
      </c>
      <c r="BP16" s="460">
        <f t="shared" si="60"/>
        <v>-32</v>
      </c>
      <c r="BQ16" s="468">
        <f t="shared" si="60"/>
        <v>-132</v>
      </c>
      <c r="BR16" s="374">
        <f t="shared" si="61"/>
        <v>147</v>
      </c>
      <c r="BS16" s="460">
        <f t="shared" si="21"/>
        <v>-30</v>
      </c>
      <c r="BT16" s="460">
        <f t="shared" si="62"/>
        <v>-56</v>
      </c>
      <c r="BU16" s="468">
        <f t="shared" si="62"/>
        <v>-49</v>
      </c>
      <c r="BV16" s="374">
        <f t="shared" si="63"/>
        <v>36</v>
      </c>
      <c r="BW16" s="460">
        <f t="shared" si="22"/>
        <v>129</v>
      </c>
      <c r="BX16" s="459">
        <v>0</v>
      </c>
      <c r="BY16" s="522">
        <v>0</v>
      </c>
      <c r="BZ16" s="459">
        <v>0</v>
      </c>
      <c r="CA16" s="459">
        <v>0</v>
      </c>
      <c r="CB16" s="459">
        <v>0</v>
      </c>
      <c r="CC16" s="522">
        <v>0</v>
      </c>
      <c r="CD16" s="806"/>
      <c r="CE16" s="848">
        <f t="shared" si="23"/>
        <v>0</v>
      </c>
      <c r="CF16" s="848">
        <f t="shared" si="23"/>
        <v>0</v>
      </c>
      <c r="CG16" s="53">
        <f t="shared" si="24"/>
        <v>0</v>
      </c>
      <c r="CH16" s="136">
        <f t="shared" si="25"/>
        <v>0</v>
      </c>
      <c r="CI16" s="136">
        <f t="shared" si="26"/>
        <v>0</v>
      </c>
      <c r="CJ16" s="53">
        <f t="shared" si="27"/>
        <v>-22.3</v>
      </c>
      <c r="CK16" s="53">
        <f t="shared" si="28"/>
        <v>-126</v>
      </c>
      <c r="CL16" s="136">
        <f t="shared" si="29"/>
        <v>-2</v>
      </c>
      <c r="CM16" s="136">
        <f t="shared" si="30"/>
        <v>24</v>
      </c>
      <c r="CN16" s="136">
        <f t="shared" si="31"/>
        <v>27</v>
      </c>
      <c r="CO16" s="374">
        <f t="shared" si="32"/>
        <v>20</v>
      </c>
      <c r="CP16" s="374">
        <f t="shared" si="33"/>
        <v>34</v>
      </c>
      <c r="CQ16" s="374">
        <f t="shared" si="34"/>
        <v>35</v>
      </c>
      <c r="CR16" s="498">
        <f t="shared" si="35"/>
        <v>-13</v>
      </c>
      <c r="CS16" s="374">
        <f t="shared" si="36"/>
        <v>28</v>
      </c>
      <c r="CT16" s="136">
        <f t="shared" si="37"/>
        <v>-149</v>
      </c>
      <c r="CU16" s="374">
        <f t="shared" si="38"/>
        <v>12</v>
      </c>
      <c r="CV16" s="374">
        <f t="shared" si="64"/>
        <v>165</v>
      </c>
      <c r="CW16" s="374">
        <f t="shared" si="39"/>
        <v>0</v>
      </c>
      <c r="CX16" s="459">
        <v>0</v>
      </c>
      <c r="CY16" s="459">
        <v>0</v>
      </c>
      <c r="CZ16" s="459">
        <v>0</v>
      </c>
      <c r="DA16" s="459">
        <v>0</v>
      </c>
      <c r="DB16" s="459">
        <v>0</v>
      </c>
      <c r="DC16" s="459">
        <v>0</v>
      </c>
      <c r="DD16" s="522"/>
      <c r="DE16" s="460"/>
      <c r="DF16" s="460"/>
      <c r="DG16" s="29"/>
      <c r="DH16" s="29"/>
      <c r="DI16" s="39"/>
      <c r="DJ16" s="39"/>
      <c r="DK16" s="39"/>
      <c r="DL16" s="39"/>
      <c r="DM16" s="91"/>
      <c r="DN16" s="29"/>
      <c r="DO16" s="29"/>
      <c r="DP16" s="29"/>
      <c r="DQ16" s="29"/>
      <c r="DR16" s="29"/>
      <c r="DS16" s="29"/>
      <c r="DT16" s="29"/>
      <c r="DU16" s="29"/>
      <c r="DV16" s="29"/>
      <c r="DW16" s="29"/>
      <c r="EH16" s="1330"/>
    </row>
    <row r="17" spans="1:138">
      <c r="A17" s="320"/>
      <c r="B17" s="208"/>
      <c r="C17" s="52" t="s">
        <v>787</v>
      </c>
      <c r="D17" s="196"/>
      <c r="E17" s="197"/>
      <c r="F17" s="460">
        <f t="shared" si="0"/>
        <v>0</v>
      </c>
      <c r="G17" s="460">
        <f t="shared" si="1"/>
        <v>0</v>
      </c>
      <c r="H17" s="460">
        <f t="shared" si="1"/>
        <v>0</v>
      </c>
      <c r="I17" s="468">
        <f t="shared" si="1"/>
        <v>0</v>
      </c>
      <c r="J17" s="460">
        <f t="shared" si="2"/>
        <v>0</v>
      </c>
      <c r="K17" s="460">
        <f t="shared" si="3"/>
        <v>0</v>
      </c>
      <c r="L17" s="460">
        <f t="shared" si="3"/>
        <v>0</v>
      </c>
      <c r="M17" s="468">
        <f t="shared" si="3"/>
        <v>0</v>
      </c>
      <c r="N17" s="460">
        <f t="shared" si="4"/>
        <v>0</v>
      </c>
      <c r="O17" s="460">
        <f t="shared" si="5"/>
        <v>0</v>
      </c>
      <c r="P17" s="460">
        <f t="shared" si="5"/>
        <v>0</v>
      </c>
      <c r="Q17" s="468">
        <f t="shared" si="5"/>
        <v>0</v>
      </c>
      <c r="R17" s="460">
        <f t="shared" si="6"/>
        <v>25.6</v>
      </c>
      <c r="S17" s="460">
        <f>S64-R64</f>
        <v>0</v>
      </c>
      <c r="T17" s="460">
        <f>T64-S64</f>
        <v>0</v>
      </c>
      <c r="U17" s="468">
        <f>U64-T64</f>
        <v>0</v>
      </c>
      <c r="V17" s="460">
        <f t="shared" si="8"/>
        <v>0</v>
      </c>
      <c r="W17" s="460">
        <f t="shared" si="9"/>
        <v>0</v>
      </c>
      <c r="X17" s="460">
        <f t="shared" si="9"/>
        <v>0</v>
      </c>
      <c r="Y17" s="468">
        <f t="shared" si="9"/>
        <v>0</v>
      </c>
      <c r="Z17" s="460">
        <f t="shared" si="10"/>
        <v>0</v>
      </c>
      <c r="AA17" s="460">
        <f t="shared" si="11"/>
        <v>0</v>
      </c>
      <c r="AB17" s="460">
        <f t="shared" si="11"/>
        <v>0</v>
      </c>
      <c r="AC17" s="468">
        <f t="shared" si="11"/>
        <v>0</v>
      </c>
      <c r="AD17" s="610">
        <f t="shared" si="40"/>
        <v>0</v>
      </c>
      <c r="AE17" s="610">
        <f t="shared" si="41"/>
        <v>0</v>
      </c>
      <c r="AF17" s="460">
        <f t="shared" si="42"/>
        <v>0</v>
      </c>
      <c r="AG17" s="468">
        <f t="shared" si="42"/>
        <v>0</v>
      </c>
      <c r="AH17" s="460">
        <f t="shared" si="43"/>
        <v>49</v>
      </c>
      <c r="AI17" s="460">
        <f t="shared" si="12"/>
        <v>0</v>
      </c>
      <c r="AJ17" s="460">
        <f t="shared" si="44"/>
        <v>0</v>
      </c>
      <c r="AK17" s="468">
        <f t="shared" si="44"/>
        <v>0</v>
      </c>
      <c r="AL17" s="374">
        <f t="shared" si="45"/>
        <v>0</v>
      </c>
      <c r="AM17" s="460">
        <f t="shared" si="13"/>
        <v>0</v>
      </c>
      <c r="AN17" s="460">
        <f t="shared" si="46"/>
        <v>0</v>
      </c>
      <c r="AO17" s="468">
        <f t="shared" si="46"/>
        <v>0</v>
      </c>
      <c r="AP17" s="374">
        <f t="shared" si="47"/>
        <v>0</v>
      </c>
      <c r="AQ17" s="460">
        <f t="shared" si="14"/>
        <v>0</v>
      </c>
      <c r="AR17" s="460">
        <f t="shared" si="48"/>
        <v>0</v>
      </c>
      <c r="AS17" s="468">
        <f t="shared" si="48"/>
        <v>0</v>
      </c>
      <c r="AT17" s="374">
        <f t="shared" si="49"/>
        <v>0</v>
      </c>
      <c r="AU17" s="460">
        <f t="shared" si="15"/>
        <v>0</v>
      </c>
      <c r="AV17" s="460">
        <f t="shared" si="50"/>
        <v>0</v>
      </c>
      <c r="AW17" s="468">
        <f t="shared" si="50"/>
        <v>0</v>
      </c>
      <c r="AX17" s="374">
        <f t="shared" si="51"/>
        <v>0</v>
      </c>
      <c r="AY17" s="460">
        <f t="shared" si="16"/>
        <v>0</v>
      </c>
      <c r="AZ17" s="460">
        <f t="shared" si="52"/>
        <v>0</v>
      </c>
      <c r="BA17" s="468">
        <f t="shared" si="52"/>
        <v>0</v>
      </c>
      <c r="BB17" s="374">
        <f t="shared" si="53"/>
        <v>0</v>
      </c>
      <c r="BC17" s="460">
        <f t="shared" si="17"/>
        <v>0</v>
      </c>
      <c r="BD17" s="460">
        <f t="shared" si="54"/>
        <v>0</v>
      </c>
      <c r="BE17" s="468">
        <f t="shared" si="54"/>
        <v>0</v>
      </c>
      <c r="BF17" s="374">
        <f t="shared" si="55"/>
        <v>0</v>
      </c>
      <c r="BG17" s="460">
        <f t="shared" si="18"/>
        <v>0</v>
      </c>
      <c r="BH17" s="460">
        <f t="shared" si="56"/>
        <v>0</v>
      </c>
      <c r="BI17" s="468">
        <f t="shared" si="56"/>
        <v>0</v>
      </c>
      <c r="BJ17" s="374">
        <f t="shared" si="57"/>
        <v>0</v>
      </c>
      <c r="BK17" s="460">
        <f t="shared" si="19"/>
        <v>0</v>
      </c>
      <c r="BL17" s="460">
        <f t="shared" si="58"/>
        <v>0</v>
      </c>
      <c r="BM17" s="468">
        <f t="shared" si="58"/>
        <v>0</v>
      </c>
      <c r="BN17" s="374">
        <f t="shared" si="59"/>
        <v>0</v>
      </c>
      <c r="BO17" s="460">
        <f t="shared" si="20"/>
        <v>0</v>
      </c>
      <c r="BP17" s="460">
        <f t="shared" si="60"/>
        <v>0</v>
      </c>
      <c r="BQ17" s="468">
        <f t="shared" si="60"/>
        <v>0</v>
      </c>
      <c r="BR17" s="374">
        <f t="shared" si="61"/>
        <v>0</v>
      </c>
      <c r="BS17" s="460">
        <f t="shared" si="21"/>
        <v>0</v>
      </c>
      <c r="BT17" s="460">
        <f t="shared" si="62"/>
        <v>0</v>
      </c>
      <c r="BU17" s="468">
        <f t="shared" si="62"/>
        <v>0</v>
      </c>
      <c r="BV17" s="374">
        <f t="shared" si="63"/>
        <v>0</v>
      </c>
      <c r="BW17" s="460">
        <f t="shared" si="22"/>
        <v>0</v>
      </c>
      <c r="BX17" s="459">
        <v>0</v>
      </c>
      <c r="BY17" s="522">
        <v>0</v>
      </c>
      <c r="BZ17" s="459">
        <v>0</v>
      </c>
      <c r="CA17" s="459">
        <v>0</v>
      </c>
      <c r="CB17" s="459">
        <v>0</v>
      </c>
      <c r="CC17" s="522">
        <v>0</v>
      </c>
      <c r="CD17" s="806"/>
      <c r="CE17" s="848">
        <f t="shared" si="23"/>
        <v>0</v>
      </c>
      <c r="CF17" s="848">
        <f t="shared" si="23"/>
        <v>0</v>
      </c>
      <c r="CG17" s="53">
        <f t="shared" si="24"/>
        <v>0</v>
      </c>
      <c r="CH17" s="136">
        <f t="shared" si="25"/>
        <v>25.6</v>
      </c>
      <c r="CI17" s="136">
        <f t="shared" si="26"/>
        <v>0</v>
      </c>
      <c r="CJ17" s="53">
        <f t="shared" si="27"/>
        <v>0</v>
      </c>
      <c r="CK17" s="53">
        <f t="shared" si="28"/>
        <v>0</v>
      </c>
      <c r="CL17" s="136">
        <f t="shared" si="29"/>
        <v>49</v>
      </c>
      <c r="CM17" s="136">
        <f t="shared" si="30"/>
        <v>0</v>
      </c>
      <c r="CN17" s="136">
        <f t="shared" si="31"/>
        <v>0</v>
      </c>
      <c r="CO17" s="374">
        <f t="shared" si="32"/>
        <v>0</v>
      </c>
      <c r="CP17" s="374">
        <f t="shared" si="33"/>
        <v>0</v>
      </c>
      <c r="CQ17" s="374">
        <f t="shared" si="34"/>
        <v>0</v>
      </c>
      <c r="CR17" s="498">
        <f t="shared" si="35"/>
        <v>0</v>
      </c>
      <c r="CS17" s="374">
        <f t="shared" si="36"/>
        <v>0</v>
      </c>
      <c r="CT17" s="136">
        <f t="shared" si="37"/>
        <v>0</v>
      </c>
      <c r="CU17" s="374">
        <f t="shared" si="38"/>
        <v>0</v>
      </c>
      <c r="CV17" s="374">
        <f t="shared" si="64"/>
        <v>0</v>
      </c>
      <c r="CW17" s="374">
        <f t="shared" si="39"/>
        <v>0</v>
      </c>
      <c r="CX17" s="459">
        <v>0</v>
      </c>
      <c r="CY17" s="459">
        <v>0</v>
      </c>
      <c r="CZ17" s="459">
        <v>0</v>
      </c>
      <c r="DA17" s="459">
        <v>0</v>
      </c>
      <c r="DB17" s="459">
        <v>0</v>
      </c>
      <c r="DC17" s="459">
        <v>0</v>
      </c>
      <c r="DD17" s="522"/>
      <c r="DE17" s="460"/>
      <c r="DF17" s="460"/>
      <c r="DG17" s="29"/>
      <c r="DH17" s="29"/>
      <c r="DI17" s="39"/>
      <c r="DJ17" s="39"/>
      <c r="DK17" s="39"/>
      <c r="DL17" s="39"/>
      <c r="DM17" s="91"/>
      <c r="DN17" s="29"/>
      <c r="DO17" s="29"/>
      <c r="DP17" s="29"/>
      <c r="DQ17" s="29"/>
      <c r="DR17" s="29"/>
      <c r="DS17" s="29"/>
      <c r="DT17" s="29"/>
      <c r="DU17" s="29"/>
      <c r="DV17" s="29"/>
      <c r="DW17" s="29"/>
      <c r="EH17" s="1330"/>
    </row>
    <row r="18" spans="1:138">
      <c r="A18" s="320"/>
      <c r="B18" s="208"/>
      <c r="C18" s="52" t="s">
        <v>788</v>
      </c>
      <c r="D18" s="196"/>
      <c r="E18" s="197"/>
      <c r="F18" s="460">
        <f t="shared" si="0"/>
        <v>0</v>
      </c>
      <c r="G18" s="460">
        <f t="shared" si="1"/>
        <v>-3.9469999999999992</v>
      </c>
      <c r="H18" s="460">
        <f t="shared" si="1"/>
        <v>6.7849999999999966</v>
      </c>
      <c r="I18" s="468">
        <f t="shared" si="1"/>
        <v>19.930000000000003</v>
      </c>
      <c r="J18" s="460">
        <f t="shared" si="2"/>
        <v>0</v>
      </c>
      <c r="K18" s="460">
        <f t="shared" si="3"/>
        <v>0</v>
      </c>
      <c r="L18" s="460">
        <f t="shared" si="3"/>
        <v>8.6999999999999994E-2</v>
      </c>
      <c r="M18" s="468">
        <f t="shared" si="3"/>
        <v>12.252000000000001</v>
      </c>
      <c r="N18" s="460">
        <f t="shared" si="4"/>
        <v>0</v>
      </c>
      <c r="O18" s="460">
        <f t="shared" si="5"/>
        <v>0</v>
      </c>
      <c r="P18" s="460">
        <f t="shared" si="5"/>
        <v>0</v>
      </c>
      <c r="Q18" s="468">
        <f t="shared" si="5"/>
        <v>0</v>
      </c>
      <c r="R18" s="460">
        <f t="shared" si="6"/>
        <v>0</v>
      </c>
      <c r="S18" s="460">
        <f t="shared" si="7"/>
        <v>0</v>
      </c>
      <c r="T18" s="460">
        <f t="shared" si="7"/>
        <v>0</v>
      </c>
      <c r="U18" s="468">
        <f t="shared" si="7"/>
        <v>0</v>
      </c>
      <c r="V18" s="460">
        <f t="shared" si="8"/>
        <v>0</v>
      </c>
      <c r="W18" s="460">
        <f t="shared" si="9"/>
        <v>0</v>
      </c>
      <c r="X18" s="460">
        <f t="shared" si="9"/>
        <v>0</v>
      </c>
      <c r="Y18" s="468">
        <f t="shared" si="9"/>
        <v>0</v>
      </c>
      <c r="Z18" s="460">
        <f t="shared" si="10"/>
        <v>0</v>
      </c>
      <c r="AA18" s="460">
        <f t="shared" si="11"/>
        <v>0</v>
      </c>
      <c r="AB18" s="460">
        <f t="shared" si="11"/>
        <v>0</v>
      </c>
      <c r="AC18" s="468">
        <f t="shared" si="11"/>
        <v>0</v>
      </c>
      <c r="AD18" s="610">
        <f t="shared" si="40"/>
        <v>0</v>
      </c>
      <c r="AE18" s="610">
        <f t="shared" si="41"/>
        <v>0</v>
      </c>
      <c r="AF18" s="460">
        <f t="shared" si="42"/>
        <v>0</v>
      </c>
      <c r="AG18" s="468">
        <f t="shared" si="42"/>
        <v>0</v>
      </c>
      <c r="AH18" s="460">
        <f t="shared" si="43"/>
        <v>0</v>
      </c>
      <c r="AI18" s="460">
        <f t="shared" si="12"/>
        <v>0</v>
      </c>
      <c r="AJ18" s="460">
        <f t="shared" si="44"/>
        <v>0</v>
      </c>
      <c r="AK18" s="468">
        <f t="shared" si="44"/>
        <v>0</v>
      </c>
      <c r="AL18" s="374">
        <f t="shared" si="45"/>
        <v>0</v>
      </c>
      <c r="AM18" s="460">
        <f t="shared" si="13"/>
        <v>80</v>
      </c>
      <c r="AN18" s="460">
        <f t="shared" si="46"/>
        <v>1</v>
      </c>
      <c r="AO18" s="468">
        <f t="shared" si="46"/>
        <v>-18</v>
      </c>
      <c r="AP18" s="374">
        <f t="shared" si="47"/>
        <v>0</v>
      </c>
      <c r="AQ18" s="460">
        <f t="shared" si="14"/>
        <v>0</v>
      </c>
      <c r="AR18" s="460">
        <f t="shared" si="48"/>
        <v>0</v>
      </c>
      <c r="AS18" s="468">
        <f t="shared" si="48"/>
        <v>0</v>
      </c>
      <c r="AT18" s="374">
        <f t="shared" si="49"/>
        <v>0</v>
      </c>
      <c r="AU18" s="460">
        <f t="shared" si="15"/>
        <v>0</v>
      </c>
      <c r="AV18" s="460">
        <f t="shared" si="50"/>
        <v>0</v>
      </c>
      <c r="AW18" s="468">
        <f t="shared" si="50"/>
        <v>0</v>
      </c>
      <c r="AX18" s="374">
        <f t="shared" si="51"/>
        <v>0</v>
      </c>
      <c r="AY18" s="460">
        <f t="shared" si="16"/>
        <v>0</v>
      </c>
      <c r="AZ18" s="460">
        <f t="shared" si="52"/>
        <v>0</v>
      </c>
      <c r="BA18" s="468">
        <f t="shared" si="52"/>
        <v>61</v>
      </c>
      <c r="BB18" s="374">
        <f t="shared" si="53"/>
        <v>0</v>
      </c>
      <c r="BC18" s="460">
        <f t="shared" si="17"/>
        <v>15</v>
      </c>
      <c r="BD18" s="460">
        <f t="shared" si="54"/>
        <v>-15</v>
      </c>
      <c r="BE18" s="468">
        <f t="shared" si="54"/>
        <v>0</v>
      </c>
      <c r="BF18" s="374">
        <f t="shared" si="55"/>
        <v>0</v>
      </c>
      <c r="BG18" s="460">
        <f t="shared" si="18"/>
        <v>0</v>
      </c>
      <c r="BH18" s="460">
        <f t="shared" si="56"/>
        <v>0</v>
      </c>
      <c r="BI18" s="468">
        <f t="shared" si="56"/>
        <v>62</v>
      </c>
      <c r="BJ18" s="374">
        <f t="shared" si="57"/>
        <v>0</v>
      </c>
      <c r="BK18" s="460">
        <f t="shared" si="19"/>
        <v>0</v>
      </c>
      <c r="BL18" s="460">
        <f t="shared" si="58"/>
        <v>0</v>
      </c>
      <c r="BM18" s="468">
        <f t="shared" si="58"/>
        <v>86</v>
      </c>
      <c r="BN18" s="374">
        <f t="shared" si="59"/>
        <v>0</v>
      </c>
      <c r="BO18" s="460">
        <f t="shared" si="20"/>
        <v>0</v>
      </c>
      <c r="BP18" s="460">
        <f t="shared" si="60"/>
        <v>0</v>
      </c>
      <c r="BQ18" s="468">
        <f t="shared" si="60"/>
        <v>41</v>
      </c>
      <c r="BR18" s="374">
        <f t="shared" si="61"/>
        <v>0</v>
      </c>
      <c r="BS18" s="460">
        <f t="shared" si="21"/>
        <v>0</v>
      </c>
      <c r="BT18" s="460">
        <f t="shared" si="62"/>
        <v>0</v>
      </c>
      <c r="BU18" s="468">
        <f t="shared" si="62"/>
        <v>0</v>
      </c>
      <c r="BV18" s="374">
        <f t="shared" si="63"/>
        <v>0</v>
      </c>
      <c r="BW18" s="460">
        <f t="shared" si="22"/>
        <v>0</v>
      </c>
      <c r="BX18" s="459">
        <v>0</v>
      </c>
      <c r="BY18" s="522">
        <v>0</v>
      </c>
      <c r="BZ18" s="459">
        <v>0</v>
      </c>
      <c r="CA18" s="459">
        <v>0</v>
      </c>
      <c r="CB18" s="459">
        <v>0</v>
      </c>
      <c r="CC18" s="522">
        <v>0</v>
      </c>
      <c r="CD18" s="806"/>
      <c r="CE18" s="848">
        <f t="shared" si="23"/>
        <v>22.768000000000001</v>
      </c>
      <c r="CF18" s="848">
        <f t="shared" si="23"/>
        <v>12.339</v>
      </c>
      <c r="CG18" s="53">
        <f t="shared" si="24"/>
        <v>0</v>
      </c>
      <c r="CH18" s="136">
        <f t="shared" si="25"/>
        <v>0</v>
      </c>
      <c r="CI18" s="136">
        <f t="shared" si="26"/>
        <v>0</v>
      </c>
      <c r="CJ18" s="53">
        <f t="shared" si="27"/>
        <v>0</v>
      </c>
      <c r="CK18" s="53">
        <f t="shared" si="28"/>
        <v>0</v>
      </c>
      <c r="CL18" s="136">
        <f t="shared" si="29"/>
        <v>0</v>
      </c>
      <c r="CM18" s="136">
        <f t="shared" si="30"/>
        <v>63</v>
      </c>
      <c r="CN18" s="136">
        <f t="shared" si="31"/>
        <v>0</v>
      </c>
      <c r="CO18" s="374">
        <f t="shared" si="32"/>
        <v>0</v>
      </c>
      <c r="CP18" s="374">
        <f t="shared" si="33"/>
        <v>61</v>
      </c>
      <c r="CQ18" s="374">
        <f t="shared" si="34"/>
        <v>0</v>
      </c>
      <c r="CR18" s="498">
        <f t="shared" si="35"/>
        <v>62</v>
      </c>
      <c r="CS18" s="374">
        <f t="shared" si="36"/>
        <v>86</v>
      </c>
      <c r="CT18" s="136">
        <f t="shared" si="37"/>
        <v>41</v>
      </c>
      <c r="CU18" s="374">
        <f t="shared" si="38"/>
        <v>0</v>
      </c>
      <c r="CV18" s="374">
        <f t="shared" si="64"/>
        <v>0</v>
      </c>
      <c r="CW18" s="374">
        <f t="shared" si="39"/>
        <v>0</v>
      </c>
      <c r="CX18" s="459">
        <v>0</v>
      </c>
      <c r="CY18" s="459">
        <v>0</v>
      </c>
      <c r="CZ18" s="459">
        <v>0</v>
      </c>
      <c r="DA18" s="459">
        <v>0</v>
      </c>
      <c r="DB18" s="459">
        <v>0</v>
      </c>
      <c r="DC18" s="459">
        <v>0</v>
      </c>
      <c r="DD18" s="522"/>
      <c r="DE18" s="460"/>
      <c r="DF18" s="460"/>
      <c r="DG18" s="29"/>
      <c r="DH18" s="29"/>
      <c r="DI18" s="39"/>
      <c r="DJ18" s="39"/>
      <c r="DK18" s="39"/>
      <c r="DL18" s="39"/>
      <c r="DM18" s="91"/>
      <c r="DN18" s="29"/>
      <c r="DO18" s="29"/>
      <c r="DP18" s="29"/>
      <c r="DQ18" s="29"/>
      <c r="DR18" s="29"/>
      <c r="DS18" s="29"/>
      <c r="DT18" s="29"/>
      <c r="DU18" s="29"/>
      <c r="DV18" s="29"/>
      <c r="DW18" s="29"/>
      <c r="EH18" s="1330"/>
    </row>
    <row r="19" spans="1:138">
      <c r="A19" s="320"/>
      <c r="B19" s="208"/>
      <c r="C19" s="52" t="s">
        <v>789</v>
      </c>
      <c r="D19" s="196"/>
      <c r="E19" s="197"/>
      <c r="F19" s="460">
        <f t="shared" si="0"/>
        <v>0</v>
      </c>
      <c r="G19" s="460">
        <f t="shared" si="1"/>
        <v>0</v>
      </c>
      <c r="H19" s="460">
        <f t="shared" si="1"/>
        <v>0</v>
      </c>
      <c r="I19" s="468">
        <f t="shared" si="1"/>
        <v>0</v>
      </c>
      <c r="J19" s="460">
        <f t="shared" si="2"/>
        <v>0</v>
      </c>
      <c r="K19" s="460">
        <f t="shared" si="3"/>
        <v>0</v>
      </c>
      <c r="L19" s="460">
        <f t="shared" si="3"/>
        <v>0</v>
      </c>
      <c r="M19" s="468">
        <f t="shared" si="3"/>
        <v>0</v>
      </c>
      <c r="N19" s="460">
        <f t="shared" si="4"/>
        <v>0</v>
      </c>
      <c r="O19" s="460">
        <f t="shared" si="5"/>
        <v>0</v>
      </c>
      <c r="P19" s="460">
        <f t="shared" si="5"/>
        <v>0</v>
      </c>
      <c r="Q19" s="468">
        <f t="shared" si="5"/>
        <v>0</v>
      </c>
      <c r="R19" s="460">
        <f t="shared" si="6"/>
        <v>0</v>
      </c>
      <c r="S19" s="460">
        <f t="shared" si="7"/>
        <v>0</v>
      </c>
      <c r="T19" s="460">
        <f t="shared" si="7"/>
        <v>0</v>
      </c>
      <c r="U19" s="468">
        <f t="shared" si="7"/>
        <v>0</v>
      </c>
      <c r="V19" s="460">
        <f t="shared" si="8"/>
        <v>0</v>
      </c>
      <c r="W19" s="460">
        <f t="shared" si="9"/>
        <v>0</v>
      </c>
      <c r="X19" s="460">
        <f t="shared" si="9"/>
        <v>0</v>
      </c>
      <c r="Y19" s="468">
        <f t="shared" si="9"/>
        <v>0</v>
      </c>
      <c r="Z19" s="610">
        <f t="shared" si="10"/>
        <v>6.9</v>
      </c>
      <c r="AA19" s="610">
        <f t="shared" si="11"/>
        <v>8.9</v>
      </c>
      <c r="AB19" s="460">
        <f t="shared" si="11"/>
        <v>8.6999999999999993</v>
      </c>
      <c r="AC19" s="468">
        <f>AC66-AB66</f>
        <v>12.5</v>
      </c>
      <c r="AD19" s="610">
        <f t="shared" si="40"/>
        <v>9</v>
      </c>
      <c r="AE19" s="610">
        <f t="shared" si="41"/>
        <v>12</v>
      </c>
      <c r="AF19" s="460">
        <f t="shared" si="42"/>
        <v>13</v>
      </c>
      <c r="AG19" s="468">
        <f>AG66-AF66</f>
        <v>14</v>
      </c>
      <c r="AH19" s="460">
        <f t="shared" si="43"/>
        <v>8</v>
      </c>
      <c r="AI19" s="460">
        <f t="shared" si="12"/>
        <v>9</v>
      </c>
      <c r="AJ19" s="460">
        <f t="shared" si="44"/>
        <v>10</v>
      </c>
      <c r="AK19" s="468">
        <f>AK66-AJ66</f>
        <v>10</v>
      </c>
      <c r="AL19" s="374">
        <f t="shared" si="45"/>
        <v>10</v>
      </c>
      <c r="AM19" s="460">
        <f t="shared" si="13"/>
        <v>11</v>
      </c>
      <c r="AN19" s="460">
        <f t="shared" si="46"/>
        <v>12</v>
      </c>
      <c r="AO19" s="468">
        <f>AO66-AN66</f>
        <v>14</v>
      </c>
      <c r="AP19" s="374">
        <f t="shared" si="47"/>
        <v>13</v>
      </c>
      <c r="AQ19" s="460">
        <f t="shared" si="14"/>
        <v>14</v>
      </c>
      <c r="AR19" s="460">
        <f t="shared" si="48"/>
        <v>16</v>
      </c>
      <c r="AS19" s="468">
        <f>AS66-AR66</f>
        <v>17</v>
      </c>
      <c r="AT19" s="374">
        <f t="shared" si="49"/>
        <v>19</v>
      </c>
      <c r="AU19" s="460">
        <f t="shared" si="15"/>
        <v>18</v>
      </c>
      <c r="AV19" s="460">
        <f t="shared" si="50"/>
        <v>17</v>
      </c>
      <c r="AW19" s="468">
        <f>AW66-AV66</f>
        <v>15</v>
      </c>
      <c r="AX19" s="374">
        <f t="shared" si="51"/>
        <v>17</v>
      </c>
      <c r="AY19" s="460">
        <f t="shared" si="16"/>
        <v>24</v>
      </c>
      <c r="AZ19" s="460">
        <f t="shared" si="52"/>
        <v>20</v>
      </c>
      <c r="BA19" s="468">
        <f>BA66-AZ66</f>
        <v>31</v>
      </c>
      <c r="BB19" s="374">
        <f t="shared" si="53"/>
        <v>39</v>
      </c>
      <c r="BC19" s="460">
        <f t="shared" si="17"/>
        <v>32</v>
      </c>
      <c r="BD19" s="460">
        <f t="shared" si="54"/>
        <v>36</v>
      </c>
      <c r="BE19" s="468">
        <f>BE66-BD66</f>
        <v>30</v>
      </c>
      <c r="BF19" s="374">
        <f t="shared" si="55"/>
        <v>42</v>
      </c>
      <c r="BG19" s="460">
        <f t="shared" si="18"/>
        <v>42</v>
      </c>
      <c r="BH19" s="460">
        <f t="shared" si="56"/>
        <v>41</v>
      </c>
      <c r="BI19" s="468">
        <f>BI66-BH66</f>
        <v>31</v>
      </c>
      <c r="BJ19" s="374">
        <f t="shared" si="57"/>
        <v>39</v>
      </c>
      <c r="BK19" s="460">
        <f t="shared" si="19"/>
        <v>41</v>
      </c>
      <c r="BL19" s="460">
        <f t="shared" si="58"/>
        <v>37</v>
      </c>
      <c r="BM19" s="468">
        <f>BM66-BL66</f>
        <v>45</v>
      </c>
      <c r="BN19" s="374">
        <f t="shared" si="59"/>
        <v>42</v>
      </c>
      <c r="BO19" s="460">
        <f t="shared" si="20"/>
        <v>37</v>
      </c>
      <c r="BP19" s="460">
        <f t="shared" si="60"/>
        <v>42</v>
      </c>
      <c r="BQ19" s="468">
        <f>BQ66-BP66</f>
        <v>70</v>
      </c>
      <c r="BR19" s="374">
        <f t="shared" si="61"/>
        <v>99</v>
      </c>
      <c r="BS19" s="460">
        <f t="shared" si="21"/>
        <v>102</v>
      </c>
      <c r="BT19" s="460">
        <f t="shared" si="62"/>
        <v>102</v>
      </c>
      <c r="BU19" s="468">
        <f>BU66-BT66</f>
        <v>91</v>
      </c>
      <c r="BV19" s="374">
        <f t="shared" si="63"/>
        <v>97</v>
      </c>
      <c r="BW19" s="460">
        <f t="shared" si="22"/>
        <v>99</v>
      </c>
      <c r="BX19" s="610">
        <f>IS!BX102</f>
        <v>91.079603888680637</v>
      </c>
      <c r="BY19" s="611">
        <f>IS!BY102</f>
        <v>91.17093452899924</v>
      </c>
      <c r="BZ19" s="610">
        <f>IS!BZ102</f>
        <v>94.074329599891229</v>
      </c>
      <c r="CA19" s="610">
        <f>IS!CA102</f>
        <v>92.582578970441517</v>
      </c>
      <c r="CB19" s="610">
        <f>IS!CB102</f>
        <v>85.97368053023574</v>
      </c>
      <c r="CC19" s="611">
        <f>IS!CC102</f>
        <v>81.376943416126394</v>
      </c>
      <c r="CD19" s="806"/>
      <c r="CE19" s="848">
        <f t="shared" si="23"/>
        <v>0</v>
      </c>
      <c r="CF19" s="848">
        <f t="shared" si="23"/>
        <v>0</v>
      </c>
      <c r="CG19" s="53">
        <f t="shared" si="24"/>
        <v>0</v>
      </c>
      <c r="CH19" s="136">
        <f t="shared" si="25"/>
        <v>0</v>
      </c>
      <c r="CI19" s="136">
        <f t="shared" si="26"/>
        <v>0</v>
      </c>
      <c r="CJ19" s="53">
        <f t="shared" si="27"/>
        <v>37</v>
      </c>
      <c r="CK19" s="53">
        <f t="shared" si="28"/>
        <v>48</v>
      </c>
      <c r="CL19" s="136">
        <f t="shared" si="29"/>
        <v>37</v>
      </c>
      <c r="CM19" s="136">
        <f t="shared" si="30"/>
        <v>47</v>
      </c>
      <c r="CN19" s="136">
        <f t="shared" si="31"/>
        <v>60</v>
      </c>
      <c r="CO19" s="374">
        <f t="shared" si="32"/>
        <v>69</v>
      </c>
      <c r="CP19" s="374">
        <f t="shared" si="33"/>
        <v>92</v>
      </c>
      <c r="CQ19" s="374">
        <f t="shared" si="34"/>
        <v>137</v>
      </c>
      <c r="CR19" s="498">
        <f t="shared" si="35"/>
        <v>156</v>
      </c>
      <c r="CS19" s="374">
        <f t="shared" si="36"/>
        <v>162</v>
      </c>
      <c r="CT19" s="136">
        <f t="shared" si="37"/>
        <v>191</v>
      </c>
      <c r="CU19" s="374">
        <f t="shared" si="38"/>
        <v>394</v>
      </c>
      <c r="CV19" s="374">
        <f t="shared" si="64"/>
        <v>378.25053841767988</v>
      </c>
      <c r="CW19" s="374">
        <f t="shared" si="39"/>
        <v>354.00753251669488</v>
      </c>
      <c r="CX19" s="610">
        <f>IS!CX102</f>
        <v>379.82319129474587</v>
      </c>
      <c r="CY19" s="610">
        <f>IS!CY102</f>
        <v>393.5926426448118</v>
      </c>
      <c r="CZ19" s="610">
        <f>IS!CZ102</f>
        <v>408.57421980480962</v>
      </c>
      <c r="DA19" s="610">
        <f>IS!DA102</f>
        <v>427.51060443833717</v>
      </c>
      <c r="DB19" s="610">
        <f>IS!DB102</f>
        <v>448.97207018395602</v>
      </c>
      <c r="DC19" s="610">
        <f>IS!DC102</f>
        <v>473.27816309047603</v>
      </c>
      <c r="DD19" s="611"/>
      <c r="DE19" s="460"/>
      <c r="DF19" s="460"/>
      <c r="DG19" s="29"/>
      <c r="DH19" s="29"/>
      <c r="DI19" s="39"/>
      <c r="DJ19" s="39"/>
      <c r="DK19" s="39"/>
      <c r="DL19" s="39"/>
      <c r="DM19" s="91"/>
      <c r="DN19" s="29"/>
      <c r="DO19" s="29"/>
      <c r="DP19" s="29"/>
      <c r="DQ19" s="29"/>
      <c r="DR19" s="29"/>
      <c r="DS19" s="29"/>
      <c r="DT19" s="29"/>
      <c r="DU19" s="29"/>
      <c r="DV19" s="29"/>
      <c r="DW19" s="29"/>
      <c r="EH19" s="1330"/>
    </row>
    <row r="20" spans="1:138">
      <c r="A20" s="320"/>
      <c r="B20" s="208"/>
      <c r="C20" s="52" t="s">
        <v>360</v>
      </c>
      <c r="D20" s="196"/>
      <c r="E20" s="197"/>
      <c r="F20" s="460">
        <f t="shared" si="0"/>
        <v>2.8559999999999999</v>
      </c>
      <c r="G20" s="460">
        <f t="shared" si="1"/>
        <v>1.4729999999999999</v>
      </c>
      <c r="H20" s="460">
        <f t="shared" si="1"/>
        <v>1.5830000000000002</v>
      </c>
      <c r="I20" s="468">
        <f t="shared" si="1"/>
        <v>1.5709999999999997</v>
      </c>
      <c r="J20" s="460">
        <f t="shared" si="2"/>
        <v>1.583</v>
      </c>
      <c r="K20" s="460">
        <f t="shared" si="3"/>
        <v>1.4890000000000001</v>
      </c>
      <c r="L20" s="460">
        <f t="shared" si="3"/>
        <v>1.3739999999999997</v>
      </c>
      <c r="M20" s="468">
        <f t="shared" si="3"/>
        <v>-3.1879999999999997</v>
      </c>
      <c r="N20" s="460">
        <f t="shared" si="4"/>
        <v>1.1890000000000001</v>
      </c>
      <c r="O20" s="460">
        <f t="shared" si="5"/>
        <v>1.0569999999999999</v>
      </c>
      <c r="P20" s="460">
        <f t="shared" si="5"/>
        <v>0.74500000000000011</v>
      </c>
      <c r="Q20" s="468">
        <f t="shared" si="5"/>
        <v>8.999999999999897E-3</v>
      </c>
      <c r="R20" s="460">
        <f t="shared" si="6"/>
        <v>0</v>
      </c>
      <c r="S20" s="460">
        <f t="shared" si="7"/>
        <v>0</v>
      </c>
      <c r="T20" s="460">
        <f t="shared" si="7"/>
        <v>0</v>
      </c>
      <c r="U20" s="468">
        <f t="shared" si="7"/>
        <v>0</v>
      </c>
      <c r="V20" s="460">
        <f t="shared" si="8"/>
        <v>0</v>
      </c>
      <c r="W20" s="460">
        <f t="shared" si="9"/>
        <v>0</v>
      </c>
      <c r="X20" s="460">
        <f t="shared" si="9"/>
        <v>0</v>
      </c>
      <c r="Y20" s="468">
        <f t="shared" si="9"/>
        <v>0</v>
      </c>
      <c r="Z20" s="460">
        <f t="shared" si="10"/>
        <v>0</v>
      </c>
      <c r="AA20" s="460">
        <f t="shared" si="11"/>
        <v>0</v>
      </c>
      <c r="AB20" s="460">
        <f t="shared" si="11"/>
        <v>0</v>
      </c>
      <c r="AC20" s="468">
        <f t="shared" si="11"/>
        <v>0</v>
      </c>
      <c r="AD20" s="610">
        <f t="shared" si="40"/>
        <v>0</v>
      </c>
      <c r="AE20" s="610">
        <f t="shared" si="41"/>
        <v>0</v>
      </c>
      <c r="AF20" s="460">
        <f t="shared" si="42"/>
        <v>0</v>
      </c>
      <c r="AG20" s="468">
        <f t="shared" si="42"/>
        <v>0</v>
      </c>
      <c r="AH20" s="460">
        <f t="shared" si="43"/>
        <v>0</v>
      </c>
      <c r="AI20" s="460">
        <f t="shared" si="12"/>
        <v>8</v>
      </c>
      <c r="AJ20" s="460">
        <f t="shared" si="44"/>
        <v>4</v>
      </c>
      <c r="AK20" s="468">
        <f t="shared" si="44"/>
        <v>1</v>
      </c>
      <c r="AL20" s="374">
        <f t="shared" si="45"/>
        <v>3</v>
      </c>
      <c r="AM20" s="460">
        <f t="shared" si="13"/>
        <v>6</v>
      </c>
      <c r="AN20" s="460">
        <f t="shared" si="46"/>
        <v>1</v>
      </c>
      <c r="AO20" s="468">
        <f t="shared" si="46"/>
        <v>0</v>
      </c>
      <c r="AP20" s="374">
        <f t="shared" si="47"/>
        <v>0</v>
      </c>
      <c r="AQ20" s="460">
        <f t="shared" si="14"/>
        <v>0</v>
      </c>
      <c r="AR20" s="460">
        <f t="shared" si="48"/>
        <v>0</v>
      </c>
      <c r="AS20" s="468">
        <f t="shared" si="48"/>
        <v>0</v>
      </c>
      <c r="AT20" s="374">
        <f t="shared" si="49"/>
        <v>0</v>
      </c>
      <c r="AU20" s="460">
        <f t="shared" si="15"/>
        <v>0</v>
      </c>
      <c r="AV20" s="460">
        <f t="shared" si="50"/>
        <v>0</v>
      </c>
      <c r="AW20" s="468">
        <f t="shared" si="50"/>
        <v>0</v>
      </c>
      <c r="AX20" s="374">
        <f t="shared" si="51"/>
        <v>0</v>
      </c>
      <c r="AY20" s="460">
        <f t="shared" si="16"/>
        <v>0</v>
      </c>
      <c r="AZ20" s="460">
        <f t="shared" si="52"/>
        <v>0</v>
      </c>
      <c r="BA20" s="468">
        <f t="shared" si="52"/>
        <v>0</v>
      </c>
      <c r="BB20" s="374">
        <f t="shared" si="53"/>
        <v>0</v>
      </c>
      <c r="BC20" s="460">
        <f t="shared" si="17"/>
        <v>0</v>
      </c>
      <c r="BD20" s="460">
        <f t="shared" si="54"/>
        <v>0</v>
      </c>
      <c r="BE20" s="468">
        <f t="shared" si="54"/>
        <v>0</v>
      </c>
      <c r="BF20" s="374">
        <f t="shared" si="55"/>
        <v>0</v>
      </c>
      <c r="BG20" s="460">
        <f t="shared" si="18"/>
        <v>0</v>
      </c>
      <c r="BH20" s="460">
        <f t="shared" si="56"/>
        <v>0</v>
      </c>
      <c r="BI20" s="468">
        <f t="shared" si="56"/>
        <v>0</v>
      </c>
      <c r="BJ20" s="374">
        <f t="shared" si="57"/>
        <v>0</v>
      </c>
      <c r="BK20" s="460">
        <f t="shared" si="19"/>
        <v>0</v>
      </c>
      <c r="BL20" s="460">
        <f t="shared" si="58"/>
        <v>0</v>
      </c>
      <c r="BM20" s="468">
        <f t="shared" si="58"/>
        <v>0</v>
      </c>
      <c r="BN20" s="374">
        <f t="shared" si="59"/>
        <v>0</v>
      </c>
      <c r="BO20" s="460">
        <f t="shared" si="20"/>
        <v>0</v>
      </c>
      <c r="BP20" s="460">
        <f t="shared" si="60"/>
        <v>0</v>
      </c>
      <c r="BQ20" s="468">
        <f t="shared" si="60"/>
        <v>0</v>
      </c>
      <c r="BR20" s="374">
        <f t="shared" si="61"/>
        <v>0</v>
      </c>
      <c r="BS20" s="460">
        <f t="shared" si="21"/>
        <v>0</v>
      </c>
      <c r="BT20" s="460">
        <f t="shared" si="62"/>
        <v>0</v>
      </c>
      <c r="BU20" s="468">
        <f t="shared" si="62"/>
        <v>0</v>
      </c>
      <c r="BV20" s="374">
        <f t="shared" si="63"/>
        <v>0</v>
      </c>
      <c r="BW20" s="460">
        <f t="shared" si="22"/>
        <v>0</v>
      </c>
      <c r="BX20" s="459">
        <v>0</v>
      </c>
      <c r="BY20" s="522">
        <v>0</v>
      </c>
      <c r="BZ20" s="459">
        <v>0</v>
      </c>
      <c r="CA20" s="459">
        <v>0</v>
      </c>
      <c r="CB20" s="459">
        <v>0</v>
      </c>
      <c r="CC20" s="522">
        <v>0</v>
      </c>
      <c r="CD20" s="806"/>
      <c r="CE20" s="848">
        <f t="shared" si="23"/>
        <v>7.4829999999999997</v>
      </c>
      <c r="CF20" s="848">
        <f t="shared" si="23"/>
        <v>1.258</v>
      </c>
      <c r="CG20" s="53">
        <f t="shared" si="24"/>
        <v>3</v>
      </c>
      <c r="CH20" s="136">
        <f t="shared" si="25"/>
        <v>0</v>
      </c>
      <c r="CI20" s="136">
        <f t="shared" si="26"/>
        <v>0</v>
      </c>
      <c r="CJ20" s="53">
        <f t="shared" si="27"/>
        <v>0</v>
      </c>
      <c r="CK20" s="53">
        <f t="shared" si="28"/>
        <v>0</v>
      </c>
      <c r="CL20" s="136">
        <f t="shared" si="29"/>
        <v>13</v>
      </c>
      <c r="CM20" s="136">
        <f t="shared" si="30"/>
        <v>10</v>
      </c>
      <c r="CN20" s="136">
        <f t="shared" si="31"/>
        <v>0</v>
      </c>
      <c r="CO20" s="374">
        <f t="shared" si="32"/>
        <v>0</v>
      </c>
      <c r="CP20" s="374">
        <f t="shared" si="33"/>
        <v>0</v>
      </c>
      <c r="CQ20" s="374">
        <f t="shared" si="34"/>
        <v>0</v>
      </c>
      <c r="CR20" s="498">
        <f t="shared" si="35"/>
        <v>0</v>
      </c>
      <c r="CS20" s="374">
        <f t="shared" si="36"/>
        <v>0</v>
      </c>
      <c r="CT20" s="136">
        <f t="shared" si="37"/>
        <v>0</v>
      </c>
      <c r="CU20" s="374">
        <f t="shared" si="38"/>
        <v>0</v>
      </c>
      <c r="CV20" s="374">
        <f t="shared" si="64"/>
        <v>0</v>
      </c>
      <c r="CW20" s="374">
        <f t="shared" si="39"/>
        <v>0</v>
      </c>
      <c r="CX20" s="459">
        <v>0</v>
      </c>
      <c r="CY20" s="459">
        <v>0</v>
      </c>
      <c r="CZ20" s="459">
        <v>0</v>
      </c>
      <c r="DA20" s="459">
        <v>0</v>
      </c>
      <c r="DB20" s="459">
        <v>0</v>
      </c>
      <c r="DC20" s="459">
        <v>0</v>
      </c>
      <c r="DD20" s="522"/>
      <c r="DE20" s="460"/>
      <c r="DF20" s="460"/>
      <c r="DG20" s="29"/>
      <c r="DH20" s="29"/>
      <c r="DI20" s="39"/>
      <c r="DJ20" s="39"/>
      <c r="DK20" s="39"/>
      <c r="DL20" s="39"/>
      <c r="DM20" s="91"/>
      <c r="DN20" s="29"/>
      <c r="DO20" s="29"/>
      <c r="DP20" s="29"/>
      <c r="DQ20" s="29"/>
      <c r="DR20" s="29"/>
      <c r="DS20" s="29"/>
      <c r="DT20" s="29"/>
      <c r="DU20" s="29"/>
      <c r="DV20" s="29"/>
      <c r="DW20" s="29"/>
      <c r="EH20" s="1330"/>
    </row>
    <row r="21" spans="1:138">
      <c r="A21" s="320"/>
      <c r="B21" s="208"/>
      <c r="C21" s="52" t="s">
        <v>790</v>
      </c>
      <c r="D21" s="196"/>
      <c r="E21" s="197"/>
      <c r="F21" s="460">
        <f t="shared" si="0"/>
        <v>-10.861000000000001</v>
      </c>
      <c r="G21" s="460">
        <f t="shared" si="1"/>
        <v>11.599</v>
      </c>
      <c r="H21" s="460">
        <f t="shared" si="1"/>
        <v>-1.002</v>
      </c>
      <c r="I21" s="468">
        <f t="shared" si="1"/>
        <v>39.547000000000004</v>
      </c>
      <c r="J21" s="460">
        <f t="shared" si="2"/>
        <v>-22.532</v>
      </c>
      <c r="K21" s="460">
        <f t="shared" si="3"/>
        <v>-3.3780000000000001</v>
      </c>
      <c r="L21" s="460">
        <f t="shared" si="3"/>
        <v>-1.0130000000000017</v>
      </c>
      <c r="M21" s="468">
        <f t="shared" si="3"/>
        <v>4.3910000000000018</v>
      </c>
      <c r="N21" s="460">
        <f t="shared" si="4"/>
        <v>0</v>
      </c>
      <c r="O21" s="460">
        <f t="shared" si="5"/>
        <v>-1.32</v>
      </c>
      <c r="P21" s="460">
        <f t="shared" si="5"/>
        <v>0</v>
      </c>
      <c r="Q21" s="468">
        <f t="shared" si="5"/>
        <v>15.12</v>
      </c>
      <c r="R21" s="460">
        <f t="shared" si="6"/>
        <v>0</v>
      </c>
      <c r="S21" s="460">
        <f>S68-R68</f>
        <v>0</v>
      </c>
      <c r="T21" s="460">
        <f>T68-S68</f>
        <v>0</v>
      </c>
      <c r="U21" s="468">
        <f>U68-T68</f>
        <v>0</v>
      </c>
      <c r="V21" s="460">
        <f t="shared" si="8"/>
        <v>0</v>
      </c>
      <c r="W21" s="460">
        <f t="shared" si="9"/>
        <v>0</v>
      </c>
      <c r="X21" s="460">
        <f t="shared" si="9"/>
        <v>0</v>
      </c>
      <c r="Y21" s="468">
        <f t="shared" si="9"/>
        <v>0</v>
      </c>
      <c r="Z21" s="610">
        <f t="shared" si="10"/>
        <v>0</v>
      </c>
      <c r="AA21" s="610">
        <f t="shared" si="11"/>
        <v>7</v>
      </c>
      <c r="AB21" s="460">
        <f t="shared" si="11"/>
        <v>-2.0999999999999996</v>
      </c>
      <c r="AC21" s="468">
        <f t="shared" si="11"/>
        <v>0</v>
      </c>
      <c r="AD21" s="610">
        <f t="shared" si="40"/>
        <v>0</v>
      </c>
      <c r="AE21" s="610">
        <f t="shared" si="41"/>
        <v>0</v>
      </c>
      <c r="AF21" s="460">
        <f t="shared" si="42"/>
        <v>0</v>
      </c>
      <c r="AG21" s="468">
        <f t="shared" si="42"/>
        <v>0</v>
      </c>
      <c r="AH21" s="460">
        <f t="shared" si="43"/>
        <v>0</v>
      </c>
      <c r="AI21" s="460">
        <f t="shared" si="12"/>
        <v>0</v>
      </c>
      <c r="AJ21" s="460">
        <f t="shared" si="44"/>
        <v>0</v>
      </c>
      <c r="AK21" s="468">
        <f t="shared" si="44"/>
        <v>0</v>
      </c>
      <c r="AL21" s="374">
        <f t="shared" si="45"/>
        <v>0</v>
      </c>
      <c r="AM21" s="460">
        <f t="shared" si="13"/>
        <v>0</v>
      </c>
      <c r="AN21" s="460">
        <f t="shared" si="46"/>
        <v>14</v>
      </c>
      <c r="AO21" s="468">
        <f t="shared" si="46"/>
        <v>0</v>
      </c>
      <c r="AP21" s="374">
        <f t="shared" si="47"/>
        <v>0</v>
      </c>
      <c r="AQ21" s="460">
        <f t="shared" si="14"/>
        <v>0</v>
      </c>
      <c r="AR21" s="460">
        <f t="shared" si="48"/>
        <v>0</v>
      </c>
      <c r="AS21" s="468">
        <f t="shared" si="48"/>
        <v>0</v>
      </c>
      <c r="AT21" s="374">
        <f t="shared" si="49"/>
        <v>0</v>
      </c>
      <c r="AU21" s="460">
        <f t="shared" si="15"/>
        <v>0</v>
      </c>
      <c r="AV21" s="460">
        <f t="shared" si="50"/>
        <v>0</v>
      </c>
      <c r="AW21" s="468">
        <f t="shared" si="50"/>
        <v>0</v>
      </c>
      <c r="AX21" s="374">
        <f t="shared" si="51"/>
        <v>0</v>
      </c>
      <c r="AY21" s="460">
        <f t="shared" si="16"/>
        <v>109</v>
      </c>
      <c r="AZ21" s="460">
        <f t="shared" si="52"/>
        <v>10</v>
      </c>
      <c r="BA21" s="468">
        <f t="shared" si="52"/>
        <v>0</v>
      </c>
      <c r="BB21" s="374">
        <f t="shared" si="53"/>
        <v>0</v>
      </c>
      <c r="BC21" s="460">
        <f t="shared" si="17"/>
        <v>0</v>
      </c>
      <c r="BD21" s="460">
        <f t="shared" si="54"/>
        <v>16</v>
      </c>
      <c r="BE21" s="468">
        <f t="shared" si="54"/>
        <v>3</v>
      </c>
      <c r="BF21" s="374">
        <f t="shared" si="55"/>
        <v>-65</v>
      </c>
      <c r="BG21" s="460">
        <f t="shared" si="18"/>
        <v>29</v>
      </c>
      <c r="BH21" s="460">
        <f t="shared" si="56"/>
        <v>25</v>
      </c>
      <c r="BI21" s="468">
        <f t="shared" si="56"/>
        <v>-5</v>
      </c>
      <c r="BJ21" s="374">
        <f t="shared" si="57"/>
        <v>5</v>
      </c>
      <c r="BK21" s="460">
        <f t="shared" si="19"/>
        <v>-11</v>
      </c>
      <c r="BL21" s="460">
        <f t="shared" si="58"/>
        <v>-5</v>
      </c>
      <c r="BM21" s="468">
        <f t="shared" si="58"/>
        <v>-9</v>
      </c>
      <c r="BN21" s="374">
        <f t="shared" si="59"/>
        <v>18</v>
      </c>
      <c r="BO21" s="460">
        <f t="shared" si="20"/>
        <v>6</v>
      </c>
      <c r="BP21" s="460">
        <f t="shared" si="60"/>
        <v>25</v>
      </c>
      <c r="BQ21" s="468">
        <f t="shared" si="60"/>
        <v>78</v>
      </c>
      <c r="BR21" s="374">
        <f t="shared" si="61"/>
        <v>257</v>
      </c>
      <c r="BS21" s="460">
        <f t="shared" si="21"/>
        <v>71</v>
      </c>
      <c r="BT21" s="460">
        <f t="shared" si="62"/>
        <v>36</v>
      </c>
      <c r="BU21" s="468">
        <f t="shared" si="62"/>
        <v>51</v>
      </c>
      <c r="BV21" s="374">
        <f t="shared" si="63"/>
        <v>22</v>
      </c>
      <c r="BW21" s="460">
        <f t="shared" si="22"/>
        <v>29</v>
      </c>
      <c r="BX21" s="459">
        <v>0</v>
      </c>
      <c r="BY21" s="522">
        <v>0</v>
      </c>
      <c r="BZ21" s="459">
        <v>0</v>
      </c>
      <c r="CA21" s="459">
        <v>0</v>
      </c>
      <c r="CB21" s="459">
        <v>0</v>
      </c>
      <c r="CC21" s="522">
        <v>0</v>
      </c>
      <c r="CD21" s="806"/>
      <c r="CE21" s="848">
        <f t="shared" si="23"/>
        <v>39.283000000000001</v>
      </c>
      <c r="CF21" s="848">
        <f t="shared" si="23"/>
        <v>-22.532</v>
      </c>
      <c r="CG21" s="53">
        <f t="shared" si="24"/>
        <v>13.799999999999999</v>
      </c>
      <c r="CH21" s="136">
        <f t="shared" si="25"/>
        <v>0</v>
      </c>
      <c r="CI21" s="136">
        <f t="shared" si="26"/>
        <v>0</v>
      </c>
      <c r="CJ21" s="53">
        <f t="shared" si="27"/>
        <v>4.9000000000000004</v>
      </c>
      <c r="CK21" s="53">
        <f t="shared" si="28"/>
        <v>0</v>
      </c>
      <c r="CL21" s="136">
        <f t="shared" si="29"/>
        <v>0</v>
      </c>
      <c r="CM21" s="136">
        <f t="shared" si="30"/>
        <v>14</v>
      </c>
      <c r="CN21" s="136">
        <f t="shared" si="31"/>
        <v>0</v>
      </c>
      <c r="CO21" s="374">
        <f t="shared" si="32"/>
        <v>0</v>
      </c>
      <c r="CP21" s="374">
        <f t="shared" si="33"/>
        <v>119</v>
      </c>
      <c r="CQ21" s="374">
        <f t="shared" si="34"/>
        <v>19</v>
      </c>
      <c r="CR21" s="498">
        <f t="shared" si="35"/>
        <v>-16</v>
      </c>
      <c r="CS21" s="374">
        <f t="shared" si="36"/>
        <v>-20</v>
      </c>
      <c r="CT21" s="136">
        <f t="shared" si="37"/>
        <v>127</v>
      </c>
      <c r="CU21" s="374">
        <f t="shared" si="38"/>
        <v>415</v>
      </c>
      <c r="CV21" s="374">
        <f t="shared" si="64"/>
        <v>51</v>
      </c>
      <c r="CW21" s="374">
        <f t="shared" si="39"/>
        <v>0</v>
      </c>
      <c r="CX21" s="459">
        <v>0</v>
      </c>
      <c r="CY21" s="459">
        <v>0</v>
      </c>
      <c r="CZ21" s="459">
        <v>0</v>
      </c>
      <c r="DA21" s="459">
        <v>0</v>
      </c>
      <c r="DB21" s="459">
        <v>0</v>
      </c>
      <c r="DC21" s="459">
        <v>0</v>
      </c>
      <c r="DD21" s="522"/>
      <c r="DE21" s="460"/>
      <c r="DF21" s="460"/>
      <c r="DG21" s="29"/>
      <c r="DH21" s="29"/>
      <c r="DI21" s="39"/>
      <c r="DJ21" s="39"/>
      <c r="DK21" s="39"/>
      <c r="DL21" s="39"/>
      <c r="DM21" s="91"/>
      <c r="DN21" s="29"/>
      <c r="DO21" s="29"/>
      <c r="DP21" s="29"/>
      <c r="DQ21" s="29"/>
      <c r="DR21" s="29"/>
      <c r="DS21" s="29"/>
      <c r="DT21" s="29"/>
      <c r="DU21" s="29"/>
      <c r="DV21" s="29"/>
      <c r="DW21" s="29"/>
      <c r="EH21" s="1330"/>
    </row>
    <row r="22" spans="1:138">
      <c r="A22" s="320"/>
      <c r="B22" s="208"/>
      <c r="C22" s="196" t="s">
        <v>602</v>
      </c>
      <c r="D22" s="196"/>
      <c r="E22" s="197"/>
      <c r="F22" s="460"/>
      <c r="G22" s="460"/>
      <c r="H22" s="460"/>
      <c r="I22" s="468"/>
      <c r="J22" s="460"/>
      <c r="K22" s="460"/>
      <c r="L22" s="460"/>
      <c r="M22" s="468"/>
      <c r="N22" s="460"/>
      <c r="O22" s="460"/>
      <c r="P22" s="460"/>
      <c r="Q22" s="468"/>
      <c r="R22" s="460"/>
      <c r="S22" s="460"/>
      <c r="T22" s="460"/>
      <c r="U22" s="468"/>
      <c r="V22" s="460"/>
      <c r="W22" s="460"/>
      <c r="X22" s="460"/>
      <c r="Y22" s="468"/>
      <c r="Z22" s="460"/>
      <c r="AA22" s="460"/>
      <c r="AB22" s="460"/>
      <c r="AC22" s="468"/>
      <c r="AD22" s="610"/>
      <c r="AE22" s="610"/>
      <c r="AF22" s="460"/>
      <c r="AG22" s="468"/>
      <c r="AH22" s="460"/>
      <c r="AI22" s="460"/>
      <c r="AJ22" s="459"/>
      <c r="AK22" s="522"/>
      <c r="AL22" s="524"/>
      <c r="AM22" s="460"/>
      <c r="AN22" s="459"/>
      <c r="AO22" s="522"/>
      <c r="AP22" s="524"/>
      <c r="AQ22" s="460"/>
      <c r="AR22" s="459"/>
      <c r="AS22" s="522"/>
      <c r="AT22" s="524"/>
      <c r="AU22" s="460"/>
      <c r="AV22" s="459"/>
      <c r="AW22" s="522"/>
      <c r="AX22" s="524"/>
      <c r="AY22" s="460"/>
      <c r="AZ22" s="459"/>
      <c r="BA22" s="522"/>
      <c r="BB22" s="524"/>
      <c r="BC22" s="460"/>
      <c r="BD22" s="459"/>
      <c r="BE22" s="522"/>
      <c r="BF22" s="524"/>
      <c r="BG22" s="460"/>
      <c r="BH22" s="459"/>
      <c r="BI22" s="522"/>
      <c r="BJ22" s="524"/>
      <c r="BK22" s="460"/>
      <c r="BL22" s="460">
        <f t="shared" si="58"/>
        <v>0</v>
      </c>
      <c r="BM22" s="522"/>
      <c r="BN22" s="524"/>
      <c r="BO22" s="460"/>
      <c r="BP22" s="460">
        <f t="shared" si="60"/>
        <v>0</v>
      </c>
      <c r="BQ22" s="522"/>
      <c r="BR22" s="524"/>
      <c r="BS22" s="460"/>
      <c r="BT22" s="460">
        <f t="shared" si="62"/>
        <v>0</v>
      </c>
      <c r="BU22" s="522"/>
      <c r="BV22" s="524"/>
      <c r="BW22" s="460"/>
      <c r="BX22" s="457"/>
      <c r="BY22" s="521"/>
      <c r="BZ22" s="457"/>
      <c r="CA22" s="457"/>
      <c r="CB22" s="457"/>
      <c r="CC22" s="521"/>
      <c r="CD22" s="805"/>
      <c r="CE22" s="848"/>
      <c r="CF22" s="848"/>
      <c r="CG22" s="53"/>
      <c r="CH22" s="136"/>
      <c r="CI22" s="136"/>
      <c r="CJ22" s="53"/>
      <c r="CK22" s="53"/>
      <c r="CL22" s="136"/>
      <c r="CM22" s="136"/>
      <c r="CN22" s="136"/>
      <c r="CO22" s="374"/>
      <c r="CP22" s="374"/>
      <c r="CQ22" s="374"/>
      <c r="CR22" s="498"/>
      <c r="CS22" s="524"/>
      <c r="CT22" s="136"/>
      <c r="CU22" s="524"/>
      <c r="CV22" s="524">
        <f t="shared" si="64"/>
        <v>0</v>
      </c>
      <c r="CW22" s="524">
        <f t="shared" si="39"/>
        <v>0</v>
      </c>
      <c r="CX22" s="457"/>
      <c r="CY22" s="457"/>
      <c r="CZ22" s="457"/>
      <c r="DA22" s="457"/>
      <c r="DB22" s="457"/>
      <c r="DC22" s="457"/>
      <c r="DD22" s="521"/>
      <c r="DE22" s="460"/>
      <c r="DF22" s="460"/>
      <c r="DG22" s="29"/>
      <c r="DH22" s="29"/>
      <c r="DI22" s="39"/>
      <c r="DJ22" s="29"/>
      <c r="DK22" s="29"/>
      <c r="DL22" s="29"/>
      <c r="DM22" s="91"/>
      <c r="DN22" s="29"/>
      <c r="DO22" s="29"/>
      <c r="DP22" s="29"/>
      <c r="DQ22" s="29"/>
      <c r="DR22" s="29"/>
      <c r="DS22" s="29"/>
      <c r="DT22" s="29"/>
      <c r="DU22" s="29"/>
      <c r="DV22" s="29"/>
      <c r="DW22" s="29"/>
    </row>
    <row r="23" spans="1:138">
      <c r="A23" s="320"/>
      <c r="B23" s="208"/>
      <c r="C23" s="196"/>
      <c r="D23" s="52" t="s">
        <v>791</v>
      </c>
      <c r="E23" s="197"/>
      <c r="F23" s="460">
        <f t="shared" ref="F23:F28" si="65">F70</f>
        <v>2.8170000000000002</v>
      </c>
      <c r="G23" s="460">
        <f t="shared" si="1"/>
        <v>-15.945</v>
      </c>
      <c r="H23" s="460">
        <f t="shared" si="1"/>
        <v>42.521999999999998</v>
      </c>
      <c r="I23" s="468">
        <f t="shared" si="1"/>
        <v>1.7550000000000026</v>
      </c>
      <c r="J23" s="460">
        <f t="shared" ref="J23:J28" si="66">J70</f>
        <v>-84.317999999999998</v>
      </c>
      <c r="K23" s="460">
        <f t="shared" si="3"/>
        <v>-10.772999999999996</v>
      </c>
      <c r="L23" s="460">
        <f t="shared" si="3"/>
        <v>37.220999999999997</v>
      </c>
      <c r="M23" s="468">
        <f t="shared" si="3"/>
        <v>-32.658999999999999</v>
      </c>
      <c r="N23" s="460">
        <f t="shared" ref="N23:N28" si="67">N70</f>
        <v>-14.205</v>
      </c>
      <c r="O23" s="460">
        <f t="shared" si="5"/>
        <v>-13.267000000000001</v>
      </c>
      <c r="P23" s="460">
        <f t="shared" si="5"/>
        <v>50.566000000000003</v>
      </c>
      <c r="Q23" s="468">
        <f t="shared" si="5"/>
        <v>-48.194000000000003</v>
      </c>
      <c r="R23" s="460">
        <f t="shared" ref="R23:R28" si="68">R70</f>
        <v>-82.3</v>
      </c>
      <c r="S23" s="460">
        <f t="shared" si="7"/>
        <v>-32.5</v>
      </c>
      <c r="T23" s="460">
        <f t="shared" si="7"/>
        <v>52.8</v>
      </c>
      <c r="U23" s="468">
        <f t="shared" si="7"/>
        <v>-4.5</v>
      </c>
      <c r="V23" s="460">
        <f t="shared" ref="V23:V28" si="69">V70</f>
        <v>-87.9</v>
      </c>
      <c r="W23" s="460">
        <f t="shared" si="9"/>
        <v>10.600000000000009</v>
      </c>
      <c r="X23" s="460">
        <f t="shared" si="9"/>
        <v>-8.5</v>
      </c>
      <c r="Y23" s="468">
        <f t="shared" si="9"/>
        <v>-4.5</v>
      </c>
      <c r="Z23" s="460">
        <f t="shared" ref="Z23:Z28" si="70">Z70</f>
        <v>-67.099999999999994</v>
      </c>
      <c r="AA23" s="460">
        <f t="shared" si="11"/>
        <v>41.699999999999996</v>
      </c>
      <c r="AB23" s="460">
        <f t="shared" si="11"/>
        <v>-53.4</v>
      </c>
      <c r="AC23" s="468">
        <f t="shared" si="11"/>
        <v>1.5</v>
      </c>
      <c r="AD23" s="610">
        <f t="shared" si="40"/>
        <v>-132</v>
      </c>
      <c r="AE23" s="610">
        <f t="shared" si="41"/>
        <v>-56</v>
      </c>
      <c r="AF23" s="460">
        <f t="shared" si="42"/>
        <v>-41</v>
      </c>
      <c r="AG23" s="468">
        <f t="shared" si="42"/>
        <v>11</v>
      </c>
      <c r="AH23" s="460">
        <f t="shared" si="43"/>
        <v>-173</v>
      </c>
      <c r="AI23" s="460">
        <f t="shared" ref="AI23:AI28" si="71">AI70-AH23</f>
        <v>-97</v>
      </c>
      <c r="AJ23" s="460">
        <f t="shared" ref="AJ23:AK28" si="72">AJ70-AI70</f>
        <v>72</v>
      </c>
      <c r="AK23" s="468">
        <f t="shared" si="72"/>
        <v>4</v>
      </c>
      <c r="AL23" s="374">
        <f t="shared" si="45"/>
        <v>-72</v>
      </c>
      <c r="AM23" s="460">
        <f t="shared" ref="AM23:AM28" si="73">AM70-AL23</f>
        <v>156</v>
      </c>
      <c r="AN23" s="460">
        <f t="shared" ref="AN23:AO28" si="74">AN70-AM70</f>
        <v>106</v>
      </c>
      <c r="AO23" s="468">
        <f t="shared" si="74"/>
        <v>-98</v>
      </c>
      <c r="AP23" s="374">
        <f t="shared" si="47"/>
        <v>-205</v>
      </c>
      <c r="AQ23" s="460">
        <f t="shared" ref="AQ23:AQ28" si="75">AQ70-AP23</f>
        <v>-234</v>
      </c>
      <c r="AR23" s="460">
        <f t="shared" ref="AR23:AS28" si="76">AR70-AQ70</f>
        <v>108</v>
      </c>
      <c r="AS23" s="468">
        <f t="shared" si="76"/>
        <v>1</v>
      </c>
      <c r="AT23" s="374">
        <f t="shared" si="49"/>
        <v>-68</v>
      </c>
      <c r="AU23" s="460">
        <f t="shared" ref="AU23:AU28" si="77">AU70-AT23</f>
        <v>75</v>
      </c>
      <c r="AV23" s="460">
        <f t="shared" ref="AV23:AW28" si="78">AV70-AU70</f>
        <v>79</v>
      </c>
      <c r="AW23" s="468">
        <f t="shared" si="78"/>
        <v>-36</v>
      </c>
      <c r="AX23" s="374">
        <f t="shared" si="51"/>
        <v>-150</v>
      </c>
      <c r="AY23" s="460">
        <f t="shared" ref="AY23:AY28" si="79">AY70-AX23</f>
        <v>609</v>
      </c>
      <c r="AZ23" s="460">
        <f t="shared" ref="AZ23:BA28" si="80">AZ70-AY70</f>
        <v>-337</v>
      </c>
      <c r="BA23" s="468">
        <f t="shared" si="80"/>
        <v>40</v>
      </c>
      <c r="BB23" s="374">
        <f t="shared" si="53"/>
        <v>413</v>
      </c>
      <c r="BC23" s="460">
        <f t="shared" ref="BC23:BC28" si="81">BC70-BB23</f>
        <v>220</v>
      </c>
      <c r="BD23" s="610">
        <f t="shared" ref="BD23:BE28" si="82">BD70-BC70</f>
        <v>32</v>
      </c>
      <c r="BE23" s="468">
        <f t="shared" si="82"/>
        <v>-81</v>
      </c>
      <c r="BF23" s="374">
        <f t="shared" si="55"/>
        <v>25</v>
      </c>
      <c r="BG23" s="460">
        <f t="shared" ref="BG23:BG28" si="83">BG70-BF23</f>
        <v>-170</v>
      </c>
      <c r="BH23" s="610">
        <f t="shared" ref="BH23:BI28" si="84">BH70-BG70</f>
        <v>157</v>
      </c>
      <c r="BI23" s="468">
        <f t="shared" si="84"/>
        <v>-187</v>
      </c>
      <c r="BJ23" s="374">
        <f t="shared" si="57"/>
        <v>74</v>
      </c>
      <c r="BK23" s="460">
        <f t="shared" ref="BK23:BK28" si="85">BK70-BJ23</f>
        <v>35</v>
      </c>
      <c r="BL23" s="460">
        <f t="shared" si="58"/>
        <v>185</v>
      </c>
      <c r="BM23" s="468">
        <f t="shared" si="58"/>
        <v>164</v>
      </c>
      <c r="BN23" s="374">
        <f t="shared" si="59"/>
        <v>-84</v>
      </c>
      <c r="BO23" s="460">
        <f t="shared" ref="BO23:BO28" si="86">BO70-BN23</f>
        <v>-34</v>
      </c>
      <c r="BP23" s="460">
        <f t="shared" si="60"/>
        <v>396</v>
      </c>
      <c r="BQ23" s="468">
        <f t="shared" si="60"/>
        <v>188</v>
      </c>
      <c r="BR23" s="374">
        <f t="shared" si="61"/>
        <v>-562</v>
      </c>
      <c r="BS23" s="460">
        <f t="shared" ref="BS23:BS28" si="87">BS70-BR23</f>
        <v>22</v>
      </c>
      <c r="BT23" s="460">
        <f t="shared" si="62"/>
        <v>51</v>
      </c>
      <c r="BU23" s="468">
        <f t="shared" si="62"/>
        <v>2</v>
      </c>
      <c r="BV23" s="374">
        <f t="shared" si="63"/>
        <v>-153</v>
      </c>
      <c r="BW23" s="2277">
        <f t="shared" ref="BW23:BW28" si="88">BW70-BV23</f>
        <v>0</v>
      </c>
      <c r="BX23" s="610">
        <f>BS!BW15-BS!BX15</f>
        <v>24.328818478261155</v>
      </c>
      <c r="BY23" s="611">
        <f>BS!BX15-BS!BY15</f>
        <v>104.79328963739113</v>
      </c>
      <c r="BZ23" s="610">
        <f>BS!BY15-BS!BZ15</f>
        <v>-171.46374890515017</v>
      </c>
      <c r="CA23" s="610">
        <f>BS!BZ15-BS!CA15</f>
        <v>87.450585531240677</v>
      </c>
      <c r="CB23" s="610">
        <f>BS!CA15-BS!CB15</f>
        <v>92.891137191190865</v>
      </c>
      <c r="CC23" s="611">
        <f>BS!CB15-BS!CC15</f>
        <v>-57.853839731694279</v>
      </c>
      <c r="CD23" s="806"/>
      <c r="CE23" s="848">
        <f t="shared" ref="CE23:CF27" si="89">CE70</f>
        <v>31.149000000000001</v>
      </c>
      <c r="CF23" s="848">
        <f t="shared" si="89"/>
        <v>-90.528999999999996</v>
      </c>
      <c r="CG23" s="53">
        <f t="shared" ref="CG23:CG28" si="90">SUM(N23:Q23)</f>
        <v>-25.1</v>
      </c>
      <c r="CH23" s="136">
        <f t="shared" ref="CH23:CH28" si="91">SUM(R23:U23)</f>
        <v>-66.5</v>
      </c>
      <c r="CI23" s="136">
        <f t="shared" ref="CI23:CI28" si="92">SUM(V23:Y23)</f>
        <v>-90.3</v>
      </c>
      <c r="CJ23" s="53">
        <f t="shared" ref="CJ23:CJ28" si="93">SUM(Z23:AC23)</f>
        <v>-77.3</v>
      </c>
      <c r="CK23" s="53">
        <f t="shared" ref="CK23:CK28" si="94">SUM(AD23:AG23)</f>
        <v>-218</v>
      </c>
      <c r="CL23" s="136">
        <f t="shared" ref="CL23:CL28" si="95">SUM(AH23:AK23)</f>
        <v>-194</v>
      </c>
      <c r="CM23" s="136">
        <f t="shared" ref="CM23:CM28" si="96">SUM(AL23:AO23)</f>
        <v>92</v>
      </c>
      <c r="CN23" s="136">
        <f t="shared" ref="CN23:CN28" si="97">SUM(AP23:AS23)</f>
        <v>-330</v>
      </c>
      <c r="CO23" s="374">
        <f t="shared" ref="CO23:CO28" si="98">SUM(AT23:AW23)</f>
        <v>50</v>
      </c>
      <c r="CP23" s="374">
        <f t="shared" ref="CP23:CP28" si="99">SUM(AX23:BA23)</f>
        <v>162</v>
      </c>
      <c r="CQ23" s="374">
        <f t="shared" ref="CQ23:CQ28" si="100">SUM(BB23:BE23)</f>
        <v>584</v>
      </c>
      <c r="CR23" s="498">
        <f t="shared" ref="CR23:CR28" si="101">SUM(BF23:BI23)</f>
        <v>-175</v>
      </c>
      <c r="CS23" s="374">
        <f t="shared" ref="CS23:CS28" si="102">SUM(BJ23:BM23)</f>
        <v>458</v>
      </c>
      <c r="CT23" s="136">
        <f t="shared" ref="CT23:CT28" si="103">SUM(BN23:BQ23)</f>
        <v>466</v>
      </c>
      <c r="CU23" s="374">
        <f t="shared" ref="CU23:CU28" si="104">SUM(BR23:BU23)</f>
        <v>-487</v>
      </c>
      <c r="CV23" s="374">
        <f t="shared" si="64"/>
        <v>-23.877891884347719</v>
      </c>
      <c r="CW23" s="374">
        <f t="shared" si="39"/>
        <v>-48.975865914412907</v>
      </c>
      <c r="CX23" s="610">
        <f>BS!CW15-BS!CX15</f>
        <v>-321.46739081026158</v>
      </c>
      <c r="CY23" s="610">
        <f>BS!CX15-BS!CY15</f>
        <v>-83.138088219960082</v>
      </c>
      <c r="CZ23" s="610">
        <f>BS!CY15-BS!CZ15</f>
        <v>-90.456740209628606</v>
      </c>
      <c r="DA23" s="610">
        <f>BS!CZ15-BS!DA15</f>
        <v>-114.3353337910421</v>
      </c>
      <c r="DB23" s="610">
        <f>BS!DA15-BS!DB15</f>
        <v>-129.58143263132752</v>
      </c>
      <c r="DC23" s="610">
        <f>BS!DB15-BS!DC15</f>
        <v>-146.75690737199375</v>
      </c>
      <c r="DD23" s="611"/>
      <c r="DE23" s="460"/>
      <c r="DF23" s="460"/>
      <c r="DG23" s="29"/>
      <c r="DH23" s="29"/>
      <c r="DI23" s="39"/>
      <c r="DJ23" s="39"/>
      <c r="DK23" s="39"/>
      <c r="DL23" s="39"/>
      <c r="DM23" s="91"/>
      <c r="DN23" s="29"/>
      <c r="DO23" s="29"/>
      <c r="DP23" s="29"/>
      <c r="DQ23" s="29"/>
      <c r="DR23" s="29"/>
      <c r="DS23" s="29"/>
      <c r="DT23" s="29"/>
      <c r="DU23" s="29"/>
      <c r="DV23" s="29"/>
      <c r="DW23" s="29"/>
      <c r="EH23" s="1330"/>
    </row>
    <row r="24" spans="1:138">
      <c r="A24" s="320"/>
      <c r="B24" s="208"/>
      <c r="C24" s="196"/>
      <c r="D24" s="52" t="s">
        <v>45</v>
      </c>
      <c r="E24" s="197"/>
      <c r="F24" s="460">
        <f t="shared" si="65"/>
        <v>24.518999999999998</v>
      </c>
      <c r="G24" s="460">
        <f t="shared" si="1"/>
        <v>-23.409999999999997</v>
      </c>
      <c r="H24" s="460">
        <f t="shared" si="1"/>
        <v>-5.758</v>
      </c>
      <c r="I24" s="468">
        <f t="shared" si="1"/>
        <v>6.4530000000000003</v>
      </c>
      <c r="J24" s="460">
        <f t="shared" si="66"/>
        <v>2.5619999999999998</v>
      </c>
      <c r="K24" s="460">
        <f t="shared" si="3"/>
        <v>-20.098000000000003</v>
      </c>
      <c r="L24" s="460">
        <f t="shared" si="3"/>
        <v>1.9280000000000008</v>
      </c>
      <c r="M24" s="468">
        <f t="shared" si="3"/>
        <v>21.035</v>
      </c>
      <c r="N24" s="460">
        <f t="shared" si="67"/>
        <v>-18.108000000000001</v>
      </c>
      <c r="O24" s="460">
        <f t="shared" si="5"/>
        <v>-14.288999999999998</v>
      </c>
      <c r="P24" s="460">
        <f t="shared" si="5"/>
        <v>-4.8710000000000022</v>
      </c>
      <c r="Q24" s="468">
        <f t="shared" si="5"/>
        <v>12.868000000000002</v>
      </c>
      <c r="R24" s="460">
        <f t="shared" si="68"/>
        <v>-16.100000000000001</v>
      </c>
      <c r="S24" s="460">
        <f t="shared" si="7"/>
        <v>-32.9</v>
      </c>
      <c r="T24" s="460">
        <f t="shared" si="7"/>
        <v>6.7000000000000028</v>
      </c>
      <c r="U24" s="468">
        <f t="shared" si="7"/>
        <v>0.39999999999999858</v>
      </c>
      <c r="V24" s="460">
        <f t="shared" si="69"/>
        <v>4.3</v>
      </c>
      <c r="W24" s="460">
        <f t="shared" si="9"/>
        <v>26.099999999999998</v>
      </c>
      <c r="X24" s="460">
        <f t="shared" si="9"/>
        <v>-17.299999999999997</v>
      </c>
      <c r="Y24" s="468">
        <f t="shared" si="9"/>
        <v>-17.3</v>
      </c>
      <c r="Z24" s="460">
        <f t="shared" si="70"/>
        <v>-19.899999999999999</v>
      </c>
      <c r="AA24" s="460">
        <f t="shared" si="11"/>
        <v>4.4999999999999982</v>
      </c>
      <c r="AB24" s="460">
        <f t="shared" si="11"/>
        <v>-9.2999999999999989</v>
      </c>
      <c r="AC24" s="468">
        <f t="shared" si="11"/>
        <v>-27.500000000000004</v>
      </c>
      <c r="AD24" s="610">
        <f t="shared" si="40"/>
        <v>-11</v>
      </c>
      <c r="AE24" s="610">
        <f t="shared" si="41"/>
        <v>-49</v>
      </c>
      <c r="AF24" s="460">
        <f t="shared" si="42"/>
        <v>22</v>
      </c>
      <c r="AG24" s="468">
        <f t="shared" si="42"/>
        <v>-15</v>
      </c>
      <c r="AH24" s="460">
        <f t="shared" si="43"/>
        <v>3</v>
      </c>
      <c r="AI24" s="460">
        <f t="shared" si="71"/>
        <v>2</v>
      </c>
      <c r="AJ24" s="460">
        <f t="shared" si="72"/>
        <v>3</v>
      </c>
      <c r="AK24" s="468">
        <f t="shared" si="72"/>
        <v>0</v>
      </c>
      <c r="AL24" s="374">
        <f t="shared" si="45"/>
        <v>-21</v>
      </c>
      <c r="AM24" s="460">
        <f t="shared" si="73"/>
        <v>31</v>
      </c>
      <c r="AN24" s="460">
        <f t="shared" si="74"/>
        <v>69</v>
      </c>
      <c r="AO24" s="468">
        <f t="shared" si="74"/>
        <v>9</v>
      </c>
      <c r="AP24" s="374">
        <f t="shared" si="47"/>
        <v>-19</v>
      </c>
      <c r="AQ24" s="460">
        <f t="shared" si="75"/>
        <v>-58</v>
      </c>
      <c r="AR24" s="460">
        <f t="shared" si="76"/>
        <v>-54</v>
      </c>
      <c r="AS24" s="468">
        <f t="shared" si="76"/>
        <v>-17</v>
      </c>
      <c r="AT24" s="374">
        <f t="shared" si="49"/>
        <v>-1</v>
      </c>
      <c r="AU24" s="460">
        <f t="shared" si="77"/>
        <v>-7</v>
      </c>
      <c r="AV24" s="460">
        <f t="shared" si="78"/>
        <v>-6</v>
      </c>
      <c r="AW24" s="468">
        <f t="shared" si="78"/>
        <v>-3</v>
      </c>
      <c r="AX24" s="374">
        <f t="shared" si="51"/>
        <v>-68</v>
      </c>
      <c r="AY24" s="460">
        <f t="shared" si="79"/>
        <v>179</v>
      </c>
      <c r="AZ24" s="460">
        <f t="shared" si="80"/>
        <v>-94</v>
      </c>
      <c r="BA24" s="468">
        <f t="shared" si="80"/>
        <v>71</v>
      </c>
      <c r="BB24" s="374">
        <f t="shared" si="53"/>
        <v>-94</v>
      </c>
      <c r="BC24" s="460">
        <f t="shared" si="81"/>
        <v>101</v>
      </c>
      <c r="BD24" s="610">
        <f t="shared" si="82"/>
        <v>6</v>
      </c>
      <c r="BE24" s="468">
        <f t="shared" si="82"/>
        <v>9</v>
      </c>
      <c r="BF24" s="374">
        <f t="shared" si="55"/>
        <v>-21</v>
      </c>
      <c r="BG24" s="460">
        <f t="shared" si="83"/>
        <v>-45</v>
      </c>
      <c r="BH24" s="610">
        <f t="shared" si="84"/>
        <v>16</v>
      </c>
      <c r="BI24" s="468">
        <f t="shared" si="84"/>
        <v>50</v>
      </c>
      <c r="BJ24" s="374">
        <f t="shared" si="57"/>
        <v>-46</v>
      </c>
      <c r="BK24" s="460">
        <f t="shared" si="85"/>
        <v>-10</v>
      </c>
      <c r="BL24" s="460">
        <f t="shared" si="58"/>
        <v>-40</v>
      </c>
      <c r="BM24" s="468">
        <f t="shared" si="58"/>
        <v>-47</v>
      </c>
      <c r="BN24" s="374">
        <f t="shared" si="59"/>
        <v>105</v>
      </c>
      <c r="BO24" s="460">
        <f t="shared" si="86"/>
        <v>22</v>
      </c>
      <c r="BP24" s="460">
        <f t="shared" si="60"/>
        <v>11</v>
      </c>
      <c r="BQ24" s="468">
        <f t="shared" si="60"/>
        <v>168</v>
      </c>
      <c r="BR24" s="374">
        <f t="shared" si="61"/>
        <v>28</v>
      </c>
      <c r="BS24" s="460">
        <f t="shared" si="87"/>
        <v>24</v>
      </c>
      <c r="BT24" s="460">
        <f t="shared" si="62"/>
        <v>-144</v>
      </c>
      <c r="BU24" s="468">
        <f t="shared" si="62"/>
        <v>-112</v>
      </c>
      <c r="BV24" s="374">
        <f t="shared" si="63"/>
        <v>39</v>
      </c>
      <c r="BW24" s="2277">
        <f t="shared" si="88"/>
        <v>0</v>
      </c>
      <c r="BX24" s="610">
        <f>BS!BW16-BS!BX16</f>
        <v>41.094099086956703</v>
      </c>
      <c r="BY24" s="611">
        <f>BS!BX16-BS!BY16</f>
        <v>-81.082914804312622</v>
      </c>
      <c r="BZ24" s="610">
        <f>BS!BY16-BS!BZ16</f>
        <v>-176.46041652402209</v>
      </c>
      <c r="CA24" s="610">
        <f>BS!BZ16-BS!CA16</f>
        <v>-20.785052635001193</v>
      </c>
      <c r="CB24" s="610">
        <f>BS!CA16-BS!CB16</f>
        <v>174.91327690047774</v>
      </c>
      <c r="CC24" s="611">
        <f>BS!CB16-BS!CC16</f>
        <v>244.91103924584877</v>
      </c>
      <c r="CD24" s="806"/>
      <c r="CE24" s="848">
        <f t="shared" si="89"/>
        <v>1.804</v>
      </c>
      <c r="CF24" s="848">
        <f t="shared" si="89"/>
        <v>5.4269999999999996</v>
      </c>
      <c r="CG24" s="53">
        <f t="shared" si="90"/>
        <v>-24.4</v>
      </c>
      <c r="CH24" s="136">
        <f t="shared" si="91"/>
        <v>-41.9</v>
      </c>
      <c r="CI24" s="136">
        <f t="shared" si="92"/>
        <v>-4.1999999999999993</v>
      </c>
      <c r="CJ24" s="53">
        <f t="shared" si="93"/>
        <v>-52.2</v>
      </c>
      <c r="CK24" s="53">
        <f t="shared" si="94"/>
        <v>-53</v>
      </c>
      <c r="CL24" s="136">
        <f t="shared" si="95"/>
        <v>8</v>
      </c>
      <c r="CM24" s="136">
        <f t="shared" si="96"/>
        <v>88</v>
      </c>
      <c r="CN24" s="136">
        <f t="shared" si="97"/>
        <v>-148</v>
      </c>
      <c r="CO24" s="374">
        <f t="shared" si="98"/>
        <v>-17</v>
      </c>
      <c r="CP24" s="374">
        <f t="shared" si="99"/>
        <v>88</v>
      </c>
      <c r="CQ24" s="374">
        <f t="shared" si="100"/>
        <v>22</v>
      </c>
      <c r="CR24" s="498">
        <f t="shared" si="101"/>
        <v>0</v>
      </c>
      <c r="CS24" s="374">
        <f t="shared" si="102"/>
        <v>-143</v>
      </c>
      <c r="CT24" s="136">
        <f t="shared" si="103"/>
        <v>306</v>
      </c>
      <c r="CU24" s="374">
        <f t="shared" si="104"/>
        <v>-204</v>
      </c>
      <c r="CV24" s="374">
        <f t="shared" si="64"/>
        <v>-0.98881571735591933</v>
      </c>
      <c r="CW24" s="374">
        <f t="shared" si="39"/>
        <v>222.57884698730322</v>
      </c>
      <c r="CX24" s="610">
        <f>BS!CW16-BS!CX16</f>
        <v>-240.66759562732977</v>
      </c>
      <c r="CY24" s="610">
        <f>BS!CX16-BS!CY16</f>
        <v>-138.4199702969031</v>
      </c>
      <c r="CZ24" s="610">
        <f>BS!CY16-BS!CZ16</f>
        <v>-102.09915803636341</v>
      </c>
      <c r="DA24" s="610">
        <f>BS!CZ16-BS!DA16</f>
        <v>-137.83736061028139</v>
      </c>
      <c r="DB24" s="610">
        <f>BS!DA16-BS!DB16</f>
        <v>-155.04186742940874</v>
      </c>
      <c r="DC24" s="610">
        <f>BS!DB16-BS!DC16</f>
        <v>-174.72774871224374</v>
      </c>
      <c r="DD24" s="611"/>
      <c r="DE24" s="460"/>
      <c r="DF24" s="460"/>
      <c r="DG24" s="29"/>
      <c r="DH24" s="29"/>
      <c r="DI24" s="39"/>
      <c r="DJ24" s="39"/>
      <c r="DK24" s="39"/>
      <c r="DL24" s="39"/>
      <c r="DM24" s="91"/>
      <c r="DN24" s="29"/>
      <c r="DO24" s="29"/>
      <c r="DP24" s="29"/>
      <c r="DQ24" s="29"/>
      <c r="DR24" s="29"/>
      <c r="DS24" s="29"/>
      <c r="DT24" s="29"/>
      <c r="DU24" s="29"/>
      <c r="DV24" s="29"/>
      <c r="DW24" s="29"/>
      <c r="EH24" s="1330"/>
    </row>
    <row r="25" spans="1:138">
      <c r="A25" s="320"/>
      <c r="B25" s="208"/>
      <c r="C25" s="196"/>
      <c r="D25" s="52" t="s">
        <v>106</v>
      </c>
      <c r="E25" s="197"/>
      <c r="F25" s="460">
        <f t="shared" si="65"/>
        <v>-54.777000000000001</v>
      </c>
      <c r="G25" s="460">
        <f t="shared" si="1"/>
        <v>25.535</v>
      </c>
      <c r="H25" s="460">
        <f t="shared" si="1"/>
        <v>-43.435000000000002</v>
      </c>
      <c r="I25" s="468">
        <f t="shared" si="1"/>
        <v>-17.785999999999987</v>
      </c>
      <c r="J25" s="460">
        <f t="shared" si="66"/>
        <v>80.617000000000004</v>
      </c>
      <c r="K25" s="460">
        <f t="shared" si="3"/>
        <v>10.64</v>
      </c>
      <c r="L25" s="460">
        <f t="shared" si="3"/>
        <v>-11.369</v>
      </c>
      <c r="M25" s="468">
        <f t="shared" si="3"/>
        <v>-8.8650000000000091</v>
      </c>
      <c r="N25" s="460">
        <f t="shared" si="67"/>
        <v>41.390999999999998</v>
      </c>
      <c r="O25" s="460">
        <f t="shared" si="5"/>
        <v>7.8599999999999994</v>
      </c>
      <c r="P25" s="460">
        <f t="shared" si="5"/>
        <v>-3.9169999999999945</v>
      </c>
      <c r="Q25" s="468">
        <f t="shared" si="5"/>
        <v>3.965999999999994</v>
      </c>
      <c r="R25" s="460">
        <f t="shared" si="68"/>
        <v>34.299999999999997</v>
      </c>
      <c r="S25" s="460">
        <f t="shared" si="7"/>
        <v>56.8</v>
      </c>
      <c r="T25" s="460">
        <f t="shared" si="7"/>
        <v>-51.099999999999994</v>
      </c>
      <c r="U25" s="468">
        <f t="shared" si="7"/>
        <v>14.299999999999997</v>
      </c>
      <c r="V25" s="460">
        <f t="shared" si="69"/>
        <v>100.7</v>
      </c>
      <c r="W25" s="460">
        <f t="shared" si="9"/>
        <v>-14.100000000000009</v>
      </c>
      <c r="X25" s="460">
        <f t="shared" si="9"/>
        <v>29.5</v>
      </c>
      <c r="Y25" s="468">
        <f t="shared" si="9"/>
        <v>18.099999999999994</v>
      </c>
      <c r="Z25" s="460">
        <f t="shared" si="70"/>
        <v>79</v>
      </c>
      <c r="AA25" s="460">
        <f t="shared" si="11"/>
        <v>-67.900000000000006</v>
      </c>
      <c r="AB25" s="460">
        <f t="shared" si="11"/>
        <v>19.299999999999997</v>
      </c>
      <c r="AC25" s="468">
        <f t="shared" si="11"/>
        <v>34.199999999999996</v>
      </c>
      <c r="AD25" s="610">
        <f t="shared" si="40"/>
        <v>118</v>
      </c>
      <c r="AE25" s="610">
        <f t="shared" si="41"/>
        <v>75</v>
      </c>
      <c r="AF25" s="460">
        <f t="shared" si="42"/>
        <v>16</v>
      </c>
      <c r="AG25" s="468">
        <f t="shared" si="42"/>
        <v>-13</v>
      </c>
      <c r="AH25" s="460">
        <f t="shared" si="43"/>
        <v>72</v>
      </c>
      <c r="AI25" s="460">
        <f t="shared" si="71"/>
        <v>130</v>
      </c>
      <c r="AJ25" s="460">
        <f t="shared" si="72"/>
        <v>-21</v>
      </c>
      <c r="AK25" s="468">
        <f t="shared" si="72"/>
        <v>-67</v>
      </c>
      <c r="AL25" s="374">
        <f t="shared" si="45"/>
        <v>76</v>
      </c>
      <c r="AM25" s="460">
        <f t="shared" si="73"/>
        <v>-140</v>
      </c>
      <c r="AN25" s="460">
        <f t="shared" si="74"/>
        <v>-35</v>
      </c>
      <c r="AO25" s="468">
        <f t="shared" si="74"/>
        <v>66</v>
      </c>
      <c r="AP25" s="374">
        <f t="shared" si="47"/>
        <v>241</v>
      </c>
      <c r="AQ25" s="460">
        <f t="shared" si="75"/>
        <v>187</v>
      </c>
      <c r="AR25" s="460">
        <f t="shared" si="76"/>
        <v>-8</v>
      </c>
      <c r="AS25" s="468">
        <f t="shared" si="76"/>
        <v>-150</v>
      </c>
      <c r="AT25" s="374">
        <f t="shared" si="49"/>
        <v>162</v>
      </c>
      <c r="AU25" s="460">
        <f t="shared" si="77"/>
        <v>-5</v>
      </c>
      <c r="AV25" s="460">
        <f t="shared" si="78"/>
        <v>-86</v>
      </c>
      <c r="AW25" s="468">
        <f t="shared" si="78"/>
        <v>107</v>
      </c>
      <c r="AX25" s="374">
        <f t="shared" si="51"/>
        <v>157</v>
      </c>
      <c r="AY25" s="460">
        <f t="shared" si="79"/>
        <v>-832</v>
      </c>
      <c r="AZ25" s="460">
        <f t="shared" si="80"/>
        <v>902</v>
      </c>
      <c r="BA25" s="468">
        <f t="shared" si="80"/>
        <v>-95</v>
      </c>
      <c r="BB25" s="374">
        <f t="shared" si="53"/>
        <v>-67</v>
      </c>
      <c r="BC25" s="460">
        <f t="shared" si="81"/>
        <v>-285</v>
      </c>
      <c r="BD25" s="610">
        <f>BD72-BC72</f>
        <v>-82</v>
      </c>
      <c r="BE25" s="468">
        <f t="shared" si="82"/>
        <v>-77</v>
      </c>
      <c r="BF25" s="374">
        <f t="shared" si="55"/>
        <v>29</v>
      </c>
      <c r="BG25" s="460">
        <f t="shared" si="83"/>
        <v>64</v>
      </c>
      <c r="BH25" s="610">
        <f>BH72-BG72</f>
        <v>-199</v>
      </c>
      <c r="BI25" s="468">
        <f t="shared" si="84"/>
        <v>74</v>
      </c>
      <c r="BJ25" s="374">
        <f t="shared" si="57"/>
        <v>49</v>
      </c>
      <c r="BK25" s="460">
        <f t="shared" si="85"/>
        <v>45</v>
      </c>
      <c r="BL25" s="460">
        <f t="shared" si="58"/>
        <v>-86</v>
      </c>
      <c r="BM25" s="468">
        <f t="shared" si="58"/>
        <v>-156</v>
      </c>
      <c r="BN25" s="374">
        <f t="shared" si="59"/>
        <v>-71</v>
      </c>
      <c r="BO25" s="460">
        <f t="shared" si="86"/>
        <v>13</v>
      </c>
      <c r="BP25" s="460">
        <f t="shared" si="60"/>
        <v>-243</v>
      </c>
      <c r="BQ25" s="468">
        <f t="shared" si="60"/>
        <v>-113</v>
      </c>
      <c r="BR25" s="374">
        <f t="shared" si="61"/>
        <v>120</v>
      </c>
      <c r="BS25" s="460">
        <f t="shared" si="87"/>
        <v>66</v>
      </c>
      <c r="BT25" s="460">
        <f t="shared" si="62"/>
        <v>133</v>
      </c>
      <c r="BU25" s="468">
        <f t="shared" si="62"/>
        <v>-58</v>
      </c>
      <c r="BV25" s="374">
        <f t="shared" si="63"/>
        <v>-58</v>
      </c>
      <c r="BW25" s="2277">
        <f t="shared" si="88"/>
        <v>0</v>
      </c>
      <c r="BX25" s="610">
        <f>BS!BX37-BS!BW37</f>
        <v>99.589543391304233</v>
      </c>
      <c r="BY25" s="611">
        <f>BS!BY37-BS!BX37</f>
        <v>114.87118387375631</v>
      </c>
      <c r="BZ25" s="610">
        <f>BS!BZ37-BS!BY37</f>
        <v>145.73781892552552</v>
      </c>
      <c r="CA25" s="610">
        <f>BS!CA37-BS!BZ37</f>
        <v>21.065931724663187</v>
      </c>
      <c r="CB25" s="610">
        <f>BS!CB37-BS!CA37</f>
        <v>-176.84318215885605</v>
      </c>
      <c r="CC25" s="611">
        <f>BS!CC37-BS!CB37</f>
        <v>-309.34192815864526</v>
      </c>
      <c r="CD25" s="806"/>
      <c r="CE25" s="848">
        <f t="shared" si="89"/>
        <v>-90.462999999999994</v>
      </c>
      <c r="CF25" s="848">
        <f t="shared" si="89"/>
        <v>71.022999999999996</v>
      </c>
      <c r="CG25" s="53">
        <f t="shared" si="90"/>
        <v>49.3</v>
      </c>
      <c r="CH25" s="136">
        <f t="shared" si="91"/>
        <v>54.3</v>
      </c>
      <c r="CI25" s="136">
        <f t="shared" si="92"/>
        <v>134.19999999999999</v>
      </c>
      <c r="CJ25" s="53">
        <f t="shared" si="93"/>
        <v>64.599999999999994</v>
      </c>
      <c r="CK25" s="53">
        <f t="shared" si="94"/>
        <v>196</v>
      </c>
      <c r="CL25" s="136">
        <f t="shared" si="95"/>
        <v>114</v>
      </c>
      <c r="CM25" s="136">
        <f t="shared" si="96"/>
        <v>-33</v>
      </c>
      <c r="CN25" s="136">
        <f t="shared" si="97"/>
        <v>270</v>
      </c>
      <c r="CO25" s="374">
        <f t="shared" si="98"/>
        <v>178</v>
      </c>
      <c r="CP25" s="374">
        <f t="shared" si="99"/>
        <v>132</v>
      </c>
      <c r="CQ25" s="374">
        <f t="shared" si="100"/>
        <v>-511</v>
      </c>
      <c r="CR25" s="498">
        <f t="shared" si="101"/>
        <v>-32</v>
      </c>
      <c r="CS25" s="374">
        <f t="shared" si="102"/>
        <v>-148</v>
      </c>
      <c r="CT25" s="136">
        <f t="shared" si="103"/>
        <v>-414</v>
      </c>
      <c r="CU25" s="374">
        <f t="shared" si="104"/>
        <v>261</v>
      </c>
      <c r="CV25" s="374">
        <f t="shared" si="64"/>
        <v>156.46072726506054</v>
      </c>
      <c r="CW25" s="374">
        <f t="shared" si="39"/>
        <v>-319.38135966731261</v>
      </c>
      <c r="CX25" s="610">
        <f>BS!CX37-BS!CW37</f>
        <v>202.11705844577455</v>
      </c>
      <c r="CY25" s="610">
        <f>BS!CY37-BS!CX37</f>
        <v>135.34595832257537</v>
      </c>
      <c r="CZ25" s="610">
        <f>BS!CZ37-BS!CY37</f>
        <v>99.051421975576432</v>
      </c>
      <c r="DA25" s="610">
        <f>BS!DA37-BS!CZ37</f>
        <v>133.7228125323627</v>
      </c>
      <c r="DB25" s="610">
        <f>BS!DB37-BS!DA37</f>
        <v>150.41375198375454</v>
      </c>
      <c r="DC25" s="610">
        <f>BS!DC37-BS!DB37</f>
        <v>169.51199501934116</v>
      </c>
      <c r="DD25" s="611"/>
      <c r="DE25" s="460"/>
      <c r="DF25" s="460"/>
      <c r="DG25" s="29"/>
      <c r="DH25" s="29"/>
      <c r="DI25" s="39"/>
      <c r="DJ25" s="39"/>
      <c r="DK25" s="39"/>
      <c r="DL25" s="39"/>
      <c r="DM25" s="91"/>
      <c r="DN25" s="29"/>
      <c r="DO25" s="29"/>
      <c r="DP25" s="29"/>
      <c r="DQ25" s="29"/>
      <c r="DR25" s="29"/>
      <c r="DS25" s="29"/>
      <c r="DT25" s="29"/>
      <c r="DU25" s="29"/>
      <c r="DV25" s="29"/>
      <c r="DW25" s="29"/>
      <c r="EH25" s="1330"/>
    </row>
    <row r="26" spans="1:138">
      <c r="A26" s="320"/>
      <c r="B26" s="208"/>
      <c r="C26" s="196"/>
      <c r="D26" s="52" t="s">
        <v>107</v>
      </c>
      <c r="E26" s="197"/>
      <c r="F26" s="460">
        <f t="shared" si="65"/>
        <v>-6.1559999999999997</v>
      </c>
      <c r="G26" s="460">
        <f t="shared" si="1"/>
        <v>-3.5910000000000002</v>
      </c>
      <c r="H26" s="460">
        <f t="shared" si="1"/>
        <v>-2.8350000000000009</v>
      </c>
      <c r="I26" s="468">
        <f t="shared" si="1"/>
        <v>-5.5129999999999981</v>
      </c>
      <c r="J26" s="460">
        <f t="shared" si="66"/>
        <v>-2.0249999999999999</v>
      </c>
      <c r="K26" s="460">
        <f t="shared" si="3"/>
        <v>0.57799999999999985</v>
      </c>
      <c r="L26" s="460">
        <f t="shared" si="3"/>
        <v>-2.387</v>
      </c>
      <c r="M26" s="468">
        <f t="shared" si="3"/>
        <v>3.8340000000000001</v>
      </c>
      <c r="N26" s="460">
        <f t="shared" si="67"/>
        <v>0.73199999999999998</v>
      </c>
      <c r="O26" s="460">
        <f t="shared" si="5"/>
        <v>28.891999999999999</v>
      </c>
      <c r="P26" s="460">
        <f t="shared" si="5"/>
        <v>-13.702999999999999</v>
      </c>
      <c r="Q26" s="468">
        <f t="shared" si="5"/>
        <v>7.3790000000000013</v>
      </c>
      <c r="R26" s="460">
        <f t="shared" si="68"/>
        <v>4.8</v>
      </c>
      <c r="S26" s="460">
        <f t="shared" si="7"/>
        <v>-19.399999999999999</v>
      </c>
      <c r="T26" s="460">
        <f t="shared" si="7"/>
        <v>-11.200000000000001</v>
      </c>
      <c r="U26" s="468">
        <f t="shared" si="7"/>
        <v>-1</v>
      </c>
      <c r="V26" s="460">
        <f t="shared" si="69"/>
        <v>24.4</v>
      </c>
      <c r="W26" s="460">
        <f t="shared" si="9"/>
        <v>28.4</v>
      </c>
      <c r="X26" s="460">
        <f t="shared" si="9"/>
        <v>3.7000000000000028</v>
      </c>
      <c r="Y26" s="468">
        <f t="shared" si="9"/>
        <v>42.3</v>
      </c>
      <c r="Z26" s="460">
        <f t="shared" si="70"/>
        <v>-39.5</v>
      </c>
      <c r="AA26" s="460">
        <f t="shared" si="11"/>
        <v>22.1</v>
      </c>
      <c r="AB26" s="460">
        <f t="shared" si="11"/>
        <v>5.7999999999999989</v>
      </c>
      <c r="AC26" s="468">
        <f t="shared" si="11"/>
        <v>-15.799999999999999</v>
      </c>
      <c r="AD26" s="610">
        <f t="shared" si="40"/>
        <v>-1</v>
      </c>
      <c r="AE26" s="610">
        <f t="shared" si="41"/>
        <v>9</v>
      </c>
      <c r="AF26" s="460">
        <f t="shared" si="42"/>
        <v>-14</v>
      </c>
      <c r="AG26" s="468">
        <f t="shared" si="42"/>
        <v>12</v>
      </c>
      <c r="AH26" s="460">
        <f t="shared" si="43"/>
        <v>12</v>
      </c>
      <c r="AI26" s="460">
        <f t="shared" si="71"/>
        <v>27</v>
      </c>
      <c r="AJ26" s="460">
        <f t="shared" si="72"/>
        <v>-20</v>
      </c>
      <c r="AK26" s="468">
        <f t="shared" si="72"/>
        <v>19</v>
      </c>
      <c r="AL26" s="374">
        <f>AL73</f>
        <v>7</v>
      </c>
      <c r="AM26" s="460">
        <f t="shared" si="73"/>
        <v>1</v>
      </c>
      <c r="AN26" s="460">
        <f t="shared" si="74"/>
        <v>-1</v>
      </c>
      <c r="AO26" s="468">
        <f t="shared" si="74"/>
        <v>16</v>
      </c>
      <c r="AP26" s="374">
        <f>AP73</f>
        <v>-23</v>
      </c>
      <c r="AQ26" s="460">
        <f t="shared" si="75"/>
        <v>80</v>
      </c>
      <c r="AR26" s="460">
        <f t="shared" si="76"/>
        <v>-38</v>
      </c>
      <c r="AS26" s="468">
        <f t="shared" si="76"/>
        <v>48</v>
      </c>
      <c r="AT26" s="374">
        <f>AT73</f>
        <v>-52</v>
      </c>
      <c r="AU26" s="460">
        <f t="shared" si="77"/>
        <v>39</v>
      </c>
      <c r="AV26" s="460">
        <f t="shared" si="78"/>
        <v>-13</v>
      </c>
      <c r="AW26" s="468">
        <f t="shared" si="78"/>
        <v>97</v>
      </c>
      <c r="AX26" s="374">
        <f>AX73</f>
        <v>-17</v>
      </c>
      <c r="AY26" s="460">
        <f t="shared" si="79"/>
        <v>15</v>
      </c>
      <c r="AZ26" s="460">
        <f t="shared" si="80"/>
        <v>-25</v>
      </c>
      <c r="BA26" s="468">
        <f t="shared" si="80"/>
        <v>-101</v>
      </c>
      <c r="BB26" s="374">
        <f>BB73</f>
        <v>-113</v>
      </c>
      <c r="BC26" s="460">
        <f t="shared" si="81"/>
        <v>-56</v>
      </c>
      <c r="BD26" s="610">
        <f t="shared" si="82"/>
        <v>52</v>
      </c>
      <c r="BE26" s="468">
        <f t="shared" si="82"/>
        <v>753</v>
      </c>
      <c r="BF26" s="374">
        <f>BF73</f>
        <v>-104</v>
      </c>
      <c r="BG26" s="460">
        <f t="shared" si="83"/>
        <v>97</v>
      </c>
      <c r="BH26" s="610">
        <f t="shared" si="84"/>
        <v>-56</v>
      </c>
      <c r="BI26" s="468">
        <f t="shared" si="84"/>
        <v>66</v>
      </c>
      <c r="BJ26" s="374">
        <f>BJ73</f>
        <v>8</v>
      </c>
      <c r="BK26" s="460">
        <f t="shared" si="85"/>
        <v>53</v>
      </c>
      <c r="BL26" s="460">
        <f t="shared" si="58"/>
        <v>22</v>
      </c>
      <c r="BM26" s="468">
        <f t="shared" si="58"/>
        <v>-182</v>
      </c>
      <c r="BN26" s="374">
        <f>BN73</f>
        <v>24</v>
      </c>
      <c r="BO26" s="460">
        <f t="shared" si="86"/>
        <v>-4</v>
      </c>
      <c r="BP26" s="460">
        <f t="shared" si="60"/>
        <v>117</v>
      </c>
      <c r="BQ26" s="468">
        <f t="shared" si="60"/>
        <v>-129</v>
      </c>
      <c r="BR26" s="374">
        <f>BR73</f>
        <v>288</v>
      </c>
      <c r="BS26" s="460">
        <f t="shared" si="87"/>
        <v>-35</v>
      </c>
      <c r="BT26" s="460">
        <f t="shared" si="62"/>
        <v>-93</v>
      </c>
      <c r="BU26" s="468">
        <f t="shared" si="62"/>
        <v>186</v>
      </c>
      <c r="BV26" s="374">
        <f>BV73</f>
        <v>158</v>
      </c>
      <c r="BW26" s="2277">
        <f t="shared" si="88"/>
        <v>0</v>
      </c>
      <c r="BX26" s="610">
        <f>(BS!BX38-BS!BW38)+(BS!BX39-BS!BW39)+(BS!BX40-BS!BW40)</f>
        <v>-74.369962100000379</v>
      </c>
      <c r="BY26" s="611">
        <f>(BS!BY38-BS!BX38)+(BS!BY39-BS!BX39)+(BS!BY40-BS!BX40)</f>
        <v>59.544704515409933</v>
      </c>
      <c r="BZ26" s="610">
        <f>(BS!BZ38-BS!BY38)+(BS!BZ39-BS!BY39)+(BS!BZ40-BS!BY40)</f>
        <v>260.74554141007866</v>
      </c>
      <c r="CA26" s="610">
        <f>(BS!CA38-BS!BZ38)+(BS!CA39-BS!BZ39)+(BS!CA40-BS!BZ40)</f>
        <v>4.3923838325439704</v>
      </c>
      <c r="CB26" s="610">
        <f>(BS!CB38-BS!CA38)+(BS!CB39-BS!CA39)+(BS!CB40-BS!CA40)</f>
        <v>-285.5014467155267</v>
      </c>
      <c r="CC26" s="611">
        <f>(BS!CC38-BS!CB38)+(BS!CC39-BS!CB39)+(BS!CC40-BS!CB40)</f>
        <v>-49.303815544918905</v>
      </c>
      <c r="CD26" s="806"/>
      <c r="CE26" s="848">
        <f t="shared" si="89"/>
        <v>-18.094999999999999</v>
      </c>
      <c r="CF26" s="848">
        <f t="shared" si="89"/>
        <v>0</v>
      </c>
      <c r="CG26" s="53">
        <f t="shared" si="90"/>
        <v>23.3</v>
      </c>
      <c r="CH26" s="136">
        <f t="shared" si="91"/>
        <v>-26.799999999999997</v>
      </c>
      <c r="CI26" s="136">
        <f t="shared" si="92"/>
        <v>98.8</v>
      </c>
      <c r="CJ26" s="53">
        <f t="shared" si="93"/>
        <v>-27.4</v>
      </c>
      <c r="CK26" s="53">
        <f t="shared" si="94"/>
        <v>6</v>
      </c>
      <c r="CL26" s="136">
        <f t="shared" si="95"/>
        <v>38</v>
      </c>
      <c r="CM26" s="136">
        <f t="shared" si="96"/>
        <v>23</v>
      </c>
      <c r="CN26" s="136">
        <f t="shared" si="97"/>
        <v>67</v>
      </c>
      <c r="CO26" s="374">
        <f t="shared" si="98"/>
        <v>71</v>
      </c>
      <c r="CP26" s="374">
        <f t="shared" si="99"/>
        <v>-128</v>
      </c>
      <c r="CQ26" s="374">
        <f t="shared" si="100"/>
        <v>636</v>
      </c>
      <c r="CR26" s="498">
        <f t="shared" si="101"/>
        <v>3</v>
      </c>
      <c r="CS26" s="374">
        <f t="shared" si="102"/>
        <v>-99</v>
      </c>
      <c r="CT26" s="136">
        <f t="shared" si="103"/>
        <v>8</v>
      </c>
      <c r="CU26" s="374">
        <f t="shared" si="104"/>
        <v>346</v>
      </c>
      <c r="CV26" s="374">
        <f t="shared" si="64"/>
        <v>143.17474241540955</v>
      </c>
      <c r="CW26" s="374">
        <f t="shared" si="39"/>
        <v>-69.667337017823002</v>
      </c>
      <c r="CX26" s="610">
        <f>(BS!CX38-BS!CW38)+(BS!CX39-BS!CW39)+(BS!CX40-BS!CW40)</f>
        <v>133.54350419365494</v>
      </c>
      <c r="CY26" s="610">
        <f>(BS!CY38-BS!CX38)+(BS!CY39-BS!CX39)+(BS!CY40-BS!CX40)</f>
        <v>79.511209413575699</v>
      </c>
      <c r="CZ26" s="610">
        <f>(BS!CZ38-BS!CY38)+(BS!CZ39-BS!CY39)+(BS!CZ40-BS!CY40)</f>
        <v>74.691239966896461</v>
      </c>
      <c r="DA26" s="610">
        <f>(BS!DA38-BS!CZ38)+(BS!DA39-BS!CZ39)+(BS!DA40-BS!CZ40)</f>
        <v>101.55273492448023</v>
      </c>
      <c r="DB26" s="610">
        <f>(BS!DB38-BS!DA38)+(BS!DB39-BS!DA39)+(BS!DB40-BS!DA40)</f>
        <v>117.51012981777461</v>
      </c>
      <c r="DC26" s="610">
        <f>(BS!DC38-BS!DB38)+(BS!DC39-BS!DB39)+(BS!DC40-BS!DB40)</f>
        <v>132.65839737406458</v>
      </c>
      <c r="DD26" s="611"/>
      <c r="DE26" s="460"/>
      <c r="DF26" s="460"/>
      <c r="DG26" s="29"/>
      <c r="DH26" s="29"/>
      <c r="DI26" s="39"/>
      <c r="DJ26" s="39"/>
      <c r="DK26" s="39"/>
      <c r="DL26" s="39"/>
      <c r="DM26" s="91"/>
      <c r="DN26" s="29"/>
      <c r="DO26" s="29"/>
      <c r="DP26" s="29"/>
      <c r="DQ26" s="29"/>
      <c r="DR26" s="29"/>
      <c r="DS26" s="29"/>
      <c r="DT26" s="29"/>
      <c r="DU26" s="29"/>
      <c r="DV26" s="29"/>
      <c r="DW26" s="29"/>
      <c r="EH26" s="1330"/>
    </row>
    <row r="27" spans="1:138">
      <c r="A27" s="320"/>
      <c r="B27" s="208"/>
      <c r="C27" s="196"/>
      <c r="D27" s="52" t="s">
        <v>363</v>
      </c>
      <c r="E27" s="197"/>
      <c r="F27" s="460">
        <f t="shared" si="65"/>
        <v>0</v>
      </c>
      <c r="G27" s="460">
        <f t="shared" si="1"/>
        <v>0</v>
      </c>
      <c r="H27" s="460">
        <f t="shared" si="1"/>
        <v>0</v>
      </c>
      <c r="I27" s="468">
        <f t="shared" si="1"/>
        <v>0</v>
      </c>
      <c r="J27" s="460">
        <f t="shared" si="66"/>
        <v>0</v>
      </c>
      <c r="K27" s="460">
        <f t="shared" si="3"/>
        <v>0</v>
      </c>
      <c r="L27" s="460">
        <f t="shared" si="3"/>
        <v>0</v>
      </c>
      <c r="M27" s="468">
        <f t="shared" si="3"/>
        <v>-5.0579999999999998</v>
      </c>
      <c r="N27" s="460">
        <f t="shared" si="67"/>
        <v>0</v>
      </c>
      <c r="O27" s="460">
        <f t="shared" si="5"/>
        <v>0</v>
      </c>
      <c r="P27" s="460">
        <f t="shared" si="5"/>
        <v>0</v>
      </c>
      <c r="Q27" s="468">
        <f t="shared" si="5"/>
        <v>0</v>
      </c>
      <c r="R27" s="460">
        <f t="shared" si="68"/>
        <v>0</v>
      </c>
      <c r="S27" s="460">
        <f t="shared" si="7"/>
        <v>0</v>
      </c>
      <c r="T27" s="460">
        <f t="shared" si="7"/>
        <v>0</v>
      </c>
      <c r="U27" s="468">
        <f t="shared" si="7"/>
        <v>0</v>
      </c>
      <c r="V27" s="460">
        <f t="shared" si="69"/>
        <v>0</v>
      </c>
      <c r="W27" s="460">
        <f t="shared" si="9"/>
        <v>0</v>
      </c>
      <c r="X27" s="460">
        <f t="shared" si="9"/>
        <v>0</v>
      </c>
      <c r="Y27" s="468">
        <f t="shared" si="9"/>
        <v>0</v>
      </c>
      <c r="Z27" s="460">
        <f t="shared" si="70"/>
        <v>0</v>
      </c>
      <c r="AA27" s="460">
        <f t="shared" si="11"/>
        <v>0</v>
      </c>
      <c r="AB27" s="460">
        <f t="shared" si="11"/>
        <v>0</v>
      </c>
      <c r="AC27" s="468">
        <f t="shared" si="11"/>
        <v>-79.400000000000006</v>
      </c>
      <c r="AD27" s="610">
        <f t="shared" si="40"/>
        <v>-3</v>
      </c>
      <c r="AE27" s="610">
        <f t="shared" si="41"/>
        <v>5</v>
      </c>
      <c r="AF27" s="460">
        <f t="shared" si="42"/>
        <v>-12</v>
      </c>
      <c r="AG27" s="468">
        <f t="shared" si="42"/>
        <v>3</v>
      </c>
      <c r="AH27" s="460">
        <f t="shared" si="43"/>
        <v>30</v>
      </c>
      <c r="AI27" s="460">
        <f t="shared" si="71"/>
        <v>24</v>
      </c>
      <c r="AJ27" s="460">
        <f t="shared" si="72"/>
        <v>0</v>
      </c>
      <c r="AK27" s="468">
        <f t="shared" si="72"/>
        <v>0</v>
      </c>
      <c r="AL27" s="374">
        <f t="shared" si="45"/>
        <v>9</v>
      </c>
      <c r="AM27" s="460">
        <f t="shared" si="73"/>
        <v>0</v>
      </c>
      <c r="AN27" s="460">
        <f t="shared" si="74"/>
        <v>-9</v>
      </c>
      <c r="AO27" s="468">
        <f t="shared" si="74"/>
        <v>0</v>
      </c>
      <c r="AP27" s="374">
        <f t="shared" si="47"/>
        <v>0</v>
      </c>
      <c r="AQ27" s="460">
        <f t="shared" si="75"/>
        <v>0</v>
      </c>
      <c r="AR27" s="460">
        <f t="shared" si="76"/>
        <v>0</v>
      </c>
      <c r="AS27" s="468">
        <f t="shared" si="76"/>
        <v>0</v>
      </c>
      <c r="AT27" s="374">
        <f t="shared" si="49"/>
        <v>0</v>
      </c>
      <c r="AU27" s="460">
        <f t="shared" si="77"/>
        <v>0</v>
      </c>
      <c r="AV27" s="460">
        <f t="shared" si="78"/>
        <v>0</v>
      </c>
      <c r="AW27" s="468">
        <f t="shared" si="78"/>
        <v>0</v>
      </c>
      <c r="AX27" s="374">
        <f t="shared" si="51"/>
        <v>0</v>
      </c>
      <c r="AY27" s="460">
        <f t="shared" si="79"/>
        <v>0</v>
      </c>
      <c r="AZ27" s="460">
        <f t="shared" si="80"/>
        <v>0</v>
      </c>
      <c r="BA27" s="468">
        <f t="shared" si="80"/>
        <v>0</v>
      </c>
      <c r="BB27" s="374">
        <f t="shared" si="53"/>
        <v>0</v>
      </c>
      <c r="BC27" s="460">
        <f t="shared" si="81"/>
        <v>0</v>
      </c>
      <c r="BD27" s="610">
        <f t="shared" si="82"/>
        <v>0</v>
      </c>
      <c r="BE27" s="468">
        <f t="shared" si="82"/>
        <v>0</v>
      </c>
      <c r="BF27" s="374">
        <f t="shared" si="55"/>
        <v>0</v>
      </c>
      <c r="BG27" s="460">
        <f t="shared" si="83"/>
        <v>0</v>
      </c>
      <c r="BH27" s="610">
        <f t="shared" si="84"/>
        <v>0</v>
      </c>
      <c r="BI27" s="468">
        <f t="shared" si="84"/>
        <v>0</v>
      </c>
      <c r="BJ27" s="374">
        <f t="shared" si="57"/>
        <v>0</v>
      </c>
      <c r="BK27" s="460">
        <f t="shared" si="85"/>
        <v>0</v>
      </c>
      <c r="BL27" s="460">
        <f t="shared" si="58"/>
        <v>0</v>
      </c>
      <c r="BM27" s="468">
        <f t="shared" si="58"/>
        <v>0</v>
      </c>
      <c r="BN27" s="374">
        <f t="shared" si="59"/>
        <v>0</v>
      </c>
      <c r="BO27" s="460">
        <f t="shared" si="86"/>
        <v>0</v>
      </c>
      <c r="BP27" s="460">
        <f t="shared" si="60"/>
        <v>0</v>
      </c>
      <c r="BQ27" s="468">
        <f t="shared" si="60"/>
        <v>0</v>
      </c>
      <c r="BR27" s="374">
        <f t="shared" si="61"/>
        <v>0</v>
      </c>
      <c r="BS27" s="460">
        <f t="shared" si="87"/>
        <v>0</v>
      </c>
      <c r="BT27" s="460">
        <f t="shared" si="62"/>
        <v>0</v>
      </c>
      <c r="BU27" s="468">
        <f t="shared" si="62"/>
        <v>0</v>
      </c>
      <c r="BV27" s="374">
        <f t="shared" si="63"/>
        <v>0</v>
      </c>
      <c r="BW27" s="2277">
        <f t="shared" si="88"/>
        <v>0</v>
      </c>
      <c r="BX27" s="610">
        <f>BS!BW20-BS!BX20</f>
        <v>0</v>
      </c>
      <c r="BY27" s="611">
        <f>BS!BX20-BS!BY20</f>
        <v>0</v>
      </c>
      <c r="BZ27" s="610">
        <f>BS!BY20-BS!BZ20</f>
        <v>0</v>
      </c>
      <c r="CA27" s="610">
        <f>BS!BZ20-BS!CA20</f>
        <v>0</v>
      </c>
      <c r="CB27" s="610">
        <f>BS!CA20-BS!CB20</f>
        <v>0</v>
      </c>
      <c r="CC27" s="611">
        <f>BS!CB20-BS!CC20</f>
        <v>0</v>
      </c>
      <c r="CD27" s="806"/>
      <c r="CE27" s="848">
        <f t="shared" si="89"/>
        <v>0</v>
      </c>
      <c r="CF27" s="848">
        <f t="shared" si="89"/>
        <v>-5.0579999999999998</v>
      </c>
      <c r="CG27" s="53">
        <f t="shared" si="90"/>
        <v>0</v>
      </c>
      <c r="CH27" s="136">
        <f t="shared" si="91"/>
        <v>0</v>
      </c>
      <c r="CI27" s="136">
        <f t="shared" si="92"/>
        <v>0</v>
      </c>
      <c r="CJ27" s="53">
        <f t="shared" si="93"/>
        <v>-79.400000000000006</v>
      </c>
      <c r="CK27" s="53">
        <f t="shared" si="94"/>
        <v>-7</v>
      </c>
      <c r="CL27" s="136">
        <f t="shared" si="95"/>
        <v>54</v>
      </c>
      <c r="CM27" s="136">
        <f t="shared" si="96"/>
        <v>0</v>
      </c>
      <c r="CN27" s="136">
        <f t="shared" si="97"/>
        <v>0</v>
      </c>
      <c r="CO27" s="374">
        <f t="shared" si="98"/>
        <v>0</v>
      </c>
      <c r="CP27" s="374">
        <f t="shared" si="99"/>
        <v>0</v>
      </c>
      <c r="CQ27" s="374">
        <f t="shared" si="100"/>
        <v>0</v>
      </c>
      <c r="CR27" s="498">
        <f t="shared" si="101"/>
        <v>0</v>
      </c>
      <c r="CS27" s="374">
        <f t="shared" si="102"/>
        <v>0</v>
      </c>
      <c r="CT27" s="136">
        <f t="shared" si="103"/>
        <v>0</v>
      </c>
      <c r="CU27" s="374">
        <f t="shared" si="104"/>
        <v>0</v>
      </c>
      <c r="CV27" s="374">
        <f t="shared" si="64"/>
        <v>0</v>
      </c>
      <c r="CW27" s="374">
        <f t="shared" si="39"/>
        <v>0</v>
      </c>
      <c r="CX27" s="610">
        <f>BS!CW20-BS!CX20</f>
        <v>0</v>
      </c>
      <c r="CY27" s="610">
        <f>BS!CX20-BS!CY20</f>
        <v>0</v>
      </c>
      <c r="CZ27" s="610">
        <f>BS!CY20-BS!CZ20</f>
        <v>0</v>
      </c>
      <c r="DA27" s="610">
        <f>BS!CZ20-BS!DA20</f>
        <v>0</v>
      </c>
      <c r="DB27" s="610">
        <f>BS!DA20-BS!DB20</f>
        <v>0</v>
      </c>
      <c r="DC27" s="610">
        <f>BS!DB20-BS!DC20</f>
        <v>0</v>
      </c>
      <c r="DD27" s="611"/>
      <c r="DE27" s="460"/>
      <c r="DF27" s="460"/>
      <c r="DG27" s="29"/>
      <c r="DH27" s="29"/>
      <c r="DI27" s="39"/>
      <c r="DJ27" s="39"/>
      <c r="DK27" s="39"/>
      <c r="DL27" s="39"/>
      <c r="DM27" s="91"/>
      <c r="DN27" s="29"/>
      <c r="DO27" s="29"/>
      <c r="DP27" s="29"/>
      <c r="DQ27" s="29"/>
      <c r="DR27" s="29"/>
      <c r="DS27" s="29"/>
      <c r="DT27" s="29"/>
      <c r="DU27" s="29"/>
      <c r="DV27" s="29"/>
      <c r="DW27" s="29"/>
      <c r="EH27" s="1330"/>
    </row>
    <row r="28" spans="1:138">
      <c r="A28" s="320"/>
      <c r="B28" s="270"/>
      <c r="C28" s="264"/>
      <c r="D28" s="52" t="s">
        <v>362</v>
      </c>
      <c r="E28" s="265"/>
      <c r="F28" s="460">
        <f t="shared" si="65"/>
        <v>-5.1530000000000005</v>
      </c>
      <c r="G28" s="460">
        <f t="shared" si="1"/>
        <v>2.875</v>
      </c>
      <c r="H28" s="460">
        <f t="shared" si="1"/>
        <v>-6.8599999999999994</v>
      </c>
      <c r="I28" s="468">
        <f t="shared" si="1"/>
        <v>3.319</v>
      </c>
      <c r="J28" s="460">
        <f t="shared" si="66"/>
        <v>0.31600000000000006</v>
      </c>
      <c r="K28" s="460">
        <f t="shared" si="3"/>
        <v>3.843</v>
      </c>
      <c r="L28" s="460">
        <f t="shared" si="3"/>
        <v>-8.0150000000000006</v>
      </c>
      <c r="M28" s="468">
        <f t="shared" si="3"/>
        <v>3.4570000000000003</v>
      </c>
      <c r="N28" s="460">
        <f t="shared" si="67"/>
        <v>0.17799999999999994</v>
      </c>
      <c r="O28" s="460">
        <f t="shared" si="5"/>
        <v>-2.649</v>
      </c>
      <c r="P28" s="460">
        <f t="shared" si="5"/>
        <v>2.88</v>
      </c>
      <c r="Q28" s="468">
        <f t="shared" si="5"/>
        <v>7.9909999999999988</v>
      </c>
      <c r="R28" s="460">
        <f t="shared" si="68"/>
        <v>-10.7</v>
      </c>
      <c r="S28" s="460">
        <f t="shared" si="7"/>
        <v>6.6999999999999993</v>
      </c>
      <c r="T28" s="460">
        <f t="shared" si="7"/>
        <v>-10.199999999999999</v>
      </c>
      <c r="U28" s="468">
        <f t="shared" si="7"/>
        <v>6.4999999999999991</v>
      </c>
      <c r="V28" s="460">
        <f t="shared" si="69"/>
        <v>-7.8</v>
      </c>
      <c r="W28" s="460">
        <f t="shared" si="9"/>
        <v>3.5</v>
      </c>
      <c r="X28" s="460">
        <f t="shared" si="9"/>
        <v>-2.4000000000000004</v>
      </c>
      <c r="Y28" s="468">
        <f t="shared" si="9"/>
        <v>-4.3</v>
      </c>
      <c r="Z28" s="460">
        <f t="shared" si="70"/>
        <v>-24.2</v>
      </c>
      <c r="AA28" s="460">
        <f t="shared" si="11"/>
        <v>-42.599999999999994</v>
      </c>
      <c r="AB28" s="460">
        <f t="shared" si="11"/>
        <v>5.2000000000000028</v>
      </c>
      <c r="AC28" s="468">
        <f t="shared" si="11"/>
        <v>60.8</v>
      </c>
      <c r="AD28" s="610">
        <f t="shared" si="40"/>
        <v>0</v>
      </c>
      <c r="AE28" s="610">
        <f t="shared" si="41"/>
        <v>-1</v>
      </c>
      <c r="AF28" s="460">
        <f>AF75-AE75</f>
        <v>1</v>
      </c>
      <c r="AG28" s="468">
        <f>AG75-AF75</f>
        <v>-2</v>
      </c>
      <c r="AH28" s="460">
        <f t="shared" si="43"/>
        <v>11</v>
      </c>
      <c r="AI28" s="460">
        <f t="shared" si="71"/>
        <v>-2</v>
      </c>
      <c r="AJ28" s="460">
        <f t="shared" si="72"/>
        <v>-22</v>
      </c>
      <c r="AK28" s="468">
        <f>AK75-AJ75</f>
        <v>15</v>
      </c>
      <c r="AL28" s="374">
        <f t="shared" si="45"/>
        <v>-39</v>
      </c>
      <c r="AM28" s="460">
        <f t="shared" si="73"/>
        <v>26</v>
      </c>
      <c r="AN28" s="460">
        <f t="shared" si="74"/>
        <v>29</v>
      </c>
      <c r="AO28" s="468">
        <f>AO75-AN75</f>
        <v>12</v>
      </c>
      <c r="AP28" s="374">
        <f t="shared" si="47"/>
        <v>18</v>
      </c>
      <c r="AQ28" s="460">
        <f t="shared" si="75"/>
        <v>18</v>
      </c>
      <c r="AR28" s="460">
        <f t="shared" si="76"/>
        <v>31</v>
      </c>
      <c r="AS28" s="468">
        <f>AS75-AR75</f>
        <v>37</v>
      </c>
      <c r="AT28" s="374">
        <f t="shared" si="49"/>
        <v>-17</v>
      </c>
      <c r="AU28" s="460">
        <f t="shared" si="77"/>
        <v>8</v>
      </c>
      <c r="AV28" s="460">
        <f t="shared" si="78"/>
        <v>22</v>
      </c>
      <c r="AW28" s="468">
        <f>AW75-AV75</f>
        <v>-57</v>
      </c>
      <c r="AX28" s="374">
        <f t="shared" si="51"/>
        <v>7</v>
      </c>
      <c r="AY28" s="460">
        <f t="shared" si="79"/>
        <v>-20</v>
      </c>
      <c r="AZ28" s="460">
        <f t="shared" si="80"/>
        <v>37</v>
      </c>
      <c r="BA28" s="468">
        <f>BA75-AZ75</f>
        <v>46</v>
      </c>
      <c r="BB28" s="374">
        <f t="shared" si="53"/>
        <v>-62</v>
      </c>
      <c r="BC28" s="460">
        <f t="shared" si="81"/>
        <v>21</v>
      </c>
      <c r="BD28" s="610">
        <f t="shared" si="82"/>
        <v>-9</v>
      </c>
      <c r="BE28" s="468">
        <f>BE75-BD75</f>
        <v>34</v>
      </c>
      <c r="BF28" s="374">
        <f t="shared" si="55"/>
        <v>-23</v>
      </c>
      <c r="BG28" s="460">
        <f t="shared" si="83"/>
        <v>-9</v>
      </c>
      <c r="BH28" s="610">
        <f t="shared" si="84"/>
        <v>59</v>
      </c>
      <c r="BI28" s="468">
        <f>BI75-BH75</f>
        <v>-57</v>
      </c>
      <c r="BJ28" s="374">
        <f t="shared" si="57"/>
        <v>-24</v>
      </c>
      <c r="BK28" s="460">
        <f t="shared" si="85"/>
        <v>-659</v>
      </c>
      <c r="BL28" s="460">
        <f t="shared" si="58"/>
        <v>-76</v>
      </c>
      <c r="BM28" s="468">
        <f>BM75-BL75</f>
        <v>98</v>
      </c>
      <c r="BN28" s="374">
        <f t="shared" si="59"/>
        <v>-1</v>
      </c>
      <c r="BO28" s="460">
        <f t="shared" si="86"/>
        <v>33</v>
      </c>
      <c r="BP28" s="460">
        <f t="shared" si="60"/>
        <v>-151</v>
      </c>
      <c r="BQ28" s="468">
        <f>BQ75-BP75</f>
        <v>130</v>
      </c>
      <c r="BR28" s="374">
        <f t="shared" si="61"/>
        <v>-79</v>
      </c>
      <c r="BS28" s="460">
        <f t="shared" si="87"/>
        <v>91</v>
      </c>
      <c r="BT28" s="460">
        <f t="shared" si="62"/>
        <v>161</v>
      </c>
      <c r="BU28" s="468">
        <f>BU75-BT75</f>
        <v>2</v>
      </c>
      <c r="BV28" s="374">
        <f t="shared" si="63"/>
        <v>-222</v>
      </c>
      <c r="BW28" s="2278">
        <f t="shared" si="88"/>
        <v>1213</v>
      </c>
      <c r="BX28" s="610">
        <f>(BS!BW21-BS!BX21)+(BS!BX46-BS!BW46)</f>
        <v>-1043.8505650910001</v>
      </c>
      <c r="BY28" s="611">
        <f>(BS!BX21-BS!BY21)+(BS!BY46-BS!BX46)</f>
        <v>-56.397495720059055</v>
      </c>
      <c r="BZ28" s="610">
        <f>(BS!BY21-BS!BZ21)+(BS!BZ46-BS!BY46)</f>
        <v>-20.250548941501108</v>
      </c>
      <c r="CA28" s="610">
        <f>(BS!BZ21-BS!CA21)+(BS!CA46-BS!BZ46)</f>
        <v>161.38273250454176</v>
      </c>
      <c r="CB28" s="610">
        <f>(BS!CA21-BS!CB21)+(BS!CB46-BS!CA46)</f>
        <v>-34.899718961055441</v>
      </c>
      <c r="CC28" s="611">
        <f>(BS!CB21-BS!CC21)+(BS!CC46-BS!CB46)</f>
        <v>-107.24263585163175</v>
      </c>
      <c r="CD28" s="806"/>
      <c r="CE28" s="848">
        <f>CE75</f>
        <v>-5.819</v>
      </c>
      <c r="CF28" s="848">
        <f>CF75</f>
        <v>-0.39900000000000002</v>
      </c>
      <c r="CG28" s="53">
        <f t="shared" si="90"/>
        <v>8.3999999999999986</v>
      </c>
      <c r="CH28" s="136">
        <f t="shared" si="91"/>
        <v>-7.7</v>
      </c>
      <c r="CI28" s="136">
        <f t="shared" si="92"/>
        <v>-11</v>
      </c>
      <c r="CJ28" s="53">
        <f t="shared" si="93"/>
        <v>-0.79999999999999716</v>
      </c>
      <c r="CK28" s="53">
        <f t="shared" si="94"/>
        <v>-2</v>
      </c>
      <c r="CL28" s="136">
        <f t="shared" si="95"/>
        <v>2</v>
      </c>
      <c r="CM28" s="136">
        <f t="shared" si="96"/>
        <v>28</v>
      </c>
      <c r="CN28" s="136">
        <f t="shared" si="97"/>
        <v>104</v>
      </c>
      <c r="CO28" s="374">
        <f t="shared" si="98"/>
        <v>-44</v>
      </c>
      <c r="CP28" s="374">
        <f t="shared" si="99"/>
        <v>70</v>
      </c>
      <c r="CQ28" s="374">
        <f t="shared" si="100"/>
        <v>-16</v>
      </c>
      <c r="CR28" s="498">
        <f t="shared" si="101"/>
        <v>-30</v>
      </c>
      <c r="CS28" s="374">
        <f t="shared" si="102"/>
        <v>-661</v>
      </c>
      <c r="CT28" s="136">
        <f t="shared" si="103"/>
        <v>11</v>
      </c>
      <c r="CU28" s="374">
        <f t="shared" si="104"/>
        <v>175</v>
      </c>
      <c r="CV28" s="374">
        <f t="shared" si="64"/>
        <v>-109.24806081105919</v>
      </c>
      <c r="CW28" s="374">
        <f t="shared" si="39"/>
        <v>-1.0101712496465325</v>
      </c>
      <c r="CX28" s="610">
        <f>(BS!CW21-BS!CX21)+(BS!CX46-BS!CW46)</f>
        <v>62.514311313856638</v>
      </c>
      <c r="CY28" s="610">
        <f>(BS!CX21-BS!CY21)+(BS!CY46-BS!CX46)</f>
        <v>39.224307086886256</v>
      </c>
      <c r="CZ28" s="610">
        <f>(BS!CY21-BS!CZ21)+(BS!CZ46-BS!CY46)</f>
        <v>34.285157780481541</v>
      </c>
      <c r="DA28" s="610">
        <f>(BS!CZ21-BS!DA21)+(BS!DA46-BS!CZ46)</f>
        <v>48.408586776226628</v>
      </c>
      <c r="DB28" s="610">
        <f>(BS!DA21-BS!DB21)+(BS!DB46-BS!DA46)</f>
        <v>56.578936677208389</v>
      </c>
      <c r="DC28" s="610">
        <f>(BS!DB21-BS!DC21)+(BS!DC46-BS!DB46)</f>
        <v>63.774908408725764</v>
      </c>
      <c r="DD28" s="611"/>
      <c r="DE28" s="460"/>
      <c r="DF28" s="460"/>
      <c r="DG28" s="29"/>
      <c r="DH28" s="29"/>
      <c r="DI28" s="39"/>
      <c r="DJ28" s="39"/>
      <c r="DK28" s="39"/>
      <c r="DL28" s="39"/>
      <c r="DM28" s="91"/>
      <c r="DN28" s="29"/>
      <c r="DO28" s="29"/>
      <c r="DP28" s="29"/>
      <c r="DQ28" s="29"/>
      <c r="DR28" s="29"/>
      <c r="DS28" s="29"/>
      <c r="DT28" s="29"/>
      <c r="DU28" s="29"/>
      <c r="DV28" s="29"/>
      <c r="DW28" s="29"/>
      <c r="EH28" s="1330"/>
    </row>
    <row r="29" spans="1:138">
      <c r="A29" s="320"/>
      <c r="B29" s="209" t="s">
        <v>601</v>
      </c>
      <c r="C29" s="188"/>
      <c r="D29" s="188"/>
      <c r="E29" s="198"/>
      <c r="F29" s="507">
        <f t="shared" ref="F29:BF29" si="105">SUM(F13:F15,F16:F28)</f>
        <v>-66.515000000000001</v>
      </c>
      <c r="G29" s="505">
        <f t="shared" si="105"/>
        <v>9.0990000000000073</v>
      </c>
      <c r="H29" s="505">
        <f t="shared" si="105"/>
        <v>-1.9060000000000059</v>
      </c>
      <c r="I29" s="506">
        <f t="shared" si="105"/>
        <v>0.47400000000002596</v>
      </c>
      <c r="J29" s="507">
        <f t="shared" si="105"/>
        <v>7.9809999999999972</v>
      </c>
      <c r="K29" s="505">
        <f t="shared" si="105"/>
        <v>6.2440000000000069</v>
      </c>
      <c r="L29" s="505">
        <f t="shared" si="105"/>
        <v>48.73899999999999</v>
      </c>
      <c r="M29" s="506">
        <f t="shared" si="105"/>
        <v>19.786999999999985</v>
      </c>
      <c r="N29" s="1091">
        <f t="shared" si="105"/>
        <v>45.025999999999996</v>
      </c>
      <c r="O29" s="505">
        <f t="shared" si="105"/>
        <v>92.446000000000012</v>
      </c>
      <c r="P29" s="505">
        <f t="shared" si="105"/>
        <v>99.063999999999993</v>
      </c>
      <c r="Q29" s="506">
        <f t="shared" si="105"/>
        <v>44.263999999999982</v>
      </c>
      <c r="R29" s="507">
        <f t="shared" si="105"/>
        <v>-18</v>
      </c>
      <c r="S29" s="505">
        <f t="shared" si="105"/>
        <v>73.3</v>
      </c>
      <c r="T29" s="505">
        <f t="shared" si="105"/>
        <v>61.699999999999989</v>
      </c>
      <c r="U29" s="506">
        <f t="shared" si="105"/>
        <v>73</v>
      </c>
      <c r="V29" s="507">
        <f t="shared" si="105"/>
        <v>93.100000000000009</v>
      </c>
      <c r="W29" s="505">
        <f t="shared" si="105"/>
        <v>143</v>
      </c>
      <c r="X29" s="505">
        <f t="shared" si="105"/>
        <v>111.49999999999999</v>
      </c>
      <c r="Y29" s="506">
        <f t="shared" si="105"/>
        <v>113.10000000000002</v>
      </c>
      <c r="Z29" s="507">
        <f t="shared" si="105"/>
        <v>39.600000000000009</v>
      </c>
      <c r="AA29" s="505">
        <f t="shared" si="105"/>
        <v>116.6</v>
      </c>
      <c r="AB29" s="505">
        <f t="shared" si="105"/>
        <v>119</v>
      </c>
      <c r="AC29" s="506">
        <f t="shared" si="105"/>
        <v>126.3</v>
      </c>
      <c r="AD29" s="507">
        <f t="shared" si="105"/>
        <v>128</v>
      </c>
      <c r="AE29" s="505">
        <f t="shared" si="105"/>
        <v>172</v>
      </c>
      <c r="AF29" s="505">
        <f t="shared" si="105"/>
        <v>164</v>
      </c>
      <c r="AG29" s="506">
        <f t="shared" si="105"/>
        <v>154</v>
      </c>
      <c r="AH29" s="507">
        <f t="shared" si="105"/>
        <v>219</v>
      </c>
      <c r="AI29" s="505">
        <f t="shared" si="105"/>
        <v>519</v>
      </c>
      <c r="AJ29" s="505">
        <f t="shared" si="105"/>
        <v>431</v>
      </c>
      <c r="AK29" s="506">
        <f t="shared" si="105"/>
        <v>230</v>
      </c>
      <c r="AL29" s="49">
        <f t="shared" si="105"/>
        <v>301</v>
      </c>
      <c r="AM29" s="505">
        <f t="shared" si="105"/>
        <v>300</v>
      </c>
      <c r="AN29" s="505">
        <f t="shared" si="105"/>
        <v>355</v>
      </c>
      <c r="AO29" s="506">
        <f t="shared" si="105"/>
        <v>349</v>
      </c>
      <c r="AP29" s="49">
        <f t="shared" si="105"/>
        <v>434</v>
      </c>
      <c r="AQ29" s="505">
        <f t="shared" si="105"/>
        <v>557</v>
      </c>
      <c r="AR29" s="505">
        <f t="shared" si="105"/>
        <v>588</v>
      </c>
      <c r="AS29" s="506">
        <f t="shared" si="105"/>
        <v>363</v>
      </c>
      <c r="AT29" s="49">
        <f t="shared" si="105"/>
        <v>390</v>
      </c>
      <c r="AU29" s="505">
        <f t="shared" si="105"/>
        <v>505</v>
      </c>
      <c r="AV29" s="505">
        <f t="shared" si="105"/>
        <v>313</v>
      </c>
      <c r="AW29" s="506">
        <f t="shared" si="105"/>
        <v>447</v>
      </c>
      <c r="AX29" s="49">
        <f t="shared" si="105"/>
        <v>352</v>
      </c>
      <c r="AY29" s="505">
        <f t="shared" si="105"/>
        <v>378</v>
      </c>
      <c r="AZ29" s="505">
        <f t="shared" si="105"/>
        <v>1208</v>
      </c>
      <c r="BA29" s="506">
        <f t="shared" si="105"/>
        <v>1129</v>
      </c>
      <c r="BB29" s="49">
        <f t="shared" si="105"/>
        <v>936</v>
      </c>
      <c r="BC29" s="505">
        <f t="shared" si="105"/>
        <v>772</v>
      </c>
      <c r="BD29" s="505">
        <f t="shared" si="105"/>
        <v>727</v>
      </c>
      <c r="BE29" s="506">
        <f t="shared" si="105"/>
        <v>684</v>
      </c>
      <c r="BF29" s="49">
        <f t="shared" si="105"/>
        <v>680</v>
      </c>
      <c r="BG29" s="505">
        <f t="shared" ref="BG29:BQ29" si="106">SUM(BG13:BG15,BG16:BG28)</f>
        <v>726</v>
      </c>
      <c r="BH29" s="505">
        <f t="shared" si="106"/>
        <v>698</v>
      </c>
      <c r="BI29" s="506">
        <f t="shared" si="106"/>
        <v>712</v>
      </c>
      <c r="BJ29" s="49">
        <f t="shared" si="106"/>
        <v>827</v>
      </c>
      <c r="BK29" s="505">
        <f t="shared" si="106"/>
        <v>243</v>
      </c>
      <c r="BL29" s="505">
        <f t="shared" si="106"/>
        <v>684</v>
      </c>
      <c r="BM29" s="506">
        <f t="shared" si="106"/>
        <v>488</v>
      </c>
      <c r="BN29" s="49">
        <f t="shared" si="106"/>
        <v>545</v>
      </c>
      <c r="BO29" s="505">
        <f t="shared" si="106"/>
        <v>598</v>
      </c>
      <c r="BP29" s="505">
        <f t="shared" si="106"/>
        <v>485</v>
      </c>
      <c r="BQ29" s="506">
        <f t="shared" si="106"/>
        <v>355</v>
      </c>
      <c r="BR29" s="49">
        <f t="shared" ref="BR29:BY29" si="107">SUM(BR13:BR15,BR16:BR28)</f>
        <v>440</v>
      </c>
      <c r="BS29" s="505">
        <f t="shared" si="107"/>
        <v>1060</v>
      </c>
      <c r="BT29" s="505">
        <f t="shared" si="107"/>
        <v>998</v>
      </c>
      <c r="BU29" s="506">
        <f t="shared" si="107"/>
        <v>939</v>
      </c>
      <c r="BV29" s="49">
        <f>SUM(BV13:BV15,BV16:BV28)</f>
        <v>1133</v>
      </c>
      <c r="BW29" s="505">
        <f t="shared" si="107"/>
        <v>1182</v>
      </c>
      <c r="BX29" s="505">
        <f t="shared" si="107"/>
        <v>84.428779782130505</v>
      </c>
      <c r="BY29" s="506">
        <f t="shared" si="107"/>
        <v>1101.1135336791049</v>
      </c>
      <c r="BZ29" s="505">
        <f>SUM(BZ13:BZ15,BZ16:BZ28)</f>
        <v>1167.282841751176</v>
      </c>
      <c r="CA29" s="505">
        <f>SUM(CA13:CA15,CA16:CA28)</f>
        <v>1316.2975725997992</v>
      </c>
      <c r="CB29" s="505">
        <f>SUM(CB13:CB15,CB16:CB28)</f>
        <v>673.87063095294729</v>
      </c>
      <c r="CC29" s="506">
        <f>SUM(CC13:CC15,CC16:CC28)</f>
        <v>583.44836169623841</v>
      </c>
      <c r="CD29" s="807"/>
      <c r="CE29" s="848">
        <f>CE76</f>
        <v>-58.847999999999985</v>
      </c>
      <c r="CF29" s="505">
        <f t="shared" ref="CF29:CO29" si="108">SUM(CF13:CF15,CF16:CF28)</f>
        <v>82.751000000000005</v>
      </c>
      <c r="CG29" s="602">
        <f t="shared" si="108"/>
        <v>280.8</v>
      </c>
      <c r="CH29" s="505">
        <f t="shared" si="108"/>
        <v>190</v>
      </c>
      <c r="CI29" s="505">
        <f t="shared" si="108"/>
        <v>460.70000000000005</v>
      </c>
      <c r="CJ29" s="505">
        <f t="shared" si="108"/>
        <v>401.50000000000017</v>
      </c>
      <c r="CK29" s="505">
        <f t="shared" si="108"/>
        <v>618</v>
      </c>
      <c r="CL29" s="505">
        <f t="shared" si="108"/>
        <v>1399</v>
      </c>
      <c r="CM29" s="505">
        <f t="shared" si="108"/>
        <v>1305</v>
      </c>
      <c r="CN29" s="505">
        <f t="shared" si="108"/>
        <v>1942</v>
      </c>
      <c r="CO29" s="505">
        <f t="shared" si="108"/>
        <v>1655</v>
      </c>
      <c r="CP29" s="505">
        <f t="shared" ref="CP29:CV29" si="109">SUM(CP13:CP15,CP16:CP28)</f>
        <v>3067</v>
      </c>
      <c r="CQ29" s="505">
        <f t="shared" si="109"/>
        <v>3119</v>
      </c>
      <c r="CR29" s="507">
        <f t="shared" si="109"/>
        <v>2816</v>
      </c>
      <c r="CS29" s="49">
        <f t="shared" si="109"/>
        <v>2242</v>
      </c>
      <c r="CT29" s="505">
        <f t="shared" si="109"/>
        <v>1983</v>
      </c>
      <c r="CU29" s="49">
        <f t="shared" si="109"/>
        <v>3437</v>
      </c>
      <c r="CV29" s="49">
        <f t="shared" si="109"/>
        <v>3500.5423134612352</v>
      </c>
      <c r="CW29" s="49">
        <f t="shared" ref="CW29:DC29" si="110">SUM(CW13:CW15,CW16:CW28)</f>
        <v>3740.8994070001613</v>
      </c>
      <c r="CX29" s="505">
        <f t="shared" si="110"/>
        <v>4320.1405068409031</v>
      </c>
      <c r="CY29" s="505">
        <f t="shared" si="110"/>
        <v>4263.2457357816711</v>
      </c>
      <c r="CZ29" s="505">
        <f t="shared" si="110"/>
        <v>4634.5122582421918</v>
      </c>
      <c r="DA29" s="505">
        <f t="shared" si="110"/>
        <v>4562.3395330884478</v>
      </c>
      <c r="DB29" s="505">
        <f t="shared" si="110"/>
        <v>4940.9360229828208</v>
      </c>
      <c r="DC29" s="505">
        <f t="shared" si="110"/>
        <v>5351.2293128982783</v>
      </c>
      <c r="DD29" s="506"/>
      <c r="DE29" s="460"/>
      <c r="DF29" s="460"/>
      <c r="DG29" s="29"/>
      <c r="DH29" s="29"/>
      <c r="DI29" s="39"/>
      <c r="DJ29" s="29"/>
      <c r="DK29" s="29"/>
      <c r="DL29" s="29"/>
      <c r="DM29" s="91"/>
      <c r="DN29" s="29"/>
      <c r="DO29" s="29"/>
      <c r="DP29" s="29"/>
      <c r="DQ29" s="29"/>
      <c r="DR29" s="29"/>
      <c r="DS29" s="29"/>
      <c r="DT29" s="29"/>
      <c r="DU29" s="29"/>
      <c r="DV29" s="29"/>
      <c r="DW29" s="29"/>
      <c r="EH29" s="1330"/>
    </row>
    <row r="30" spans="1:138" ht="3" customHeight="1">
      <c r="A30" s="320"/>
      <c r="B30" s="270"/>
      <c r="C30" s="264"/>
      <c r="D30" s="264"/>
      <c r="E30" s="265"/>
      <c r="F30" s="44"/>
      <c r="G30" s="44"/>
      <c r="H30" s="44"/>
      <c r="I30" s="65"/>
      <c r="J30" s="40"/>
      <c r="K30" s="44"/>
      <c r="L30" s="44"/>
      <c r="M30" s="65"/>
      <c r="N30" s="44"/>
      <c r="O30" s="44"/>
      <c r="P30" s="44"/>
      <c r="Q30" s="65"/>
      <c r="R30" s="44"/>
      <c r="S30" s="44"/>
      <c r="T30" s="44"/>
      <c r="U30" s="65"/>
      <c r="V30" s="44"/>
      <c r="W30" s="44"/>
      <c r="X30" s="44"/>
      <c r="Y30" s="65"/>
      <c r="Z30" s="44"/>
      <c r="AA30" s="44"/>
      <c r="AB30" s="44"/>
      <c r="AC30" s="65"/>
      <c r="AD30" s="44"/>
      <c r="AE30" s="44"/>
      <c r="AF30" s="44"/>
      <c r="AG30" s="65"/>
      <c r="AH30" s="44"/>
      <c r="AI30" s="44"/>
      <c r="AJ30" s="457"/>
      <c r="AK30" s="521"/>
      <c r="AL30" s="524"/>
      <c r="AM30" s="44"/>
      <c r="AN30" s="457"/>
      <c r="AO30" s="521"/>
      <c r="AP30" s="524"/>
      <c r="AQ30" s="44"/>
      <c r="AR30" s="457"/>
      <c r="AS30" s="521"/>
      <c r="AT30" s="524"/>
      <c r="AU30" s="44"/>
      <c r="AV30" s="457"/>
      <c r="AW30" s="521"/>
      <c r="AX30" s="524"/>
      <c r="AY30" s="44"/>
      <c r="AZ30" s="457"/>
      <c r="BA30" s="521"/>
      <c r="BB30" s="524"/>
      <c r="BC30" s="44"/>
      <c r="BD30" s="457"/>
      <c r="BE30" s="521"/>
      <c r="BF30" s="524"/>
      <c r="BG30" s="44"/>
      <c r="BH30" s="457"/>
      <c r="BI30" s="521"/>
      <c r="BJ30" s="524"/>
      <c r="BK30" s="44"/>
      <c r="BL30" s="457"/>
      <c r="BM30" s="521"/>
      <c r="BN30" s="524"/>
      <c r="BO30" s="44"/>
      <c r="BP30" s="457"/>
      <c r="BQ30" s="521"/>
      <c r="BR30" s="524"/>
      <c r="BS30" s="44"/>
      <c r="BT30" s="457"/>
      <c r="BU30" s="521"/>
      <c r="BV30" s="457"/>
      <c r="BW30" s="457"/>
      <c r="BX30" s="457"/>
      <c r="BY30" s="521"/>
      <c r="BZ30" s="457"/>
      <c r="CA30" s="457"/>
      <c r="CB30" s="457"/>
      <c r="CC30" s="521"/>
      <c r="CD30" s="806"/>
      <c r="CE30" s="44"/>
      <c r="CF30" s="44"/>
      <c r="CG30" s="44"/>
      <c r="CH30" s="44"/>
      <c r="CI30" s="652"/>
      <c r="CJ30" s="46"/>
      <c r="CK30" s="39"/>
      <c r="CL30" s="44"/>
      <c r="CM30" s="44"/>
      <c r="CN30" s="44"/>
      <c r="CO30" s="457"/>
      <c r="CP30" s="457"/>
      <c r="CQ30" s="457"/>
      <c r="CR30" s="832"/>
      <c r="CS30" s="524"/>
      <c r="CT30" s="457"/>
      <c r="CU30" s="457"/>
      <c r="CV30" s="457"/>
      <c r="CW30" s="457"/>
      <c r="CX30" s="457"/>
      <c r="CY30" s="457"/>
      <c r="CZ30" s="457"/>
      <c r="DA30" s="457"/>
      <c r="DB30" s="457"/>
      <c r="DC30" s="457"/>
      <c r="DD30" s="521"/>
      <c r="DE30" s="460"/>
      <c r="DF30" s="460"/>
      <c r="DG30" s="29"/>
      <c r="DH30" s="29"/>
      <c r="DI30" s="39"/>
      <c r="DJ30" s="91"/>
      <c r="DK30" s="91"/>
      <c r="DL30" s="91"/>
      <c r="DM30" s="91"/>
      <c r="DN30" s="29"/>
      <c r="DO30" s="29"/>
      <c r="DP30" s="29"/>
      <c r="DQ30" s="29"/>
      <c r="DR30" s="29"/>
      <c r="DS30" s="29"/>
      <c r="DT30" s="29"/>
      <c r="DU30" s="29"/>
      <c r="DV30" s="29"/>
      <c r="DW30" s="29"/>
    </row>
    <row r="31" spans="1:138">
      <c r="A31" s="320"/>
      <c r="B31" s="208" t="s">
        <v>64</v>
      </c>
      <c r="C31" s="187"/>
      <c r="D31" s="187"/>
      <c r="E31" s="195"/>
      <c r="F31" s="44"/>
      <c r="G31" s="46"/>
      <c r="H31" s="46"/>
      <c r="I31" s="47"/>
      <c r="J31" s="40"/>
      <c r="K31" s="46"/>
      <c r="L31" s="46"/>
      <c r="M31" s="47"/>
      <c r="N31" s="44"/>
      <c r="O31" s="46"/>
      <c r="P31" s="46"/>
      <c r="Q31" s="47"/>
      <c r="R31" s="44"/>
      <c r="S31" s="46"/>
      <c r="T31" s="46"/>
      <c r="U31" s="47"/>
      <c r="V31" s="44"/>
      <c r="W31" s="46"/>
      <c r="X31" s="46"/>
      <c r="Y31" s="47"/>
      <c r="Z31" s="44"/>
      <c r="AA31" s="46"/>
      <c r="AB31" s="46"/>
      <c r="AC31" s="47"/>
      <c r="AD31" s="44"/>
      <c r="AE31" s="46"/>
      <c r="AF31" s="46"/>
      <c r="AG31" s="47"/>
      <c r="AH31" s="44"/>
      <c r="AI31" s="46"/>
      <c r="AJ31" s="457"/>
      <c r="AK31" s="525"/>
      <c r="AL31" s="524"/>
      <c r="AM31" s="46"/>
      <c r="AN31" s="457"/>
      <c r="AO31" s="525"/>
      <c r="AP31" s="524"/>
      <c r="AQ31" s="46"/>
      <c r="AR31" s="457"/>
      <c r="AS31" s="525"/>
      <c r="AT31" s="524"/>
      <c r="AU31" s="46"/>
      <c r="AV31" s="457"/>
      <c r="AW31" s="525"/>
      <c r="AX31" s="524"/>
      <c r="AY31" s="46"/>
      <c r="AZ31" s="457"/>
      <c r="BA31" s="521"/>
      <c r="BB31" s="524"/>
      <c r="BC31" s="46"/>
      <c r="BD31" s="457"/>
      <c r="BE31" s="521"/>
      <c r="BF31" s="524"/>
      <c r="BG31" s="46"/>
      <c r="BH31" s="457"/>
      <c r="BI31" s="521"/>
      <c r="BJ31" s="524"/>
      <c r="BK31" s="46"/>
      <c r="BL31" s="457"/>
      <c r="BM31" s="521"/>
      <c r="BN31" s="524"/>
      <c r="BO31" s="46"/>
      <c r="BP31" s="457"/>
      <c r="BQ31" s="521"/>
      <c r="BR31" s="524"/>
      <c r="BS31" s="46"/>
      <c r="BT31" s="457"/>
      <c r="BU31" s="521"/>
      <c r="BV31" s="457"/>
      <c r="BW31" s="457"/>
      <c r="BX31" s="457"/>
      <c r="BY31" s="521"/>
      <c r="BZ31" s="457"/>
      <c r="CA31" s="457"/>
      <c r="CB31" s="457"/>
      <c r="CC31" s="521"/>
      <c r="CD31" s="806"/>
      <c r="CE31" s="44"/>
      <c r="CF31" s="44"/>
      <c r="CG31" s="44"/>
      <c r="CH31" s="44"/>
      <c r="CI31" s="652"/>
      <c r="CJ31" s="46"/>
      <c r="CK31" s="39"/>
      <c r="CL31" s="44"/>
      <c r="CM31" s="44"/>
      <c r="CN31" s="44"/>
      <c r="CO31" s="457"/>
      <c r="CP31" s="457"/>
      <c r="CQ31" s="457"/>
      <c r="CR31" s="832"/>
      <c r="CS31" s="524"/>
      <c r="CT31" s="457"/>
      <c r="CU31" s="1653"/>
      <c r="CV31" s="1653"/>
      <c r="CW31" s="457"/>
      <c r="CX31" s="457"/>
      <c r="CY31" s="457"/>
      <c r="CZ31" s="457"/>
      <c r="DA31" s="457"/>
      <c r="DB31" s="457"/>
      <c r="DC31" s="457"/>
      <c r="DD31" s="521"/>
      <c r="DE31" s="460"/>
      <c r="DF31" s="460"/>
      <c r="DG31" s="29"/>
      <c r="DH31" s="29"/>
      <c r="DI31" s="39"/>
      <c r="DJ31" s="91"/>
      <c r="DK31" s="91"/>
      <c r="DL31" s="91"/>
      <c r="DM31" s="91"/>
      <c r="DN31" s="29"/>
      <c r="DO31" s="29"/>
      <c r="DP31" s="29"/>
      <c r="DQ31" s="29"/>
      <c r="DR31" s="29"/>
      <c r="DS31" s="29"/>
      <c r="DT31" s="29"/>
      <c r="DU31" s="29"/>
      <c r="DV31" s="29"/>
      <c r="DW31" s="29"/>
    </row>
    <row r="32" spans="1:138">
      <c r="A32" s="320"/>
      <c r="B32" s="208"/>
      <c r="C32" s="52" t="s">
        <v>364</v>
      </c>
      <c r="D32" s="187"/>
      <c r="E32" s="195"/>
      <c r="F32" s="138">
        <f>F79</f>
        <v>-10.587</v>
      </c>
      <c r="G32" s="138">
        <f>G79-F79</f>
        <v>-16.262</v>
      </c>
      <c r="H32" s="138">
        <f>H79-G79</f>
        <v>-13.044</v>
      </c>
      <c r="I32" s="164">
        <f>I79-H79</f>
        <v>-10.79</v>
      </c>
      <c r="J32" s="138">
        <f>J79</f>
        <v>-12.013</v>
      </c>
      <c r="K32" s="138">
        <f>K79-J79</f>
        <v>-14.025</v>
      </c>
      <c r="L32" s="138">
        <f>L79-K79</f>
        <v>-13.446000000000002</v>
      </c>
      <c r="M32" s="164">
        <f>M79-L79</f>
        <v>-8.2590000000000003</v>
      </c>
      <c r="N32" s="138">
        <f>N79</f>
        <v>-12.362</v>
      </c>
      <c r="O32" s="138">
        <f>O79-N79</f>
        <v>-15.424999999999999</v>
      </c>
      <c r="P32" s="138">
        <f>P79-O79</f>
        <v>-15.785000000000004</v>
      </c>
      <c r="Q32" s="164">
        <f>Q79-P79</f>
        <v>-18.327999999999996</v>
      </c>
      <c r="R32" s="138">
        <f>R79</f>
        <v>-19.899999999999999</v>
      </c>
      <c r="S32" s="138">
        <f>S79-R79</f>
        <v>-44.199999999999996</v>
      </c>
      <c r="T32" s="138">
        <f>T79-S79</f>
        <v>-26.400000000000006</v>
      </c>
      <c r="U32" s="164">
        <f>U79-T79</f>
        <v>-41.199999999999989</v>
      </c>
      <c r="V32" s="138">
        <f>V79</f>
        <v>-50.7</v>
      </c>
      <c r="W32" s="138">
        <f>W79-V79</f>
        <v>-54.8</v>
      </c>
      <c r="X32" s="138">
        <f>X79-W79</f>
        <v>-47.5</v>
      </c>
      <c r="Y32" s="164">
        <f>Y79-X79</f>
        <v>-80.400000000000006</v>
      </c>
      <c r="Z32" s="138">
        <f>Z79</f>
        <v>-50.2</v>
      </c>
      <c r="AA32" s="138">
        <f>AA79-Z79</f>
        <v>-52</v>
      </c>
      <c r="AB32" s="138">
        <f>AB79-AA79</f>
        <v>-103.89999999999999</v>
      </c>
      <c r="AC32" s="164">
        <f>AC79-AB79</f>
        <v>-95.799999999999983</v>
      </c>
      <c r="AD32" s="138">
        <f>AD79</f>
        <v>-72</v>
      </c>
      <c r="AE32" s="138">
        <f>AE79-AD79</f>
        <v>-97</v>
      </c>
      <c r="AF32" s="138">
        <f>AF79-AE79</f>
        <v>-69</v>
      </c>
      <c r="AG32" s="164">
        <f>AG79-AF79</f>
        <v>-86</v>
      </c>
      <c r="AH32" s="138">
        <f>AH79</f>
        <v>-163</v>
      </c>
      <c r="AI32" s="460">
        <f t="shared" ref="AI32:AI37" si="111">AI79-AH32</f>
        <v>-169</v>
      </c>
      <c r="AJ32" s="138">
        <f>AJ79-AI79</f>
        <v>-137</v>
      </c>
      <c r="AK32" s="525">
        <f>AK79-AJ79</f>
        <v>-146</v>
      </c>
      <c r="AL32" s="524">
        <f>AL79</f>
        <v>-162</v>
      </c>
      <c r="AM32" s="460">
        <f t="shared" ref="AM32:AM37" si="112">AM79-AL32</f>
        <v>-140</v>
      </c>
      <c r="AN32" s="138">
        <f>AN79-AM79</f>
        <v>-106</v>
      </c>
      <c r="AO32" s="525">
        <f>AO79-AN79</f>
        <v>-111</v>
      </c>
      <c r="AP32" s="524">
        <f>AP79</f>
        <v>-176</v>
      </c>
      <c r="AQ32" s="460">
        <f t="shared" ref="AQ32:AQ37" si="113">AQ79-AP32</f>
        <v>-199</v>
      </c>
      <c r="AR32" s="138">
        <f>AR79-AQ79</f>
        <v>-177</v>
      </c>
      <c r="AS32" s="525">
        <f>AS79-AR79</f>
        <v>-185</v>
      </c>
      <c r="AT32" s="524">
        <f>AT79</f>
        <v>-200</v>
      </c>
      <c r="AU32" s="460">
        <f t="shared" ref="AU32:AU37" si="114">AU79-AT32</f>
        <v>-250</v>
      </c>
      <c r="AV32" s="138">
        <f>AV79-AU79</f>
        <v>-175</v>
      </c>
      <c r="AW32" s="525">
        <f>AW79-AV79</f>
        <v>-153</v>
      </c>
      <c r="AX32" s="524">
        <f>AX79</f>
        <v>-134</v>
      </c>
      <c r="AY32" s="460">
        <f t="shared" ref="AY32:AY37" si="115">AY79-AX32</f>
        <v>-119</v>
      </c>
      <c r="AZ32" s="138">
        <f>AZ79-AY79</f>
        <v>-140</v>
      </c>
      <c r="BA32" s="525">
        <f>BA79-AZ79</f>
        <v>-324</v>
      </c>
      <c r="BB32" s="524">
        <f>BB79</f>
        <v>-382</v>
      </c>
      <c r="BC32" s="460">
        <f t="shared" ref="BC32:BC37" si="116">BC79-BB32</f>
        <v>-246</v>
      </c>
      <c r="BD32" s="138">
        <f>BD79-BC79</f>
        <v>-188</v>
      </c>
      <c r="BE32" s="525">
        <f>BE79-BD79</f>
        <v>-136</v>
      </c>
      <c r="BF32" s="524">
        <f>BF79</f>
        <v>-136</v>
      </c>
      <c r="BG32" s="460">
        <f t="shared" ref="BG32:BG37" si="117">BG79-BF32</f>
        <v>-170</v>
      </c>
      <c r="BH32" s="138">
        <f>BH79-BG79</f>
        <v>-161</v>
      </c>
      <c r="BI32" s="525">
        <f>BI79-BH79</f>
        <v>-161</v>
      </c>
      <c r="BJ32" s="524">
        <f>BJ79</f>
        <v>-160</v>
      </c>
      <c r="BK32" s="460">
        <f t="shared" ref="BK32:BK37" si="118">BK79-BJ32</f>
        <v>-146</v>
      </c>
      <c r="BL32" s="138">
        <f t="shared" ref="BL32:BL37" si="119">BL79-BK79</f>
        <v>-150</v>
      </c>
      <c r="BM32" s="525">
        <f t="shared" ref="BM32:BM37" si="120">BM79-BL79</f>
        <v>-156</v>
      </c>
      <c r="BN32" s="524">
        <f>BN79</f>
        <v>-151</v>
      </c>
      <c r="BO32" s="460">
        <f t="shared" ref="BO32:BO37" si="121">BO79-BN32</f>
        <v>-149</v>
      </c>
      <c r="BP32" s="138">
        <f t="shared" ref="BP32:BQ37" si="122">BP79-BO79</f>
        <v>-133</v>
      </c>
      <c r="BQ32" s="525">
        <f t="shared" si="122"/>
        <v>-241</v>
      </c>
      <c r="BR32" s="524">
        <f t="shared" ref="BR32:BR37" si="123">BR79</f>
        <v>-211</v>
      </c>
      <c r="BS32" s="460">
        <f t="shared" ref="BS32:BS37" si="124">BS79-BR32</f>
        <v>-189</v>
      </c>
      <c r="BT32" s="138">
        <f t="shared" ref="BT32:BU37" si="125">BT79-BS79</f>
        <v>-277</v>
      </c>
      <c r="BU32" s="525">
        <f t="shared" si="125"/>
        <v>-178</v>
      </c>
      <c r="BV32" s="524">
        <f t="shared" ref="BV32:BV37" si="126">BV79</f>
        <v>-286</v>
      </c>
      <c r="BW32" s="460">
        <f t="shared" ref="BW32:BW37" si="127">BW79-BV32</f>
        <v>-629</v>
      </c>
      <c r="BX32" s="460">
        <f>-IS!BX11*BS!BX101</f>
        <v>-343.63690549999995</v>
      </c>
      <c r="BY32" s="468">
        <f>-IS!BY11*BS!BY101</f>
        <v>-343.98148954819999</v>
      </c>
      <c r="BZ32" s="460">
        <f>-IS!BZ11*BS!BZ101</f>
        <v>-329.583237155821</v>
      </c>
      <c r="CA32" s="460">
        <f>-IS!CA11*BS!CA101</f>
        <v>-324.35698676876706</v>
      </c>
      <c r="CB32" s="460">
        <f>-IS!CB11*BS!CB101</f>
        <v>-278.03367230868963</v>
      </c>
      <c r="CC32" s="468">
        <f>-IS!CC11*BS!CC101</f>
        <v>-263.16810307178815</v>
      </c>
      <c r="CD32" s="806"/>
      <c r="CE32" s="848">
        <f>CE79</f>
        <v>-50.683</v>
      </c>
      <c r="CF32" s="848">
        <f>CF79</f>
        <v>-47.743000000000002</v>
      </c>
      <c r="CG32" s="136">
        <f t="shared" ref="CG32:CG37" si="128">SUM(N32:Q32)</f>
        <v>-61.9</v>
      </c>
      <c r="CH32" s="136">
        <f t="shared" ref="CH32:CH37" si="129">SUM(R32:U32)</f>
        <v>-131.69999999999999</v>
      </c>
      <c r="CI32" s="136">
        <f t="shared" ref="CI32:CI37" si="130">SUM(V32:Y32)</f>
        <v>-233.4</v>
      </c>
      <c r="CJ32" s="53">
        <f t="shared" ref="CJ32:CJ37" si="131">SUM(Z32:AC32)</f>
        <v>-301.89999999999998</v>
      </c>
      <c r="CK32" s="53">
        <f t="shared" ref="CK32:CK37" si="132">SUM(AD32:AG32)</f>
        <v>-324</v>
      </c>
      <c r="CL32" s="136">
        <f t="shared" ref="CL32:CL37" si="133">SUM(AH32:AK32)</f>
        <v>-615</v>
      </c>
      <c r="CM32" s="136">
        <f t="shared" ref="CM32:CM37" si="134">SUM(AL32:AO32)</f>
        <v>-519</v>
      </c>
      <c r="CN32" s="136">
        <f t="shared" ref="CN32:CN37" si="135">SUM(AP32:AS32)</f>
        <v>-737</v>
      </c>
      <c r="CO32" s="374">
        <f t="shared" ref="CO32:CO37" si="136">SUM(AT32:AW32)</f>
        <v>-778</v>
      </c>
      <c r="CP32" s="374">
        <f t="shared" ref="CP32:CP37" si="137">SUM(AX32:BA32)</f>
        <v>-717</v>
      </c>
      <c r="CQ32" s="374">
        <f t="shared" ref="CQ32:CQ37" si="138">SUM(BB32:BE32)</f>
        <v>-952</v>
      </c>
      <c r="CR32" s="498">
        <f t="shared" ref="CR32:CR37" si="139">SUM(BF32:BI32)</f>
        <v>-628</v>
      </c>
      <c r="CS32" s="524">
        <f t="shared" ref="CS32:CS37" si="140">SUM(BJ32:BM32)</f>
        <v>-612</v>
      </c>
      <c r="CT32" s="136">
        <f t="shared" ref="CT32:CT37" si="141">SUM(BN32:BQ32)</f>
        <v>-674</v>
      </c>
      <c r="CU32" s="524">
        <f t="shared" ref="CU32:CU37" si="142">SUM(BR32:BU32)</f>
        <v>-855</v>
      </c>
      <c r="CV32" s="524">
        <f t="shared" ref="CV32:CV37" si="143">SUM(BV32:BY32)</f>
        <v>-1602.6183950482</v>
      </c>
      <c r="CW32" s="524">
        <f t="shared" ref="CW32:CW37" si="144">SUM(BZ32:CC32)</f>
        <v>-1195.1419993050658</v>
      </c>
      <c r="CX32" s="460">
        <f>-IS!CX11*BS!CX101</f>
        <v>-1330.6856128148449</v>
      </c>
      <c r="CY32" s="460">
        <f>-IS!CY11*BS!CY101</f>
        <v>-1378.9259815649145</v>
      </c>
      <c r="CZ32" s="460">
        <f>-IS!CZ11*BS!CZ101</f>
        <v>-1541.521642237298</v>
      </c>
      <c r="DA32" s="460">
        <f>-IS!DA11*BS!DA101</f>
        <v>-1612.9672825233101</v>
      </c>
      <c r="DB32" s="460">
        <f>-IS!DB11*BS!DB101</f>
        <v>-1693.9398753041544</v>
      </c>
      <c r="DC32" s="460">
        <f>-IS!DC11*BS!DC101</f>
        <v>-1785.6450452278245</v>
      </c>
      <c r="DD32" s="468"/>
      <c r="DE32" s="460"/>
      <c r="DF32" s="460"/>
      <c r="DG32" s="29"/>
      <c r="DH32" s="29"/>
      <c r="DI32" s="39"/>
      <c r="DJ32" s="91"/>
      <c r="DK32" s="91"/>
      <c r="DL32" s="91"/>
      <c r="DM32" s="91"/>
      <c r="DN32" s="29"/>
      <c r="DO32" s="29"/>
      <c r="DP32" s="29"/>
      <c r="DQ32" s="29"/>
      <c r="DR32" s="29"/>
      <c r="DS32" s="29"/>
      <c r="DT32" s="29"/>
      <c r="DU32" s="29"/>
      <c r="DV32" s="29"/>
      <c r="DW32" s="29"/>
      <c r="EH32" s="1330"/>
    </row>
    <row r="33" spans="1:138">
      <c r="A33" s="320"/>
      <c r="B33" s="208"/>
      <c r="C33" s="52" t="s">
        <v>843</v>
      </c>
      <c r="D33" s="187"/>
      <c r="E33" s="195"/>
      <c r="F33" s="138">
        <v>0</v>
      </c>
      <c r="G33" s="138">
        <v>0</v>
      </c>
      <c r="H33" s="138">
        <v>0</v>
      </c>
      <c r="I33" s="164">
        <v>0</v>
      </c>
      <c r="J33" s="138">
        <v>0</v>
      </c>
      <c r="K33" s="138">
        <v>0</v>
      </c>
      <c r="L33" s="138">
        <v>0</v>
      </c>
      <c r="M33" s="164">
        <v>0</v>
      </c>
      <c r="N33" s="138">
        <v>0</v>
      </c>
      <c r="O33" s="138">
        <v>0</v>
      </c>
      <c r="P33" s="138">
        <v>0</v>
      </c>
      <c r="Q33" s="164">
        <v>0</v>
      </c>
      <c r="R33" s="138">
        <v>0</v>
      </c>
      <c r="S33" s="138">
        <v>0</v>
      </c>
      <c r="T33" s="138">
        <v>0</v>
      </c>
      <c r="U33" s="164">
        <v>0</v>
      </c>
      <c r="V33" s="138">
        <v>0</v>
      </c>
      <c r="W33" s="138">
        <v>0</v>
      </c>
      <c r="X33" s="138">
        <v>0</v>
      </c>
      <c r="Y33" s="164">
        <v>0</v>
      </c>
      <c r="Z33" s="138">
        <v>0</v>
      </c>
      <c r="AA33" s="138">
        <v>0</v>
      </c>
      <c r="AB33" s="138">
        <v>0</v>
      </c>
      <c r="AC33" s="164">
        <v>0</v>
      </c>
      <c r="AD33" s="138">
        <v>0</v>
      </c>
      <c r="AE33" s="138">
        <v>0</v>
      </c>
      <c r="AF33" s="138">
        <v>0</v>
      </c>
      <c r="AG33" s="164">
        <v>0</v>
      </c>
      <c r="AH33" s="138">
        <v>0</v>
      </c>
      <c r="AI33" s="460">
        <f t="shared" si="111"/>
        <v>0</v>
      </c>
      <c r="AJ33" s="138">
        <v>0</v>
      </c>
      <c r="AK33" s="525">
        <v>0</v>
      </c>
      <c r="AL33" s="524">
        <v>0</v>
      </c>
      <c r="AM33" s="460">
        <f t="shared" si="112"/>
        <v>0</v>
      </c>
      <c r="AN33" s="138">
        <v>0</v>
      </c>
      <c r="AO33" s="525">
        <f>AO80-AN80</f>
        <v>29</v>
      </c>
      <c r="AP33" s="524">
        <v>0</v>
      </c>
      <c r="AQ33" s="460">
        <f t="shared" si="113"/>
        <v>0</v>
      </c>
      <c r="AR33" s="138">
        <v>0</v>
      </c>
      <c r="AS33" s="525">
        <f>AS80-AR80</f>
        <v>0</v>
      </c>
      <c r="AT33" s="524">
        <v>0</v>
      </c>
      <c r="AU33" s="460">
        <f t="shared" si="114"/>
        <v>0</v>
      </c>
      <c r="AV33" s="138">
        <v>0</v>
      </c>
      <c r="AW33" s="525">
        <f>AW80-AV80</f>
        <v>0</v>
      </c>
      <c r="AX33" s="524">
        <v>0</v>
      </c>
      <c r="AY33" s="460">
        <f t="shared" si="115"/>
        <v>0</v>
      </c>
      <c r="AZ33" s="138">
        <v>0</v>
      </c>
      <c r="BA33" s="525">
        <f>BA80-AZ80</f>
        <v>76</v>
      </c>
      <c r="BB33" s="524">
        <v>0</v>
      </c>
      <c r="BC33" s="460">
        <f t="shared" si="116"/>
        <v>0</v>
      </c>
      <c r="BD33" s="138">
        <v>0</v>
      </c>
      <c r="BE33" s="525">
        <f>BE80-BD80</f>
        <v>0</v>
      </c>
      <c r="BF33" s="524">
        <v>0</v>
      </c>
      <c r="BG33" s="460">
        <f t="shared" si="117"/>
        <v>0</v>
      </c>
      <c r="BH33" s="138">
        <v>0</v>
      </c>
      <c r="BI33" s="525">
        <f>BI80-BH80</f>
        <v>0</v>
      </c>
      <c r="BJ33" s="524">
        <v>0</v>
      </c>
      <c r="BK33" s="460">
        <f t="shared" si="118"/>
        <v>7</v>
      </c>
      <c r="BL33" s="138">
        <f t="shared" si="119"/>
        <v>0</v>
      </c>
      <c r="BM33" s="525">
        <f t="shared" si="120"/>
        <v>0</v>
      </c>
      <c r="BN33" s="524">
        <v>0</v>
      </c>
      <c r="BO33" s="460">
        <f t="shared" si="121"/>
        <v>0</v>
      </c>
      <c r="BP33" s="138">
        <f t="shared" si="122"/>
        <v>0</v>
      </c>
      <c r="BQ33" s="525">
        <f t="shared" si="122"/>
        <v>0</v>
      </c>
      <c r="BR33" s="524">
        <f t="shared" si="123"/>
        <v>1</v>
      </c>
      <c r="BS33" s="460">
        <f t="shared" si="124"/>
        <v>0</v>
      </c>
      <c r="BT33" s="138">
        <f t="shared" si="125"/>
        <v>20</v>
      </c>
      <c r="BU33" s="525">
        <f t="shared" si="125"/>
        <v>0</v>
      </c>
      <c r="BV33" s="524">
        <f t="shared" si="126"/>
        <v>0</v>
      </c>
      <c r="BW33" s="460">
        <f t="shared" si="127"/>
        <v>0</v>
      </c>
      <c r="BX33" s="460">
        <f>BS!BX81</f>
        <v>0</v>
      </c>
      <c r="BY33" s="468">
        <f>BS!BY81</f>
        <v>0</v>
      </c>
      <c r="BZ33" s="460">
        <f>BS!BZ81</f>
        <v>0</v>
      </c>
      <c r="CA33" s="460">
        <f>BS!CA81</f>
        <v>0</v>
      </c>
      <c r="CB33" s="460">
        <f>BS!CB81</f>
        <v>0</v>
      </c>
      <c r="CC33" s="468">
        <f>BS!CC81</f>
        <v>0</v>
      </c>
      <c r="CD33" s="806"/>
      <c r="CE33" s="848">
        <f>CE80</f>
        <v>0</v>
      </c>
      <c r="CF33" s="848">
        <f>CF80</f>
        <v>0</v>
      </c>
      <c r="CG33" s="136">
        <f t="shared" si="128"/>
        <v>0</v>
      </c>
      <c r="CH33" s="136">
        <f t="shared" si="129"/>
        <v>0</v>
      </c>
      <c r="CI33" s="136">
        <f t="shared" si="130"/>
        <v>0</v>
      </c>
      <c r="CJ33" s="53">
        <f t="shared" si="131"/>
        <v>0</v>
      </c>
      <c r="CK33" s="53">
        <f t="shared" si="132"/>
        <v>0</v>
      </c>
      <c r="CL33" s="136">
        <f t="shared" si="133"/>
        <v>0</v>
      </c>
      <c r="CM33" s="136">
        <f t="shared" si="134"/>
        <v>29</v>
      </c>
      <c r="CN33" s="136">
        <f t="shared" si="135"/>
        <v>0</v>
      </c>
      <c r="CO33" s="374">
        <f t="shared" si="136"/>
        <v>0</v>
      </c>
      <c r="CP33" s="374">
        <f t="shared" si="137"/>
        <v>76</v>
      </c>
      <c r="CQ33" s="374">
        <f t="shared" si="138"/>
        <v>0</v>
      </c>
      <c r="CR33" s="498">
        <f t="shared" si="139"/>
        <v>0</v>
      </c>
      <c r="CS33" s="524">
        <f t="shared" si="140"/>
        <v>7</v>
      </c>
      <c r="CT33" s="136">
        <f t="shared" si="141"/>
        <v>0</v>
      </c>
      <c r="CU33" s="524">
        <f t="shared" si="142"/>
        <v>21</v>
      </c>
      <c r="CV33" s="524">
        <f t="shared" si="143"/>
        <v>0</v>
      </c>
      <c r="CW33" s="524">
        <f t="shared" si="144"/>
        <v>0</v>
      </c>
      <c r="CX33" s="460">
        <f>BS!CX81</f>
        <v>0</v>
      </c>
      <c r="CY33" s="460">
        <f>BS!CY81</f>
        <v>0</v>
      </c>
      <c r="CZ33" s="460">
        <f>BS!CZ81</f>
        <v>0</v>
      </c>
      <c r="DA33" s="460">
        <f>BS!DA81</f>
        <v>0</v>
      </c>
      <c r="DB33" s="460">
        <f>BS!DB81</f>
        <v>0</v>
      </c>
      <c r="DC33" s="460">
        <f>BS!DC81</f>
        <v>0</v>
      </c>
      <c r="DD33" s="468"/>
      <c r="DE33" s="460"/>
      <c r="DF33" s="460"/>
      <c r="DG33" s="29"/>
      <c r="DH33" s="29"/>
      <c r="DI33" s="39"/>
      <c r="DJ33" s="91"/>
      <c r="DK33" s="91"/>
      <c r="DL33" s="91"/>
      <c r="DM33" s="91"/>
      <c r="DN33" s="29"/>
      <c r="DO33" s="29"/>
      <c r="DP33" s="29"/>
      <c r="DQ33" s="29"/>
      <c r="DR33" s="29"/>
      <c r="DS33" s="29"/>
      <c r="DT33" s="29"/>
      <c r="DU33" s="29"/>
      <c r="DV33" s="29"/>
      <c r="DW33" s="29"/>
      <c r="EH33" s="1330"/>
    </row>
    <row r="34" spans="1:138">
      <c r="A34" s="320"/>
      <c r="B34" s="208"/>
      <c r="C34" s="844" t="s">
        <v>792</v>
      </c>
      <c r="D34" s="187"/>
      <c r="E34" s="195"/>
      <c r="F34" s="138">
        <f>F81</f>
        <v>0</v>
      </c>
      <c r="G34" s="138">
        <f t="shared" ref="G34:I35" si="145">G81-F81</f>
        <v>0</v>
      </c>
      <c r="H34" s="138">
        <f t="shared" si="145"/>
        <v>0</v>
      </c>
      <c r="I34" s="164">
        <f t="shared" si="145"/>
        <v>0</v>
      </c>
      <c r="J34" s="138">
        <f>J81</f>
        <v>0</v>
      </c>
      <c r="K34" s="138">
        <f t="shared" ref="K34:M35" si="146">K81-J81</f>
        <v>0</v>
      </c>
      <c r="L34" s="138">
        <f t="shared" si="146"/>
        <v>0</v>
      </c>
      <c r="M34" s="164">
        <f t="shared" si="146"/>
        <v>0</v>
      </c>
      <c r="N34" s="138">
        <f>N81</f>
        <v>0</v>
      </c>
      <c r="O34" s="138">
        <f t="shared" ref="O34:Q35" si="147">O81-N81</f>
        <v>0</v>
      </c>
      <c r="P34" s="138">
        <f t="shared" si="147"/>
        <v>0</v>
      </c>
      <c r="Q34" s="164">
        <f t="shared" si="147"/>
        <v>0</v>
      </c>
      <c r="R34" s="138">
        <f>R81</f>
        <v>-94.8</v>
      </c>
      <c r="S34" s="138">
        <f t="shared" ref="S34:U35" si="148">S81-R81</f>
        <v>0</v>
      </c>
      <c r="T34" s="138">
        <f t="shared" si="148"/>
        <v>0</v>
      </c>
      <c r="U34" s="164">
        <f t="shared" si="148"/>
        <v>0</v>
      </c>
      <c r="V34" s="138">
        <f>V81</f>
        <v>0</v>
      </c>
      <c r="W34" s="138">
        <f t="shared" ref="W34:Y36" si="149">W81-V81</f>
        <v>0</v>
      </c>
      <c r="X34" s="138">
        <f t="shared" si="149"/>
        <v>0</v>
      </c>
      <c r="Y34" s="164">
        <f t="shared" si="149"/>
        <v>14.5</v>
      </c>
      <c r="Z34" s="138">
        <f>Z81</f>
        <v>-19</v>
      </c>
      <c r="AA34" s="138">
        <f t="shared" ref="AA34:AC35" si="150">AA81-Z81</f>
        <v>-35</v>
      </c>
      <c r="AB34" s="138">
        <f t="shared" si="150"/>
        <v>-36.200000000000003</v>
      </c>
      <c r="AC34" s="164">
        <f t="shared" si="150"/>
        <v>-17.299999999999997</v>
      </c>
      <c r="AD34" s="138">
        <f>AD81</f>
        <v>0</v>
      </c>
      <c r="AE34" s="138">
        <f t="shared" ref="AE34:AG37" si="151">AE81-AD81</f>
        <v>0</v>
      </c>
      <c r="AF34" s="138">
        <f>AF81-AE81</f>
        <v>0</v>
      </c>
      <c r="AG34" s="164">
        <f t="shared" si="151"/>
        <v>0</v>
      </c>
      <c r="AH34" s="138">
        <f>AH81</f>
        <v>-911</v>
      </c>
      <c r="AI34" s="460">
        <f t="shared" si="111"/>
        <v>-4</v>
      </c>
      <c r="AJ34" s="138">
        <f t="shared" ref="AJ34:AK37" si="152">AJ81-AI81</f>
        <v>-10</v>
      </c>
      <c r="AK34" s="496">
        <f t="shared" si="152"/>
        <v>-2</v>
      </c>
      <c r="AL34" s="374">
        <f>AL81</f>
        <v>0</v>
      </c>
      <c r="AM34" s="460">
        <f t="shared" si="112"/>
        <v>0</v>
      </c>
      <c r="AN34" s="138">
        <f>AN81-AM81</f>
        <v>-44</v>
      </c>
      <c r="AO34" s="496">
        <f>AO81-AN81</f>
        <v>-19</v>
      </c>
      <c r="AP34" s="374">
        <f>AP81</f>
        <v>0</v>
      </c>
      <c r="AQ34" s="460">
        <f t="shared" si="113"/>
        <v>0</v>
      </c>
      <c r="AR34" s="138">
        <f>AR81-AQ81</f>
        <v>0</v>
      </c>
      <c r="AS34" s="496">
        <f>AS81-AR81</f>
        <v>-253</v>
      </c>
      <c r="AT34" s="374">
        <f>AT81</f>
        <v>0</v>
      </c>
      <c r="AU34" s="460">
        <f t="shared" si="114"/>
        <v>0</v>
      </c>
      <c r="AV34" s="138">
        <f>AV81-AU81</f>
        <v>0</v>
      </c>
      <c r="AW34" s="496">
        <f>AW81-AV81</f>
        <v>-15</v>
      </c>
      <c r="AX34" s="374">
        <f>AX81</f>
        <v>0</v>
      </c>
      <c r="AY34" s="460">
        <f t="shared" si="115"/>
        <v>0</v>
      </c>
      <c r="AZ34" s="138">
        <f>AZ81-AY81</f>
        <v>-3541</v>
      </c>
      <c r="BA34" s="496">
        <f>BA81-AZ81</f>
        <v>15</v>
      </c>
      <c r="BB34" s="374">
        <f>BB81</f>
        <v>0</v>
      </c>
      <c r="BC34" s="460">
        <f t="shared" si="116"/>
        <v>-27</v>
      </c>
      <c r="BD34" s="138">
        <f>BD81-BC81</f>
        <v>26</v>
      </c>
      <c r="BE34" s="496">
        <f>BE81-BD81</f>
        <v>0</v>
      </c>
      <c r="BF34" s="374">
        <f>BF81</f>
        <v>-263</v>
      </c>
      <c r="BG34" s="460">
        <f t="shared" si="117"/>
        <v>-560</v>
      </c>
      <c r="BH34" s="138">
        <f>BH81-BG81</f>
        <v>0</v>
      </c>
      <c r="BI34" s="496">
        <f>BI81-BH81</f>
        <v>0</v>
      </c>
      <c r="BJ34" s="374">
        <f>BJ81</f>
        <v>0</v>
      </c>
      <c r="BK34" s="460">
        <f t="shared" si="118"/>
        <v>-6</v>
      </c>
      <c r="BL34" s="138">
        <f t="shared" si="119"/>
        <v>-241</v>
      </c>
      <c r="BM34" s="496">
        <f t="shared" si="120"/>
        <v>-10</v>
      </c>
      <c r="BN34" s="374">
        <f>BN81</f>
        <v>0</v>
      </c>
      <c r="BO34" s="460">
        <f t="shared" si="121"/>
        <v>0</v>
      </c>
      <c r="BP34" s="138">
        <f t="shared" si="122"/>
        <v>0</v>
      </c>
      <c r="BQ34" s="496">
        <f t="shared" si="122"/>
        <v>-9835</v>
      </c>
      <c r="BR34" s="524">
        <f t="shared" si="123"/>
        <v>0</v>
      </c>
      <c r="BS34" s="460">
        <f t="shared" si="124"/>
        <v>0</v>
      </c>
      <c r="BT34" s="138">
        <f t="shared" si="125"/>
        <v>0</v>
      </c>
      <c r="BU34" s="496">
        <f t="shared" si="125"/>
        <v>0</v>
      </c>
      <c r="BV34" s="524">
        <f t="shared" si="126"/>
        <v>-93</v>
      </c>
      <c r="BW34" s="460">
        <f t="shared" si="127"/>
        <v>-6</v>
      </c>
      <c r="BX34" s="459">
        <v>0</v>
      </c>
      <c r="BY34" s="522">
        <v>0</v>
      </c>
      <c r="BZ34" s="459">
        <v>0</v>
      </c>
      <c r="CA34" s="459">
        <v>0</v>
      </c>
      <c r="CB34" s="459">
        <v>0</v>
      </c>
      <c r="CC34" s="522">
        <v>0</v>
      </c>
      <c r="CD34" s="806"/>
      <c r="CE34" s="848">
        <f t="shared" ref="CE34:CF36" si="153">CE81</f>
        <v>0</v>
      </c>
      <c r="CF34" s="848">
        <f t="shared" si="153"/>
        <v>0</v>
      </c>
      <c r="CG34" s="136">
        <f t="shared" si="128"/>
        <v>0</v>
      </c>
      <c r="CH34" s="136">
        <f t="shared" si="129"/>
        <v>-94.8</v>
      </c>
      <c r="CI34" s="136">
        <f t="shared" si="130"/>
        <v>14.5</v>
      </c>
      <c r="CJ34" s="53">
        <f t="shared" si="131"/>
        <v>-107.5</v>
      </c>
      <c r="CK34" s="53">
        <f t="shared" si="132"/>
        <v>0</v>
      </c>
      <c r="CL34" s="136">
        <f t="shared" si="133"/>
        <v>-927</v>
      </c>
      <c r="CM34" s="136">
        <f t="shared" si="134"/>
        <v>-63</v>
      </c>
      <c r="CN34" s="136">
        <f t="shared" si="135"/>
        <v>-253</v>
      </c>
      <c r="CO34" s="374">
        <f t="shared" si="136"/>
        <v>-15</v>
      </c>
      <c r="CP34" s="374">
        <f t="shared" si="137"/>
        <v>-3526</v>
      </c>
      <c r="CQ34" s="374">
        <f t="shared" si="138"/>
        <v>-1</v>
      </c>
      <c r="CR34" s="498">
        <f t="shared" si="139"/>
        <v>-823</v>
      </c>
      <c r="CS34" s="374">
        <f t="shared" si="140"/>
        <v>-257</v>
      </c>
      <c r="CT34" s="136">
        <f t="shared" si="141"/>
        <v>-9835</v>
      </c>
      <c r="CU34" s="374">
        <f t="shared" si="142"/>
        <v>0</v>
      </c>
      <c r="CV34" s="374">
        <f t="shared" si="143"/>
        <v>-99</v>
      </c>
      <c r="CW34" s="374">
        <f t="shared" si="144"/>
        <v>0</v>
      </c>
      <c r="CX34" s="459">
        <v>0</v>
      </c>
      <c r="CY34" s="459">
        <v>0</v>
      </c>
      <c r="CZ34" s="459">
        <v>0</v>
      </c>
      <c r="DA34" s="459">
        <v>0</v>
      </c>
      <c r="DB34" s="459">
        <v>0</v>
      </c>
      <c r="DC34" s="459">
        <v>0</v>
      </c>
      <c r="DD34" s="522"/>
      <c r="DE34" s="460"/>
      <c r="DF34" s="460"/>
      <c r="DG34" s="29"/>
      <c r="DH34" s="29"/>
      <c r="DI34" s="39"/>
      <c r="DJ34" s="91"/>
      <c r="DK34" s="91"/>
      <c r="DL34" s="91"/>
      <c r="DM34" s="91"/>
      <c r="DN34" s="29"/>
      <c r="DO34" s="29"/>
      <c r="DP34" s="29"/>
      <c r="DQ34" s="29"/>
      <c r="DR34" s="29"/>
      <c r="DS34" s="29"/>
      <c r="DT34" s="29"/>
      <c r="DU34" s="29"/>
      <c r="DV34" s="29"/>
      <c r="DW34" s="29"/>
      <c r="EH34" s="1330"/>
    </row>
    <row r="35" spans="1:138">
      <c r="A35" s="320"/>
      <c r="B35" s="208"/>
      <c r="C35" s="844" t="s">
        <v>375</v>
      </c>
      <c r="D35" s="196"/>
      <c r="E35" s="197"/>
      <c r="F35" s="138">
        <f>F82</f>
        <v>14.978999999999999</v>
      </c>
      <c r="G35" s="138">
        <f t="shared" si="145"/>
        <v>0</v>
      </c>
      <c r="H35" s="138">
        <f t="shared" si="145"/>
        <v>0</v>
      </c>
      <c r="I35" s="164">
        <f t="shared" si="145"/>
        <v>0</v>
      </c>
      <c r="J35" s="138">
        <f>J82</f>
        <v>0</v>
      </c>
      <c r="K35" s="138">
        <f t="shared" si="146"/>
        <v>0</v>
      </c>
      <c r="L35" s="138">
        <f t="shared" si="146"/>
        <v>0.91200000000000003</v>
      </c>
      <c r="M35" s="164">
        <f t="shared" si="146"/>
        <v>-0.91200000000000003</v>
      </c>
      <c r="N35" s="138">
        <f>N82</f>
        <v>0</v>
      </c>
      <c r="O35" s="138">
        <f t="shared" si="147"/>
        <v>0</v>
      </c>
      <c r="P35" s="138">
        <f t="shared" si="147"/>
        <v>0</v>
      </c>
      <c r="Q35" s="164">
        <f t="shared" si="147"/>
        <v>3.4</v>
      </c>
      <c r="R35" s="138">
        <f>R82</f>
        <v>0</v>
      </c>
      <c r="S35" s="138">
        <f t="shared" si="148"/>
        <v>0</v>
      </c>
      <c r="T35" s="138">
        <f t="shared" si="148"/>
        <v>0</v>
      </c>
      <c r="U35" s="164">
        <f t="shared" si="148"/>
        <v>-32.299999999999997</v>
      </c>
      <c r="V35" s="138">
        <f>V82</f>
        <v>0</v>
      </c>
      <c r="W35" s="138">
        <f t="shared" ref="W35:X37" si="154">W82-V82</f>
        <v>0</v>
      </c>
      <c r="X35" s="138">
        <f t="shared" si="154"/>
        <v>-80.900000000000006</v>
      </c>
      <c r="Y35" s="164">
        <f t="shared" si="149"/>
        <v>-14.5</v>
      </c>
      <c r="Z35" s="138">
        <f>Z82</f>
        <v>57</v>
      </c>
      <c r="AA35" s="138">
        <f t="shared" si="150"/>
        <v>15.700000000000003</v>
      </c>
      <c r="AB35" s="138">
        <f t="shared" si="150"/>
        <v>0</v>
      </c>
      <c r="AC35" s="164">
        <f t="shared" si="150"/>
        <v>0</v>
      </c>
      <c r="AD35" s="138">
        <f>AD82</f>
        <v>-1</v>
      </c>
      <c r="AE35" s="138">
        <f t="shared" si="151"/>
        <v>-5</v>
      </c>
      <c r="AF35" s="138">
        <f>AF82-AE82</f>
        <v>-18</v>
      </c>
      <c r="AG35" s="164">
        <f t="shared" si="151"/>
        <v>-44</v>
      </c>
      <c r="AH35" s="138">
        <f>AH82</f>
        <v>-28</v>
      </c>
      <c r="AI35" s="460">
        <f t="shared" si="111"/>
        <v>-193</v>
      </c>
      <c r="AJ35" s="138">
        <f t="shared" si="152"/>
        <v>118</v>
      </c>
      <c r="AK35" s="496">
        <f t="shared" si="152"/>
        <v>-2</v>
      </c>
      <c r="AL35" s="374">
        <f>AL82</f>
        <v>0</v>
      </c>
      <c r="AM35" s="460">
        <f t="shared" si="112"/>
        <v>0</v>
      </c>
      <c r="AN35" s="138">
        <f>AN82-AM82</f>
        <v>0</v>
      </c>
      <c r="AO35" s="496">
        <f>AO82-AN82</f>
        <v>0</v>
      </c>
      <c r="AP35" s="374">
        <f>AP82</f>
        <v>0</v>
      </c>
      <c r="AQ35" s="460">
        <f t="shared" si="113"/>
        <v>0</v>
      </c>
      <c r="AR35" s="138">
        <f>AR82-AQ82</f>
        <v>0</v>
      </c>
      <c r="AS35" s="496">
        <f>AS82-AR82</f>
        <v>0</v>
      </c>
      <c r="AT35" s="374">
        <f>AT82</f>
        <v>0</v>
      </c>
      <c r="AU35" s="460">
        <f t="shared" si="114"/>
        <v>0</v>
      </c>
      <c r="AV35" s="138">
        <f>AV82-AU82</f>
        <v>0</v>
      </c>
      <c r="AW35" s="496">
        <f>AW82-AV82</f>
        <v>0</v>
      </c>
      <c r="AX35" s="374">
        <f>AX82</f>
        <v>0</v>
      </c>
      <c r="AY35" s="460">
        <f t="shared" si="115"/>
        <v>0</v>
      </c>
      <c r="AZ35" s="138">
        <f>AZ82-AY82</f>
        <v>0</v>
      </c>
      <c r="BA35" s="496">
        <f>BA82-AZ82</f>
        <v>0</v>
      </c>
      <c r="BB35" s="374">
        <f>BB82</f>
        <v>0</v>
      </c>
      <c r="BC35" s="460">
        <f t="shared" si="116"/>
        <v>-15</v>
      </c>
      <c r="BD35" s="138">
        <f>BD82-BC82</f>
        <v>-2</v>
      </c>
      <c r="BE35" s="496">
        <f>BE82-BD82</f>
        <v>0</v>
      </c>
      <c r="BF35" s="374">
        <f>BF82</f>
        <v>0</v>
      </c>
      <c r="BG35" s="460">
        <f t="shared" si="117"/>
        <v>0</v>
      </c>
      <c r="BH35" s="138">
        <f>BH82-BG82</f>
        <v>-470</v>
      </c>
      <c r="BI35" s="496">
        <f>BI82-BH82</f>
        <v>-91</v>
      </c>
      <c r="BJ35" s="374">
        <f>BJ82</f>
        <v>-120</v>
      </c>
      <c r="BK35" s="460">
        <f t="shared" si="118"/>
        <v>-475</v>
      </c>
      <c r="BL35" s="138">
        <f t="shared" si="119"/>
        <v>-92</v>
      </c>
      <c r="BM35" s="496">
        <f t="shared" si="120"/>
        <v>-170</v>
      </c>
      <c r="BN35" s="374">
        <f>BN82</f>
        <v>-236</v>
      </c>
      <c r="BO35" s="460">
        <f t="shared" si="121"/>
        <v>-172</v>
      </c>
      <c r="BP35" s="138">
        <f t="shared" si="122"/>
        <v>-54</v>
      </c>
      <c r="BQ35" s="496">
        <f t="shared" si="122"/>
        <v>-143</v>
      </c>
      <c r="BR35" s="524">
        <f t="shared" si="123"/>
        <v>-84</v>
      </c>
      <c r="BS35" s="460">
        <f t="shared" si="124"/>
        <v>-155</v>
      </c>
      <c r="BT35" s="138">
        <f t="shared" si="125"/>
        <v>40</v>
      </c>
      <c r="BU35" s="496">
        <f t="shared" si="125"/>
        <v>12</v>
      </c>
      <c r="BV35" s="524">
        <f t="shared" si="126"/>
        <v>-22</v>
      </c>
      <c r="BW35" s="460">
        <f t="shared" si="127"/>
        <v>22</v>
      </c>
      <c r="BX35" s="459">
        <v>0</v>
      </c>
      <c r="BY35" s="522">
        <v>0</v>
      </c>
      <c r="BZ35" s="459">
        <v>0</v>
      </c>
      <c r="CA35" s="459">
        <v>0</v>
      </c>
      <c r="CB35" s="459">
        <v>0</v>
      </c>
      <c r="CC35" s="522">
        <v>0</v>
      </c>
      <c r="CD35" s="806"/>
      <c r="CE35" s="848">
        <f t="shared" si="153"/>
        <v>14.978999999999999</v>
      </c>
      <c r="CF35" s="848">
        <f t="shared" si="153"/>
        <v>0</v>
      </c>
      <c r="CG35" s="136">
        <f t="shared" si="128"/>
        <v>3.4</v>
      </c>
      <c r="CH35" s="136">
        <f t="shared" si="129"/>
        <v>-32.299999999999997</v>
      </c>
      <c r="CI35" s="136">
        <f t="shared" si="130"/>
        <v>-95.4</v>
      </c>
      <c r="CJ35" s="53">
        <f t="shared" si="131"/>
        <v>72.7</v>
      </c>
      <c r="CK35" s="53">
        <f t="shared" si="132"/>
        <v>-68</v>
      </c>
      <c r="CL35" s="136">
        <f t="shared" si="133"/>
        <v>-105</v>
      </c>
      <c r="CM35" s="136">
        <f t="shared" si="134"/>
        <v>0</v>
      </c>
      <c r="CN35" s="136">
        <f t="shared" si="135"/>
        <v>0</v>
      </c>
      <c r="CO35" s="374">
        <f t="shared" si="136"/>
        <v>0</v>
      </c>
      <c r="CP35" s="374">
        <f t="shared" si="137"/>
        <v>0</v>
      </c>
      <c r="CQ35" s="374">
        <f t="shared" si="138"/>
        <v>-17</v>
      </c>
      <c r="CR35" s="498">
        <f t="shared" si="139"/>
        <v>-561</v>
      </c>
      <c r="CS35" s="374">
        <f t="shared" si="140"/>
        <v>-857</v>
      </c>
      <c r="CT35" s="136">
        <f t="shared" si="141"/>
        <v>-605</v>
      </c>
      <c r="CU35" s="374">
        <f t="shared" si="142"/>
        <v>-187</v>
      </c>
      <c r="CV35" s="374">
        <f t="shared" si="143"/>
        <v>0</v>
      </c>
      <c r="CW35" s="374">
        <f t="shared" si="144"/>
        <v>0</v>
      </c>
      <c r="CX35" s="459">
        <v>0</v>
      </c>
      <c r="CY35" s="459">
        <v>0</v>
      </c>
      <c r="CZ35" s="459">
        <v>0</v>
      </c>
      <c r="DA35" s="459">
        <v>0</v>
      </c>
      <c r="DB35" s="459">
        <v>0</v>
      </c>
      <c r="DC35" s="459">
        <v>0</v>
      </c>
      <c r="DD35" s="522"/>
      <c r="DE35" s="460"/>
      <c r="DF35" s="460"/>
      <c r="DG35" s="29"/>
      <c r="DH35" s="29"/>
      <c r="DI35" s="39"/>
      <c r="DJ35" s="39"/>
      <c r="DK35" s="39"/>
      <c r="DL35" s="39"/>
      <c r="DM35" s="91"/>
      <c r="DN35" s="29"/>
      <c r="DO35" s="29"/>
      <c r="DP35" s="29"/>
      <c r="DQ35" s="29"/>
      <c r="DR35" s="29"/>
      <c r="DS35" s="29"/>
      <c r="DT35" s="29"/>
      <c r="DU35" s="29"/>
      <c r="DV35" s="29"/>
      <c r="DW35" s="29"/>
      <c r="EH35" s="1330"/>
    </row>
    <row r="36" spans="1:138">
      <c r="A36" s="320"/>
      <c r="B36" s="208"/>
      <c r="C36" s="844" t="s">
        <v>376</v>
      </c>
      <c r="D36" s="196"/>
      <c r="E36" s="197"/>
      <c r="F36" s="138"/>
      <c r="G36" s="138"/>
      <c r="H36" s="138"/>
      <c r="I36" s="164"/>
      <c r="J36" s="138"/>
      <c r="K36" s="138"/>
      <c r="L36" s="138"/>
      <c r="M36" s="164"/>
      <c r="N36" s="138"/>
      <c r="O36" s="138"/>
      <c r="P36" s="138"/>
      <c r="Q36" s="164"/>
      <c r="R36" s="138"/>
      <c r="S36" s="138"/>
      <c r="T36" s="138"/>
      <c r="U36" s="164"/>
      <c r="V36" s="138">
        <f>V83</f>
        <v>0</v>
      </c>
      <c r="W36" s="138">
        <f t="shared" si="154"/>
        <v>0</v>
      </c>
      <c r="X36" s="138">
        <f t="shared" si="154"/>
        <v>0</v>
      </c>
      <c r="Y36" s="164">
        <f t="shared" si="149"/>
        <v>0</v>
      </c>
      <c r="Z36" s="138">
        <f>Z83</f>
        <v>0</v>
      </c>
      <c r="AA36" s="138">
        <f t="shared" ref="AA36:AC37" si="155">AA83-Z83</f>
        <v>0</v>
      </c>
      <c r="AB36" s="138">
        <f t="shared" si="155"/>
        <v>0</v>
      </c>
      <c r="AC36" s="164">
        <f t="shared" si="155"/>
        <v>0</v>
      </c>
      <c r="AD36" s="138">
        <f>AD83</f>
        <v>1</v>
      </c>
      <c r="AE36" s="138">
        <f t="shared" si="151"/>
        <v>-1</v>
      </c>
      <c r="AF36" s="138">
        <f>AF83-AE83</f>
        <v>1</v>
      </c>
      <c r="AG36" s="164">
        <f>AG83-AF83</f>
        <v>8</v>
      </c>
      <c r="AH36" s="138">
        <f>AH83</f>
        <v>93</v>
      </c>
      <c r="AI36" s="460">
        <f t="shared" si="111"/>
        <v>335</v>
      </c>
      <c r="AJ36" s="138">
        <f t="shared" si="152"/>
        <v>-103</v>
      </c>
      <c r="AK36" s="496">
        <f t="shared" si="152"/>
        <v>1</v>
      </c>
      <c r="AL36" s="374">
        <f>AL83</f>
        <v>1</v>
      </c>
      <c r="AM36" s="460">
        <f t="shared" si="112"/>
        <v>0</v>
      </c>
      <c r="AN36" s="138">
        <f>AN83-AM83</f>
        <v>0</v>
      </c>
      <c r="AO36" s="496">
        <f>AO83-AN83</f>
        <v>1</v>
      </c>
      <c r="AP36" s="374">
        <f>AP83</f>
        <v>0</v>
      </c>
      <c r="AQ36" s="460">
        <f t="shared" si="113"/>
        <v>3</v>
      </c>
      <c r="AR36" s="138">
        <f>AR83-AQ83</f>
        <v>1</v>
      </c>
      <c r="AS36" s="496">
        <f>AS83-AR83</f>
        <v>0</v>
      </c>
      <c r="AT36" s="374">
        <f>AT83</f>
        <v>0</v>
      </c>
      <c r="AU36" s="460">
        <f t="shared" si="114"/>
        <v>0</v>
      </c>
      <c r="AV36" s="138">
        <f>AV83-AU83</f>
        <v>0</v>
      </c>
      <c r="AW36" s="496">
        <f>AW83-AV83</f>
        <v>0</v>
      </c>
      <c r="AX36" s="374">
        <f>AX83</f>
        <v>0</v>
      </c>
      <c r="AY36" s="460">
        <f t="shared" si="115"/>
        <v>0</v>
      </c>
      <c r="AZ36" s="138">
        <f>AZ83-AY83</f>
        <v>0</v>
      </c>
      <c r="BA36" s="496">
        <f>BA83-AZ83</f>
        <v>0</v>
      </c>
      <c r="BB36" s="374">
        <f>BB83</f>
        <v>0</v>
      </c>
      <c r="BC36" s="460">
        <f t="shared" si="116"/>
        <v>0</v>
      </c>
      <c r="BD36" s="138">
        <f>BD83-BC83</f>
        <v>0</v>
      </c>
      <c r="BE36" s="496">
        <f>BE83-BD83</f>
        <v>0</v>
      </c>
      <c r="BF36" s="374">
        <f>BF83</f>
        <v>39</v>
      </c>
      <c r="BG36" s="460">
        <f t="shared" si="117"/>
        <v>-35</v>
      </c>
      <c r="BH36" s="138">
        <f>BH83-BG83</f>
        <v>0</v>
      </c>
      <c r="BI36" s="496">
        <f>BI83-BH83</f>
        <v>72</v>
      </c>
      <c r="BJ36" s="374">
        <f>BJ83</f>
        <v>166</v>
      </c>
      <c r="BK36" s="460">
        <f t="shared" si="118"/>
        <v>464</v>
      </c>
      <c r="BL36" s="138">
        <f t="shared" si="119"/>
        <v>-624</v>
      </c>
      <c r="BM36" s="496">
        <f t="shared" si="120"/>
        <v>762</v>
      </c>
      <c r="BN36" s="374">
        <f>BN83</f>
        <v>124</v>
      </c>
      <c r="BO36" s="460">
        <f t="shared" si="121"/>
        <v>142</v>
      </c>
      <c r="BP36" s="138">
        <f t="shared" si="122"/>
        <v>-289</v>
      </c>
      <c r="BQ36" s="496">
        <f t="shared" si="122"/>
        <v>1605</v>
      </c>
      <c r="BR36" s="524">
        <f t="shared" si="123"/>
        <v>93</v>
      </c>
      <c r="BS36" s="460">
        <f t="shared" si="124"/>
        <v>241</v>
      </c>
      <c r="BT36" s="138">
        <f t="shared" si="125"/>
        <v>96</v>
      </c>
      <c r="BU36" s="496">
        <f t="shared" si="125"/>
        <v>-13</v>
      </c>
      <c r="BV36" s="524">
        <f t="shared" si="126"/>
        <v>0</v>
      </c>
      <c r="BW36" s="460">
        <f t="shared" si="127"/>
        <v>0</v>
      </c>
      <c r="BX36" s="459">
        <v>0</v>
      </c>
      <c r="BY36" s="522">
        <v>0</v>
      </c>
      <c r="BZ36" s="459">
        <v>0</v>
      </c>
      <c r="CA36" s="459">
        <v>0</v>
      </c>
      <c r="CB36" s="459">
        <v>0</v>
      </c>
      <c r="CC36" s="522">
        <v>0</v>
      </c>
      <c r="CD36" s="806"/>
      <c r="CE36" s="848">
        <f t="shared" si="153"/>
        <v>0</v>
      </c>
      <c r="CF36" s="848">
        <f t="shared" si="153"/>
        <v>0</v>
      </c>
      <c r="CG36" s="136">
        <f t="shared" si="128"/>
        <v>0</v>
      </c>
      <c r="CH36" s="136">
        <f t="shared" si="129"/>
        <v>0</v>
      </c>
      <c r="CI36" s="136">
        <f t="shared" si="130"/>
        <v>0</v>
      </c>
      <c r="CJ36" s="53">
        <f t="shared" si="131"/>
        <v>0</v>
      </c>
      <c r="CK36" s="53">
        <f t="shared" si="132"/>
        <v>9</v>
      </c>
      <c r="CL36" s="136">
        <f t="shared" si="133"/>
        <v>326</v>
      </c>
      <c r="CM36" s="136">
        <f t="shared" si="134"/>
        <v>2</v>
      </c>
      <c r="CN36" s="136">
        <f t="shared" si="135"/>
        <v>4</v>
      </c>
      <c r="CO36" s="374">
        <f t="shared" si="136"/>
        <v>0</v>
      </c>
      <c r="CP36" s="374">
        <f t="shared" si="137"/>
        <v>0</v>
      </c>
      <c r="CQ36" s="374">
        <f t="shared" si="138"/>
        <v>0</v>
      </c>
      <c r="CR36" s="498">
        <f t="shared" si="139"/>
        <v>76</v>
      </c>
      <c r="CS36" s="374">
        <f t="shared" si="140"/>
        <v>768</v>
      </c>
      <c r="CT36" s="136">
        <f t="shared" si="141"/>
        <v>1582</v>
      </c>
      <c r="CU36" s="374">
        <f t="shared" si="142"/>
        <v>417</v>
      </c>
      <c r="CV36" s="374">
        <f t="shared" si="143"/>
        <v>0</v>
      </c>
      <c r="CW36" s="374">
        <f t="shared" si="144"/>
        <v>0</v>
      </c>
      <c r="CX36" s="459">
        <v>0</v>
      </c>
      <c r="CY36" s="459">
        <v>0</v>
      </c>
      <c r="CZ36" s="459">
        <v>0</v>
      </c>
      <c r="DA36" s="459">
        <v>0</v>
      </c>
      <c r="DB36" s="459">
        <v>0</v>
      </c>
      <c r="DC36" s="459">
        <v>0</v>
      </c>
      <c r="DD36" s="522"/>
      <c r="DE36" s="460"/>
      <c r="DF36" s="460"/>
      <c r="DG36" s="29"/>
      <c r="DH36" s="29"/>
      <c r="DI36" s="39"/>
      <c r="DJ36" s="39"/>
      <c r="DK36" s="39"/>
      <c r="DL36" s="39"/>
      <c r="DM36" s="91"/>
      <c r="DN36" s="29"/>
      <c r="DO36" s="29"/>
      <c r="DP36" s="29"/>
      <c r="DQ36" s="29"/>
      <c r="DR36" s="29"/>
      <c r="DS36" s="29"/>
      <c r="DT36" s="29"/>
      <c r="DU36" s="29"/>
      <c r="DV36" s="29"/>
      <c r="DW36" s="29"/>
      <c r="EH36" s="1330"/>
    </row>
    <row r="37" spans="1:138">
      <c r="A37" s="320"/>
      <c r="B37" s="208"/>
      <c r="C37" s="52" t="s">
        <v>790</v>
      </c>
      <c r="D37" s="196"/>
      <c r="E37" s="197"/>
      <c r="F37" s="138">
        <f>F84</f>
        <v>0</v>
      </c>
      <c r="G37" s="138">
        <f>G84-F84</f>
        <v>0</v>
      </c>
      <c r="H37" s="138">
        <f>H84-G84</f>
        <v>0</v>
      </c>
      <c r="I37" s="164">
        <f>I84-H84</f>
        <v>0</v>
      </c>
      <c r="J37" s="138">
        <f>J84</f>
        <v>0</v>
      </c>
      <c r="K37" s="138">
        <f>K84-J84</f>
        <v>9</v>
      </c>
      <c r="L37" s="138">
        <f>L84-K84</f>
        <v>0</v>
      </c>
      <c r="M37" s="164">
        <f>M84-L84</f>
        <v>0.91200000000000081</v>
      </c>
      <c r="N37" s="138">
        <f>N84</f>
        <v>0</v>
      </c>
      <c r="O37" s="138">
        <f>O84-N84</f>
        <v>0</v>
      </c>
      <c r="P37" s="138">
        <f>P84-O84</f>
        <v>0</v>
      </c>
      <c r="Q37" s="164">
        <f>Q84-P84</f>
        <v>0</v>
      </c>
      <c r="R37" s="138">
        <f>R84</f>
        <v>0</v>
      </c>
      <c r="S37" s="138">
        <f>S84-R84</f>
        <v>0</v>
      </c>
      <c r="T37" s="138">
        <f>T84-S84</f>
        <v>0</v>
      </c>
      <c r="U37" s="164">
        <f>U84-T84</f>
        <v>0</v>
      </c>
      <c r="V37" s="138">
        <f>V84</f>
        <v>0</v>
      </c>
      <c r="W37" s="138">
        <f t="shared" si="154"/>
        <v>0</v>
      </c>
      <c r="X37" s="138">
        <f t="shared" si="154"/>
        <v>0</v>
      </c>
      <c r="Y37" s="164">
        <f>Y84-X84</f>
        <v>0</v>
      </c>
      <c r="Z37" s="138">
        <f>Z84</f>
        <v>0</v>
      </c>
      <c r="AA37" s="138">
        <f t="shared" si="155"/>
        <v>0</v>
      </c>
      <c r="AB37" s="138">
        <f t="shared" si="155"/>
        <v>0</v>
      </c>
      <c r="AC37" s="164">
        <f t="shared" si="155"/>
        <v>0</v>
      </c>
      <c r="AD37" s="138">
        <f>AD84</f>
        <v>0</v>
      </c>
      <c r="AE37" s="138">
        <f t="shared" si="151"/>
        <v>0</v>
      </c>
      <c r="AF37" s="138">
        <f>AF84-AE84</f>
        <v>0</v>
      </c>
      <c r="AG37" s="164">
        <f t="shared" si="151"/>
        <v>0</v>
      </c>
      <c r="AH37" s="138">
        <f>AH84</f>
        <v>0</v>
      </c>
      <c r="AI37" s="460">
        <f t="shared" si="111"/>
        <v>0</v>
      </c>
      <c r="AJ37" s="138">
        <f t="shared" si="152"/>
        <v>0</v>
      </c>
      <c r="AK37" s="496">
        <f t="shared" si="152"/>
        <v>0</v>
      </c>
      <c r="AL37" s="374">
        <f>AL84</f>
        <v>0</v>
      </c>
      <c r="AM37" s="460">
        <f t="shared" si="112"/>
        <v>0</v>
      </c>
      <c r="AN37" s="138">
        <f>AN84-AM84</f>
        <v>0</v>
      </c>
      <c r="AO37" s="496">
        <f>AO84-AN84</f>
        <v>0</v>
      </c>
      <c r="AP37" s="374">
        <f>AP84</f>
        <v>0</v>
      </c>
      <c r="AQ37" s="460">
        <f t="shared" si="113"/>
        <v>0</v>
      </c>
      <c r="AR37" s="138">
        <f>AR84-AQ84</f>
        <v>0</v>
      </c>
      <c r="AS37" s="496">
        <f>AS84-AR84</f>
        <v>0</v>
      </c>
      <c r="AT37" s="374">
        <f>AT84</f>
        <v>0</v>
      </c>
      <c r="AU37" s="460">
        <f t="shared" si="114"/>
        <v>0</v>
      </c>
      <c r="AV37" s="138">
        <f>AV84-AU84</f>
        <v>0</v>
      </c>
      <c r="AW37" s="496">
        <f>AW84-AV84</f>
        <v>0</v>
      </c>
      <c r="AX37" s="374">
        <f>AX84</f>
        <v>0</v>
      </c>
      <c r="AY37" s="460">
        <f t="shared" si="115"/>
        <v>0</v>
      </c>
      <c r="AZ37" s="138">
        <f>AZ84-AY84</f>
        <v>0</v>
      </c>
      <c r="BA37" s="496">
        <f>BA84-AZ84</f>
        <v>0</v>
      </c>
      <c r="BB37" s="374">
        <f>BB84</f>
        <v>-9</v>
      </c>
      <c r="BC37" s="460">
        <f t="shared" si="116"/>
        <v>9</v>
      </c>
      <c r="BD37" s="138">
        <f>BD84-BC84</f>
        <v>0</v>
      </c>
      <c r="BE37" s="496">
        <f>BE84-BD84</f>
        <v>0</v>
      </c>
      <c r="BF37" s="374">
        <f>BF84</f>
        <v>0</v>
      </c>
      <c r="BG37" s="460">
        <f t="shared" si="117"/>
        <v>0</v>
      </c>
      <c r="BH37" s="138">
        <f>BH84-BG84</f>
        <v>0</v>
      </c>
      <c r="BI37" s="496">
        <f>BI84-BH84</f>
        <v>0</v>
      </c>
      <c r="BJ37" s="374">
        <f>BJ84</f>
        <v>-12</v>
      </c>
      <c r="BK37" s="460">
        <f t="shared" si="118"/>
        <v>28</v>
      </c>
      <c r="BL37" s="138">
        <f t="shared" si="119"/>
        <v>649</v>
      </c>
      <c r="BM37" s="496">
        <f t="shared" si="120"/>
        <v>-667</v>
      </c>
      <c r="BN37" s="374">
        <f>BN84</f>
        <v>-10</v>
      </c>
      <c r="BO37" s="460">
        <f t="shared" si="121"/>
        <v>-2</v>
      </c>
      <c r="BP37" s="138">
        <f t="shared" si="122"/>
        <v>919</v>
      </c>
      <c r="BQ37" s="496">
        <f t="shared" si="122"/>
        <v>-983</v>
      </c>
      <c r="BR37" s="524">
        <f t="shared" si="123"/>
        <v>-1</v>
      </c>
      <c r="BS37" s="460">
        <f t="shared" si="124"/>
        <v>-11</v>
      </c>
      <c r="BT37" s="138">
        <f t="shared" si="125"/>
        <v>-9</v>
      </c>
      <c r="BU37" s="496">
        <f t="shared" si="125"/>
        <v>-11</v>
      </c>
      <c r="BV37" s="524">
        <f t="shared" si="126"/>
        <v>23</v>
      </c>
      <c r="BW37" s="460">
        <f t="shared" si="127"/>
        <v>-16</v>
      </c>
      <c r="BX37" s="459">
        <v>0</v>
      </c>
      <c r="BY37" s="522">
        <v>0</v>
      </c>
      <c r="BZ37" s="459">
        <v>0</v>
      </c>
      <c r="CA37" s="459">
        <v>0</v>
      </c>
      <c r="CB37" s="459">
        <v>0</v>
      </c>
      <c r="CC37" s="522">
        <v>0</v>
      </c>
      <c r="CD37" s="806"/>
      <c r="CE37" s="848">
        <f>CE84</f>
        <v>0</v>
      </c>
      <c r="CF37" s="848">
        <f>CF84</f>
        <v>9.9120000000000008</v>
      </c>
      <c r="CG37" s="136">
        <f t="shared" si="128"/>
        <v>0</v>
      </c>
      <c r="CH37" s="136">
        <f t="shared" si="129"/>
        <v>0</v>
      </c>
      <c r="CI37" s="136">
        <f t="shared" si="130"/>
        <v>0</v>
      </c>
      <c r="CJ37" s="53">
        <f t="shared" si="131"/>
        <v>0</v>
      </c>
      <c r="CK37" s="53">
        <f t="shared" si="132"/>
        <v>0</v>
      </c>
      <c r="CL37" s="136">
        <f t="shared" si="133"/>
        <v>0</v>
      </c>
      <c r="CM37" s="136">
        <f t="shared" si="134"/>
        <v>0</v>
      </c>
      <c r="CN37" s="136">
        <f t="shared" si="135"/>
        <v>0</v>
      </c>
      <c r="CO37" s="374">
        <f t="shared" si="136"/>
        <v>0</v>
      </c>
      <c r="CP37" s="374">
        <f t="shared" si="137"/>
        <v>0</v>
      </c>
      <c r="CQ37" s="374">
        <f t="shared" si="138"/>
        <v>0</v>
      </c>
      <c r="CR37" s="498">
        <f t="shared" si="139"/>
        <v>0</v>
      </c>
      <c r="CS37" s="374">
        <f t="shared" si="140"/>
        <v>-2</v>
      </c>
      <c r="CT37" s="136">
        <f t="shared" si="141"/>
        <v>-76</v>
      </c>
      <c r="CU37" s="374">
        <f t="shared" si="142"/>
        <v>-32</v>
      </c>
      <c r="CV37" s="374">
        <f t="shared" si="143"/>
        <v>7</v>
      </c>
      <c r="CW37" s="374">
        <f t="shared" si="144"/>
        <v>0</v>
      </c>
      <c r="CX37" s="459">
        <v>0</v>
      </c>
      <c r="CY37" s="459">
        <v>0</v>
      </c>
      <c r="CZ37" s="459">
        <v>0</v>
      </c>
      <c r="DA37" s="459">
        <v>0</v>
      </c>
      <c r="DB37" s="459">
        <v>0</v>
      </c>
      <c r="DC37" s="459">
        <v>0</v>
      </c>
      <c r="DD37" s="522"/>
      <c r="DE37" s="460"/>
      <c r="DF37" s="460"/>
      <c r="DG37" s="29"/>
      <c r="DH37" s="29"/>
      <c r="DI37" s="39"/>
      <c r="DJ37" s="39"/>
      <c r="DK37" s="39"/>
      <c r="DL37" s="39"/>
      <c r="DM37" s="91"/>
      <c r="DN37" s="29"/>
      <c r="DO37" s="29"/>
      <c r="DP37" s="29"/>
      <c r="DQ37" s="29"/>
      <c r="DR37" s="29"/>
      <c r="DS37" s="29"/>
      <c r="DT37" s="29"/>
      <c r="DU37" s="29"/>
      <c r="DV37" s="29"/>
      <c r="DW37" s="29"/>
      <c r="EH37" s="1330"/>
    </row>
    <row r="38" spans="1:138" collapsed="1">
      <c r="A38" s="320"/>
      <c r="B38" s="209" t="s">
        <v>269</v>
      </c>
      <c r="C38" s="188"/>
      <c r="D38" s="188"/>
      <c r="E38" s="198"/>
      <c r="F38" s="505">
        <f t="shared" ref="F38:BF38" si="156">SUM(F32:F37)</f>
        <v>4.3919999999999995</v>
      </c>
      <c r="G38" s="505">
        <f t="shared" si="156"/>
        <v>-16.262</v>
      </c>
      <c r="H38" s="505">
        <f t="shared" si="156"/>
        <v>-13.044</v>
      </c>
      <c r="I38" s="506">
        <f t="shared" si="156"/>
        <v>-10.79</v>
      </c>
      <c r="J38" s="505">
        <f t="shared" si="156"/>
        <v>-12.013</v>
      </c>
      <c r="K38" s="505">
        <f t="shared" si="156"/>
        <v>-5.0250000000000004</v>
      </c>
      <c r="L38" s="505">
        <f t="shared" si="156"/>
        <v>-12.534000000000001</v>
      </c>
      <c r="M38" s="506">
        <f t="shared" si="156"/>
        <v>-8.2590000000000003</v>
      </c>
      <c r="N38" s="505">
        <f t="shared" si="156"/>
        <v>-12.362</v>
      </c>
      <c r="O38" s="505">
        <f t="shared" si="156"/>
        <v>-15.424999999999999</v>
      </c>
      <c r="P38" s="505">
        <f t="shared" si="156"/>
        <v>-15.785000000000004</v>
      </c>
      <c r="Q38" s="506">
        <f t="shared" si="156"/>
        <v>-14.927999999999995</v>
      </c>
      <c r="R38" s="505">
        <f t="shared" si="156"/>
        <v>-114.69999999999999</v>
      </c>
      <c r="S38" s="505">
        <f t="shared" si="156"/>
        <v>-44.199999999999996</v>
      </c>
      <c r="T38" s="505">
        <f t="shared" si="156"/>
        <v>-26.400000000000006</v>
      </c>
      <c r="U38" s="506">
        <f t="shared" si="156"/>
        <v>-73.499999999999986</v>
      </c>
      <c r="V38" s="505">
        <f t="shared" si="156"/>
        <v>-50.7</v>
      </c>
      <c r="W38" s="505">
        <f t="shared" si="156"/>
        <v>-54.8</v>
      </c>
      <c r="X38" s="505">
        <f t="shared" si="156"/>
        <v>-128.4</v>
      </c>
      <c r="Y38" s="506">
        <f t="shared" si="156"/>
        <v>-80.400000000000006</v>
      </c>
      <c r="Z38" s="505">
        <f t="shared" si="156"/>
        <v>-12.200000000000003</v>
      </c>
      <c r="AA38" s="505">
        <f t="shared" si="156"/>
        <v>-71.3</v>
      </c>
      <c r="AB38" s="505">
        <f t="shared" si="156"/>
        <v>-140.1</v>
      </c>
      <c r="AC38" s="506">
        <f t="shared" si="156"/>
        <v>-113.09999999999998</v>
      </c>
      <c r="AD38" s="505">
        <f t="shared" si="156"/>
        <v>-72</v>
      </c>
      <c r="AE38" s="505">
        <f t="shared" si="156"/>
        <v>-103</v>
      </c>
      <c r="AF38" s="505">
        <f t="shared" si="156"/>
        <v>-86</v>
      </c>
      <c r="AG38" s="506">
        <f t="shared" si="156"/>
        <v>-122</v>
      </c>
      <c r="AH38" s="507">
        <f t="shared" si="156"/>
        <v>-1009</v>
      </c>
      <c r="AI38" s="505">
        <f t="shared" si="156"/>
        <v>-31</v>
      </c>
      <c r="AJ38" s="505">
        <f t="shared" si="156"/>
        <v>-132</v>
      </c>
      <c r="AK38" s="506">
        <f t="shared" si="156"/>
        <v>-149</v>
      </c>
      <c r="AL38" s="49">
        <f t="shared" si="156"/>
        <v>-161</v>
      </c>
      <c r="AM38" s="505">
        <f t="shared" si="156"/>
        <v>-140</v>
      </c>
      <c r="AN38" s="505">
        <f t="shared" si="156"/>
        <v>-150</v>
      </c>
      <c r="AO38" s="506">
        <f t="shared" si="156"/>
        <v>-100</v>
      </c>
      <c r="AP38" s="49">
        <f t="shared" si="156"/>
        <v>-176</v>
      </c>
      <c r="AQ38" s="505">
        <f t="shared" si="156"/>
        <v>-196</v>
      </c>
      <c r="AR38" s="505">
        <f t="shared" si="156"/>
        <v>-176</v>
      </c>
      <c r="AS38" s="506">
        <f t="shared" si="156"/>
        <v>-438</v>
      </c>
      <c r="AT38" s="49">
        <f t="shared" si="156"/>
        <v>-200</v>
      </c>
      <c r="AU38" s="505">
        <f t="shared" si="156"/>
        <v>-250</v>
      </c>
      <c r="AV38" s="505">
        <f t="shared" si="156"/>
        <v>-175</v>
      </c>
      <c r="AW38" s="506">
        <f t="shared" si="156"/>
        <v>-168</v>
      </c>
      <c r="AX38" s="49">
        <f t="shared" si="156"/>
        <v>-134</v>
      </c>
      <c r="AY38" s="505">
        <f t="shared" si="156"/>
        <v>-119</v>
      </c>
      <c r="AZ38" s="505">
        <f t="shared" si="156"/>
        <v>-3681</v>
      </c>
      <c r="BA38" s="506">
        <f t="shared" si="156"/>
        <v>-233</v>
      </c>
      <c r="BB38" s="49">
        <f t="shared" si="156"/>
        <v>-391</v>
      </c>
      <c r="BC38" s="505">
        <f t="shared" si="156"/>
        <v>-279</v>
      </c>
      <c r="BD38" s="505">
        <f t="shared" si="156"/>
        <v>-164</v>
      </c>
      <c r="BE38" s="506">
        <f t="shared" si="156"/>
        <v>-136</v>
      </c>
      <c r="BF38" s="49">
        <f t="shared" si="156"/>
        <v>-360</v>
      </c>
      <c r="BG38" s="505">
        <f t="shared" ref="BG38:BQ38" si="157">SUM(BG32:BG37)</f>
        <v>-765</v>
      </c>
      <c r="BH38" s="505">
        <f t="shared" si="157"/>
        <v>-631</v>
      </c>
      <c r="BI38" s="506">
        <f t="shared" si="157"/>
        <v>-180</v>
      </c>
      <c r="BJ38" s="49">
        <f t="shared" si="157"/>
        <v>-126</v>
      </c>
      <c r="BK38" s="505">
        <f t="shared" si="157"/>
        <v>-128</v>
      </c>
      <c r="BL38" s="505">
        <f t="shared" si="157"/>
        <v>-458</v>
      </c>
      <c r="BM38" s="506">
        <f t="shared" si="157"/>
        <v>-241</v>
      </c>
      <c r="BN38" s="49">
        <f t="shared" si="157"/>
        <v>-273</v>
      </c>
      <c r="BO38" s="505">
        <f t="shared" si="157"/>
        <v>-181</v>
      </c>
      <c r="BP38" s="505">
        <f t="shared" si="157"/>
        <v>443</v>
      </c>
      <c r="BQ38" s="506">
        <f t="shared" si="157"/>
        <v>-9597</v>
      </c>
      <c r="BR38" s="49">
        <f t="shared" ref="BR38:BY38" si="158">SUM(BR32:BR37)</f>
        <v>-202</v>
      </c>
      <c r="BS38" s="505">
        <f t="shared" si="158"/>
        <v>-114</v>
      </c>
      <c r="BT38" s="505">
        <f t="shared" si="158"/>
        <v>-130</v>
      </c>
      <c r="BU38" s="506">
        <f t="shared" si="158"/>
        <v>-190</v>
      </c>
      <c r="BV38" s="49">
        <f>SUM(BV32:BV37)</f>
        <v>-378</v>
      </c>
      <c r="BW38" s="505">
        <f t="shared" si="158"/>
        <v>-629</v>
      </c>
      <c r="BX38" s="505">
        <f t="shared" si="158"/>
        <v>-343.63690549999995</v>
      </c>
      <c r="BY38" s="506">
        <f t="shared" si="158"/>
        <v>-343.98148954819999</v>
      </c>
      <c r="BZ38" s="507">
        <f>SUM(BZ32:BZ37)</f>
        <v>-329.583237155821</v>
      </c>
      <c r="CA38" s="505">
        <f>SUM(CA32:CA37)</f>
        <v>-324.35698676876706</v>
      </c>
      <c r="CB38" s="505">
        <f>SUM(CB32:CB37)</f>
        <v>-278.03367230868963</v>
      </c>
      <c r="CC38" s="506">
        <f>SUM(CC32:CC37)</f>
        <v>-263.16810307178815</v>
      </c>
      <c r="CD38" s="807"/>
      <c r="CE38" s="848">
        <f>CE85</f>
        <v>-35.704000000000001</v>
      </c>
      <c r="CF38" s="505">
        <f t="shared" ref="CF38:CS38" si="159">SUM(CF32:CF37)</f>
        <v>-37.831000000000003</v>
      </c>
      <c r="CG38" s="505">
        <f t="shared" si="159"/>
        <v>-58.5</v>
      </c>
      <c r="CH38" s="505">
        <f t="shared" si="159"/>
        <v>-258.8</v>
      </c>
      <c r="CI38" s="505">
        <f t="shared" si="159"/>
        <v>-314.3</v>
      </c>
      <c r="CJ38" s="505">
        <f t="shared" si="159"/>
        <v>-336.7</v>
      </c>
      <c r="CK38" s="602">
        <f t="shared" si="159"/>
        <v>-383</v>
      </c>
      <c r="CL38" s="505">
        <f t="shared" si="159"/>
        <v>-1321</v>
      </c>
      <c r="CM38" s="505">
        <f t="shared" si="159"/>
        <v>-551</v>
      </c>
      <c r="CN38" s="505">
        <f t="shared" si="159"/>
        <v>-986</v>
      </c>
      <c r="CO38" s="505">
        <f t="shared" si="159"/>
        <v>-793</v>
      </c>
      <c r="CP38" s="505">
        <f>SUM(CP32:CP37)</f>
        <v>-4167</v>
      </c>
      <c r="CQ38" s="505">
        <f>SUM(CQ32:CQ37)</f>
        <v>-970</v>
      </c>
      <c r="CR38" s="507">
        <f>SUM(CR32:CR37)</f>
        <v>-1936</v>
      </c>
      <c r="CS38" s="49">
        <f t="shared" si="159"/>
        <v>-953</v>
      </c>
      <c r="CT38" s="505">
        <f t="shared" ref="CT38:DA38" si="160">SUM(CT32:CT37)</f>
        <v>-9608</v>
      </c>
      <c r="CU38" s="49">
        <f t="shared" si="160"/>
        <v>-636</v>
      </c>
      <c r="CV38" s="49">
        <f t="shared" si="160"/>
        <v>-1694.6183950482</v>
      </c>
      <c r="CW38" s="49">
        <f>SUM(CW32:CW37)</f>
        <v>-1195.1419993050658</v>
      </c>
      <c r="CX38" s="505">
        <f t="shared" si="160"/>
        <v>-1330.6856128148449</v>
      </c>
      <c r="CY38" s="505">
        <f t="shared" si="160"/>
        <v>-1378.9259815649145</v>
      </c>
      <c r="CZ38" s="505">
        <f t="shared" si="160"/>
        <v>-1541.521642237298</v>
      </c>
      <c r="DA38" s="505">
        <f t="shared" si="160"/>
        <v>-1612.9672825233101</v>
      </c>
      <c r="DB38" s="505">
        <f>SUM(DB32:DB37)</f>
        <v>-1693.9398753041544</v>
      </c>
      <c r="DC38" s="505">
        <f>SUM(DC32:DC37)</f>
        <v>-1785.6450452278245</v>
      </c>
      <c r="DD38" s="506"/>
      <c r="DE38" s="460"/>
      <c r="DF38" s="460"/>
      <c r="DG38" s="29"/>
      <c r="DH38" s="29"/>
      <c r="DI38" s="39"/>
      <c r="DJ38" s="29"/>
      <c r="DK38" s="29"/>
      <c r="DL38" s="29"/>
      <c r="DM38" s="91"/>
      <c r="DN38" s="29"/>
      <c r="DO38" s="29"/>
      <c r="DP38" s="29"/>
      <c r="DQ38" s="29"/>
      <c r="DR38" s="29"/>
      <c r="DS38" s="29"/>
      <c r="DT38" s="29"/>
      <c r="DU38" s="29"/>
      <c r="DV38" s="29"/>
      <c r="DW38" s="29"/>
      <c r="EH38" s="1330"/>
    </row>
    <row r="39" spans="1:138" ht="4.5" customHeight="1">
      <c r="A39" s="320"/>
      <c r="B39" s="278"/>
      <c r="C39" s="274"/>
      <c r="D39" s="274"/>
      <c r="E39" s="275"/>
      <c r="F39" s="503"/>
      <c r="G39" s="503"/>
      <c r="H39" s="503"/>
      <c r="I39" s="504"/>
      <c r="J39" s="653"/>
      <c r="K39" s="503"/>
      <c r="L39" s="503"/>
      <c r="M39" s="504"/>
      <c r="N39" s="503"/>
      <c r="O39" s="503"/>
      <c r="P39" s="503"/>
      <c r="Q39" s="504"/>
      <c r="R39" s="503"/>
      <c r="S39" s="503"/>
      <c r="T39" s="503"/>
      <c r="U39" s="504"/>
      <c r="V39" s="503"/>
      <c r="W39" s="503"/>
      <c r="X39" s="503"/>
      <c r="Y39" s="504"/>
      <c r="Z39" s="503"/>
      <c r="AA39" s="503"/>
      <c r="AB39" s="503"/>
      <c r="AC39" s="504"/>
      <c r="AD39" s="503"/>
      <c r="AE39" s="503"/>
      <c r="AF39" s="503"/>
      <c r="AG39" s="504"/>
      <c r="AH39" s="503"/>
      <c r="AI39" s="503"/>
      <c r="AJ39" s="457"/>
      <c r="AK39" s="521"/>
      <c r="AL39" s="524"/>
      <c r="AM39" s="503"/>
      <c r="AN39" s="457"/>
      <c r="AO39" s="521"/>
      <c r="AP39" s="524"/>
      <c r="AQ39" s="503"/>
      <c r="AR39" s="457"/>
      <c r="AS39" s="521"/>
      <c r="AT39" s="524"/>
      <c r="AU39" s="503"/>
      <c r="AV39" s="457"/>
      <c r="AW39" s="521"/>
      <c r="AX39" s="524"/>
      <c r="AY39" s="503"/>
      <c r="AZ39" s="457"/>
      <c r="BA39" s="521"/>
      <c r="BB39" s="524"/>
      <c r="BC39" s="503"/>
      <c r="BD39" s="457"/>
      <c r="BE39" s="521"/>
      <c r="BF39" s="524"/>
      <c r="BG39" s="503"/>
      <c r="BH39" s="457"/>
      <c r="BI39" s="521"/>
      <c r="BJ39" s="524"/>
      <c r="BK39" s="457"/>
      <c r="BL39" s="457"/>
      <c r="BM39" s="521"/>
      <c r="BN39" s="524"/>
      <c r="BO39" s="457"/>
      <c r="BP39" s="457"/>
      <c r="BQ39" s="521"/>
      <c r="BR39" s="524"/>
      <c r="BS39" s="457"/>
      <c r="BT39" s="457"/>
      <c r="BU39" s="521"/>
      <c r="BV39" s="524"/>
      <c r="BW39" s="457"/>
      <c r="BX39" s="457"/>
      <c r="BY39" s="521"/>
      <c r="BZ39" s="832"/>
      <c r="CA39" s="457"/>
      <c r="CB39" s="457"/>
      <c r="CC39" s="521"/>
      <c r="CD39" s="808"/>
      <c r="CE39" s="503"/>
      <c r="CF39" s="503"/>
      <c r="CG39" s="503"/>
      <c r="CH39" s="503"/>
      <c r="CI39" s="503"/>
      <c r="CJ39" s="503"/>
      <c r="CK39" s="654"/>
      <c r="CL39" s="503"/>
      <c r="CM39" s="503"/>
      <c r="CN39" s="503"/>
      <c r="CO39" s="457"/>
      <c r="CP39" s="457"/>
      <c r="CQ39" s="457"/>
      <c r="CR39" s="832"/>
      <c r="CS39" s="457"/>
      <c r="CT39" s="457"/>
      <c r="CU39" s="524"/>
      <c r="CV39" s="524"/>
      <c r="CW39" s="524"/>
      <c r="CX39" s="457"/>
      <c r="CY39" s="457"/>
      <c r="CZ39" s="457"/>
      <c r="DA39" s="457"/>
      <c r="DB39" s="457"/>
      <c r="DC39" s="457"/>
      <c r="DD39" s="521"/>
      <c r="DE39" s="460"/>
      <c r="DF39" s="460"/>
      <c r="DG39" s="28"/>
      <c r="DH39" s="28"/>
      <c r="DI39" s="654"/>
      <c r="DJ39" s="28"/>
      <c r="DK39" s="28"/>
      <c r="DL39" s="28"/>
      <c r="DM39" s="28"/>
      <c r="DN39" s="28"/>
      <c r="DO39" s="28"/>
      <c r="DP39" s="28"/>
      <c r="DQ39" s="28"/>
      <c r="DR39" s="28"/>
      <c r="DS39" s="28"/>
      <c r="DT39" s="28"/>
      <c r="DU39" s="28"/>
      <c r="DV39" s="28"/>
      <c r="DW39" s="28"/>
    </row>
    <row r="40" spans="1:138">
      <c r="A40" s="320"/>
      <c r="B40" s="208" t="s">
        <v>289</v>
      </c>
      <c r="C40" s="187"/>
      <c r="D40" s="187"/>
      <c r="E40" s="195"/>
      <c r="F40" s="44"/>
      <c r="G40" s="44"/>
      <c r="H40" s="44"/>
      <c r="I40" s="65"/>
      <c r="J40" s="40"/>
      <c r="K40" s="44"/>
      <c r="L40" s="44"/>
      <c r="M40" s="65"/>
      <c r="N40" s="44"/>
      <c r="O40" s="44"/>
      <c r="P40" s="44"/>
      <c r="Q40" s="65"/>
      <c r="R40" s="44"/>
      <c r="S40" s="44"/>
      <c r="T40" s="44"/>
      <c r="U40" s="65"/>
      <c r="V40" s="44"/>
      <c r="W40" s="44"/>
      <c r="X40" s="44"/>
      <c r="Y40" s="65"/>
      <c r="Z40" s="44"/>
      <c r="AA40" s="44"/>
      <c r="AB40" s="44"/>
      <c r="AC40" s="65"/>
      <c r="AD40" s="44"/>
      <c r="AE40" s="44"/>
      <c r="AF40" s="44"/>
      <c r="AG40" s="65"/>
      <c r="AH40" s="44"/>
      <c r="AI40" s="44"/>
      <c r="AJ40" s="457"/>
      <c r="AK40" s="521"/>
      <c r="AL40" s="524"/>
      <c r="AM40" s="44"/>
      <c r="AN40" s="457"/>
      <c r="AO40" s="521"/>
      <c r="AP40" s="524"/>
      <c r="AQ40" s="44"/>
      <c r="AR40" s="457"/>
      <c r="AS40" s="521"/>
      <c r="AT40" s="524"/>
      <c r="AU40" s="44"/>
      <c r="AV40" s="457"/>
      <c r="AW40" s="521"/>
      <c r="AX40" s="524"/>
      <c r="AY40" s="44"/>
      <c r="AZ40" s="457"/>
      <c r="BA40" s="521"/>
      <c r="BB40" s="524"/>
      <c r="BC40" s="44"/>
      <c r="BD40" s="457"/>
      <c r="BE40" s="521"/>
      <c r="BF40" s="524"/>
      <c r="BG40" s="44"/>
      <c r="BH40" s="457"/>
      <c r="BI40" s="521"/>
      <c r="BJ40" s="524"/>
      <c r="BK40" s="457"/>
      <c r="BL40" s="457"/>
      <c r="BM40" s="521"/>
      <c r="BN40" s="524"/>
      <c r="BO40" s="457"/>
      <c r="BP40" s="457"/>
      <c r="BQ40" s="521"/>
      <c r="BR40" s="524"/>
      <c r="BS40" s="457"/>
      <c r="BT40" s="457"/>
      <c r="BU40" s="521"/>
      <c r="BV40" s="524"/>
      <c r="BW40" s="457"/>
      <c r="BX40" s="457"/>
      <c r="BY40" s="521"/>
      <c r="BZ40" s="832"/>
      <c r="CA40" s="457"/>
      <c r="CB40" s="457"/>
      <c r="CC40" s="521"/>
      <c r="CD40" s="806"/>
      <c r="CE40" s="44"/>
      <c r="CF40" s="44"/>
      <c r="CG40" s="44"/>
      <c r="CH40" s="44"/>
      <c r="CI40" s="652"/>
      <c r="CJ40" s="44"/>
      <c r="CK40" s="39"/>
      <c r="CL40" s="44"/>
      <c r="CM40" s="44"/>
      <c r="CN40" s="44"/>
      <c r="CO40" s="457"/>
      <c r="CP40" s="457"/>
      <c r="CQ40" s="457"/>
      <c r="CR40" s="832"/>
      <c r="CS40" s="457"/>
      <c r="CT40" s="457"/>
      <c r="CU40" s="524"/>
      <c r="CV40" s="524"/>
      <c r="CW40" s="457"/>
      <c r="CX40" s="457"/>
      <c r="CY40" s="457"/>
      <c r="CZ40" s="457"/>
      <c r="DA40" s="457"/>
      <c r="DB40" s="457"/>
      <c r="DC40" s="457"/>
      <c r="DD40" s="521"/>
      <c r="DE40" s="460"/>
      <c r="DF40" s="460"/>
      <c r="DG40" s="29"/>
      <c r="DH40" s="29"/>
      <c r="DI40" s="39"/>
      <c r="DJ40" s="29"/>
      <c r="DK40" s="29"/>
      <c r="DL40" s="29"/>
      <c r="DM40" s="29"/>
      <c r="DN40" s="29"/>
      <c r="DO40" s="29"/>
      <c r="DP40" s="29"/>
      <c r="DQ40" s="29"/>
      <c r="DR40" s="29"/>
      <c r="DS40" s="29"/>
      <c r="DT40" s="29"/>
      <c r="DU40" s="29"/>
      <c r="DV40" s="29"/>
      <c r="DW40" s="29"/>
    </row>
    <row r="41" spans="1:138">
      <c r="A41" s="320"/>
      <c r="B41" s="208"/>
      <c r="C41" s="51" t="s">
        <v>793</v>
      </c>
      <c r="D41" s="196"/>
      <c r="E41" s="197"/>
      <c r="F41" s="138">
        <f>F88</f>
        <v>0</v>
      </c>
      <c r="G41" s="138">
        <f>G88-F88</f>
        <v>0</v>
      </c>
      <c r="H41" s="138">
        <f>H88-G88</f>
        <v>0</v>
      </c>
      <c r="I41" s="164">
        <f>I88-H88</f>
        <v>0</v>
      </c>
      <c r="J41" s="138">
        <f>J88</f>
        <v>0</v>
      </c>
      <c r="K41" s="138">
        <f>K88-J88</f>
        <v>-6.2629999999999999</v>
      </c>
      <c r="L41" s="138">
        <f>L88-K88</f>
        <v>-6.9540000000000006</v>
      </c>
      <c r="M41" s="164">
        <f>M88-L88</f>
        <v>-4.395999999999999</v>
      </c>
      <c r="N41" s="138">
        <f>N88</f>
        <v>0</v>
      </c>
      <c r="O41" s="138">
        <f>O88-N88</f>
        <v>0</v>
      </c>
      <c r="P41" s="138">
        <f>P88-O88</f>
        <v>0</v>
      </c>
      <c r="Q41" s="164">
        <f>Q88-P88</f>
        <v>0</v>
      </c>
      <c r="R41" s="138">
        <f>R88</f>
        <v>13.8</v>
      </c>
      <c r="S41" s="138">
        <f>S88-R88</f>
        <v>0</v>
      </c>
      <c r="T41" s="138">
        <f>T88-S88</f>
        <v>0</v>
      </c>
      <c r="U41" s="164">
        <f>U88-T88</f>
        <v>0</v>
      </c>
      <c r="V41" s="138">
        <f t="shared" ref="V41:V46" si="161">V88</f>
        <v>-4.7</v>
      </c>
      <c r="W41" s="138">
        <f t="shared" ref="W41:Y43" si="162">W88-V88</f>
        <v>-4.9999999999999991</v>
      </c>
      <c r="X41" s="138">
        <f t="shared" si="162"/>
        <v>-4.9000000000000004</v>
      </c>
      <c r="Y41" s="164">
        <f t="shared" si="162"/>
        <v>-4.9000000000000004</v>
      </c>
      <c r="Z41" s="138">
        <f t="shared" ref="Z41:Z46" si="163">Z88</f>
        <v>-5</v>
      </c>
      <c r="AA41" s="138">
        <f t="shared" ref="AA41:AC42" si="164">AA88-Z88</f>
        <v>-5.6</v>
      </c>
      <c r="AB41" s="138">
        <f t="shared" si="164"/>
        <v>-6.5000000000000018</v>
      </c>
      <c r="AC41" s="164">
        <f t="shared" si="164"/>
        <v>-6.2999999999999972</v>
      </c>
      <c r="AD41" s="138">
        <f t="shared" ref="AD41:AD46" si="165">AD88</f>
        <v>0</v>
      </c>
      <c r="AE41" s="138">
        <f t="shared" ref="AE41:AG46" si="166">AE88-AD88</f>
        <v>0</v>
      </c>
      <c r="AF41" s="138">
        <f t="shared" si="166"/>
        <v>0</v>
      </c>
      <c r="AG41" s="164">
        <f t="shared" si="166"/>
        <v>0</v>
      </c>
      <c r="AH41" s="138">
        <f t="shared" ref="AH41:AH46" si="167">AH88</f>
        <v>0</v>
      </c>
      <c r="AI41" s="138">
        <f t="shared" ref="AI41:AI46" si="168">AI88-AH41</f>
        <v>0</v>
      </c>
      <c r="AJ41" s="138">
        <f t="shared" ref="AJ41:AK46" si="169">AJ88-AI88</f>
        <v>0</v>
      </c>
      <c r="AK41" s="164">
        <f t="shared" si="169"/>
        <v>0</v>
      </c>
      <c r="AL41" s="374">
        <f t="shared" ref="AL41:AL46" si="170">AL88</f>
        <v>0</v>
      </c>
      <c r="AM41" s="138">
        <f t="shared" ref="AM41:AM46" si="171">AM88-AL41</f>
        <v>0</v>
      </c>
      <c r="AN41" s="138">
        <f t="shared" ref="AN41:AO46" si="172">AN88-AM88</f>
        <v>0</v>
      </c>
      <c r="AO41" s="164">
        <f t="shared" si="172"/>
        <v>0</v>
      </c>
      <c r="AP41" s="374">
        <f t="shared" ref="AP41:AP46" si="173">AP88</f>
        <v>0</v>
      </c>
      <c r="AQ41" s="138">
        <f t="shared" ref="AQ41:AQ46" si="174">AQ88-AP41</f>
        <v>0</v>
      </c>
      <c r="AR41" s="138">
        <f t="shared" ref="AR41:AS46" si="175">AR88-AQ88</f>
        <v>0</v>
      </c>
      <c r="AS41" s="164">
        <f t="shared" si="175"/>
        <v>0</v>
      </c>
      <c r="AT41" s="374">
        <f t="shared" ref="AT41:AT46" si="176">AT88</f>
        <v>0</v>
      </c>
      <c r="AU41" s="138">
        <f t="shared" ref="AU41:AU46" si="177">AU88-AT41</f>
        <v>0</v>
      </c>
      <c r="AV41" s="138">
        <f t="shared" ref="AV41:AW46" si="178">AV88-AU88</f>
        <v>0</v>
      </c>
      <c r="AW41" s="164">
        <f t="shared" si="178"/>
        <v>0</v>
      </c>
      <c r="AX41" s="374">
        <f t="shared" ref="AX41:AX46" si="179">AX88</f>
        <v>0</v>
      </c>
      <c r="AY41" s="138">
        <f t="shared" ref="AY41:AY46" si="180">AY88-AX41</f>
        <v>0</v>
      </c>
      <c r="AZ41" s="138">
        <f t="shared" ref="AZ41:BA46" si="181">AZ88-AY88</f>
        <v>2775</v>
      </c>
      <c r="BA41" s="164">
        <f t="shared" si="181"/>
        <v>0</v>
      </c>
      <c r="BB41" s="374">
        <f t="shared" ref="BB41:BB48" si="182">BB88</f>
        <v>0</v>
      </c>
      <c r="BC41" s="138">
        <f t="shared" ref="BC41:BC48" si="183">BC88-BB41</f>
        <v>0</v>
      </c>
      <c r="BD41" s="138">
        <f t="shared" ref="BD41:BE47" si="184">BD88-BC88</f>
        <v>0</v>
      </c>
      <c r="BE41" s="164">
        <f t="shared" si="184"/>
        <v>0</v>
      </c>
      <c r="BF41" s="374">
        <f t="shared" ref="BF41:BF48" si="185">BF88</f>
        <v>0</v>
      </c>
      <c r="BG41" s="138">
        <f t="shared" ref="BG41:BG48" si="186">BG88-BF41</f>
        <v>0</v>
      </c>
      <c r="BH41" s="138">
        <f t="shared" ref="BH41:BI50" si="187">BH88-BG88</f>
        <v>2992</v>
      </c>
      <c r="BI41" s="164">
        <f t="shared" si="187"/>
        <v>0</v>
      </c>
      <c r="BJ41" s="374">
        <f t="shared" ref="BJ41:BJ48" si="188">BJ88</f>
        <v>0</v>
      </c>
      <c r="BK41" s="138">
        <f t="shared" ref="BK41:BK48" si="189">BK88-BJ41</f>
        <v>0</v>
      </c>
      <c r="BL41" s="138">
        <f t="shared" ref="BL41:BM50" si="190">BL88-BK88</f>
        <v>0</v>
      </c>
      <c r="BM41" s="164">
        <f t="shared" si="190"/>
        <v>255</v>
      </c>
      <c r="BN41" s="374">
        <f t="shared" ref="BN41:BN48" si="191">BN88</f>
        <v>0</v>
      </c>
      <c r="BO41" s="138">
        <f t="shared" ref="BO41:BO48" si="192">BO88-BN41</f>
        <v>0</v>
      </c>
      <c r="BP41" s="138">
        <f t="shared" ref="BP41:BQ50" si="193">BP88-BO88</f>
        <v>0</v>
      </c>
      <c r="BQ41" s="164">
        <f t="shared" si="193"/>
        <v>16709</v>
      </c>
      <c r="BR41" s="374">
        <f t="shared" ref="BR41:BR50" si="194">BR88</f>
        <v>3985</v>
      </c>
      <c r="BS41" s="138">
        <f t="shared" ref="BS41:BS48" si="195">BS88-BR41</f>
        <v>0</v>
      </c>
      <c r="BT41" s="138">
        <f t="shared" ref="BT41:BU50" si="196">BT88-BS88</f>
        <v>3913</v>
      </c>
      <c r="BU41" s="164">
        <f t="shared" si="196"/>
        <v>0</v>
      </c>
      <c r="BV41" s="374">
        <f t="shared" ref="BV41:BV48" si="197">BV88</f>
        <v>0</v>
      </c>
      <c r="BW41" s="138">
        <f t="shared" ref="BW41:BW48" si="198">BW88-BV41</f>
        <v>0</v>
      </c>
      <c r="BX41" s="459">
        <v>0</v>
      </c>
      <c r="BY41" s="522">
        <v>0</v>
      </c>
      <c r="BZ41" s="619">
        <v>0</v>
      </c>
      <c r="CA41" s="459">
        <v>0</v>
      </c>
      <c r="CB41" s="459">
        <v>0</v>
      </c>
      <c r="CC41" s="522">
        <v>0</v>
      </c>
      <c r="CD41" s="806"/>
      <c r="CE41" s="848">
        <f t="shared" ref="CE41:CF44" si="199">CE88</f>
        <v>0</v>
      </c>
      <c r="CF41" s="848">
        <f t="shared" si="199"/>
        <v>-17.613</v>
      </c>
      <c r="CG41" s="136">
        <f t="shared" ref="CG41:CG46" si="200">SUM(N41:Q41)</f>
        <v>0</v>
      </c>
      <c r="CH41" s="136">
        <f t="shared" ref="CH41:CH46" si="201">SUM(R41:U41)</f>
        <v>13.8</v>
      </c>
      <c r="CI41" s="136">
        <f t="shared" ref="CI41:CI46" si="202">SUM(V41:Y41)</f>
        <v>-19.5</v>
      </c>
      <c r="CJ41" s="53">
        <f t="shared" ref="CJ41:CJ46" si="203">SUM(Z41:AC41)</f>
        <v>-23.4</v>
      </c>
      <c r="CK41" s="53">
        <f t="shared" ref="CK41:CK46" si="204">SUM(AD41:AG41)</f>
        <v>0</v>
      </c>
      <c r="CL41" s="136">
        <f t="shared" ref="CL41:CL46" si="205">SUM(AH41:AK41)</f>
        <v>0</v>
      </c>
      <c r="CM41" s="136">
        <f t="shared" ref="CM41:CM46" si="206">SUM(AL41:AO41)</f>
        <v>0</v>
      </c>
      <c r="CN41" s="136">
        <f t="shared" ref="CN41:CN46" si="207">SUM(AP41:AS41)</f>
        <v>0</v>
      </c>
      <c r="CO41" s="374">
        <f t="shared" ref="CO41:CO46" si="208">SUM(AT41:AW41)</f>
        <v>0</v>
      </c>
      <c r="CP41" s="374">
        <f t="shared" ref="CP41:CP48" si="209">SUM(AX41:BA41)</f>
        <v>2775</v>
      </c>
      <c r="CQ41" s="374">
        <f t="shared" ref="CQ41:CQ48" si="210">SUM(BB41:BE41)</f>
        <v>0</v>
      </c>
      <c r="CR41" s="498">
        <f t="shared" ref="CR41:CR48" si="211">SUM(BF41:BI41)</f>
        <v>2992</v>
      </c>
      <c r="CS41" s="374">
        <f t="shared" ref="CS41:CS48" si="212">SUM(BJ41:BM41)</f>
        <v>255</v>
      </c>
      <c r="CT41" s="136">
        <f t="shared" ref="CT41:CT48" si="213">SUM(BN41:BQ41)</f>
        <v>16709</v>
      </c>
      <c r="CU41" s="374">
        <f t="shared" ref="CU41:CU48" si="214">SUM(BR41:BU41)</f>
        <v>7898</v>
      </c>
      <c r="CV41" s="374">
        <f>SUM(BV41:BY41)</f>
        <v>0</v>
      </c>
      <c r="CW41" s="374">
        <f t="shared" ref="CW41:CW50" si="215">SUM(BZ41:CC41)</f>
        <v>0</v>
      </c>
      <c r="CX41" s="459">
        <v>0</v>
      </c>
      <c r="CY41" s="459">
        <v>0</v>
      </c>
      <c r="CZ41" s="459">
        <v>0</v>
      </c>
      <c r="DA41" s="459">
        <v>0</v>
      </c>
      <c r="DB41" s="459">
        <v>0</v>
      </c>
      <c r="DC41" s="459">
        <v>0</v>
      </c>
      <c r="DD41" s="522"/>
      <c r="DE41" s="460"/>
      <c r="DF41" s="460"/>
      <c r="DG41" s="29"/>
      <c r="DH41" s="29"/>
      <c r="DI41" s="39"/>
      <c r="DJ41" s="39"/>
      <c r="DK41" s="39"/>
      <c r="DL41" s="39"/>
      <c r="DM41" s="91"/>
      <c r="DN41" s="29"/>
      <c r="DO41" s="29"/>
      <c r="DP41" s="29"/>
      <c r="DQ41" s="29"/>
      <c r="DR41" s="29"/>
      <c r="DS41" s="29"/>
      <c r="DT41" s="29"/>
      <c r="DU41" s="29"/>
      <c r="DV41" s="29"/>
      <c r="DW41" s="29"/>
      <c r="EH41" s="1330"/>
    </row>
    <row r="42" spans="1:138">
      <c r="A42" s="320"/>
      <c r="B42" s="208"/>
      <c r="C42" s="52" t="s">
        <v>377</v>
      </c>
      <c r="D42" s="196"/>
      <c r="E42" s="197"/>
      <c r="F42" s="138"/>
      <c r="G42" s="138"/>
      <c r="H42" s="138"/>
      <c r="I42" s="164"/>
      <c r="J42" s="138"/>
      <c r="K42" s="138"/>
      <c r="L42" s="138"/>
      <c r="M42" s="164"/>
      <c r="N42" s="138"/>
      <c r="O42" s="138"/>
      <c r="P42" s="138"/>
      <c r="Q42" s="164"/>
      <c r="R42" s="138"/>
      <c r="S42" s="138"/>
      <c r="T42" s="138"/>
      <c r="U42" s="164"/>
      <c r="V42" s="138">
        <f t="shared" si="161"/>
        <v>0</v>
      </c>
      <c r="W42" s="138">
        <f t="shared" si="162"/>
        <v>0</v>
      </c>
      <c r="X42" s="138">
        <f t="shared" si="162"/>
        <v>0</v>
      </c>
      <c r="Y42" s="164">
        <f t="shared" si="162"/>
        <v>0</v>
      </c>
      <c r="Z42" s="138">
        <f t="shared" si="163"/>
        <v>0</v>
      </c>
      <c r="AA42" s="138">
        <f t="shared" si="164"/>
        <v>0</v>
      </c>
      <c r="AB42" s="138">
        <f t="shared" si="164"/>
        <v>0</v>
      </c>
      <c r="AC42" s="164">
        <f t="shared" si="164"/>
        <v>0</v>
      </c>
      <c r="AD42" s="138">
        <f t="shared" si="165"/>
        <v>0</v>
      </c>
      <c r="AE42" s="138">
        <f t="shared" si="166"/>
        <v>0</v>
      </c>
      <c r="AF42" s="138">
        <f t="shared" si="166"/>
        <v>0</v>
      </c>
      <c r="AG42" s="164">
        <f t="shared" si="166"/>
        <v>0</v>
      </c>
      <c r="AH42" s="138">
        <f t="shared" si="167"/>
        <v>750</v>
      </c>
      <c r="AI42" s="138">
        <f t="shared" si="168"/>
        <v>10</v>
      </c>
      <c r="AJ42" s="138">
        <f t="shared" si="169"/>
        <v>750</v>
      </c>
      <c r="AK42" s="164">
        <f t="shared" si="169"/>
        <v>0</v>
      </c>
      <c r="AL42" s="374">
        <f t="shared" si="170"/>
        <v>0</v>
      </c>
      <c r="AM42" s="138">
        <f t="shared" si="171"/>
        <v>0</v>
      </c>
      <c r="AN42" s="138">
        <f t="shared" si="172"/>
        <v>0</v>
      </c>
      <c r="AO42" s="164">
        <f t="shared" si="172"/>
        <v>0</v>
      </c>
      <c r="AP42" s="374">
        <f t="shared" si="173"/>
        <v>0</v>
      </c>
      <c r="AQ42" s="138">
        <f t="shared" si="174"/>
        <v>0</v>
      </c>
      <c r="AR42" s="138">
        <f t="shared" si="175"/>
        <v>0</v>
      </c>
      <c r="AS42" s="164">
        <f t="shared" si="175"/>
        <v>0</v>
      </c>
      <c r="AT42" s="374">
        <f t="shared" si="176"/>
        <v>0</v>
      </c>
      <c r="AU42" s="138">
        <f t="shared" si="177"/>
        <v>0</v>
      </c>
      <c r="AV42" s="138">
        <f t="shared" si="178"/>
        <v>0</v>
      </c>
      <c r="AW42" s="164">
        <f t="shared" si="178"/>
        <v>0</v>
      </c>
      <c r="AX42" s="374">
        <f t="shared" si="179"/>
        <v>0</v>
      </c>
      <c r="AY42" s="138">
        <f t="shared" si="180"/>
        <v>0</v>
      </c>
      <c r="AZ42" s="138">
        <f t="shared" si="181"/>
        <v>0</v>
      </c>
      <c r="BA42" s="164">
        <f t="shared" si="181"/>
        <v>0</v>
      </c>
      <c r="BB42" s="374">
        <f t="shared" si="182"/>
        <v>0</v>
      </c>
      <c r="BC42" s="138">
        <f t="shared" si="183"/>
        <v>0</v>
      </c>
      <c r="BD42" s="138">
        <f t="shared" si="184"/>
        <v>0</v>
      </c>
      <c r="BE42" s="164">
        <f t="shared" si="184"/>
        <v>0</v>
      </c>
      <c r="BF42" s="374">
        <f t="shared" si="185"/>
        <v>500</v>
      </c>
      <c r="BG42" s="138">
        <f t="shared" si="186"/>
        <v>0</v>
      </c>
      <c r="BH42" s="138">
        <f t="shared" si="187"/>
        <v>-500</v>
      </c>
      <c r="BI42" s="164">
        <f t="shared" si="187"/>
        <v>0</v>
      </c>
      <c r="BJ42" s="374">
        <f t="shared" si="188"/>
        <v>0</v>
      </c>
      <c r="BK42" s="138">
        <f t="shared" si="189"/>
        <v>0</v>
      </c>
      <c r="BL42" s="138">
        <f t="shared" si="190"/>
        <v>0</v>
      </c>
      <c r="BM42" s="164">
        <f t="shared" si="190"/>
        <v>0</v>
      </c>
      <c r="BN42" s="374">
        <f t="shared" si="191"/>
        <v>0</v>
      </c>
      <c r="BO42" s="138">
        <f t="shared" si="192"/>
        <v>0</v>
      </c>
      <c r="BP42" s="138">
        <f t="shared" si="193"/>
        <v>0</v>
      </c>
      <c r="BQ42" s="164">
        <f t="shared" si="193"/>
        <v>0</v>
      </c>
      <c r="BR42" s="374">
        <f t="shared" si="194"/>
        <v>0</v>
      </c>
      <c r="BS42" s="138">
        <f t="shared" si="195"/>
        <v>0</v>
      </c>
      <c r="BT42" s="138">
        <f t="shared" si="196"/>
        <v>0</v>
      </c>
      <c r="BU42" s="164">
        <f t="shared" si="196"/>
        <v>0</v>
      </c>
      <c r="BV42" s="374">
        <f t="shared" si="197"/>
        <v>0</v>
      </c>
      <c r="BW42" s="138">
        <f t="shared" si="198"/>
        <v>0</v>
      </c>
      <c r="BX42" s="459">
        <v>0</v>
      </c>
      <c r="BY42" s="522">
        <v>0</v>
      </c>
      <c r="BZ42" s="619">
        <v>0</v>
      </c>
      <c r="CA42" s="459">
        <v>0</v>
      </c>
      <c r="CB42" s="459">
        <v>0</v>
      </c>
      <c r="CC42" s="522">
        <v>0</v>
      </c>
      <c r="CD42" s="806"/>
      <c r="CE42" s="848">
        <f t="shared" si="199"/>
        <v>0</v>
      </c>
      <c r="CF42" s="848">
        <f t="shared" si="199"/>
        <v>0</v>
      </c>
      <c r="CG42" s="136">
        <f t="shared" si="200"/>
        <v>0</v>
      </c>
      <c r="CH42" s="136">
        <f t="shared" si="201"/>
        <v>0</v>
      </c>
      <c r="CI42" s="136">
        <f t="shared" si="202"/>
        <v>0</v>
      </c>
      <c r="CJ42" s="53">
        <f t="shared" si="203"/>
        <v>0</v>
      </c>
      <c r="CK42" s="53">
        <f t="shared" si="204"/>
        <v>0</v>
      </c>
      <c r="CL42" s="136">
        <f t="shared" si="205"/>
        <v>1510</v>
      </c>
      <c r="CM42" s="136">
        <f t="shared" si="206"/>
        <v>0</v>
      </c>
      <c r="CN42" s="136">
        <f t="shared" si="207"/>
        <v>0</v>
      </c>
      <c r="CO42" s="374">
        <f t="shared" si="208"/>
        <v>0</v>
      </c>
      <c r="CP42" s="374">
        <f t="shared" si="209"/>
        <v>0</v>
      </c>
      <c r="CQ42" s="374">
        <f t="shared" si="210"/>
        <v>0</v>
      </c>
      <c r="CR42" s="498">
        <f t="shared" si="211"/>
        <v>0</v>
      </c>
      <c r="CS42" s="374">
        <f t="shared" si="212"/>
        <v>0</v>
      </c>
      <c r="CT42" s="136">
        <f t="shared" si="213"/>
        <v>0</v>
      </c>
      <c r="CU42" s="374">
        <f t="shared" si="214"/>
        <v>0</v>
      </c>
      <c r="CV42" s="374">
        <f t="shared" ref="CV42:CV48" si="216">SUM(BV42:BY42)</f>
        <v>0</v>
      </c>
      <c r="CW42" s="374">
        <f t="shared" si="215"/>
        <v>0</v>
      </c>
      <c r="CX42" s="459">
        <v>0</v>
      </c>
      <c r="CY42" s="459">
        <v>0</v>
      </c>
      <c r="CZ42" s="459">
        <v>0</v>
      </c>
      <c r="DA42" s="459">
        <v>0</v>
      </c>
      <c r="DB42" s="459">
        <v>0</v>
      </c>
      <c r="DC42" s="459">
        <v>0</v>
      </c>
      <c r="DD42" s="522"/>
      <c r="DE42" s="460"/>
      <c r="DF42" s="460"/>
      <c r="DG42" s="29"/>
      <c r="DH42" s="29"/>
      <c r="DI42" s="39"/>
      <c r="DJ42" s="39"/>
      <c r="DK42" s="39"/>
      <c r="DL42" s="39"/>
      <c r="DM42" s="91"/>
      <c r="DN42" s="29"/>
      <c r="DO42" s="29"/>
      <c r="DP42" s="29"/>
      <c r="DQ42" s="29"/>
      <c r="DR42" s="29"/>
      <c r="DS42" s="29"/>
      <c r="DT42" s="29"/>
      <c r="DU42" s="29"/>
      <c r="DV42" s="29"/>
      <c r="DW42" s="29"/>
      <c r="EH42" s="1330"/>
    </row>
    <row r="43" spans="1:138">
      <c r="A43" s="320"/>
      <c r="B43" s="270"/>
      <c r="C43" s="52" t="s">
        <v>365</v>
      </c>
      <c r="D43" s="196"/>
      <c r="E43" s="265"/>
      <c r="F43" s="138">
        <f>F90</f>
        <v>42.081000000000003</v>
      </c>
      <c r="G43" s="138">
        <f>G90-F90</f>
        <v>30.593000000000004</v>
      </c>
      <c r="H43" s="138">
        <f>H90-G90</f>
        <v>0</v>
      </c>
      <c r="I43" s="164">
        <f>I90-H90</f>
        <v>37.799999999999997</v>
      </c>
      <c r="J43" s="138">
        <f>J90</f>
        <v>0</v>
      </c>
      <c r="K43" s="138">
        <f>K90-J90</f>
        <v>0</v>
      </c>
      <c r="L43" s="138">
        <f>L90-K90</f>
        <v>0</v>
      </c>
      <c r="M43" s="164">
        <f>M90-L90</f>
        <v>0</v>
      </c>
      <c r="N43" s="138">
        <f>N90</f>
        <v>3.367</v>
      </c>
      <c r="O43" s="138">
        <f>O90-N90</f>
        <v>6.6680000000000001</v>
      </c>
      <c r="P43" s="138">
        <f>P90-O90</f>
        <v>10.931000000000001</v>
      </c>
      <c r="Q43" s="164">
        <f>Q90-P90</f>
        <v>23.333999999999996</v>
      </c>
      <c r="R43" s="138">
        <f>R90</f>
        <v>11.5</v>
      </c>
      <c r="S43" s="138">
        <f>S90-R90</f>
        <v>3.5</v>
      </c>
      <c r="T43" s="138">
        <f>T90-S90</f>
        <v>6.1999999999999993</v>
      </c>
      <c r="U43" s="164">
        <f>U90-T90</f>
        <v>2.6999999999999993</v>
      </c>
      <c r="V43" s="138">
        <f t="shared" si="161"/>
        <v>4.7</v>
      </c>
      <c r="W43" s="138">
        <f t="shared" si="162"/>
        <v>12.400000000000002</v>
      </c>
      <c r="X43" s="138">
        <f t="shared" si="162"/>
        <v>22.699999999999996</v>
      </c>
      <c r="Y43" s="164">
        <f t="shared" si="162"/>
        <v>18</v>
      </c>
      <c r="Z43" s="138">
        <f t="shared" si="163"/>
        <v>12.6</v>
      </c>
      <c r="AA43" s="138">
        <f t="shared" ref="AA43:AC44" si="217">AA90-Z90</f>
        <v>16.600000000000001</v>
      </c>
      <c r="AB43" s="138">
        <f t="shared" si="217"/>
        <v>38.299999999999997</v>
      </c>
      <c r="AC43" s="164">
        <f t="shared" si="217"/>
        <v>10.099999999999994</v>
      </c>
      <c r="AD43" s="138">
        <f t="shared" si="165"/>
        <v>2</v>
      </c>
      <c r="AE43" s="138">
        <f t="shared" si="166"/>
        <v>14</v>
      </c>
      <c r="AF43" s="138">
        <f t="shared" si="166"/>
        <v>1</v>
      </c>
      <c r="AG43" s="164">
        <f t="shared" si="166"/>
        <v>13</v>
      </c>
      <c r="AH43" s="138">
        <f t="shared" si="167"/>
        <v>10</v>
      </c>
      <c r="AI43" s="138">
        <f t="shared" si="168"/>
        <v>22</v>
      </c>
      <c r="AJ43" s="138">
        <f t="shared" si="169"/>
        <v>6</v>
      </c>
      <c r="AK43" s="164">
        <f t="shared" si="169"/>
        <v>22</v>
      </c>
      <c r="AL43" s="374">
        <f t="shared" si="170"/>
        <v>-1</v>
      </c>
      <c r="AM43" s="138">
        <f t="shared" si="171"/>
        <v>10</v>
      </c>
      <c r="AN43" s="138">
        <f t="shared" si="172"/>
        <v>-1</v>
      </c>
      <c r="AO43" s="164">
        <f t="shared" si="172"/>
        <v>15</v>
      </c>
      <c r="AP43" s="374">
        <f t="shared" si="173"/>
        <v>14</v>
      </c>
      <c r="AQ43" s="138">
        <f t="shared" si="174"/>
        <v>26</v>
      </c>
      <c r="AR43" s="138">
        <f t="shared" si="175"/>
        <v>-2</v>
      </c>
      <c r="AS43" s="164">
        <f t="shared" si="175"/>
        <v>24</v>
      </c>
      <c r="AT43" s="374">
        <f t="shared" si="176"/>
        <v>-2</v>
      </c>
      <c r="AU43" s="138">
        <f t="shared" si="177"/>
        <v>2</v>
      </c>
      <c r="AV43" s="138">
        <f t="shared" si="178"/>
        <v>0</v>
      </c>
      <c r="AW43" s="164">
        <f t="shared" si="178"/>
        <v>0</v>
      </c>
      <c r="AX43" s="374">
        <f t="shared" si="179"/>
        <v>-2</v>
      </c>
      <c r="AY43" s="138">
        <f t="shared" si="180"/>
        <v>22</v>
      </c>
      <c r="AZ43" s="138">
        <f t="shared" si="181"/>
        <v>29</v>
      </c>
      <c r="BA43" s="164">
        <f t="shared" si="181"/>
        <v>-49</v>
      </c>
      <c r="BB43" s="374">
        <f t="shared" si="182"/>
        <v>60</v>
      </c>
      <c r="BC43" s="138">
        <f t="shared" si="183"/>
        <v>53</v>
      </c>
      <c r="BD43" s="138">
        <f t="shared" si="184"/>
        <v>39</v>
      </c>
      <c r="BE43" s="164">
        <f t="shared" si="184"/>
        <v>53</v>
      </c>
      <c r="BF43" s="374">
        <f t="shared" si="185"/>
        <v>7</v>
      </c>
      <c r="BG43" s="138">
        <f>BG90-BF43</f>
        <v>91</v>
      </c>
      <c r="BH43" s="138">
        <f t="shared" si="187"/>
        <v>41</v>
      </c>
      <c r="BI43" s="164">
        <f t="shared" si="187"/>
        <v>76</v>
      </c>
      <c r="BJ43" s="374">
        <f t="shared" si="188"/>
        <v>0</v>
      </c>
      <c r="BK43" s="138">
        <f>BK90-BJ43</f>
        <v>64</v>
      </c>
      <c r="BL43" s="138">
        <f t="shared" si="190"/>
        <v>48</v>
      </c>
      <c r="BM43" s="164">
        <f t="shared" si="190"/>
        <v>55</v>
      </c>
      <c r="BN43" s="374">
        <f t="shared" si="191"/>
        <v>0</v>
      </c>
      <c r="BO43" s="138">
        <f>BO90-BN43</f>
        <v>4</v>
      </c>
      <c r="BP43" s="138">
        <f t="shared" si="193"/>
        <v>13</v>
      </c>
      <c r="BQ43" s="164">
        <f t="shared" si="193"/>
        <v>57</v>
      </c>
      <c r="BR43" s="374">
        <f t="shared" si="194"/>
        <v>26</v>
      </c>
      <c r="BS43" s="138">
        <f>BS90-BR43</f>
        <v>80</v>
      </c>
      <c r="BT43" s="138">
        <f t="shared" si="196"/>
        <v>-4</v>
      </c>
      <c r="BU43" s="164">
        <f t="shared" si="196"/>
        <v>128</v>
      </c>
      <c r="BV43" s="374">
        <f>BV90</f>
        <v>-41</v>
      </c>
      <c r="BW43" s="138">
        <f>BW90-BV43</f>
        <v>73</v>
      </c>
      <c r="BX43" s="459">
        <v>0</v>
      </c>
      <c r="BY43" s="522">
        <v>0</v>
      </c>
      <c r="BZ43" s="619">
        <v>0</v>
      </c>
      <c r="CA43" s="459">
        <v>0</v>
      </c>
      <c r="CB43" s="459">
        <v>0</v>
      </c>
      <c r="CC43" s="522">
        <v>0</v>
      </c>
      <c r="CD43" s="806"/>
      <c r="CE43" s="848">
        <f t="shared" si="199"/>
        <v>110.474</v>
      </c>
      <c r="CF43" s="848">
        <f t="shared" si="199"/>
        <v>0</v>
      </c>
      <c r="CG43" s="136">
        <f t="shared" si="200"/>
        <v>44.3</v>
      </c>
      <c r="CH43" s="136">
        <f t="shared" si="201"/>
        <v>23.9</v>
      </c>
      <c r="CI43" s="136">
        <f t="shared" si="202"/>
        <v>57.8</v>
      </c>
      <c r="CJ43" s="53">
        <f t="shared" si="203"/>
        <v>77.599999999999994</v>
      </c>
      <c r="CK43" s="53">
        <f t="shared" si="204"/>
        <v>30</v>
      </c>
      <c r="CL43" s="136">
        <f t="shared" si="205"/>
        <v>60</v>
      </c>
      <c r="CM43" s="136">
        <f t="shared" si="206"/>
        <v>23</v>
      </c>
      <c r="CN43" s="136">
        <f t="shared" si="207"/>
        <v>62</v>
      </c>
      <c r="CO43" s="374">
        <f t="shared" si="208"/>
        <v>0</v>
      </c>
      <c r="CP43" s="374">
        <f t="shared" si="209"/>
        <v>0</v>
      </c>
      <c r="CQ43" s="374">
        <f t="shared" si="210"/>
        <v>205</v>
      </c>
      <c r="CR43" s="498">
        <f t="shared" si="211"/>
        <v>215</v>
      </c>
      <c r="CS43" s="374">
        <f t="shared" si="212"/>
        <v>167</v>
      </c>
      <c r="CT43" s="136">
        <f t="shared" si="213"/>
        <v>74</v>
      </c>
      <c r="CU43" s="374">
        <f t="shared" si="214"/>
        <v>230</v>
      </c>
      <c r="CV43" s="374">
        <f t="shared" si="216"/>
        <v>32</v>
      </c>
      <c r="CW43" s="374">
        <f t="shared" si="215"/>
        <v>0</v>
      </c>
      <c r="CX43" s="459">
        <v>0</v>
      </c>
      <c r="CY43" s="459">
        <v>0</v>
      </c>
      <c r="CZ43" s="459">
        <v>0</v>
      </c>
      <c r="DA43" s="459">
        <v>0</v>
      </c>
      <c r="DB43" s="459">
        <v>0</v>
      </c>
      <c r="DC43" s="459">
        <v>0</v>
      </c>
      <c r="DD43" s="522"/>
      <c r="DE43" s="460"/>
      <c r="DF43" s="460"/>
      <c r="DG43" s="29"/>
      <c r="DH43" s="29"/>
      <c r="DI43" s="39"/>
      <c r="DJ43" s="39"/>
      <c r="DK43" s="39"/>
      <c r="DL43" s="39"/>
      <c r="DM43" s="91"/>
      <c r="DN43" s="29"/>
      <c r="DO43" s="29"/>
      <c r="DP43" s="29"/>
      <c r="DQ43" s="29"/>
      <c r="DR43" s="29"/>
      <c r="DS43" s="29"/>
      <c r="DT43" s="29"/>
      <c r="DU43" s="29"/>
      <c r="DV43" s="29"/>
      <c r="DW43" s="29"/>
      <c r="EH43" s="1330"/>
    </row>
    <row r="44" spans="1:138">
      <c r="A44" s="320"/>
      <c r="B44" s="270"/>
      <c r="C44" s="52" t="s">
        <v>378</v>
      </c>
      <c r="D44" s="196"/>
      <c r="E44" s="265"/>
      <c r="F44" s="138"/>
      <c r="G44" s="138"/>
      <c r="H44" s="138"/>
      <c r="I44" s="164"/>
      <c r="J44" s="138"/>
      <c r="K44" s="138"/>
      <c r="L44" s="138"/>
      <c r="M44" s="164"/>
      <c r="N44" s="138"/>
      <c r="O44" s="138"/>
      <c r="P44" s="138"/>
      <c r="Q44" s="164"/>
      <c r="R44" s="138"/>
      <c r="S44" s="138"/>
      <c r="T44" s="138"/>
      <c r="U44" s="164"/>
      <c r="V44" s="138">
        <f t="shared" si="161"/>
        <v>0</v>
      </c>
      <c r="W44" s="138">
        <f t="shared" ref="W44:Y45" si="218">W91-V91</f>
        <v>0</v>
      </c>
      <c r="X44" s="138">
        <f t="shared" si="218"/>
        <v>0</v>
      </c>
      <c r="Y44" s="164">
        <f t="shared" si="218"/>
        <v>0</v>
      </c>
      <c r="Z44" s="138">
        <f t="shared" si="163"/>
        <v>0</v>
      </c>
      <c r="AA44" s="138">
        <f t="shared" si="217"/>
        <v>0</v>
      </c>
      <c r="AB44" s="138">
        <f t="shared" si="217"/>
        <v>0</v>
      </c>
      <c r="AC44" s="164">
        <f t="shared" si="217"/>
        <v>0</v>
      </c>
      <c r="AD44" s="138">
        <f t="shared" si="165"/>
        <v>0</v>
      </c>
      <c r="AE44" s="138">
        <f t="shared" si="166"/>
        <v>0</v>
      </c>
      <c r="AF44" s="138">
        <f t="shared" si="166"/>
        <v>0</v>
      </c>
      <c r="AG44" s="164">
        <f t="shared" si="166"/>
        <v>0</v>
      </c>
      <c r="AH44" s="138">
        <f t="shared" si="167"/>
        <v>0</v>
      </c>
      <c r="AI44" s="138">
        <f t="shared" si="168"/>
        <v>-250</v>
      </c>
      <c r="AJ44" s="138">
        <f t="shared" si="169"/>
        <v>0</v>
      </c>
      <c r="AK44" s="164">
        <f t="shared" si="169"/>
        <v>0</v>
      </c>
      <c r="AL44" s="374">
        <f t="shared" si="170"/>
        <v>0</v>
      </c>
      <c r="AM44" s="138">
        <f t="shared" si="171"/>
        <v>0</v>
      </c>
      <c r="AN44" s="138">
        <f t="shared" si="172"/>
        <v>0</v>
      </c>
      <c r="AO44" s="164">
        <f t="shared" si="172"/>
        <v>0</v>
      </c>
      <c r="AP44" s="374">
        <f t="shared" si="173"/>
        <v>0</v>
      </c>
      <c r="AQ44" s="138">
        <f t="shared" si="174"/>
        <v>0</v>
      </c>
      <c r="AR44" s="138">
        <f t="shared" si="175"/>
        <v>0</v>
      </c>
      <c r="AS44" s="164">
        <f t="shared" si="175"/>
        <v>0</v>
      </c>
      <c r="AT44" s="374">
        <f t="shared" si="176"/>
        <v>0</v>
      </c>
      <c r="AU44" s="138">
        <f t="shared" si="177"/>
        <v>0</v>
      </c>
      <c r="AV44" s="138">
        <f t="shared" si="178"/>
        <v>0</v>
      </c>
      <c r="AW44" s="164">
        <f t="shared" si="178"/>
        <v>0</v>
      </c>
      <c r="AX44" s="374">
        <f t="shared" si="179"/>
        <v>0</v>
      </c>
      <c r="AY44" s="138">
        <f t="shared" si="180"/>
        <v>0</v>
      </c>
      <c r="AZ44" s="138">
        <f t="shared" si="181"/>
        <v>0</v>
      </c>
      <c r="BA44" s="164">
        <f t="shared" si="181"/>
        <v>0</v>
      </c>
      <c r="BB44" s="374">
        <f t="shared" si="182"/>
        <v>0</v>
      </c>
      <c r="BC44" s="138">
        <f t="shared" si="183"/>
        <v>0</v>
      </c>
      <c r="BD44" s="138">
        <f t="shared" si="184"/>
        <v>0</v>
      </c>
      <c r="BE44" s="164">
        <f t="shared" si="184"/>
        <v>0</v>
      </c>
      <c r="BF44" s="374">
        <f t="shared" si="185"/>
        <v>0</v>
      </c>
      <c r="BG44" s="138">
        <f t="shared" si="186"/>
        <v>0</v>
      </c>
      <c r="BH44" s="138">
        <f t="shared" si="187"/>
        <v>0</v>
      </c>
      <c r="BI44" s="164">
        <f t="shared" si="187"/>
        <v>0</v>
      </c>
      <c r="BJ44" s="374">
        <f t="shared" si="188"/>
        <v>0</v>
      </c>
      <c r="BK44" s="138">
        <f t="shared" si="189"/>
        <v>0</v>
      </c>
      <c r="BL44" s="138">
        <f t="shared" si="190"/>
        <v>0</v>
      </c>
      <c r="BM44" s="164">
        <f t="shared" si="190"/>
        <v>0</v>
      </c>
      <c r="BN44" s="374">
        <f t="shared" si="191"/>
        <v>0</v>
      </c>
      <c r="BO44" s="138">
        <f t="shared" si="192"/>
        <v>0</v>
      </c>
      <c r="BP44" s="138">
        <f t="shared" si="193"/>
        <v>0</v>
      </c>
      <c r="BQ44" s="164">
        <f t="shared" si="193"/>
        <v>0</v>
      </c>
      <c r="BR44" s="374">
        <f t="shared" si="194"/>
        <v>0</v>
      </c>
      <c r="BS44" s="138">
        <f t="shared" si="195"/>
        <v>0</v>
      </c>
      <c r="BT44" s="138">
        <f t="shared" si="196"/>
        <v>0</v>
      </c>
      <c r="BU44" s="164">
        <f t="shared" si="196"/>
        <v>0</v>
      </c>
      <c r="BV44" s="374">
        <f t="shared" si="197"/>
        <v>0</v>
      </c>
      <c r="BW44" s="138">
        <f t="shared" si="198"/>
        <v>0</v>
      </c>
      <c r="BX44" s="459">
        <v>0</v>
      </c>
      <c r="BY44" s="522">
        <v>0</v>
      </c>
      <c r="BZ44" s="619">
        <v>0</v>
      </c>
      <c r="CA44" s="459">
        <v>0</v>
      </c>
      <c r="CB44" s="459">
        <v>0</v>
      </c>
      <c r="CC44" s="522">
        <v>0</v>
      </c>
      <c r="CD44" s="806"/>
      <c r="CE44" s="848">
        <f t="shared" si="199"/>
        <v>0</v>
      </c>
      <c r="CF44" s="848">
        <f t="shared" si="199"/>
        <v>0</v>
      </c>
      <c r="CG44" s="136">
        <f t="shared" si="200"/>
        <v>0</v>
      </c>
      <c r="CH44" s="136">
        <f t="shared" si="201"/>
        <v>0</v>
      </c>
      <c r="CI44" s="136">
        <f t="shared" si="202"/>
        <v>0</v>
      </c>
      <c r="CJ44" s="53">
        <f t="shared" si="203"/>
        <v>0</v>
      </c>
      <c r="CK44" s="53">
        <f t="shared" si="204"/>
        <v>0</v>
      </c>
      <c r="CL44" s="136">
        <f t="shared" si="205"/>
        <v>-250</v>
      </c>
      <c r="CM44" s="136">
        <f t="shared" si="206"/>
        <v>0</v>
      </c>
      <c r="CN44" s="136">
        <f t="shared" si="207"/>
        <v>0</v>
      </c>
      <c r="CO44" s="374">
        <f t="shared" si="208"/>
        <v>0</v>
      </c>
      <c r="CP44" s="374">
        <f t="shared" si="209"/>
        <v>0</v>
      </c>
      <c r="CQ44" s="374">
        <f t="shared" si="210"/>
        <v>0</v>
      </c>
      <c r="CR44" s="498">
        <f t="shared" si="211"/>
        <v>0</v>
      </c>
      <c r="CS44" s="374">
        <f t="shared" si="212"/>
        <v>0</v>
      </c>
      <c r="CT44" s="136">
        <f t="shared" si="213"/>
        <v>0</v>
      </c>
      <c r="CU44" s="374">
        <f t="shared" si="214"/>
        <v>0</v>
      </c>
      <c r="CV44" s="374">
        <f t="shared" si="216"/>
        <v>0</v>
      </c>
      <c r="CW44" s="374">
        <f t="shared" si="215"/>
        <v>0</v>
      </c>
      <c r="CX44" s="459">
        <v>0</v>
      </c>
      <c r="CY44" s="459">
        <v>0</v>
      </c>
      <c r="CZ44" s="459">
        <v>0</v>
      </c>
      <c r="DA44" s="459">
        <v>0</v>
      </c>
      <c r="DB44" s="459">
        <v>0</v>
      </c>
      <c r="DC44" s="459">
        <v>0</v>
      </c>
      <c r="DD44" s="522"/>
      <c r="DE44" s="460"/>
      <c r="DF44" s="460"/>
      <c r="DG44" s="29"/>
      <c r="DH44" s="29"/>
      <c r="DI44" s="39"/>
      <c r="DJ44" s="39"/>
      <c r="DK44" s="39"/>
      <c r="DL44" s="39"/>
      <c r="DM44" s="91"/>
      <c r="DN44" s="29"/>
      <c r="DO44" s="29"/>
      <c r="DP44" s="29"/>
      <c r="DQ44" s="29"/>
      <c r="DR44" s="29"/>
      <c r="DS44" s="29"/>
      <c r="DT44" s="29"/>
      <c r="DU44" s="29"/>
      <c r="DV44" s="29"/>
      <c r="DW44" s="29"/>
      <c r="EH44" s="1330"/>
    </row>
    <row r="45" spans="1:138">
      <c r="A45" s="320"/>
      <c r="B45" s="270"/>
      <c r="C45" s="51" t="s">
        <v>366</v>
      </c>
      <c r="D45" s="196"/>
      <c r="E45" s="265"/>
      <c r="F45" s="138">
        <f>F92</f>
        <v>2.97</v>
      </c>
      <c r="G45" s="138">
        <f t="shared" ref="G45:I46" si="219">G92-F92</f>
        <v>0.5519999999999996</v>
      </c>
      <c r="H45" s="138">
        <f t="shared" si="219"/>
        <v>2.9049999999999998</v>
      </c>
      <c r="I45" s="164">
        <f t="shared" si="219"/>
        <v>0.68600000000000083</v>
      </c>
      <c r="J45" s="138">
        <f>J92</f>
        <v>1.5620000000000001</v>
      </c>
      <c r="K45" s="138">
        <f t="shared" ref="K45:M46" si="220">K92-J92</f>
        <v>1.0740000000000001</v>
      </c>
      <c r="L45" s="138">
        <f t="shared" si="220"/>
        <v>6.1740000000000004</v>
      </c>
      <c r="M45" s="164">
        <f t="shared" si="220"/>
        <v>1.3490000000000002</v>
      </c>
      <c r="N45" s="138">
        <f>N92</f>
        <v>0</v>
      </c>
      <c r="O45" s="138">
        <f t="shared" ref="O45:Q46" si="221">O92-N92</f>
        <v>0</v>
      </c>
      <c r="P45" s="138">
        <f t="shared" si="221"/>
        <v>0</v>
      </c>
      <c r="Q45" s="164">
        <f t="shared" si="221"/>
        <v>0</v>
      </c>
      <c r="R45" s="138">
        <f>R92</f>
        <v>0</v>
      </c>
      <c r="S45" s="138">
        <f t="shared" ref="S45:U46" si="222">S92-R92</f>
        <v>0</v>
      </c>
      <c r="T45" s="138">
        <f t="shared" si="222"/>
        <v>0</v>
      </c>
      <c r="U45" s="164">
        <f t="shared" si="222"/>
        <v>-16</v>
      </c>
      <c r="V45" s="138">
        <f t="shared" si="161"/>
        <v>-15</v>
      </c>
      <c r="W45" s="138">
        <f t="shared" si="218"/>
        <v>-8.3000000000000007</v>
      </c>
      <c r="X45" s="138">
        <f t="shared" si="218"/>
        <v>0</v>
      </c>
      <c r="Y45" s="164">
        <f t="shared" si="218"/>
        <v>-21.7</v>
      </c>
      <c r="Z45" s="138">
        <f t="shared" si="163"/>
        <v>-14.2</v>
      </c>
      <c r="AA45" s="138">
        <f t="shared" ref="AA45:AC46" si="223">AA92-Z92</f>
        <v>-12.100000000000001</v>
      </c>
      <c r="AB45" s="138">
        <f t="shared" si="223"/>
        <v>-17.499999999999996</v>
      </c>
      <c r="AC45" s="164">
        <f t="shared" si="223"/>
        <v>-9.7000000000000028</v>
      </c>
      <c r="AD45" s="138">
        <f t="shared" si="165"/>
        <v>0</v>
      </c>
      <c r="AE45" s="138">
        <f t="shared" si="166"/>
        <v>0</v>
      </c>
      <c r="AF45" s="138">
        <f t="shared" si="166"/>
        <v>-29</v>
      </c>
      <c r="AG45" s="164">
        <f t="shared" si="166"/>
        <v>-44</v>
      </c>
      <c r="AH45" s="138">
        <f t="shared" si="167"/>
        <v>-16</v>
      </c>
      <c r="AI45" s="138">
        <f t="shared" si="168"/>
        <v>0</v>
      </c>
      <c r="AJ45" s="138">
        <f t="shared" si="169"/>
        <v>-44</v>
      </c>
      <c r="AK45" s="164">
        <f t="shared" si="169"/>
        <v>0</v>
      </c>
      <c r="AL45" s="374">
        <f t="shared" si="170"/>
        <v>-36</v>
      </c>
      <c r="AM45" s="138">
        <f t="shared" si="171"/>
        <v>0</v>
      </c>
      <c r="AN45" s="138">
        <f t="shared" si="172"/>
        <v>0</v>
      </c>
      <c r="AO45" s="164">
        <f t="shared" si="172"/>
        <v>0</v>
      </c>
      <c r="AP45" s="374">
        <f t="shared" si="173"/>
        <v>0</v>
      </c>
      <c r="AQ45" s="138">
        <f t="shared" si="174"/>
        <v>0</v>
      </c>
      <c r="AR45" s="138">
        <f t="shared" si="175"/>
        <v>0</v>
      </c>
      <c r="AS45" s="164">
        <f t="shared" si="175"/>
        <v>0</v>
      </c>
      <c r="AT45" s="374">
        <f t="shared" si="176"/>
        <v>-50</v>
      </c>
      <c r="AU45" s="138">
        <f t="shared" si="177"/>
        <v>0</v>
      </c>
      <c r="AV45" s="138">
        <f t="shared" si="178"/>
        <v>0</v>
      </c>
      <c r="AW45" s="164">
        <f t="shared" si="178"/>
        <v>0</v>
      </c>
      <c r="AX45" s="374">
        <f t="shared" si="179"/>
        <v>0</v>
      </c>
      <c r="AY45" s="138">
        <f t="shared" si="180"/>
        <v>0</v>
      </c>
      <c r="AZ45" s="138">
        <f t="shared" si="181"/>
        <v>0</v>
      </c>
      <c r="BA45" s="164">
        <f t="shared" si="181"/>
        <v>-604</v>
      </c>
      <c r="BB45" s="374">
        <f t="shared" si="182"/>
        <v>-218</v>
      </c>
      <c r="BC45" s="138">
        <f t="shared" si="183"/>
        <v>-146</v>
      </c>
      <c r="BD45" s="138">
        <f t="shared" si="184"/>
        <v>-243</v>
      </c>
      <c r="BE45" s="164">
        <f t="shared" si="184"/>
        <v>-235</v>
      </c>
      <c r="BF45" s="374">
        <f t="shared" si="185"/>
        <v>-150</v>
      </c>
      <c r="BG45" s="138">
        <f t="shared" si="186"/>
        <v>-150</v>
      </c>
      <c r="BH45" s="138">
        <f t="shared" si="187"/>
        <v>-244</v>
      </c>
      <c r="BI45" s="164">
        <f t="shared" si="187"/>
        <v>-272</v>
      </c>
      <c r="BJ45" s="374">
        <f t="shared" si="188"/>
        <v>-223</v>
      </c>
      <c r="BK45" s="138">
        <f t="shared" si="189"/>
        <v>-309</v>
      </c>
      <c r="BL45" s="138">
        <f t="shared" si="190"/>
        <v>-240</v>
      </c>
      <c r="BM45" s="164">
        <f t="shared" si="190"/>
        <v>-198</v>
      </c>
      <c r="BN45" s="374">
        <f t="shared" si="191"/>
        <v>-60</v>
      </c>
      <c r="BO45" s="138">
        <f t="shared" si="192"/>
        <v>0</v>
      </c>
      <c r="BP45" s="138">
        <f t="shared" si="193"/>
        <v>0</v>
      </c>
      <c r="BQ45" s="164">
        <f t="shared" si="193"/>
        <v>0</v>
      </c>
      <c r="BR45" s="374">
        <f t="shared" si="194"/>
        <v>0</v>
      </c>
      <c r="BS45" s="138">
        <f t="shared" si="195"/>
        <v>0</v>
      </c>
      <c r="BT45" s="138">
        <f t="shared" si="196"/>
        <v>0</v>
      </c>
      <c r="BU45" s="164">
        <f t="shared" si="196"/>
        <v>0</v>
      </c>
      <c r="BV45" s="374">
        <f t="shared" si="197"/>
        <v>0</v>
      </c>
      <c r="BW45" s="138">
        <f t="shared" si="198"/>
        <v>0</v>
      </c>
      <c r="BX45" s="610">
        <f>-IS!BX582</f>
        <v>0</v>
      </c>
      <c r="BY45" s="611">
        <f>-IS!BY582</f>
        <v>0</v>
      </c>
      <c r="BZ45" s="610">
        <f>-IS!BZ582</f>
        <v>0</v>
      </c>
      <c r="CA45" s="610">
        <f>-IS!CA582</f>
        <v>0</v>
      </c>
      <c r="CB45" s="610">
        <f>-IS!CB582</f>
        <v>0</v>
      </c>
      <c r="CC45" s="611">
        <f>-IS!CC582</f>
        <v>0</v>
      </c>
      <c r="CD45" s="806"/>
      <c r="CE45" s="848">
        <f>CE92</f>
        <v>7.1130000000000004</v>
      </c>
      <c r="CF45" s="848">
        <f>CF92</f>
        <v>10.159000000000001</v>
      </c>
      <c r="CG45" s="136">
        <f t="shared" si="200"/>
        <v>0</v>
      </c>
      <c r="CH45" s="136">
        <f t="shared" si="201"/>
        <v>-16</v>
      </c>
      <c r="CI45" s="136">
        <f t="shared" si="202"/>
        <v>-45</v>
      </c>
      <c r="CJ45" s="53">
        <f t="shared" si="203"/>
        <v>-53.5</v>
      </c>
      <c r="CK45" s="53">
        <f t="shared" si="204"/>
        <v>-73</v>
      </c>
      <c r="CL45" s="136">
        <f t="shared" si="205"/>
        <v>-60</v>
      </c>
      <c r="CM45" s="136">
        <f t="shared" si="206"/>
        <v>-36</v>
      </c>
      <c r="CN45" s="136">
        <f t="shared" si="207"/>
        <v>0</v>
      </c>
      <c r="CO45" s="374">
        <f t="shared" si="208"/>
        <v>-50</v>
      </c>
      <c r="CP45" s="374">
        <f t="shared" si="209"/>
        <v>-604</v>
      </c>
      <c r="CQ45" s="374">
        <f t="shared" si="210"/>
        <v>-842</v>
      </c>
      <c r="CR45" s="498">
        <f t="shared" si="211"/>
        <v>-816</v>
      </c>
      <c r="CS45" s="374">
        <f t="shared" si="212"/>
        <v>-970</v>
      </c>
      <c r="CT45" s="136">
        <f t="shared" si="213"/>
        <v>-60</v>
      </c>
      <c r="CU45" s="374">
        <f t="shared" si="214"/>
        <v>0</v>
      </c>
      <c r="CV45" s="374">
        <f t="shared" si="216"/>
        <v>0</v>
      </c>
      <c r="CW45" s="374">
        <f t="shared" si="215"/>
        <v>0</v>
      </c>
      <c r="CX45" s="610">
        <f>-IS!CX582</f>
        <v>0</v>
      </c>
      <c r="CY45" s="610">
        <f>-IS!CY582</f>
        <v>0</v>
      </c>
      <c r="CZ45" s="610">
        <f>-IS!CZ582</f>
        <v>0</v>
      </c>
      <c r="DA45" s="610">
        <f>-IS!DA582</f>
        <v>0</v>
      </c>
      <c r="DB45" s="610">
        <f>-IS!DB582</f>
        <v>0</v>
      </c>
      <c r="DC45" s="610">
        <f>-IS!DC582</f>
        <v>0</v>
      </c>
      <c r="DD45" s="611"/>
      <c r="DE45" s="460"/>
      <c r="DF45" s="460"/>
      <c r="DG45" s="29"/>
      <c r="DH45" s="29"/>
      <c r="DI45" s="39"/>
      <c r="DJ45" s="39"/>
      <c r="DK45" s="39"/>
      <c r="DL45" s="39"/>
      <c r="DM45" s="91"/>
      <c r="DN45" s="29"/>
      <c r="DO45" s="29"/>
      <c r="DP45" s="29"/>
      <c r="DQ45" s="29"/>
      <c r="DR45" s="29"/>
      <c r="DS45" s="29"/>
      <c r="DT45" s="29"/>
      <c r="DU45" s="29"/>
      <c r="DV45" s="29"/>
      <c r="DW45" s="29"/>
      <c r="EH45" s="1330"/>
    </row>
    <row r="46" spans="1:138">
      <c r="A46" s="320"/>
      <c r="B46" s="270"/>
      <c r="C46" s="51" t="s">
        <v>371</v>
      </c>
      <c r="D46" s="196"/>
      <c r="E46" s="197"/>
      <c r="F46" s="138">
        <f>F93</f>
        <v>0</v>
      </c>
      <c r="G46" s="138">
        <f t="shared" si="219"/>
        <v>0</v>
      </c>
      <c r="H46" s="138">
        <f t="shared" si="219"/>
        <v>0</v>
      </c>
      <c r="I46" s="164">
        <f t="shared" si="219"/>
        <v>0</v>
      </c>
      <c r="J46" s="138">
        <f>J93</f>
        <v>0</v>
      </c>
      <c r="K46" s="138">
        <f t="shared" si="220"/>
        <v>0</v>
      </c>
      <c r="L46" s="138">
        <f t="shared" si="220"/>
        <v>0</v>
      </c>
      <c r="M46" s="164">
        <f t="shared" si="220"/>
        <v>0</v>
      </c>
      <c r="N46" s="138">
        <f>N93</f>
        <v>-14.345000000000001</v>
      </c>
      <c r="O46" s="138">
        <f t="shared" si="221"/>
        <v>0</v>
      </c>
      <c r="P46" s="138">
        <f t="shared" si="221"/>
        <v>-73.7</v>
      </c>
      <c r="Q46" s="164">
        <f t="shared" si="221"/>
        <v>-0.25499999999999545</v>
      </c>
      <c r="R46" s="138">
        <f>R93</f>
        <v>0</v>
      </c>
      <c r="S46" s="138">
        <f t="shared" si="222"/>
        <v>0</v>
      </c>
      <c r="T46" s="138">
        <f t="shared" si="222"/>
        <v>0</v>
      </c>
      <c r="U46" s="164">
        <f t="shared" si="222"/>
        <v>0</v>
      </c>
      <c r="V46" s="138">
        <f t="shared" si="161"/>
        <v>0</v>
      </c>
      <c r="W46" s="138">
        <f>W93-V93</f>
        <v>0</v>
      </c>
      <c r="X46" s="138">
        <f>X93-W93</f>
        <v>0</v>
      </c>
      <c r="Y46" s="164">
        <f>Y93-X93</f>
        <v>0</v>
      </c>
      <c r="Z46" s="138">
        <f t="shared" si="163"/>
        <v>0</v>
      </c>
      <c r="AA46" s="138">
        <f t="shared" si="223"/>
        <v>0</v>
      </c>
      <c r="AB46" s="138">
        <f t="shared" si="223"/>
        <v>0</v>
      </c>
      <c r="AC46" s="164">
        <f t="shared" si="223"/>
        <v>0</v>
      </c>
      <c r="AD46" s="138">
        <f t="shared" si="165"/>
        <v>-6</v>
      </c>
      <c r="AE46" s="138">
        <f t="shared" si="166"/>
        <v>-10</v>
      </c>
      <c r="AF46" s="138">
        <f t="shared" si="166"/>
        <v>-22</v>
      </c>
      <c r="AG46" s="164">
        <f t="shared" si="166"/>
        <v>-5</v>
      </c>
      <c r="AH46" s="138">
        <f t="shared" si="167"/>
        <v>-3</v>
      </c>
      <c r="AI46" s="138">
        <f t="shared" si="168"/>
        <v>-4</v>
      </c>
      <c r="AJ46" s="138">
        <f t="shared" si="169"/>
        <v>-1011</v>
      </c>
      <c r="AK46" s="164">
        <f t="shared" si="169"/>
        <v>-5</v>
      </c>
      <c r="AL46" s="374">
        <f t="shared" si="170"/>
        <v>-2</v>
      </c>
      <c r="AM46" s="138">
        <f t="shared" si="171"/>
        <v>-3</v>
      </c>
      <c r="AN46" s="138">
        <f t="shared" si="172"/>
        <v>-2</v>
      </c>
      <c r="AO46" s="164">
        <f t="shared" si="172"/>
        <v>-20</v>
      </c>
      <c r="AP46" s="374">
        <f t="shared" si="173"/>
        <v>-19</v>
      </c>
      <c r="AQ46" s="138">
        <f t="shared" si="174"/>
        <v>-19</v>
      </c>
      <c r="AR46" s="138">
        <f t="shared" si="175"/>
        <v>-19</v>
      </c>
      <c r="AS46" s="164">
        <f t="shared" si="175"/>
        <v>-25</v>
      </c>
      <c r="AT46" s="374">
        <f t="shared" si="176"/>
        <v>-25</v>
      </c>
      <c r="AU46" s="138">
        <f t="shared" si="177"/>
        <v>-25</v>
      </c>
      <c r="AV46" s="138">
        <f t="shared" si="178"/>
        <v>-25</v>
      </c>
      <c r="AW46" s="164">
        <f t="shared" si="178"/>
        <v>-31</v>
      </c>
      <c r="AX46" s="374">
        <f t="shared" si="179"/>
        <v>-31</v>
      </c>
      <c r="AY46" s="138">
        <f t="shared" si="180"/>
        <v>-32</v>
      </c>
      <c r="AZ46" s="138">
        <f t="shared" si="181"/>
        <v>-872</v>
      </c>
      <c r="BA46" s="164">
        <f t="shared" si="181"/>
        <v>-558</v>
      </c>
      <c r="BB46" s="374">
        <f t="shared" si="182"/>
        <v>-58</v>
      </c>
      <c r="BC46" s="138">
        <f t="shared" si="183"/>
        <v>0</v>
      </c>
      <c r="BD46" s="138">
        <f t="shared" si="184"/>
        <v>-115</v>
      </c>
      <c r="BE46" s="164">
        <f t="shared" si="184"/>
        <v>-57</v>
      </c>
      <c r="BF46" s="374">
        <f t="shared" si="185"/>
        <v>-58</v>
      </c>
      <c r="BG46" s="138">
        <f t="shared" si="186"/>
        <v>-57</v>
      </c>
      <c r="BH46" s="138">
        <f t="shared" si="187"/>
        <v>-2371</v>
      </c>
      <c r="BI46" s="164">
        <f t="shared" si="187"/>
        <v>-31</v>
      </c>
      <c r="BJ46" s="374">
        <f t="shared" si="188"/>
        <v>-31</v>
      </c>
      <c r="BK46" s="138">
        <f t="shared" si="189"/>
        <v>-32</v>
      </c>
      <c r="BL46" s="138">
        <f t="shared" si="190"/>
        <v>-31</v>
      </c>
      <c r="BM46" s="164">
        <f t="shared" si="190"/>
        <v>-31</v>
      </c>
      <c r="BN46" s="374">
        <f t="shared" si="191"/>
        <v>-31</v>
      </c>
      <c r="BO46" s="138">
        <f t="shared" si="192"/>
        <v>-32</v>
      </c>
      <c r="BP46" s="138">
        <f>BP93-BO93</f>
        <v>-301</v>
      </c>
      <c r="BQ46" s="164">
        <f t="shared" si="193"/>
        <v>-2329</v>
      </c>
      <c r="BR46" s="374">
        <f t="shared" si="194"/>
        <v>-8242</v>
      </c>
      <c r="BS46" s="138">
        <f t="shared" si="195"/>
        <v>-12</v>
      </c>
      <c r="BT46" s="138">
        <f>BT93-BS93</f>
        <v>-3925</v>
      </c>
      <c r="BU46" s="164">
        <f t="shared" si="196"/>
        <v>482</v>
      </c>
      <c r="BV46" s="374">
        <f t="shared" si="197"/>
        <v>-62</v>
      </c>
      <c r="BW46" s="138">
        <f t="shared" si="198"/>
        <v>-1094</v>
      </c>
      <c r="BX46" s="1647">
        <v>-250</v>
      </c>
      <c r="BY46" s="1648">
        <v>-250</v>
      </c>
      <c r="BZ46" s="1647">
        <v>-250</v>
      </c>
      <c r="CA46" s="1647">
        <v>-250</v>
      </c>
      <c r="CB46" s="1647">
        <v>-250</v>
      </c>
      <c r="CC46" s="1648">
        <v>-250</v>
      </c>
      <c r="CD46" s="806"/>
      <c r="CE46" s="848">
        <f>CE93</f>
        <v>0</v>
      </c>
      <c r="CF46" s="848">
        <f>CF93</f>
        <v>0</v>
      </c>
      <c r="CG46" s="136">
        <f t="shared" si="200"/>
        <v>-88.3</v>
      </c>
      <c r="CH46" s="136">
        <f t="shared" si="201"/>
        <v>0</v>
      </c>
      <c r="CI46" s="136">
        <f t="shared" si="202"/>
        <v>0</v>
      </c>
      <c r="CJ46" s="53">
        <f t="shared" si="203"/>
        <v>0</v>
      </c>
      <c r="CK46" s="53">
        <f t="shared" si="204"/>
        <v>-43</v>
      </c>
      <c r="CL46" s="136">
        <f t="shared" si="205"/>
        <v>-1023</v>
      </c>
      <c r="CM46" s="136">
        <f t="shared" si="206"/>
        <v>-27</v>
      </c>
      <c r="CN46" s="136">
        <f t="shared" si="207"/>
        <v>-82</v>
      </c>
      <c r="CO46" s="374">
        <f t="shared" si="208"/>
        <v>-106</v>
      </c>
      <c r="CP46" s="374">
        <f t="shared" si="209"/>
        <v>-1493</v>
      </c>
      <c r="CQ46" s="374">
        <f t="shared" si="210"/>
        <v>-230</v>
      </c>
      <c r="CR46" s="498">
        <f t="shared" si="211"/>
        <v>-2517</v>
      </c>
      <c r="CS46" s="374">
        <f t="shared" si="212"/>
        <v>-125</v>
      </c>
      <c r="CT46" s="136">
        <f t="shared" si="213"/>
        <v>-2693</v>
      </c>
      <c r="CU46" s="374">
        <f t="shared" si="214"/>
        <v>-11697</v>
      </c>
      <c r="CV46" s="374">
        <f t="shared" si="216"/>
        <v>-1656</v>
      </c>
      <c r="CW46" s="374">
        <f t="shared" si="215"/>
        <v>-1000</v>
      </c>
      <c r="CX46" s="374">
        <f t="shared" ref="CX46:DC46" si="224">CW46</f>
        <v>-1000</v>
      </c>
      <c r="CY46" s="374">
        <f t="shared" si="224"/>
        <v>-1000</v>
      </c>
      <c r="CZ46" s="374">
        <f t="shared" si="224"/>
        <v>-1000</v>
      </c>
      <c r="DA46" s="374">
        <f t="shared" si="224"/>
        <v>-1000</v>
      </c>
      <c r="DB46" s="374">
        <f t="shared" si="224"/>
        <v>-1000</v>
      </c>
      <c r="DC46" s="374">
        <f t="shared" si="224"/>
        <v>-1000</v>
      </c>
      <c r="DD46" s="496"/>
      <c r="DE46" s="460"/>
      <c r="DF46" s="460"/>
      <c r="DG46" s="29"/>
      <c r="DH46" s="29"/>
      <c r="DI46" s="39"/>
      <c r="DJ46" s="39"/>
      <c r="DK46" s="39"/>
      <c r="DL46" s="39"/>
      <c r="DM46" s="91"/>
      <c r="DN46" s="29"/>
      <c r="DO46" s="29"/>
      <c r="DP46" s="29"/>
      <c r="DQ46" s="29"/>
      <c r="DR46" s="29"/>
      <c r="DS46" s="29"/>
      <c r="DT46" s="29"/>
      <c r="DU46" s="29"/>
      <c r="DV46" s="29"/>
      <c r="DW46" s="29"/>
      <c r="EH46" s="1330"/>
    </row>
    <row r="47" spans="1:138">
      <c r="A47" s="320"/>
      <c r="B47" s="270"/>
      <c r="C47" s="52" t="s">
        <v>816</v>
      </c>
      <c r="D47" s="196"/>
      <c r="E47" s="265"/>
      <c r="F47" s="138"/>
      <c r="G47" s="138"/>
      <c r="H47" s="138"/>
      <c r="I47" s="164"/>
      <c r="J47" s="138"/>
      <c r="K47" s="138"/>
      <c r="L47" s="138"/>
      <c r="M47" s="164"/>
      <c r="N47" s="138"/>
      <c r="O47" s="138"/>
      <c r="P47" s="138"/>
      <c r="Q47" s="164"/>
      <c r="R47" s="138"/>
      <c r="S47" s="138"/>
      <c r="T47" s="138"/>
      <c r="U47" s="164"/>
      <c r="V47" s="138"/>
      <c r="W47" s="138"/>
      <c r="X47" s="138"/>
      <c r="Y47" s="164"/>
      <c r="Z47" s="138"/>
      <c r="AA47" s="138"/>
      <c r="AB47" s="138"/>
      <c r="AC47" s="164"/>
      <c r="AD47" s="138"/>
      <c r="AE47" s="138"/>
      <c r="AF47" s="138"/>
      <c r="AG47" s="164"/>
      <c r="AH47" s="138"/>
      <c r="AI47" s="138"/>
      <c r="AJ47" s="138"/>
      <c r="AK47" s="164"/>
      <c r="AL47" s="374"/>
      <c r="AM47" s="138"/>
      <c r="AN47" s="138"/>
      <c r="AO47" s="164"/>
      <c r="AP47" s="374"/>
      <c r="AQ47" s="138"/>
      <c r="AR47" s="138"/>
      <c r="AS47" s="164"/>
      <c r="AT47" s="374"/>
      <c r="AU47" s="138"/>
      <c r="AV47" s="138"/>
      <c r="AW47" s="164"/>
      <c r="AX47" s="374"/>
      <c r="AY47" s="138"/>
      <c r="AZ47" s="138"/>
      <c r="BA47" s="164"/>
      <c r="BB47" s="374">
        <f t="shared" si="182"/>
        <v>0</v>
      </c>
      <c r="BC47" s="138">
        <f t="shared" si="183"/>
        <v>-121</v>
      </c>
      <c r="BD47" s="138">
        <f t="shared" si="184"/>
        <v>0</v>
      </c>
      <c r="BE47" s="164">
        <f t="shared" si="184"/>
        <v>-60</v>
      </c>
      <c r="BF47" s="374">
        <f t="shared" si="185"/>
        <v>-59</v>
      </c>
      <c r="BG47" s="138">
        <f t="shared" si="186"/>
        <v>-59</v>
      </c>
      <c r="BH47" s="138">
        <f t="shared" si="187"/>
        <v>-71</v>
      </c>
      <c r="BI47" s="164">
        <f t="shared" si="187"/>
        <v>-70</v>
      </c>
      <c r="BJ47" s="374">
        <f t="shared" si="188"/>
        <v>-94</v>
      </c>
      <c r="BK47" s="138">
        <f t="shared" si="189"/>
        <v>-93</v>
      </c>
      <c r="BL47" s="138">
        <f t="shared" si="190"/>
        <v>-93</v>
      </c>
      <c r="BM47" s="164">
        <f t="shared" si="190"/>
        <v>-116</v>
      </c>
      <c r="BN47" s="374">
        <f t="shared" si="191"/>
        <v>-115</v>
      </c>
      <c r="BO47" s="138">
        <f t="shared" si="192"/>
        <v>-116</v>
      </c>
      <c r="BP47" s="138">
        <f t="shared" si="193"/>
        <v>-116</v>
      </c>
      <c r="BQ47" s="164">
        <f t="shared" si="193"/>
        <v>-117</v>
      </c>
      <c r="BR47" s="374">
        <f t="shared" si="194"/>
        <v>-142</v>
      </c>
      <c r="BS47" s="138">
        <f t="shared" si="195"/>
        <v>-142</v>
      </c>
      <c r="BT47" s="138">
        <f t="shared" si="196"/>
        <v>-144</v>
      </c>
      <c r="BU47" s="164">
        <f t="shared" si="196"/>
        <v>-146</v>
      </c>
      <c r="BV47" s="374">
        <f t="shared" si="197"/>
        <v>-147</v>
      </c>
      <c r="BW47" s="138">
        <f t="shared" si="198"/>
        <v>-148</v>
      </c>
      <c r="BX47" s="374">
        <f>IS!BX118</f>
        <v>-150.36343350000001</v>
      </c>
      <c r="BY47" s="496">
        <f>IS!BY118</f>
        <v>-150.72231683400003</v>
      </c>
      <c r="BZ47" s="374">
        <f>IS!BZ118</f>
        <v>-150.72231683400003</v>
      </c>
      <c r="CA47" s="374">
        <f>IS!CA118</f>
        <v>-150.97231683400003</v>
      </c>
      <c r="CB47" s="374">
        <f>IS!CB118</f>
        <v>-151.22231683400003</v>
      </c>
      <c r="CC47" s="496">
        <f>IS!CC118</f>
        <v>-153.14721780860697</v>
      </c>
      <c r="CD47" s="806"/>
      <c r="CE47" s="848"/>
      <c r="CF47" s="848"/>
      <c r="CG47" s="136"/>
      <c r="CH47" s="136"/>
      <c r="CI47" s="136"/>
      <c r="CJ47" s="53"/>
      <c r="CK47" s="53"/>
      <c r="CL47" s="136"/>
      <c r="CM47" s="136"/>
      <c r="CN47" s="136"/>
      <c r="CO47" s="374"/>
      <c r="CP47" s="374">
        <f t="shared" si="209"/>
        <v>0</v>
      </c>
      <c r="CQ47" s="374">
        <f t="shared" si="210"/>
        <v>-181</v>
      </c>
      <c r="CR47" s="498">
        <f t="shared" si="211"/>
        <v>-259</v>
      </c>
      <c r="CS47" s="374">
        <f t="shared" si="212"/>
        <v>-396</v>
      </c>
      <c r="CT47" s="136">
        <f t="shared" si="213"/>
        <v>-464</v>
      </c>
      <c r="CU47" s="374">
        <f t="shared" si="214"/>
        <v>-574</v>
      </c>
      <c r="CV47" s="374">
        <f t="shared" si="216"/>
        <v>-596.08575033400007</v>
      </c>
      <c r="CW47" s="374">
        <f t="shared" si="215"/>
        <v>-606.0641683106071</v>
      </c>
      <c r="CX47" s="374">
        <f>IS!CX118</f>
        <v>-625.03104737316812</v>
      </c>
      <c r="CY47" s="374">
        <f>IS!CY118</f>
        <v>-638.8014068918045</v>
      </c>
      <c r="CZ47" s="374">
        <f>IS!CZ118</f>
        <v>-653.67244876268137</v>
      </c>
      <c r="DA47" s="374">
        <f>IS!DA118</f>
        <v>-669.47362873780276</v>
      </c>
      <c r="DB47" s="374">
        <f>IS!DB118</f>
        <v>-685.22787166857188</v>
      </c>
      <c r="DC47" s="374">
        <f>IS!DC118</f>
        <v>-701.00712830664918</v>
      </c>
      <c r="DD47" s="496"/>
      <c r="DE47" s="460"/>
      <c r="DF47" s="460"/>
      <c r="DG47" s="29"/>
      <c r="DH47" s="29"/>
      <c r="DI47" s="39"/>
      <c r="DJ47" s="39"/>
      <c r="DK47" s="39"/>
      <c r="DL47" s="39"/>
      <c r="DM47" s="91"/>
      <c r="DN47" s="29"/>
      <c r="DO47" s="29"/>
      <c r="DP47" s="29"/>
      <c r="DQ47" s="29"/>
      <c r="DR47" s="29"/>
      <c r="DS47" s="29"/>
      <c r="DT47" s="29"/>
      <c r="DU47" s="29"/>
      <c r="DV47" s="29"/>
      <c r="DW47" s="29"/>
      <c r="EH47" s="1330"/>
    </row>
    <row r="48" spans="1:138">
      <c r="A48" s="320"/>
      <c r="B48" s="270"/>
      <c r="C48" s="52" t="s">
        <v>790</v>
      </c>
      <c r="D48" s="196"/>
      <c r="E48" s="265"/>
      <c r="F48" s="138">
        <f>F95</f>
        <v>0</v>
      </c>
      <c r="G48" s="138">
        <f>G95-F95</f>
        <v>5</v>
      </c>
      <c r="H48" s="138">
        <f>H95-G95</f>
        <v>0</v>
      </c>
      <c r="I48" s="164">
        <f>I95-H95</f>
        <v>-5</v>
      </c>
      <c r="J48" s="138">
        <f>J95</f>
        <v>1</v>
      </c>
      <c r="K48" s="138">
        <f>K95-J95</f>
        <v>1.9500000000000002</v>
      </c>
      <c r="L48" s="138">
        <f>L95-K95</f>
        <v>0</v>
      </c>
      <c r="M48" s="164">
        <f>M95-L95</f>
        <v>-2.5</v>
      </c>
      <c r="N48" s="138">
        <f>N95</f>
        <v>0</v>
      </c>
      <c r="O48" s="138">
        <f>O95-N95</f>
        <v>0</v>
      </c>
      <c r="P48" s="138">
        <f>P95-O95</f>
        <v>0</v>
      </c>
      <c r="Q48" s="164">
        <f>Q95-P95</f>
        <v>-5.9</v>
      </c>
      <c r="R48" s="138">
        <f>R95</f>
        <v>0</v>
      </c>
      <c r="S48" s="138">
        <f>S95-R95</f>
        <v>0</v>
      </c>
      <c r="T48" s="138">
        <f>T95-S95</f>
        <v>0</v>
      </c>
      <c r="U48" s="164">
        <f>U95-T95</f>
        <v>-0.6</v>
      </c>
      <c r="V48" s="138">
        <f>V95</f>
        <v>0</v>
      </c>
      <c r="W48" s="138">
        <f>W95-V95</f>
        <v>0</v>
      </c>
      <c r="X48" s="138">
        <f>X95-W95</f>
        <v>0</v>
      </c>
      <c r="Y48" s="164">
        <f>Y95-X95</f>
        <v>0</v>
      </c>
      <c r="Z48" s="138">
        <f>Z95</f>
        <v>0</v>
      </c>
      <c r="AA48" s="138">
        <f>AA95-Z95</f>
        <v>0</v>
      </c>
      <c r="AB48" s="138">
        <f>AB95-AA95</f>
        <v>0</v>
      </c>
      <c r="AC48" s="164">
        <f>AC95-AB95</f>
        <v>0</v>
      </c>
      <c r="AD48" s="138">
        <f>AD95</f>
        <v>0</v>
      </c>
      <c r="AE48" s="138">
        <f>AE95-AD95</f>
        <v>0</v>
      </c>
      <c r="AF48" s="138">
        <f>AF95-AE95</f>
        <v>0</v>
      </c>
      <c r="AG48" s="164">
        <f>AG95-AF95</f>
        <v>0</v>
      </c>
      <c r="AH48" s="138">
        <f>AH95</f>
        <v>0</v>
      </c>
      <c r="AI48" s="138">
        <f>AI95-AH48</f>
        <v>0</v>
      </c>
      <c r="AJ48" s="138">
        <f>AJ95-AI95</f>
        <v>0</v>
      </c>
      <c r="AK48" s="164">
        <f>AK95-AJ95</f>
        <v>89</v>
      </c>
      <c r="AL48" s="374">
        <f>AL95</f>
        <v>8</v>
      </c>
      <c r="AM48" s="138">
        <f>AM95-AL48</f>
        <v>-4</v>
      </c>
      <c r="AN48" s="138">
        <f>AN95-AM95</f>
        <v>1</v>
      </c>
      <c r="AO48" s="164">
        <f>AO95-AN95</f>
        <v>-29</v>
      </c>
      <c r="AP48" s="374">
        <f>AP95</f>
        <v>9</v>
      </c>
      <c r="AQ48" s="138">
        <f>AQ95-AP48</f>
        <v>11</v>
      </c>
      <c r="AR48" s="138">
        <f>AR95-AQ95</f>
        <v>0</v>
      </c>
      <c r="AS48" s="164">
        <f>AS95-AR95</f>
        <v>-16</v>
      </c>
      <c r="AT48" s="374">
        <f>AT95</f>
        <v>11</v>
      </c>
      <c r="AU48" s="138">
        <f>AU95-AT48</f>
        <v>20</v>
      </c>
      <c r="AV48" s="138">
        <f>AV95-AU95</f>
        <v>7</v>
      </c>
      <c r="AW48" s="164">
        <f>AW95-AV95</f>
        <v>12</v>
      </c>
      <c r="AX48" s="374">
        <f>AX95</f>
        <v>0</v>
      </c>
      <c r="AY48" s="138">
        <f>AY95-AX48</f>
        <v>0</v>
      </c>
      <c r="AZ48" s="138">
        <f t="shared" ref="AZ48:BA50" si="225">AZ95-AY95</f>
        <v>0</v>
      </c>
      <c r="BA48" s="164">
        <f t="shared" si="225"/>
        <v>141</v>
      </c>
      <c r="BB48" s="374">
        <f t="shared" si="182"/>
        <v>0</v>
      </c>
      <c r="BC48" s="138">
        <f t="shared" si="183"/>
        <v>0</v>
      </c>
      <c r="BD48" s="138">
        <f t="shared" ref="BD48:BE50" si="226">BD95-BC95</f>
        <v>0</v>
      </c>
      <c r="BE48" s="164">
        <f t="shared" si="226"/>
        <v>0</v>
      </c>
      <c r="BF48" s="374">
        <f t="shared" si="185"/>
        <v>0</v>
      </c>
      <c r="BG48" s="138">
        <f t="shared" si="186"/>
        <v>0</v>
      </c>
      <c r="BH48" s="138">
        <f t="shared" si="187"/>
        <v>0</v>
      </c>
      <c r="BI48" s="164">
        <f t="shared" si="187"/>
        <v>0</v>
      </c>
      <c r="BJ48" s="374">
        <f t="shared" si="188"/>
        <v>2</v>
      </c>
      <c r="BK48" s="138">
        <f t="shared" si="189"/>
        <v>-2</v>
      </c>
      <c r="BL48" s="138">
        <f t="shared" si="190"/>
        <v>0</v>
      </c>
      <c r="BM48" s="164">
        <f t="shared" si="190"/>
        <v>0</v>
      </c>
      <c r="BN48" s="374">
        <f t="shared" si="191"/>
        <v>-9</v>
      </c>
      <c r="BO48" s="138">
        <f t="shared" si="192"/>
        <v>9</v>
      </c>
      <c r="BP48" s="138">
        <f t="shared" si="193"/>
        <v>0</v>
      </c>
      <c r="BQ48" s="164">
        <f t="shared" si="193"/>
        <v>-2815</v>
      </c>
      <c r="BR48" s="374">
        <f t="shared" si="194"/>
        <v>61</v>
      </c>
      <c r="BS48" s="138">
        <f t="shared" si="195"/>
        <v>0</v>
      </c>
      <c r="BT48" s="138">
        <f t="shared" si="196"/>
        <v>0</v>
      </c>
      <c r="BU48" s="164">
        <f t="shared" si="196"/>
        <v>-513</v>
      </c>
      <c r="BV48" s="374">
        <f t="shared" si="197"/>
        <v>26</v>
      </c>
      <c r="BW48" s="138">
        <f t="shared" si="198"/>
        <v>2</v>
      </c>
      <c r="BX48" s="459">
        <v>0</v>
      </c>
      <c r="BY48" s="522">
        <v>0</v>
      </c>
      <c r="BZ48" s="619">
        <v>0</v>
      </c>
      <c r="CA48" s="459">
        <v>0</v>
      </c>
      <c r="CB48" s="459">
        <v>0</v>
      </c>
      <c r="CC48" s="522">
        <v>0</v>
      </c>
      <c r="CD48" s="806"/>
      <c r="CE48" s="848">
        <f t="shared" ref="CE48:CF50" si="227">CE95</f>
        <v>0</v>
      </c>
      <c r="CF48" s="848">
        <f t="shared" si="227"/>
        <v>0.45</v>
      </c>
      <c r="CG48" s="136">
        <f>SUM(N48:Q48)</f>
        <v>-5.9</v>
      </c>
      <c r="CH48" s="136">
        <f>SUM(R48:U48)</f>
        <v>-0.6</v>
      </c>
      <c r="CI48" s="136">
        <f>SUM(V48:Y48)</f>
        <v>0</v>
      </c>
      <c r="CJ48" s="53">
        <f>SUM(Z48:AC48)</f>
        <v>0</v>
      </c>
      <c r="CK48" s="53">
        <f>SUM(AD48:AG48)</f>
        <v>0</v>
      </c>
      <c r="CL48" s="136">
        <f>SUM(AH48:AK48)</f>
        <v>89</v>
      </c>
      <c r="CM48" s="136">
        <f>SUM(AL48:AO48)</f>
        <v>-24</v>
      </c>
      <c r="CN48" s="136">
        <f>SUM(AP48:AS48)</f>
        <v>4</v>
      </c>
      <c r="CO48" s="374">
        <f>SUM(AT48:AW48)</f>
        <v>50</v>
      </c>
      <c r="CP48" s="374">
        <f t="shared" si="209"/>
        <v>141</v>
      </c>
      <c r="CQ48" s="374">
        <f t="shared" si="210"/>
        <v>0</v>
      </c>
      <c r="CR48" s="498">
        <f t="shared" si="211"/>
        <v>0</v>
      </c>
      <c r="CS48" s="374">
        <f t="shared" si="212"/>
        <v>0</v>
      </c>
      <c r="CT48" s="136">
        <f t="shared" si="213"/>
        <v>-2815</v>
      </c>
      <c r="CU48" s="374">
        <f t="shared" si="214"/>
        <v>-452</v>
      </c>
      <c r="CV48" s="374">
        <f t="shared" si="216"/>
        <v>28</v>
      </c>
      <c r="CW48" s="374">
        <f t="shared" si="215"/>
        <v>0</v>
      </c>
      <c r="CX48" s="459">
        <v>0</v>
      </c>
      <c r="CY48" s="459">
        <v>0</v>
      </c>
      <c r="CZ48" s="459">
        <v>0</v>
      </c>
      <c r="DA48" s="459">
        <v>0</v>
      </c>
      <c r="DB48" s="459">
        <v>0</v>
      </c>
      <c r="DC48" s="459">
        <v>0</v>
      </c>
      <c r="DD48" s="522"/>
      <c r="DE48" s="460"/>
      <c r="DF48" s="460"/>
      <c r="DG48" s="29"/>
      <c r="DH48" s="29"/>
      <c r="DI48" s="39"/>
      <c r="DJ48" s="39"/>
      <c r="DK48" s="39"/>
      <c r="DL48" s="39"/>
      <c r="DM48" s="91"/>
      <c r="DN48" s="29"/>
      <c r="DO48" s="29"/>
      <c r="DP48" s="29"/>
      <c r="DQ48" s="29"/>
      <c r="DR48" s="29"/>
      <c r="DS48" s="29"/>
      <c r="DT48" s="29"/>
      <c r="DU48" s="29"/>
      <c r="DV48" s="29"/>
      <c r="DW48" s="29"/>
      <c r="EH48" s="1330"/>
    </row>
    <row r="49" spans="1:138" collapsed="1">
      <c r="A49" s="320"/>
      <c r="B49" s="209" t="s">
        <v>603</v>
      </c>
      <c r="C49" s="188"/>
      <c r="D49" s="188"/>
      <c r="E49" s="198"/>
      <c r="F49" s="507">
        <f t="shared" ref="F49:M49" si="228">SUM(F41:F48)</f>
        <v>45.051000000000002</v>
      </c>
      <c r="G49" s="505">
        <f t="shared" si="228"/>
        <v>36.145000000000003</v>
      </c>
      <c r="H49" s="505">
        <f t="shared" si="228"/>
        <v>2.9049999999999998</v>
      </c>
      <c r="I49" s="506">
        <f t="shared" si="228"/>
        <v>33.485999999999997</v>
      </c>
      <c r="J49" s="507">
        <f t="shared" si="228"/>
        <v>2.5620000000000003</v>
      </c>
      <c r="K49" s="505">
        <f t="shared" si="228"/>
        <v>-3.2389999999999999</v>
      </c>
      <c r="L49" s="505">
        <f t="shared" si="228"/>
        <v>-0.78000000000000025</v>
      </c>
      <c r="M49" s="506">
        <f t="shared" si="228"/>
        <v>-5.5469999999999988</v>
      </c>
      <c r="N49" s="507">
        <f t="shared" ref="N49:AH49" si="229">SUM(N41:N48)</f>
        <v>-10.978000000000002</v>
      </c>
      <c r="O49" s="505">
        <f t="shared" si="229"/>
        <v>6.6680000000000001</v>
      </c>
      <c r="P49" s="505">
        <f t="shared" si="229"/>
        <v>-62.769000000000005</v>
      </c>
      <c r="Q49" s="506">
        <f t="shared" si="229"/>
        <v>17.179000000000002</v>
      </c>
      <c r="R49" s="507">
        <f t="shared" si="229"/>
        <v>25.3</v>
      </c>
      <c r="S49" s="505">
        <f t="shared" si="229"/>
        <v>3.5</v>
      </c>
      <c r="T49" s="505">
        <f t="shared" si="229"/>
        <v>6.1999999999999993</v>
      </c>
      <c r="U49" s="506">
        <f t="shared" si="229"/>
        <v>-13.9</v>
      </c>
      <c r="V49" s="507">
        <f t="shared" si="229"/>
        <v>-15</v>
      </c>
      <c r="W49" s="505">
        <f t="shared" si="229"/>
        <v>-0.89999999999999769</v>
      </c>
      <c r="X49" s="505">
        <f t="shared" si="229"/>
        <v>17.799999999999997</v>
      </c>
      <c r="Y49" s="506">
        <f t="shared" si="229"/>
        <v>-8.6</v>
      </c>
      <c r="Z49" s="507">
        <f t="shared" si="229"/>
        <v>-6.6</v>
      </c>
      <c r="AA49" s="505">
        <f t="shared" si="229"/>
        <v>-1.0999999999999996</v>
      </c>
      <c r="AB49" s="505">
        <f t="shared" si="229"/>
        <v>14.3</v>
      </c>
      <c r="AC49" s="506">
        <f t="shared" si="229"/>
        <v>-5.9000000000000057</v>
      </c>
      <c r="AD49" s="507">
        <f t="shared" si="229"/>
        <v>-4</v>
      </c>
      <c r="AE49" s="505">
        <f>SUM(AE41:AE48)</f>
        <v>4</v>
      </c>
      <c r="AF49" s="505">
        <f t="shared" si="229"/>
        <v>-50</v>
      </c>
      <c r="AG49" s="506">
        <f t="shared" si="229"/>
        <v>-36</v>
      </c>
      <c r="AH49" s="507">
        <f t="shared" si="229"/>
        <v>741</v>
      </c>
      <c r="AI49" s="505">
        <f t="shared" ref="AI49:BF49" si="230">SUM(AI41:AI48)</f>
        <v>-222</v>
      </c>
      <c r="AJ49" s="505">
        <f t="shared" si="230"/>
        <v>-299</v>
      </c>
      <c r="AK49" s="506">
        <f t="shared" si="230"/>
        <v>106</v>
      </c>
      <c r="AL49" s="49">
        <f t="shared" si="230"/>
        <v>-31</v>
      </c>
      <c r="AM49" s="505">
        <f t="shared" si="230"/>
        <v>3</v>
      </c>
      <c r="AN49" s="505">
        <f t="shared" si="230"/>
        <v>-2</v>
      </c>
      <c r="AO49" s="506">
        <f t="shared" si="230"/>
        <v>-34</v>
      </c>
      <c r="AP49" s="49">
        <f t="shared" si="230"/>
        <v>4</v>
      </c>
      <c r="AQ49" s="505">
        <f t="shared" si="230"/>
        <v>18</v>
      </c>
      <c r="AR49" s="505">
        <f t="shared" si="230"/>
        <v>-21</v>
      </c>
      <c r="AS49" s="506">
        <f t="shared" si="230"/>
        <v>-17</v>
      </c>
      <c r="AT49" s="49">
        <f t="shared" si="230"/>
        <v>-66</v>
      </c>
      <c r="AU49" s="505">
        <f t="shared" si="230"/>
        <v>-3</v>
      </c>
      <c r="AV49" s="505">
        <f t="shared" si="230"/>
        <v>-18</v>
      </c>
      <c r="AW49" s="506">
        <f t="shared" si="230"/>
        <v>-19</v>
      </c>
      <c r="AX49" s="49">
        <f t="shared" si="230"/>
        <v>-33</v>
      </c>
      <c r="AY49" s="505">
        <f t="shared" si="230"/>
        <v>-10</v>
      </c>
      <c r="AZ49" s="505">
        <f t="shared" si="230"/>
        <v>1932</v>
      </c>
      <c r="BA49" s="506">
        <f t="shared" si="230"/>
        <v>-1070</v>
      </c>
      <c r="BB49" s="49">
        <f t="shared" si="230"/>
        <v>-216</v>
      </c>
      <c r="BC49" s="505">
        <f t="shared" si="230"/>
        <v>-214</v>
      </c>
      <c r="BD49" s="505">
        <f t="shared" si="230"/>
        <v>-319</v>
      </c>
      <c r="BE49" s="506">
        <f t="shared" si="230"/>
        <v>-299</v>
      </c>
      <c r="BF49" s="49">
        <f t="shared" si="230"/>
        <v>240</v>
      </c>
      <c r="BG49" s="505">
        <f t="shared" ref="BG49:BQ49" si="231">SUM(BG41:BG48)</f>
        <v>-175</v>
      </c>
      <c r="BH49" s="505">
        <f t="shared" si="231"/>
        <v>-153</v>
      </c>
      <c r="BI49" s="506">
        <f t="shared" si="231"/>
        <v>-297</v>
      </c>
      <c r="BJ49" s="49">
        <f t="shared" si="231"/>
        <v>-346</v>
      </c>
      <c r="BK49" s="505">
        <f t="shared" si="231"/>
        <v>-372</v>
      </c>
      <c r="BL49" s="505">
        <f t="shared" si="231"/>
        <v>-316</v>
      </c>
      <c r="BM49" s="506">
        <f t="shared" si="231"/>
        <v>-35</v>
      </c>
      <c r="BN49" s="49">
        <f t="shared" si="231"/>
        <v>-215</v>
      </c>
      <c r="BO49" s="505">
        <f t="shared" si="231"/>
        <v>-135</v>
      </c>
      <c r="BP49" s="505">
        <f t="shared" si="231"/>
        <v>-404</v>
      </c>
      <c r="BQ49" s="506">
        <f t="shared" si="231"/>
        <v>11505</v>
      </c>
      <c r="BR49" s="49">
        <f t="shared" ref="BR49:BY49" si="232">SUM(BR41:BR48)</f>
        <v>-4312</v>
      </c>
      <c r="BS49" s="505">
        <f t="shared" si="232"/>
        <v>-74</v>
      </c>
      <c r="BT49" s="505">
        <f t="shared" si="232"/>
        <v>-160</v>
      </c>
      <c r="BU49" s="506">
        <f t="shared" si="232"/>
        <v>-49</v>
      </c>
      <c r="BV49" s="49">
        <f>SUM(BV41:BV48)</f>
        <v>-224</v>
      </c>
      <c r="BW49" s="505">
        <f t="shared" si="232"/>
        <v>-1167</v>
      </c>
      <c r="BX49" s="505">
        <f t="shared" si="232"/>
        <v>-400.36343350000004</v>
      </c>
      <c r="BY49" s="506">
        <f t="shared" si="232"/>
        <v>-400.72231683400003</v>
      </c>
      <c r="BZ49" s="505">
        <f>SUM(BZ41:BZ48)</f>
        <v>-400.72231683400003</v>
      </c>
      <c r="CA49" s="505">
        <f>SUM(CA41:CA48)</f>
        <v>-400.97231683400003</v>
      </c>
      <c r="CB49" s="505">
        <f>SUM(CB41:CB48)</f>
        <v>-401.22231683400003</v>
      </c>
      <c r="CC49" s="506">
        <f>SUM(CC41:CC48)</f>
        <v>-403.14721780860697</v>
      </c>
      <c r="CD49" s="612"/>
      <c r="CE49" s="848">
        <f>CE96</f>
        <v>117.587</v>
      </c>
      <c r="CF49" s="505">
        <f t="shared" ref="CF49:CO49" si="233">SUM(CF41:CF48)</f>
        <v>-7.0039999999999987</v>
      </c>
      <c r="CG49" s="505">
        <f t="shared" si="233"/>
        <v>-49.9</v>
      </c>
      <c r="CH49" s="505">
        <f t="shared" si="233"/>
        <v>21.1</v>
      </c>
      <c r="CI49" s="505">
        <f t="shared" si="233"/>
        <v>-6.7000000000000028</v>
      </c>
      <c r="CJ49" s="505">
        <f t="shared" si="233"/>
        <v>0.69999999999999574</v>
      </c>
      <c r="CK49" s="602">
        <f t="shared" si="233"/>
        <v>-86</v>
      </c>
      <c r="CL49" s="505">
        <f t="shared" si="233"/>
        <v>326</v>
      </c>
      <c r="CM49" s="505">
        <f t="shared" si="233"/>
        <v>-64</v>
      </c>
      <c r="CN49" s="505">
        <f>SUM(CN41:CN48)</f>
        <v>-16</v>
      </c>
      <c r="CO49" s="505">
        <f t="shared" si="233"/>
        <v>-106</v>
      </c>
      <c r="CP49" s="505">
        <f t="shared" ref="CP49:CU49" si="234">SUM(CP41:CP48)</f>
        <v>819</v>
      </c>
      <c r="CQ49" s="505">
        <f t="shared" si="234"/>
        <v>-1048</v>
      </c>
      <c r="CR49" s="507">
        <f t="shared" si="234"/>
        <v>-385</v>
      </c>
      <c r="CS49" s="505">
        <f t="shared" si="234"/>
        <v>-1069</v>
      </c>
      <c r="CT49" s="505">
        <f t="shared" si="234"/>
        <v>10751</v>
      </c>
      <c r="CU49" s="49">
        <f t="shared" si="234"/>
        <v>-4595</v>
      </c>
      <c r="CV49" s="49">
        <f t="shared" ref="CV49:DA49" si="235">SUM(CV41:CV48)</f>
        <v>-2192.0857503340003</v>
      </c>
      <c r="CW49" s="49">
        <f>SUM(CW41:CW48)</f>
        <v>-1606.0641683106071</v>
      </c>
      <c r="CX49" s="505">
        <f t="shared" si="235"/>
        <v>-1625.0310473731681</v>
      </c>
      <c r="CY49" s="505">
        <f t="shared" si="235"/>
        <v>-1638.8014068918046</v>
      </c>
      <c r="CZ49" s="505">
        <f t="shared" si="235"/>
        <v>-1653.6724487626814</v>
      </c>
      <c r="DA49" s="505">
        <f t="shared" si="235"/>
        <v>-1669.4736287378028</v>
      </c>
      <c r="DB49" s="505">
        <f>SUM(DB41:DB48)</f>
        <v>-1685.2278716685719</v>
      </c>
      <c r="DC49" s="505">
        <f>SUM(DC41:DC48)</f>
        <v>-1701.0071283066491</v>
      </c>
      <c r="DD49" s="506"/>
      <c r="DE49" s="460"/>
      <c r="DF49" s="460"/>
      <c r="DG49" s="29"/>
      <c r="DH49" s="29"/>
      <c r="DI49" s="39"/>
      <c r="DJ49" s="29"/>
      <c r="DK49" s="29"/>
      <c r="DL49" s="29"/>
      <c r="DM49" s="91"/>
      <c r="DN49" s="29"/>
      <c r="DO49" s="29"/>
      <c r="DP49" s="29"/>
      <c r="DQ49" s="29"/>
      <c r="DR49" s="29"/>
      <c r="DS49" s="29"/>
      <c r="DT49" s="29"/>
      <c r="DU49" s="29"/>
      <c r="DV49" s="29"/>
      <c r="DW49" s="29"/>
    </row>
    <row r="50" spans="1:138" ht="12" customHeight="1">
      <c r="A50" s="320"/>
      <c r="B50" s="278"/>
      <c r="C50" s="274" t="s">
        <v>528</v>
      </c>
      <c r="D50" s="274"/>
      <c r="E50" s="275"/>
      <c r="F50" s="138">
        <f>F97</f>
        <v>0</v>
      </c>
      <c r="G50" s="138">
        <f>G97-F97</f>
        <v>-16.547999999999998</v>
      </c>
      <c r="H50" s="138">
        <f>H97-G97</f>
        <v>-6.4690000000000012</v>
      </c>
      <c r="I50" s="164">
        <f>I97-H97</f>
        <v>-16.456999999999997</v>
      </c>
      <c r="J50" s="138">
        <f>J97</f>
        <v>34.47</v>
      </c>
      <c r="K50" s="138">
        <f>K97-J97</f>
        <v>-5.2449999999999974</v>
      </c>
      <c r="L50" s="138">
        <f>L97-K97</f>
        <v>-2.2550000000000026</v>
      </c>
      <c r="M50" s="164">
        <f>M97-L97</f>
        <v>-8.7399999999999984</v>
      </c>
      <c r="N50" s="138">
        <f>N97</f>
        <v>-0.96599999999999997</v>
      </c>
      <c r="O50" s="138">
        <f>O97-N97</f>
        <v>-1.1929999999999998</v>
      </c>
      <c r="P50" s="138">
        <f>P97-O97</f>
        <v>-0.39400000000000013</v>
      </c>
      <c r="Q50" s="164">
        <f>Q97-P97</f>
        <v>-0.375</v>
      </c>
      <c r="R50" s="138">
        <f>R97</f>
        <v>0</v>
      </c>
      <c r="S50" s="138">
        <f>S97-R97</f>
        <v>0</v>
      </c>
      <c r="T50" s="138">
        <f>T97-S97</f>
        <v>0</v>
      </c>
      <c r="U50" s="164">
        <f>U97-T97</f>
        <v>0</v>
      </c>
      <c r="V50" s="138">
        <f>V97</f>
        <v>0</v>
      </c>
      <c r="W50" s="138">
        <f>W97-V97</f>
        <v>0</v>
      </c>
      <c r="X50" s="138">
        <f>X97-W97</f>
        <v>0</v>
      </c>
      <c r="Y50" s="164">
        <f>Y97-X97</f>
        <v>0</v>
      </c>
      <c r="Z50" s="138">
        <f>Z97</f>
        <v>0</v>
      </c>
      <c r="AA50" s="138">
        <f>AA97-Z97</f>
        <v>0</v>
      </c>
      <c r="AB50" s="138">
        <f>AB97-AA97</f>
        <v>0</v>
      </c>
      <c r="AC50" s="164">
        <f>AC97-AB97</f>
        <v>0</v>
      </c>
      <c r="AD50" s="138">
        <f>AD97</f>
        <v>0</v>
      </c>
      <c r="AE50" s="138">
        <f>AE97-AD97</f>
        <v>0</v>
      </c>
      <c r="AF50" s="138">
        <f>AF97-AE97</f>
        <v>0</v>
      </c>
      <c r="AG50" s="164">
        <f>AG97-AF97</f>
        <v>0</v>
      </c>
      <c r="AH50" s="138">
        <f>AH97</f>
        <v>0</v>
      </c>
      <c r="AI50" s="138">
        <f>AI97-AH50</f>
        <v>0</v>
      </c>
      <c r="AJ50" s="138">
        <f>AJ97-AI97</f>
        <v>0</v>
      </c>
      <c r="AK50" s="164">
        <f>AK97-AJ97</f>
        <v>0</v>
      </c>
      <c r="AL50" s="374">
        <f>AL97</f>
        <v>0</v>
      </c>
      <c r="AM50" s="459">
        <v>0</v>
      </c>
      <c r="AN50" s="138">
        <f>AN97-AM97</f>
        <v>0</v>
      </c>
      <c r="AO50" s="164">
        <f>AO97-AN97</f>
        <v>0</v>
      </c>
      <c r="AP50" s="459">
        <v>0</v>
      </c>
      <c r="AQ50" s="459">
        <v>0</v>
      </c>
      <c r="AR50" s="459">
        <v>0</v>
      </c>
      <c r="AS50" s="164">
        <f>AS97-AR97</f>
        <v>0</v>
      </c>
      <c r="AT50" s="459">
        <v>0</v>
      </c>
      <c r="AU50" s="459">
        <v>0</v>
      </c>
      <c r="AV50" s="459">
        <v>0</v>
      </c>
      <c r="AW50" s="164">
        <f>AW97-AV97</f>
        <v>0</v>
      </c>
      <c r="AX50" s="619">
        <v>0</v>
      </c>
      <c r="AY50" s="459">
        <v>0</v>
      </c>
      <c r="AZ50" s="138">
        <f t="shared" si="225"/>
        <v>-6</v>
      </c>
      <c r="BA50" s="164">
        <f>BA97-AZ97</f>
        <v>5</v>
      </c>
      <c r="BB50" s="619">
        <v>0</v>
      </c>
      <c r="BC50" s="459">
        <v>0</v>
      </c>
      <c r="BD50" s="138">
        <f t="shared" si="226"/>
        <v>0</v>
      </c>
      <c r="BE50" s="164">
        <f>BE97-BD97</f>
        <v>0</v>
      </c>
      <c r="BF50" s="619">
        <v>0</v>
      </c>
      <c r="BG50" s="459">
        <v>0</v>
      </c>
      <c r="BH50" s="138">
        <f t="shared" si="187"/>
        <v>0</v>
      </c>
      <c r="BI50" s="164">
        <f>BI97-BH97</f>
        <v>0</v>
      </c>
      <c r="BJ50" s="619">
        <v>0</v>
      </c>
      <c r="BK50" s="459">
        <v>0</v>
      </c>
      <c r="BL50" s="138">
        <f t="shared" si="190"/>
        <v>0</v>
      </c>
      <c r="BM50" s="164">
        <f>BM97-BL97</f>
        <v>0</v>
      </c>
      <c r="BN50" s="619">
        <v>0</v>
      </c>
      <c r="BO50" s="459">
        <v>0</v>
      </c>
      <c r="BP50" s="138">
        <f t="shared" si="193"/>
        <v>0</v>
      </c>
      <c r="BQ50" s="164">
        <f>BQ97-BP97</f>
        <v>1</v>
      </c>
      <c r="BR50" s="374">
        <f t="shared" si="194"/>
        <v>0</v>
      </c>
      <c r="BS50" s="138">
        <f>BS97-BR50</f>
        <v>-9</v>
      </c>
      <c r="BT50" s="138">
        <f t="shared" si="196"/>
        <v>4</v>
      </c>
      <c r="BU50" s="164">
        <f>BU97-BT97</f>
        <v>2</v>
      </c>
      <c r="BV50" s="374">
        <f>BV97</f>
        <v>1</v>
      </c>
      <c r="BW50" s="457"/>
      <c r="BX50" s="459">
        <v>0</v>
      </c>
      <c r="BY50" s="522">
        <v>0</v>
      </c>
      <c r="BZ50" s="619">
        <v>0</v>
      </c>
      <c r="CA50" s="459">
        <v>0</v>
      </c>
      <c r="CB50" s="459">
        <v>0</v>
      </c>
      <c r="CC50" s="522">
        <v>0</v>
      </c>
      <c r="CD50" s="808"/>
      <c r="CE50" s="848">
        <f t="shared" si="227"/>
        <v>-39.473999999999997</v>
      </c>
      <c r="CF50" s="848">
        <f t="shared" si="227"/>
        <v>18.23</v>
      </c>
      <c r="CG50" s="136">
        <f>SUM(N50:Q50)</f>
        <v>-2.9279999999999999</v>
      </c>
      <c r="CH50" s="136">
        <f>SUM(R50:U50)</f>
        <v>0</v>
      </c>
      <c r="CI50" s="136">
        <f>SUM(V50:Y50)</f>
        <v>0</v>
      </c>
      <c r="CJ50" s="53">
        <f>SUM(Z50:AC50)</f>
        <v>0</v>
      </c>
      <c r="CK50" s="53">
        <f>SUM(AD50:AG50)</f>
        <v>0</v>
      </c>
      <c r="CL50" s="136">
        <f>SUM(AH50:AK50)</f>
        <v>0</v>
      </c>
      <c r="CM50" s="136">
        <f>SUM(AL50:AO50)</f>
        <v>0</v>
      </c>
      <c r="CN50" s="136">
        <f>SUM(AP50:AS50)</f>
        <v>0</v>
      </c>
      <c r="CO50" s="374">
        <f>SUM(AT50:AW50)</f>
        <v>0</v>
      </c>
      <c r="CP50" s="374">
        <f>SUM(AX50:BA50)</f>
        <v>-1</v>
      </c>
      <c r="CQ50" s="374">
        <f>SUM(BB50:BE50)</f>
        <v>0</v>
      </c>
      <c r="CR50" s="498">
        <f>SUM(BF50:BI50)</f>
        <v>0</v>
      </c>
      <c r="CS50" s="374">
        <f>SUM(BJ50:BM50)</f>
        <v>0</v>
      </c>
      <c r="CT50" s="374">
        <f>SUM(BN50:BQ50)</f>
        <v>1</v>
      </c>
      <c r="CU50" s="374">
        <f>SUM(BR50:BU50)</f>
        <v>-3</v>
      </c>
      <c r="CV50" s="374">
        <f>SUM(BV50:BY50)</f>
        <v>1</v>
      </c>
      <c r="CW50" s="374">
        <f t="shared" si="215"/>
        <v>0</v>
      </c>
      <c r="CX50" s="459">
        <v>0</v>
      </c>
      <c r="CY50" s="459">
        <v>0</v>
      </c>
      <c r="CZ50" s="459">
        <v>0</v>
      </c>
      <c r="DA50" s="459">
        <v>0</v>
      </c>
      <c r="DB50" s="459">
        <v>0</v>
      </c>
      <c r="DC50" s="459">
        <v>0</v>
      </c>
      <c r="DD50" s="522"/>
      <c r="DE50" s="460"/>
      <c r="DF50" s="460"/>
      <c r="DG50" s="28"/>
      <c r="DH50" s="28"/>
      <c r="DI50" s="654"/>
      <c r="DJ50" s="28"/>
      <c r="DK50" s="28"/>
      <c r="DL50" s="28"/>
      <c r="DM50" s="28"/>
      <c r="DN50" s="28"/>
      <c r="DO50" s="28"/>
      <c r="DP50" s="28"/>
      <c r="DQ50" s="28"/>
      <c r="DR50" s="28"/>
      <c r="DS50" s="28"/>
      <c r="DT50" s="28"/>
      <c r="DU50" s="28"/>
      <c r="DV50" s="28"/>
      <c r="DW50" s="28"/>
    </row>
    <row r="51" spans="1:138">
      <c r="A51" s="178"/>
      <c r="B51" s="209" t="s">
        <v>604</v>
      </c>
      <c r="C51" s="188"/>
      <c r="D51" s="188"/>
      <c r="E51" s="198"/>
      <c r="F51" s="505">
        <f>F49+F38+F29+F50</f>
        <v>-17.072000000000003</v>
      </c>
      <c r="G51" s="505">
        <f>G49+G38+G29+G50</f>
        <v>12.434000000000012</v>
      </c>
      <c r="H51" s="505">
        <f t="shared" ref="H51:CO51" si="236">H49+H38+H29+H50</f>
        <v>-18.51400000000001</v>
      </c>
      <c r="I51" s="506">
        <f t="shared" si="236"/>
        <v>6.7130000000000258</v>
      </c>
      <c r="J51" s="507">
        <f t="shared" si="236"/>
        <v>32.999999999999993</v>
      </c>
      <c r="K51" s="505">
        <f t="shared" si="236"/>
        <v>-7.2649999999999899</v>
      </c>
      <c r="L51" s="505">
        <f t="shared" si="236"/>
        <v>33.169999999999987</v>
      </c>
      <c r="M51" s="506">
        <f t="shared" si="236"/>
        <v>-2.7590000000000128</v>
      </c>
      <c r="N51" s="507">
        <f t="shared" si="236"/>
        <v>20.719999999999992</v>
      </c>
      <c r="O51" s="505">
        <f t="shared" si="236"/>
        <v>82.496000000000024</v>
      </c>
      <c r="P51" s="505">
        <f t="shared" si="236"/>
        <v>20.115999999999993</v>
      </c>
      <c r="Q51" s="506">
        <f t="shared" si="236"/>
        <v>46.139999999999986</v>
      </c>
      <c r="R51" s="507">
        <f t="shared" si="236"/>
        <v>-107.39999999999999</v>
      </c>
      <c r="S51" s="505">
        <f t="shared" si="236"/>
        <v>32.6</v>
      </c>
      <c r="T51" s="505">
        <f t="shared" si="236"/>
        <v>41.499999999999986</v>
      </c>
      <c r="U51" s="506">
        <f t="shared" si="236"/>
        <v>-14.399999999999991</v>
      </c>
      <c r="V51" s="507">
        <f t="shared" si="236"/>
        <v>27.400000000000006</v>
      </c>
      <c r="W51" s="505">
        <f t="shared" si="236"/>
        <v>87.300000000000011</v>
      </c>
      <c r="X51" s="505">
        <f t="shared" si="236"/>
        <v>0.89999999999997726</v>
      </c>
      <c r="Y51" s="506">
        <f t="shared" si="236"/>
        <v>24.100000000000023</v>
      </c>
      <c r="Z51" s="507">
        <f t="shared" si="236"/>
        <v>20.800000000000004</v>
      </c>
      <c r="AA51" s="505">
        <f t="shared" si="236"/>
        <v>44.2</v>
      </c>
      <c r="AB51" s="505">
        <f t="shared" si="236"/>
        <v>-6.7999999999999972</v>
      </c>
      <c r="AC51" s="506">
        <f t="shared" si="236"/>
        <v>7.3000000000000114</v>
      </c>
      <c r="AD51" s="507">
        <f t="shared" si="236"/>
        <v>52</v>
      </c>
      <c r="AE51" s="505">
        <f t="shared" si="236"/>
        <v>73</v>
      </c>
      <c r="AF51" s="505">
        <f t="shared" si="236"/>
        <v>28</v>
      </c>
      <c r="AG51" s="506">
        <f t="shared" si="236"/>
        <v>-4</v>
      </c>
      <c r="AH51" s="507">
        <f t="shared" si="236"/>
        <v>-49</v>
      </c>
      <c r="AI51" s="466">
        <f t="shared" si="236"/>
        <v>266</v>
      </c>
      <c r="AJ51" s="466">
        <f t="shared" si="236"/>
        <v>0</v>
      </c>
      <c r="AK51" s="467">
        <f t="shared" si="236"/>
        <v>187</v>
      </c>
      <c r="AL51" s="823">
        <f t="shared" si="236"/>
        <v>109</v>
      </c>
      <c r="AM51" s="466">
        <f t="shared" si="236"/>
        <v>163</v>
      </c>
      <c r="AN51" s="466">
        <f t="shared" si="236"/>
        <v>203</v>
      </c>
      <c r="AO51" s="467">
        <f t="shared" si="236"/>
        <v>215</v>
      </c>
      <c r="AP51" s="466">
        <f t="shared" si="236"/>
        <v>262</v>
      </c>
      <c r="AQ51" s="466">
        <f t="shared" si="236"/>
        <v>379</v>
      </c>
      <c r="AR51" s="466">
        <f t="shared" si="236"/>
        <v>391</v>
      </c>
      <c r="AS51" s="467">
        <f t="shared" si="236"/>
        <v>-92</v>
      </c>
      <c r="AT51" s="466">
        <f t="shared" si="236"/>
        <v>124</v>
      </c>
      <c r="AU51" s="466">
        <f t="shared" si="236"/>
        <v>252</v>
      </c>
      <c r="AV51" s="466">
        <f t="shared" si="236"/>
        <v>120</v>
      </c>
      <c r="AW51" s="467">
        <f t="shared" si="236"/>
        <v>260</v>
      </c>
      <c r="AX51" s="466">
        <f t="shared" si="236"/>
        <v>185</v>
      </c>
      <c r="AY51" s="466">
        <f t="shared" si="236"/>
        <v>249</v>
      </c>
      <c r="AZ51" s="466">
        <f t="shared" si="236"/>
        <v>-547</v>
      </c>
      <c r="BA51" s="467">
        <f t="shared" si="236"/>
        <v>-169</v>
      </c>
      <c r="BB51" s="466">
        <f>BB49+BB38+BB29+BB50</f>
        <v>329</v>
      </c>
      <c r="BC51" s="466">
        <f>BC49+BC38+BC29+BC50</f>
        <v>279</v>
      </c>
      <c r="BD51" s="466">
        <f t="shared" si="236"/>
        <v>244</v>
      </c>
      <c r="BE51" s="467">
        <f t="shared" ref="BE51:BJ51" si="237">BE49+BE38+BE29+BE50</f>
        <v>249</v>
      </c>
      <c r="BF51" s="466">
        <f t="shared" si="237"/>
        <v>560</v>
      </c>
      <c r="BG51" s="466">
        <f t="shared" si="237"/>
        <v>-214</v>
      </c>
      <c r="BH51" s="466">
        <f t="shared" si="237"/>
        <v>-86</v>
      </c>
      <c r="BI51" s="467">
        <f t="shared" si="237"/>
        <v>235</v>
      </c>
      <c r="BJ51" s="466">
        <f t="shared" si="237"/>
        <v>355</v>
      </c>
      <c r="BK51" s="466">
        <f t="shared" ref="BK51:BQ51" si="238">BK49+BK38+BK29+BK50</f>
        <v>-257</v>
      </c>
      <c r="BL51" s="466">
        <f t="shared" si="238"/>
        <v>-90</v>
      </c>
      <c r="BM51" s="467">
        <f t="shared" si="238"/>
        <v>212</v>
      </c>
      <c r="BN51" s="466">
        <f t="shared" si="238"/>
        <v>57</v>
      </c>
      <c r="BO51" s="466">
        <f t="shared" si="238"/>
        <v>282</v>
      </c>
      <c r="BP51" s="466">
        <f t="shared" si="238"/>
        <v>524</v>
      </c>
      <c r="BQ51" s="467">
        <f t="shared" si="238"/>
        <v>2264</v>
      </c>
      <c r="BR51" s="466">
        <f t="shared" ref="BR51:BY51" si="239">BR49+BR38+BR29+BR50</f>
        <v>-4074</v>
      </c>
      <c r="BS51" s="466">
        <f t="shared" si="239"/>
        <v>863</v>
      </c>
      <c r="BT51" s="466">
        <f t="shared" si="239"/>
        <v>712</v>
      </c>
      <c r="BU51" s="467">
        <f t="shared" si="239"/>
        <v>702</v>
      </c>
      <c r="BV51" s="466">
        <f>BV49+BV38+BV29+BV50</f>
        <v>532</v>
      </c>
      <c r="BW51" s="466">
        <f t="shared" si="239"/>
        <v>-614</v>
      </c>
      <c r="BX51" s="466">
        <f t="shared" si="239"/>
        <v>-659.57155921786944</v>
      </c>
      <c r="BY51" s="467">
        <f t="shared" si="239"/>
        <v>356.40972729690486</v>
      </c>
      <c r="BZ51" s="466">
        <f>BZ49+BZ38+BZ29+BZ50</f>
        <v>436.977287761355</v>
      </c>
      <c r="CA51" s="466">
        <f>CA49+CA38+CA29+CA50</f>
        <v>590.96826899703206</v>
      </c>
      <c r="CB51" s="466">
        <f>CB49+CB38+CB29+CB50</f>
        <v>-5.3853581897424192</v>
      </c>
      <c r="CC51" s="467">
        <f>CC49+CC38+CC29+CC50</f>
        <v>-82.866959184156713</v>
      </c>
      <c r="CD51" s="807"/>
      <c r="CE51" s="848">
        <f t="shared" si="236"/>
        <v>-16.438999999999972</v>
      </c>
      <c r="CF51" s="505">
        <f t="shared" si="236"/>
        <v>56.146000000000001</v>
      </c>
      <c r="CG51" s="505">
        <f t="shared" si="236"/>
        <v>169.47200000000001</v>
      </c>
      <c r="CH51" s="505">
        <f t="shared" si="236"/>
        <v>-47.700000000000017</v>
      </c>
      <c r="CI51" s="505">
        <f t="shared" si="236"/>
        <v>139.70000000000005</v>
      </c>
      <c r="CJ51" s="505">
        <f t="shared" si="236"/>
        <v>65.500000000000171</v>
      </c>
      <c r="CK51" s="505">
        <f t="shared" si="236"/>
        <v>149</v>
      </c>
      <c r="CL51" s="505">
        <f t="shared" si="236"/>
        <v>404</v>
      </c>
      <c r="CM51" s="505">
        <f t="shared" si="236"/>
        <v>690</v>
      </c>
      <c r="CN51" s="505">
        <f t="shared" si="236"/>
        <v>940</v>
      </c>
      <c r="CO51" s="466">
        <f t="shared" si="236"/>
        <v>756</v>
      </c>
      <c r="CP51" s="466">
        <f t="shared" ref="CP51:CV51" si="240">CP49+CP38+CP29+CP50</f>
        <v>-282</v>
      </c>
      <c r="CQ51" s="466">
        <f t="shared" si="240"/>
        <v>1101</v>
      </c>
      <c r="CR51" s="1346">
        <f t="shared" si="240"/>
        <v>495</v>
      </c>
      <c r="CS51" s="466">
        <f t="shared" si="240"/>
        <v>220</v>
      </c>
      <c r="CT51" s="466">
        <f t="shared" si="240"/>
        <v>3127</v>
      </c>
      <c r="CU51" s="823">
        <f t="shared" si="240"/>
        <v>-1797</v>
      </c>
      <c r="CV51" s="823">
        <f t="shared" si="240"/>
        <v>-385.16183192096514</v>
      </c>
      <c r="CW51" s="466">
        <f t="shared" ref="CW51:DC51" si="241">CW49+CW38+CW29+CW50</f>
        <v>939.69323938448861</v>
      </c>
      <c r="CX51" s="466">
        <f t="shared" si="241"/>
        <v>1364.42384665289</v>
      </c>
      <c r="CY51" s="466">
        <f t="shared" si="241"/>
        <v>1245.5183473249517</v>
      </c>
      <c r="CZ51" s="466">
        <f t="shared" si="241"/>
        <v>1439.3181672422124</v>
      </c>
      <c r="DA51" s="466">
        <f t="shared" si="241"/>
        <v>1279.8986218273349</v>
      </c>
      <c r="DB51" s="466">
        <f t="shared" si="241"/>
        <v>1561.7682760100943</v>
      </c>
      <c r="DC51" s="466">
        <f t="shared" si="241"/>
        <v>1864.5771393638047</v>
      </c>
      <c r="DD51" s="467"/>
      <c r="DE51" s="460"/>
      <c r="DF51" s="460"/>
      <c r="DG51" s="29"/>
      <c r="DH51" s="29"/>
      <c r="DI51" s="39"/>
      <c r="DJ51" s="30"/>
      <c r="DK51" s="30"/>
      <c r="DL51" s="30"/>
      <c r="DM51" s="723"/>
      <c r="DN51" s="30"/>
      <c r="DO51" s="30"/>
      <c r="DP51" s="30"/>
      <c r="DQ51" s="30"/>
      <c r="DR51" s="30"/>
      <c r="DS51" s="30"/>
      <c r="DT51" s="30"/>
      <c r="DU51" s="30"/>
      <c r="DV51" s="30"/>
      <c r="DW51" s="30"/>
    </row>
    <row r="52" spans="1:138" ht="4.5" customHeight="1">
      <c r="A52" s="320"/>
      <c r="B52" s="278"/>
      <c r="C52" s="274"/>
      <c r="D52" s="274"/>
      <c r="E52" s="275"/>
      <c r="F52" s="503"/>
      <c r="G52" s="503"/>
      <c r="H52" s="503"/>
      <c r="I52" s="504"/>
      <c r="J52" s="503"/>
      <c r="K52" s="503"/>
      <c r="L52" s="503"/>
      <c r="M52" s="504"/>
      <c r="N52" s="503"/>
      <c r="O52" s="503"/>
      <c r="P52" s="503"/>
      <c r="Q52" s="504"/>
      <c r="R52" s="503"/>
      <c r="S52" s="503"/>
      <c r="T52" s="503"/>
      <c r="U52" s="504"/>
      <c r="V52" s="503"/>
      <c r="W52" s="503"/>
      <c r="X52" s="503"/>
      <c r="Y52" s="504"/>
      <c r="Z52" s="503"/>
      <c r="AA52" s="503"/>
      <c r="AB52" s="503"/>
      <c r="AC52" s="504"/>
      <c r="AD52" s="503"/>
      <c r="AE52" s="503"/>
      <c r="AF52" s="503"/>
      <c r="AG52" s="504"/>
      <c r="AH52" s="503"/>
      <c r="AI52" s="457"/>
      <c r="AJ52" s="457"/>
      <c r="AK52" s="521"/>
      <c r="AL52" s="457"/>
      <c r="AM52" s="457"/>
      <c r="AN52" s="457"/>
      <c r="AO52" s="521"/>
      <c r="AP52" s="457"/>
      <c r="AQ52" s="457"/>
      <c r="AR52" s="457"/>
      <c r="AS52" s="521"/>
      <c r="AT52" s="457"/>
      <c r="AU52" s="457"/>
      <c r="AV52" s="457"/>
      <c r="AW52" s="521"/>
      <c r="AX52" s="457"/>
      <c r="AY52" s="457"/>
      <c r="AZ52" s="457"/>
      <c r="BA52" s="521"/>
      <c r="BB52" s="457"/>
      <c r="BC52" s="457"/>
      <c r="BD52" s="457"/>
      <c r="BE52" s="521"/>
      <c r="BF52" s="457"/>
      <c r="BG52" s="457"/>
      <c r="BH52" s="457"/>
      <c r="BI52" s="521"/>
      <c r="BJ52" s="457"/>
      <c r="BK52" s="457"/>
      <c r="BL52" s="457"/>
      <c r="BM52" s="521"/>
      <c r="BN52" s="457"/>
      <c r="BO52" s="457"/>
      <c r="BP52" s="457"/>
      <c r="BQ52" s="521"/>
      <c r="BR52" s="457"/>
      <c r="BS52" s="457"/>
      <c r="BT52" s="457"/>
      <c r="BU52" s="521"/>
      <c r="BV52" s="457"/>
      <c r="BW52" s="457"/>
      <c r="BX52" s="457"/>
      <c r="BY52" s="521"/>
      <c r="BZ52" s="457"/>
      <c r="CA52" s="457"/>
      <c r="CB52" s="457"/>
      <c r="CC52" s="521"/>
      <c r="CD52" s="808"/>
      <c r="CE52" s="503"/>
      <c r="CF52" s="503"/>
      <c r="CG52" s="503"/>
      <c r="CH52" s="503"/>
      <c r="CI52" s="503"/>
      <c r="CJ52" s="503"/>
      <c r="CK52" s="503"/>
      <c r="CL52" s="503"/>
      <c r="CM52" s="503"/>
      <c r="CN52" s="503"/>
      <c r="CO52" s="457"/>
      <c r="CP52" s="457"/>
      <c r="CQ52" s="457"/>
      <c r="CR52" s="832"/>
      <c r="CS52" s="457"/>
      <c r="CT52" s="457"/>
      <c r="CU52" s="524"/>
      <c r="CV52" s="524"/>
      <c r="CW52" s="457"/>
      <c r="CX52" s="457"/>
      <c r="CY52" s="457"/>
      <c r="CZ52" s="457"/>
      <c r="DA52" s="457"/>
      <c r="DB52" s="457"/>
      <c r="DC52" s="457"/>
      <c r="DD52" s="521"/>
      <c r="DE52" s="460"/>
      <c r="DF52" s="460"/>
      <c r="DG52" s="28"/>
      <c r="DH52" s="28"/>
      <c r="DI52" s="654"/>
      <c r="DJ52" s="28"/>
      <c r="DK52" s="28"/>
      <c r="DL52" s="28"/>
      <c r="DM52" s="28"/>
      <c r="DN52" s="28"/>
      <c r="DO52" s="28"/>
      <c r="DP52" s="28"/>
      <c r="DQ52" s="28"/>
      <c r="DR52" s="28"/>
      <c r="DS52" s="28"/>
      <c r="DT52" s="28"/>
      <c r="DU52" s="28"/>
      <c r="DV52" s="28"/>
      <c r="DW52" s="28"/>
    </row>
    <row r="53" spans="1:138">
      <c r="A53" s="320"/>
      <c r="B53" s="270" t="s">
        <v>600</v>
      </c>
      <c r="C53" s="264"/>
      <c r="D53" s="264"/>
      <c r="E53" s="265"/>
      <c r="F53" s="136">
        <f>F100</f>
        <v>184.02099999999999</v>
      </c>
      <c r="G53" s="136">
        <f>F55</f>
        <v>166.94899999999998</v>
      </c>
      <c r="H53" s="136">
        <f>G55</f>
        <v>179.38299999999998</v>
      </c>
      <c r="I53" s="137">
        <f>H55</f>
        <v>160.86899999999997</v>
      </c>
      <c r="J53" s="136">
        <f>I102</f>
        <v>167.58200000000002</v>
      </c>
      <c r="K53" s="136">
        <f>J55</f>
        <v>200.58200000000002</v>
      </c>
      <c r="L53" s="136">
        <f>K55</f>
        <v>193.31700000000004</v>
      </c>
      <c r="M53" s="137">
        <f>L55</f>
        <v>226.48700000000002</v>
      </c>
      <c r="N53" s="136">
        <f>M102</f>
        <v>223.72800000000001</v>
      </c>
      <c r="O53" s="136">
        <f t="shared" ref="O53:AH53" si="242">N55</f>
        <v>244.44800000000001</v>
      </c>
      <c r="P53" s="136">
        <f t="shared" si="242"/>
        <v>326.94400000000002</v>
      </c>
      <c r="Q53" s="137">
        <f t="shared" si="242"/>
        <v>347.06</v>
      </c>
      <c r="R53" s="136">
        <f t="shared" si="242"/>
        <v>393.2</v>
      </c>
      <c r="S53" s="136">
        <f t="shared" si="242"/>
        <v>285.8</v>
      </c>
      <c r="T53" s="136">
        <f t="shared" si="242"/>
        <v>318.40000000000003</v>
      </c>
      <c r="U53" s="137">
        <f t="shared" si="242"/>
        <v>359.90000000000003</v>
      </c>
      <c r="V53" s="136">
        <f t="shared" si="242"/>
        <v>345.50000000000006</v>
      </c>
      <c r="W53" s="136">
        <f t="shared" si="242"/>
        <v>372.90000000000009</v>
      </c>
      <c r="X53" s="136">
        <f t="shared" si="242"/>
        <v>460.2000000000001</v>
      </c>
      <c r="Y53" s="137">
        <f t="shared" si="242"/>
        <v>461.10000000000008</v>
      </c>
      <c r="Z53" s="136">
        <f t="shared" si="242"/>
        <v>485.2000000000001</v>
      </c>
      <c r="AA53" s="136">
        <f t="shared" si="242"/>
        <v>506.00000000000011</v>
      </c>
      <c r="AB53" s="136">
        <f t="shared" si="242"/>
        <v>550.20000000000016</v>
      </c>
      <c r="AC53" s="137">
        <f t="shared" si="242"/>
        <v>543.4000000000002</v>
      </c>
      <c r="AD53" s="44">
        <v>551</v>
      </c>
      <c r="AE53" s="136">
        <f>AD55</f>
        <v>603</v>
      </c>
      <c r="AF53" s="136">
        <f>AE55</f>
        <v>676</v>
      </c>
      <c r="AG53" s="137">
        <f t="shared" si="242"/>
        <v>704</v>
      </c>
      <c r="AH53" s="136">
        <f t="shared" si="242"/>
        <v>700</v>
      </c>
      <c r="AI53" s="136">
        <f>AH55</f>
        <v>651</v>
      </c>
      <c r="AJ53" s="136">
        <f>AI55</f>
        <v>917</v>
      </c>
      <c r="AK53" s="137">
        <f t="shared" ref="AK53:AS53" si="243">AJ55</f>
        <v>917</v>
      </c>
      <c r="AL53" s="655">
        <f>AK55</f>
        <v>1104</v>
      </c>
      <c r="AM53" s="136">
        <f t="shared" si="243"/>
        <v>1213</v>
      </c>
      <c r="AN53" s="136">
        <f t="shared" si="243"/>
        <v>1376</v>
      </c>
      <c r="AO53" s="137">
        <f t="shared" si="243"/>
        <v>1579</v>
      </c>
      <c r="AP53" s="136">
        <f t="shared" si="243"/>
        <v>1794</v>
      </c>
      <c r="AQ53" s="136">
        <f t="shared" si="243"/>
        <v>2056</v>
      </c>
      <c r="AR53" s="136">
        <f t="shared" si="243"/>
        <v>2435</v>
      </c>
      <c r="AS53" s="137">
        <f t="shared" si="243"/>
        <v>2826</v>
      </c>
      <c r="AT53" s="136">
        <f t="shared" ref="AT53:BD53" si="244">AS55</f>
        <v>2734</v>
      </c>
      <c r="AU53" s="136">
        <f t="shared" si="244"/>
        <v>2858</v>
      </c>
      <c r="AV53" s="136">
        <f t="shared" si="244"/>
        <v>3110</v>
      </c>
      <c r="AW53" s="137">
        <f t="shared" si="244"/>
        <v>3230</v>
      </c>
      <c r="AX53" s="136">
        <f t="shared" si="244"/>
        <v>3490</v>
      </c>
      <c r="AY53" s="136">
        <f t="shared" si="244"/>
        <v>3675</v>
      </c>
      <c r="AZ53" s="136">
        <f t="shared" si="244"/>
        <v>3924</v>
      </c>
      <c r="BA53" s="137">
        <f t="shared" si="244"/>
        <v>3377</v>
      </c>
      <c r="BB53" s="136">
        <f t="shared" ref="BB53:BH53" si="245">BA55</f>
        <v>3208</v>
      </c>
      <c r="BC53" s="136">
        <f t="shared" si="244"/>
        <v>3537</v>
      </c>
      <c r="BD53" s="136">
        <f t="shared" si="244"/>
        <v>3816</v>
      </c>
      <c r="BE53" s="137">
        <f>BD55</f>
        <v>4060</v>
      </c>
      <c r="BF53" s="136">
        <f>BE55</f>
        <v>4309</v>
      </c>
      <c r="BG53" s="136">
        <f t="shared" si="245"/>
        <v>4869</v>
      </c>
      <c r="BH53" s="136">
        <f t="shared" si="245"/>
        <v>4655</v>
      </c>
      <c r="BI53" s="137">
        <f t="shared" ref="BI53:BV53" si="246">BH55</f>
        <v>4569</v>
      </c>
      <c r="BJ53" s="136">
        <f t="shared" si="246"/>
        <v>4804</v>
      </c>
      <c r="BK53" s="136">
        <f t="shared" si="246"/>
        <v>5159</v>
      </c>
      <c r="BL53" s="136">
        <f t="shared" si="246"/>
        <v>4902</v>
      </c>
      <c r="BM53" s="137">
        <f t="shared" si="246"/>
        <v>4812</v>
      </c>
      <c r="BN53" s="136">
        <f t="shared" si="246"/>
        <v>5024</v>
      </c>
      <c r="BO53" s="136">
        <f t="shared" si="246"/>
        <v>5081</v>
      </c>
      <c r="BP53" s="136">
        <f t="shared" si="246"/>
        <v>5363</v>
      </c>
      <c r="BQ53" s="137">
        <f t="shared" si="246"/>
        <v>5887</v>
      </c>
      <c r="BR53" s="136">
        <f t="shared" si="246"/>
        <v>8151</v>
      </c>
      <c r="BS53" s="136">
        <f t="shared" si="246"/>
        <v>4077</v>
      </c>
      <c r="BT53" s="136">
        <f t="shared" si="246"/>
        <v>4940</v>
      </c>
      <c r="BU53" s="137">
        <f t="shared" si="246"/>
        <v>5652</v>
      </c>
      <c r="BV53" s="136">
        <f t="shared" si="246"/>
        <v>6354</v>
      </c>
      <c r="BW53" s="136">
        <f t="shared" ref="BW53:CC53" si="247">BV55</f>
        <v>6886</v>
      </c>
      <c r="BX53" s="136">
        <f t="shared" si="247"/>
        <v>6272</v>
      </c>
      <c r="BY53" s="137">
        <f t="shared" si="247"/>
        <v>5612.4284407821306</v>
      </c>
      <c r="BZ53" s="136">
        <f t="shared" si="247"/>
        <v>5968.8381680790353</v>
      </c>
      <c r="CA53" s="136">
        <f t="shared" si="247"/>
        <v>6405.8154558403903</v>
      </c>
      <c r="CB53" s="136">
        <f t="shared" si="247"/>
        <v>6996.7837248374226</v>
      </c>
      <c r="CC53" s="137">
        <f t="shared" si="247"/>
        <v>6991.3983666476797</v>
      </c>
      <c r="CD53" s="806"/>
      <c r="CE53" s="848">
        <f>CE100</f>
        <v>184.02099999999999</v>
      </c>
      <c r="CF53" s="848">
        <f>CF100</f>
        <v>167.58200000000002</v>
      </c>
      <c r="CG53" s="136">
        <f t="shared" ref="CG53:CM53" si="248">CF55</f>
        <v>223.72800000000001</v>
      </c>
      <c r="CH53" s="136">
        <f t="shared" si="248"/>
        <v>393.20000000000005</v>
      </c>
      <c r="CI53" s="136">
        <f t="shared" si="248"/>
        <v>345.5</v>
      </c>
      <c r="CJ53" s="136">
        <f t="shared" si="248"/>
        <v>485.20000000000005</v>
      </c>
      <c r="CK53" s="136">
        <v>551</v>
      </c>
      <c r="CL53" s="136">
        <f t="shared" si="248"/>
        <v>700</v>
      </c>
      <c r="CM53" s="136">
        <f t="shared" si="248"/>
        <v>1104</v>
      </c>
      <c r="CN53" s="136">
        <f t="shared" ref="CN53:CV53" si="249">CM55</f>
        <v>1794</v>
      </c>
      <c r="CO53" s="136">
        <f t="shared" si="249"/>
        <v>2734</v>
      </c>
      <c r="CP53" s="136">
        <f t="shared" si="249"/>
        <v>3490</v>
      </c>
      <c r="CQ53" s="136">
        <f t="shared" si="249"/>
        <v>3208</v>
      </c>
      <c r="CR53" s="655">
        <f t="shared" si="249"/>
        <v>4309</v>
      </c>
      <c r="CS53" s="136">
        <f t="shared" si="249"/>
        <v>4804</v>
      </c>
      <c r="CT53" s="136">
        <f t="shared" si="249"/>
        <v>5024</v>
      </c>
      <c r="CU53" s="35">
        <f t="shared" si="249"/>
        <v>8151</v>
      </c>
      <c r="CV53" s="35">
        <f t="shared" si="249"/>
        <v>6354</v>
      </c>
      <c r="CW53" s="136">
        <f t="shared" ref="CW53:DC53" si="250">CV55</f>
        <v>5968.8381680790353</v>
      </c>
      <c r="CX53" s="136">
        <f t="shared" si="250"/>
        <v>6908.5314074635244</v>
      </c>
      <c r="CY53" s="136">
        <f t="shared" si="250"/>
        <v>8272.9552541164139</v>
      </c>
      <c r="CZ53" s="136">
        <f t="shared" si="250"/>
        <v>9518.4736014413647</v>
      </c>
      <c r="DA53" s="136">
        <f t="shared" si="250"/>
        <v>10957.791768683577</v>
      </c>
      <c r="DB53" s="136">
        <f t="shared" si="250"/>
        <v>12237.690390510912</v>
      </c>
      <c r="DC53" s="136">
        <f t="shared" si="250"/>
        <v>13799.458666521006</v>
      </c>
      <c r="DD53" s="137"/>
      <c r="DE53" s="460"/>
      <c r="DF53" s="460"/>
      <c r="DG53" s="29"/>
      <c r="DH53" s="29"/>
      <c r="DI53" s="39"/>
      <c r="DJ53" s="39"/>
      <c r="DK53" s="39"/>
      <c r="DL53" s="39"/>
      <c r="DM53" s="91"/>
      <c r="DN53" s="29"/>
      <c r="DO53" s="29"/>
      <c r="DP53" s="29"/>
      <c r="DQ53" s="29"/>
      <c r="DR53" s="29"/>
      <c r="DS53" s="29"/>
      <c r="DT53" s="29"/>
      <c r="DU53" s="29"/>
      <c r="DV53" s="29"/>
      <c r="DW53" s="29"/>
    </row>
    <row r="54" spans="1:138" ht="3" customHeight="1">
      <c r="A54" s="320"/>
      <c r="B54" s="270"/>
      <c r="C54" s="264"/>
      <c r="D54" s="264"/>
      <c r="E54" s="265"/>
      <c r="F54" s="44"/>
      <c r="G54" s="44"/>
      <c r="H54" s="44"/>
      <c r="I54" s="65"/>
      <c r="J54" s="44"/>
      <c r="K54" s="44"/>
      <c r="L54" s="44"/>
      <c r="M54" s="65"/>
      <c r="N54" s="44"/>
      <c r="O54" s="44"/>
      <c r="P54" s="44"/>
      <c r="Q54" s="65"/>
      <c r="R54" s="44"/>
      <c r="S54" s="44"/>
      <c r="T54" s="44"/>
      <c r="U54" s="65"/>
      <c r="V54" s="44"/>
      <c r="W54" s="44"/>
      <c r="X54" s="44"/>
      <c r="Y54" s="65"/>
      <c r="Z54" s="44"/>
      <c r="AA54" s="44"/>
      <c r="AB54" s="44"/>
      <c r="AC54" s="65"/>
      <c r="AD54" s="44"/>
      <c r="AE54" s="44"/>
      <c r="AF54" s="44"/>
      <c r="AG54" s="65"/>
      <c r="AH54" s="44"/>
      <c r="AI54" s="44"/>
      <c r="AJ54" s="44"/>
      <c r="AK54" s="65"/>
      <c r="AL54" s="40"/>
      <c r="AM54" s="44"/>
      <c r="AN54" s="44"/>
      <c r="AO54" s="65"/>
      <c r="AP54" s="44"/>
      <c r="AQ54" s="44"/>
      <c r="AR54" s="44"/>
      <c r="AS54" s="65"/>
      <c r="AT54" s="44"/>
      <c r="AU54" s="44"/>
      <c r="AV54" s="44"/>
      <c r="AW54" s="65"/>
      <c r="AX54" s="44"/>
      <c r="AY54" s="44"/>
      <c r="AZ54" s="44"/>
      <c r="BA54" s="65"/>
      <c r="BB54" s="44"/>
      <c r="BC54" s="44"/>
      <c r="BD54" s="44"/>
      <c r="BE54" s="65"/>
      <c r="BF54" s="44"/>
      <c r="BG54" s="44"/>
      <c r="BH54" s="44"/>
      <c r="BI54" s="65"/>
      <c r="BJ54" s="44"/>
      <c r="BK54" s="44"/>
      <c r="BL54" s="44"/>
      <c r="BM54" s="65"/>
      <c r="BN54" s="44"/>
      <c r="BO54" s="44"/>
      <c r="BP54" s="44"/>
      <c r="BQ54" s="65"/>
      <c r="BR54" s="44"/>
      <c r="BS54" s="44"/>
      <c r="BT54" s="44"/>
      <c r="BU54" s="65"/>
      <c r="BV54" s="44"/>
      <c r="BW54" s="44"/>
      <c r="BX54" s="44"/>
      <c r="BY54" s="65"/>
      <c r="BZ54" s="44"/>
      <c r="CA54" s="44"/>
      <c r="CB54" s="44"/>
      <c r="CC54" s="65"/>
      <c r="CD54" s="806"/>
      <c r="CE54" s="44"/>
      <c r="CF54" s="44"/>
      <c r="CG54" s="44"/>
      <c r="CH54" s="44"/>
      <c r="CI54" s="652"/>
      <c r="CJ54" s="44"/>
      <c r="CK54" s="44"/>
      <c r="CL54" s="44"/>
      <c r="CM54" s="44"/>
      <c r="CN54" s="44"/>
      <c r="CO54" s="44"/>
      <c r="CP54" s="44"/>
      <c r="CQ54" s="44"/>
      <c r="CR54" s="40"/>
      <c r="CS54" s="44"/>
      <c r="CT54" s="44"/>
      <c r="CU54" s="35"/>
      <c r="CV54" s="35"/>
      <c r="CW54" s="44"/>
      <c r="CX54" s="44"/>
      <c r="CY54" s="44"/>
      <c r="CZ54" s="44"/>
      <c r="DA54" s="44"/>
      <c r="DB54" s="44"/>
      <c r="DC54" s="44"/>
      <c r="DD54" s="65"/>
      <c r="DE54" s="460"/>
      <c r="DF54" s="460"/>
      <c r="DG54" s="29"/>
      <c r="DH54" s="29"/>
      <c r="DI54" s="39"/>
      <c r="DJ54" s="91"/>
      <c r="DK54" s="91"/>
      <c r="DL54" s="91"/>
      <c r="DM54" s="91"/>
      <c r="DN54" s="29"/>
      <c r="DO54" s="29"/>
      <c r="DP54" s="29"/>
      <c r="DQ54" s="29"/>
      <c r="DR54" s="29"/>
      <c r="DS54" s="29"/>
      <c r="DT54" s="29"/>
      <c r="DU54" s="29"/>
      <c r="DV54" s="29"/>
      <c r="DW54" s="29"/>
    </row>
    <row r="55" spans="1:138">
      <c r="A55" s="541"/>
      <c r="B55" s="344" t="s">
        <v>605</v>
      </c>
      <c r="C55" s="345"/>
      <c r="D55" s="345"/>
      <c r="E55" s="381"/>
      <c r="F55" s="508">
        <f>F53+F51</f>
        <v>166.94899999999998</v>
      </c>
      <c r="G55" s="553">
        <f t="shared" ref="G55:N55" si="251">G53+G51</f>
        <v>179.38299999999998</v>
      </c>
      <c r="H55" s="553">
        <f t="shared" si="251"/>
        <v>160.86899999999997</v>
      </c>
      <c r="I55" s="552">
        <f t="shared" si="251"/>
        <v>167.58199999999999</v>
      </c>
      <c r="J55" s="508">
        <f t="shared" si="251"/>
        <v>200.58200000000002</v>
      </c>
      <c r="K55" s="553">
        <f t="shared" si="251"/>
        <v>193.31700000000004</v>
      </c>
      <c r="L55" s="553">
        <f t="shared" si="251"/>
        <v>226.48700000000002</v>
      </c>
      <c r="M55" s="552">
        <f t="shared" si="251"/>
        <v>223.72800000000001</v>
      </c>
      <c r="N55" s="508">
        <f t="shared" si="251"/>
        <v>244.44800000000001</v>
      </c>
      <c r="O55" s="553">
        <f t="shared" ref="O55:AS55" si="252">O53+O51</f>
        <v>326.94400000000002</v>
      </c>
      <c r="P55" s="553">
        <f t="shared" si="252"/>
        <v>347.06</v>
      </c>
      <c r="Q55" s="552">
        <f t="shared" si="252"/>
        <v>393.2</v>
      </c>
      <c r="R55" s="508">
        <f>R53+R51</f>
        <v>285.8</v>
      </c>
      <c r="S55" s="553">
        <f t="shared" si="252"/>
        <v>318.40000000000003</v>
      </c>
      <c r="T55" s="553">
        <f t="shared" si="252"/>
        <v>359.90000000000003</v>
      </c>
      <c r="U55" s="552">
        <f t="shared" si="252"/>
        <v>345.50000000000006</v>
      </c>
      <c r="V55" s="508">
        <f>V53+V51</f>
        <v>372.90000000000009</v>
      </c>
      <c r="W55" s="553">
        <f t="shared" si="252"/>
        <v>460.2000000000001</v>
      </c>
      <c r="X55" s="553">
        <f t="shared" si="252"/>
        <v>461.10000000000008</v>
      </c>
      <c r="Y55" s="552">
        <f t="shared" si="252"/>
        <v>485.2000000000001</v>
      </c>
      <c r="Z55" s="508">
        <f>Z53+Z51</f>
        <v>506.00000000000011</v>
      </c>
      <c r="AA55" s="553">
        <f t="shared" si="252"/>
        <v>550.20000000000016</v>
      </c>
      <c r="AB55" s="553">
        <f t="shared" si="252"/>
        <v>543.4000000000002</v>
      </c>
      <c r="AC55" s="552">
        <f t="shared" si="252"/>
        <v>550.70000000000027</v>
      </c>
      <c r="AD55" s="508">
        <f>AD53+AD51</f>
        <v>603</v>
      </c>
      <c r="AE55" s="553">
        <f>AE53+AE51</f>
        <v>676</v>
      </c>
      <c r="AF55" s="553">
        <f t="shared" si="252"/>
        <v>704</v>
      </c>
      <c r="AG55" s="552">
        <f t="shared" si="252"/>
        <v>700</v>
      </c>
      <c r="AH55" s="508">
        <f>AH53+AH51</f>
        <v>651</v>
      </c>
      <c r="AI55" s="553">
        <f>AI53+AI51</f>
        <v>917</v>
      </c>
      <c r="AJ55" s="553">
        <f t="shared" si="252"/>
        <v>917</v>
      </c>
      <c r="AK55" s="552">
        <f t="shared" si="252"/>
        <v>1104</v>
      </c>
      <c r="AL55" s="508">
        <f>AL53+AL51</f>
        <v>1213</v>
      </c>
      <c r="AM55" s="553">
        <f t="shared" si="252"/>
        <v>1376</v>
      </c>
      <c r="AN55" s="553">
        <f t="shared" si="252"/>
        <v>1579</v>
      </c>
      <c r="AO55" s="552">
        <f t="shared" si="252"/>
        <v>1794</v>
      </c>
      <c r="AP55" s="508">
        <f>AP53+AP51</f>
        <v>2056</v>
      </c>
      <c r="AQ55" s="553">
        <f t="shared" si="252"/>
        <v>2435</v>
      </c>
      <c r="AR55" s="553">
        <f t="shared" si="252"/>
        <v>2826</v>
      </c>
      <c r="AS55" s="552">
        <f t="shared" si="252"/>
        <v>2734</v>
      </c>
      <c r="AT55" s="508">
        <f t="shared" ref="AT55:AZ55" si="253">AT53+AT51</f>
        <v>2858</v>
      </c>
      <c r="AU55" s="553">
        <f t="shared" si="253"/>
        <v>3110</v>
      </c>
      <c r="AV55" s="553">
        <f t="shared" si="253"/>
        <v>3230</v>
      </c>
      <c r="AW55" s="552">
        <f t="shared" si="253"/>
        <v>3490</v>
      </c>
      <c r="AX55" s="508">
        <f t="shared" si="253"/>
        <v>3675</v>
      </c>
      <c r="AY55" s="553">
        <f t="shared" si="253"/>
        <v>3924</v>
      </c>
      <c r="AZ55" s="553">
        <f t="shared" si="253"/>
        <v>3377</v>
      </c>
      <c r="BA55" s="552">
        <f>BA53+BA51</f>
        <v>3208</v>
      </c>
      <c r="BB55" s="508">
        <f t="shared" ref="BB55:BH55" si="254">BB53+BB51</f>
        <v>3537</v>
      </c>
      <c r="BC55" s="553">
        <f t="shared" si="254"/>
        <v>3816</v>
      </c>
      <c r="BD55" s="553">
        <f t="shared" si="254"/>
        <v>4060</v>
      </c>
      <c r="BE55" s="552">
        <f>BE53+BE51</f>
        <v>4309</v>
      </c>
      <c r="BF55" s="508">
        <f>BF53+BF51</f>
        <v>4869</v>
      </c>
      <c r="BG55" s="553">
        <f t="shared" si="254"/>
        <v>4655</v>
      </c>
      <c r="BH55" s="553">
        <f t="shared" si="254"/>
        <v>4569</v>
      </c>
      <c r="BI55" s="552">
        <f t="shared" ref="BI55:BQ55" si="255">BI53+BI51</f>
        <v>4804</v>
      </c>
      <c r="BJ55" s="508">
        <f t="shared" si="255"/>
        <v>5159</v>
      </c>
      <c r="BK55" s="553">
        <f t="shared" si="255"/>
        <v>4902</v>
      </c>
      <c r="BL55" s="553">
        <f t="shared" si="255"/>
        <v>4812</v>
      </c>
      <c r="BM55" s="552">
        <f t="shared" si="255"/>
        <v>5024</v>
      </c>
      <c r="BN55" s="508">
        <f t="shared" si="255"/>
        <v>5081</v>
      </c>
      <c r="BO55" s="553">
        <f t="shared" si="255"/>
        <v>5363</v>
      </c>
      <c r="BP55" s="553">
        <f t="shared" si="255"/>
        <v>5887</v>
      </c>
      <c r="BQ55" s="552">
        <f t="shared" si="255"/>
        <v>8151</v>
      </c>
      <c r="BR55" s="508">
        <f t="shared" ref="BR55:BY55" si="256">BR53+BR51</f>
        <v>4077</v>
      </c>
      <c r="BS55" s="553">
        <f t="shared" si="256"/>
        <v>4940</v>
      </c>
      <c r="BT55" s="553">
        <f t="shared" si="256"/>
        <v>5652</v>
      </c>
      <c r="BU55" s="552">
        <f t="shared" si="256"/>
        <v>6354</v>
      </c>
      <c r="BV55" s="508">
        <f>BV53+BV51</f>
        <v>6886</v>
      </c>
      <c r="BW55" s="553">
        <f t="shared" si="256"/>
        <v>6272</v>
      </c>
      <c r="BX55" s="553">
        <f t="shared" si="256"/>
        <v>5612.4284407821306</v>
      </c>
      <c r="BY55" s="552">
        <f t="shared" si="256"/>
        <v>5968.8381680790353</v>
      </c>
      <c r="BZ55" s="508">
        <f>BZ53+BZ51</f>
        <v>6405.8154558403903</v>
      </c>
      <c r="CA55" s="553">
        <f>CA53+CA51</f>
        <v>6996.7837248374226</v>
      </c>
      <c r="CB55" s="553">
        <f>CB53+CB51</f>
        <v>6991.3983666476797</v>
      </c>
      <c r="CC55" s="552">
        <f>CC53+CC51</f>
        <v>6908.5314074635226</v>
      </c>
      <c r="CD55" s="807"/>
      <c r="CE55" s="849">
        <f>CE102</f>
        <v>167.58200000000002</v>
      </c>
      <c r="CF55" s="553">
        <f t="shared" ref="CF55:CS55" si="257">CF53+CF51</f>
        <v>223.72800000000001</v>
      </c>
      <c r="CG55" s="553">
        <f t="shared" si="257"/>
        <v>393.20000000000005</v>
      </c>
      <c r="CH55" s="553">
        <f t="shared" si="257"/>
        <v>345.5</v>
      </c>
      <c r="CI55" s="553">
        <f t="shared" si="257"/>
        <v>485.20000000000005</v>
      </c>
      <c r="CJ55" s="553">
        <f t="shared" si="257"/>
        <v>550.70000000000027</v>
      </c>
      <c r="CK55" s="553">
        <f t="shared" si="257"/>
        <v>700</v>
      </c>
      <c r="CL55" s="553">
        <f t="shared" si="257"/>
        <v>1104</v>
      </c>
      <c r="CM55" s="553">
        <f t="shared" si="257"/>
        <v>1794</v>
      </c>
      <c r="CN55" s="553">
        <f>CN53+CN51</f>
        <v>2734</v>
      </c>
      <c r="CO55" s="553">
        <f>CO53+CO51</f>
        <v>3490</v>
      </c>
      <c r="CP55" s="553">
        <f t="shared" si="257"/>
        <v>3208</v>
      </c>
      <c r="CQ55" s="553">
        <f>CQ53+CQ51</f>
        <v>4309</v>
      </c>
      <c r="CR55" s="508">
        <f>CR53+CR51</f>
        <v>4804</v>
      </c>
      <c r="CS55" s="553">
        <f t="shared" si="257"/>
        <v>5024</v>
      </c>
      <c r="CT55" s="553">
        <f t="shared" ref="CT55:DA55" si="258">CT53+CT51</f>
        <v>8151</v>
      </c>
      <c r="CU55" s="348">
        <f t="shared" si="258"/>
        <v>6354</v>
      </c>
      <c r="CV55" s="348">
        <f t="shared" si="258"/>
        <v>5968.8381680790353</v>
      </c>
      <c r="CW55" s="553">
        <f t="shared" si="258"/>
        <v>6908.5314074635244</v>
      </c>
      <c r="CX55" s="553">
        <f t="shared" si="258"/>
        <v>8272.9552541164139</v>
      </c>
      <c r="CY55" s="553">
        <f t="shared" si="258"/>
        <v>9518.4736014413647</v>
      </c>
      <c r="CZ55" s="553">
        <f t="shared" si="258"/>
        <v>10957.791768683577</v>
      </c>
      <c r="DA55" s="553">
        <f t="shared" si="258"/>
        <v>12237.690390510912</v>
      </c>
      <c r="DB55" s="553">
        <f>DB53+DB51</f>
        <v>13799.458666521006</v>
      </c>
      <c r="DC55" s="553">
        <f>DC53+DC51</f>
        <v>15664.035805884811</v>
      </c>
      <c r="DD55" s="552"/>
      <c r="DE55" s="460"/>
      <c r="DF55" s="460"/>
      <c r="DG55" s="29"/>
      <c r="DH55" s="29"/>
      <c r="DI55" s="39"/>
      <c r="DJ55" s="30"/>
      <c r="DK55" s="30"/>
      <c r="DL55" s="30"/>
      <c r="DM55" s="723"/>
      <c r="DN55" s="30"/>
      <c r="DO55" s="30"/>
      <c r="DP55" s="30"/>
      <c r="DQ55" s="30"/>
      <c r="DR55" s="30"/>
      <c r="DS55" s="30"/>
      <c r="DT55" s="30"/>
      <c r="DU55" s="30"/>
      <c r="DV55" s="30"/>
      <c r="DW55" s="30"/>
    </row>
    <row r="56" spans="1:138">
      <c r="A56" s="320"/>
      <c r="B56" s="919"/>
      <c r="C56" s="919"/>
      <c r="D56" s="919"/>
      <c r="E56" s="920"/>
      <c r="F56" s="921">
        <f>F55-BS!F13</f>
        <v>0</v>
      </c>
      <c r="G56" s="921">
        <f>G55-BS!G13</f>
        <v>0</v>
      </c>
      <c r="H56" s="921">
        <f>H55-BS!H13</f>
        <v>0</v>
      </c>
      <c r="I56" s="921">
        <f>I55-BS!I13</f>
        <v>0</v>
      </c>
      <c r="J56" s="921">
        <f>J55-BS!J13</f>
        <v>0</v>
      </c>
      <c r="K56" s="921">
        <f>K55-BS!K13</f>
        <v>0</v>
      </c>
      <c r="L56" s="921">
        <f>L55-BS!L13</f>
        <v>0</v>
      </c>
      <c r="M56" s="921">
        <f>M55-BS!M13</f>
        <v>0</v>
      </c>
      <c r="N56" s="921">
        <f>N55-BS!N13</f>
        <v>0</v>
      </c>
      <c r="O56" s="921">
        <f>O55-BS!O13</f>
        <v>0</v>
      </c>
      <c r="P56" s="921">
        <f>P55-BS!P13</f>
        <v>0</v>
      </c>
      <c r="Q56" s="1150">
        <f>Q55-BS!Q13</f>
        <v>0</v>
      </c>
      <c r="R56" s="921">
        <f>R55-BS!R13</f>
        <v>0</v>
      </c>
      <c r="S56" s="921">
        <f>S55-BS!S13</f>
        <v>0</v>
      </c>
      <c r="T56" s="921">
        <f>T55-BS!T13</f>
        <v>0</v>
      </c>
      <c r="U56" s="921">
        <f>U55-BS!U13</f>
        <v>0</v>
      </c>
      <c r="V56" s="921">
        <f>V55-BS!V13</f>
        <v>0</v>
      </c>
      <c r="W56" s="921">
        <f>W55-BS!W13</f>
        <v>0</v>
      </c>
      <c r="X56" s="921">
        <f>X55-BS!X13</f>
        <v>0</v>
      </c>
      <c r="Y56" s="921">
        <f>Y55-BS!Y13</f>
        <v>0</v>
      </c>
      <c r="Z56" s="921">
        <f>Z55-BS!Z13</f>
        <v>0</v>
      </c>
      <c r="AA56" s="921">
        <f>AA55-BS!AA13</f>
        <v>0</v>
      </c>
      <c r="AB56" s="921">
        <f>AB55-BS!AB13</f>
        <v>0</v>
      </c>
      <c r="AC56" s="921">
        <f>AC55-BS!AC13</f>
        <v>0</v>
      </c>
      <c r="AD56" s="921">
        <f>AD55-BS!AD13</f>
        <v>0</v>
      </c>
      <c r="AE56" s="921">
        <f>AE55-BS!AE13</f>
        <v>0</v>
      </c>
      <c r="AF56" s="921">
        <f>AF55-BS!AF13</f>
        <v>0</v>
      </c>
      <c r="AG56" s="921">
        <f>AG55-BS!AG13</f>
        <v>0</v>
      </c>
      <c r="AH56" s="921">
        <f>AH55-BS!AH13</f>
        <v>0</v>
      </c>
      <c r="AI56" s="922">
        <f>AI55-BS!AI13</f>
        <v>0</v>
      </c>
      <c r="AJ56" s="922">
        <f>AJ55-BS!AJ13</f>
        <v>0</v>
      </c>
      <c r="AK56" s="922">
        <f>AK55-BS!AK13</f>
        <v>0</v>
      </c>
      <c r="AL56" s="922">
        <f>AL55-BS!AL13</f>
        <v>0</v>
      </c>
      <c r="AM56" s="922">
        <f>AM55-BS!AM13</f>
        <v>0</v>
      </c>
      <c r="AN56" s="922">
        <f>AN55-BS!AN13</f>
        <v>0</v>
      </c>
      <c r="AO56" s="922">
        <f>AO55-BS!AO13</f>
        <v>0</v>
      </c>
      <c r="AP56" s="922">
        <f>AP55-BS!AP13</f>
        <v>0</v>
      </c>
      <c r="AQ56" s="922">
        <f>AQ55-BS!AQ13</f>
        <v>0</v>
      </c>
      <c r="AR56" s="922">
        <f>AR55-BS!AR13</f>
        <v>0</v>
      </c>
      <c r="AS56" s="922">
        <f>AS55-BS!AS13</f>
        <v>0</v>
      </c>
      <c r="AT56" s="922">
        <f>AT55-BS!AT13</f>
        <v>0</v>
      </c>
      <c r="AU56" s="922">
        <f>AU55-BS!AU13</f>
        <v>0</v>
      </c>
      <c r="AV56" s="922">
        <f>AV55-BS!AV13</f>
        <v>0</v>
      </c>
      <c r="AW56" s="922">
        <f>AW55-BS!AW13</f>
        <v>0</v>
      </c>
      <c r="AX56" s="922">
        <f>AX55-BS!AX13</f>
        <v>0</v>
      </c>
      <c r="AY56" s="922">
        <f>AY55-BS!AY13</f>
        <v>0</v>
      </c>
      <c r="AZ56" s="922">
        <f>AZ55-BS!AZ13</f>
        <v>0</v>
      </c>
      <c r="BA56" s="922">
        <f>BA55-BS!BA13</f>
        <v>0</v>
      </c>
      <c r="BB56" s="922">
        <f>BB55-BS!BB13</f>
        <v>0</v>
      </c>
      <c r="BC56" s="922">
        <f>BC55-BS!BC13</f>
        <v>0</v>
      </c>
      <c r="BD56" s="922">
        <f>BD55-BS!BD13</f>
        <v>0</v>
      </c>
      <c r="BE56" s="922">
        <f>BE55-BS!BE13</f>
        <v>0</v>
      </c>
      <c r="BF56" s="922">
        <f>BF55-BS!BF13</f>
        <v>0</v>
      </c>
      <c r="BG56" s="922">
        <f>BG55-BS!BG13</f>
        <v>0</v>
      </c>
      <c r="BH56" s="922">
        <f>BH55-BS!BH13</f>
        <v>0</v>
      </c>
      <c r="BI56" s="922">
        <f>BI55-BS!BI13</f>
        <v>0</v>
      </c>
      <c r="BJ56" s="922">
        <f>BJ55-BS!BJ13</f>
        <v>0</v>
      </c>
      <c r="BK56" s="922">
        <f>BK55-BS!BK13</f>
        <v>0</v>
      </c>
      <c r="BL56" s="922">
        <f>BL55-BS!BL13</f>
        <v>0</v>
      </c>
      <c r="BM56" s="922">
        <f>BM55-BS!BM13</f>
        <v>0</v>
      </c>
      <c r="BN56" s="922">
        <f>BN55-BS!BN13</f>
        <v>0</v>
      </c>
      <c r="BO56" s="922">
        <f>BO55-BS!BO13</f>
        <v>0</v>
      </c>
      <c r="BP56" s="922">
        <f>BP55-BS!BP13</f>
        <v>0</v>
      </c>
      <c r="BQ56" s="922">
        <f>BQ55-BS!BQ13</f>
        <v>0</v>
      </c>
      <c r="BR56" s="922">
        <f>BR55-BS!BR13</f>
        <v>0</v>
      </c>
      <c r="BS56" s="922">
        <f>BS55-BS!BS13</f>
        <v>0</v>
      </c>
      <c r="BT56" s="922">
        <f>BT55-BS!BT13</f>
        <v>0</v>
      </c>
      <c r="BU56" s="922">
        <f>BU55-BS!BU13</f>
        <v>0</v>
      </c>
      <c r="BV56" s="922">
        <f>BV55-BS!BV13</f>
        <v>0</v>
      </c>
      <c r="BW56" s="922">
        <f>BW55-BS!BW13</f>
        <v>0</v>
      </c>
      <c r="BX56" s="922">
        <f>BX55-BS!BX13</f>
        <v>0</v>
      </c>
      <c r="BY56" s="922">
        <f>BY55-BS!BY13</f>
        <v>0</v>
      </c>
      <c r="BZ56" s="922">
        <f>BZ55-BS!BZ13</f>
        <v>0</v>
      </c>
      <c r="CA56" s="922">
        <f>CA55-BS!CA13</f>
        <v>0</v>
      </c>
      <c r="CB56" s="922">
        <f>CB55-BS!CB13</f>
        <v>0</v>
      </c>
      <c r="CC56" s="922">
        <f>CC55-BS!CC13</f>
        <v>0</v>
      </c>
      <c r="CD56" s="804"/>
      <c r="CE56" s="923"/>
      <c r="CF56" s="923">
        <f>CF55-BS!CF13</f>
        <v>0</v>
      </c>
      <c r="CG56" s="923">
        <f>CG55-BS!CG13</f>
        <v>0</v>
      </c>
      <c r="CH56" s="923">
        <f>CH55-BS!CH13</f>
        <v>0</v>
      </c>
      <c r="CI56" s="924">
        <f>CI55-BS!CI13</f>
        <v>0</v>
      </c>
      <c r="CJ56" s="924">
        <f>CJ55-BS!CJ13</f>
        <v>0</v>
      </c>
      <c r="CK56" s="925">
        <f>CK55-BS!CK13</f>
        <v>0</v>
      </c>
      <c r="CL56" s="925">
        <f>CL55-BS!CL13</f>
        <v>0</v>
      </c>
      <c r="CM56" s="925">
        <f>CM55-BS!CM13</f>
        <v>0</v>
      </c>
      <c r="CN56" s="925">
        <f>CN55-BS!CN13</f>
        <v>0</v>
      </c>
      <c r="CO56" s="925">
        <f>CO55-BS!CO13</f>
        <v>0</v>
      </c>
      <c r="CP56" s="925">
        <f>CP55-BS!CP13</f>
        <v>0</v>
      </c>
      <c r="CQ56" s="925">
        <f>CQ55-BS!CQ13</f>
        <v>0</v>
      </c>
      <c r="CR56" s="925">
        <f>CR55-BS!CR13</f>
        <v>0</v>
      </c>
      <c r="CS56" s="925">
        <f>CS55-BS!CS13</f>
        <v>0</v>
      </c>
      <c r="CT56" s="925">
        <f>CT55-BS!CT13</f>
        <v>0</v>
      </c>
      <c r="CU56" s="922">
        <f>CU55-BS!CU13</f>
        <v>0</v>
      </c>
      <c r="CV56" s="922">
        <f>CV55-BS!CV13</f>
        <v>0</v>
      </c>
      <c r="CW56" s="922">
        <f>CW55-BS!CW13</f>
        <v>0</v>
      </c>
      <c r="CX56" s="922">
        <f>CX55-BS!CX13</f>
        <v>0</v>
      </c>
      <c r="CY56" s="922">
        <f>CY55-BS!CY13</f>
        <v>0</v>
      </c>
      <c r="CZ56" s="922">
        <f>CZ55-BS!CZ13</f>
        <v>0</v>
      </c>
      <c r="DA56" s="922">
        <f>DA55-BS!DA13</f>
        <v>0</v>
      </c>
      <c r="DB56" s="922">
        <f>DB55-BS!DB13</f>
        <v>0</v>
      </c>
      <c r="DC56" s="922">
        <f>DC55-BS!DC13</f>
        <v>0</v>
      </c>
      <c r="DD56" s="922"/>
      <c r="DE56" s="174"/>
      <c r="DF56" s="133"/>
      <c r="DG56" s="29"/>
      <c r="DH56" s="29"/>
      <c r="DI56" s="39"/>
      <c r="DJ56" s="728"/>
      <c r="DK56" s="728"/>
      <c r="DL56" s="728"/>
      <c r="DM56" s="133"/>
      <c r="DN56" s="29"/>
      <c r="DO56" s="29"/>
      <c r="DP56" s="29"/>
      <c r="DQ56" s="29"/>
      <c r="DR56" s="29"/>
      <c r="DS56" s="29"/>
      <c r="DT56" s="29"/>
      <c r="DU56" s="29"/>
      <c r="DV56" s="29"/>
      <c r="DW56" s="29"/>
    </row>
    <row r="57" spans="1:138">
      <c r="A57" s="321" t="s">
        <v>25</v>
      </c>
      <c r="B57" s="223" t="s">
        <v>593</v>
      </c>
      <c r="C57" s="223"/>
      <c r="D57" s="223"/>
      <c r="E57" s="223"/>
      <c r="F57" s="223"/>
      <c r="G57" s="223"/>
      <c r="H57" s="223"/>
      <c r="I57" s="223"/>
      <c r="J57" s="223"/>
      <c r="K57" s="223"/>
      <c r="L57" s="223"/>
      <c r="M57" s="223"/>
      <c r="N57" s="223"/>
      <c r="O57" s="223"/>
      <c r="P57" s="223"/>
      <c r="Q57" s="223"/>
      <c r="R57" s="223"/>
      <c r="S57" s="223"/>
      <c r="T57" s="223"/>
      <c r="U57" s="223"/>
      <c r="V57" s="539"/>
      <c r="W57" s="539"/>
      <c r="X57" s="539"/>
      <c r="Y57" s="539"/>
      <c r="Z57" s="539"/>
      <c r="AA57" s="539"/>
      <c r="AB57" s="539"/>
      <c r="AC57" s="539"/>
      <c r="AD57" s="539"/>
      <c r="AE57" s="539"/>
      <c r="AF57" s="539"/>
      <c r="AG57" s="539"/>
      <c r="AH57" s="539"/>
      <c r="AI57" s="539"/>
      <c r="AJ57" s="539"/>
      <c r="AK57" s="539"/>
      <c r="AL57" s="539"/>
      <c r="AM57" s="539"/>
      <c r="AN57" s="539"/>
      <c r="AO57" s="539"/>
      <c r="AP57" s="539"/>
      <c r="AQ57" s="539"/>
      <c r="AR57" s="539"/>
      <c r="AS57" s="539"/>
      <c r="AT57" s="539"/>
      <c r="AU57" s="539"/>
      <c r="AV57" s="539"/>
      <c r="AW57" s="539"/>
      <c r="AX57" s="539"/>
      <c r="AY57" s="539"/>
      <c r="AZ57" s="539"/>
      <c r="BA57" s="539"/>
      <c r="BB57" s="539"/>
      <c r="BC57" s="539"/>
      <c r="BD57" s="539"/>
      <c r="BE57" s="539"/>
      <c r="BF57" s="539"/>
      <c r="BG57" s="539"/>
      <c r="BH57" s="539"/>
      <c r="BI57" s="539"/>
      <c r="BJ57" s="539"/>
      <c r="BK57" s="539"/>
      <c r="BL57" s="539"/>
      <c r="BM57" s="539"/>
      <c r="BN57" s="539"/>
      <c r="BO57" s="539"/>
      <c r="BP57" s="539"/>
      <c r="BQ57" s="539"/>
      <c r="BR57" s="539"/>
      <c r="BS57" s="539"/>
      <c r="BT57" s="539"/>
      <c r="BU57" s="539"/>
      <c r="BV57" s="539"/>
      <c r="BW57" s="539"/>
      <c r="BX57" s="539"/>
      <c r="BY57" s="539"/>
      <c r="BZ57" s="539"/>
      <c r="CA57" s="539"/>
      <c r="CB57" s="539"/>
      <c r="CC57" s="539"/>
      <c r="CD57" s="71"/>
      <c r="CE57" s="539"/>
      <c r="CF57" s="539"/>
      <c r="CG57" s="539"/>
      <c r="CH57" s="539"/>
      <c r="CI57" s="539"/>
      <c r="CJ57" s="539"/>
      <c r="CK57" s="540"/>
      <c r="CL57" s="540"/>
      <c r="CM57" s="539"/>
      <c r="CN57" s="539"/>
      <c r="CO57" s="539"/>
      <c r="CP57" s="539"/>
      <c r="CQ57" s="539"/>
      <c r="CR57" s="539"/>
      <c r="CS57" s="539"/>
      <c r="CT57" s="539"/>
      <c r="CU57" s="539"/>
      <c r="CV57" s="539"/>
      <c r="CW57" s="539"/>
      <c r="CX57" s="539"/>
      <c r="CY57" s="539"/>
      <c r="CZ57" s="539"/>
      <c r="DA57" s="539"/>
      <c r="DB57" s="539"/>
      <c r="DC57" s="539"/>
      <c r="DD57" s="1690"/>
      <c r="DE57" s="174"/>
      <c r="DF57" s="91"/>
      <c r="DG57" s="29"/>
      <c r="DH57" s="29"/>
      <c r="DI57" s="39"/>
      <c r="DJ57" s="724"/>
      <c r="DK57" s="724"/>
      <c r="DL57" s="724"/>
      <c r="DM57" s="725"/>
      <c r="DN57" s="726"/>
      <c r="DO57" s="726"/>
      <c r="DP57" s="726"/>
      <c r="DQ57" s="726"/>
      <c r="DR57" s="726"/>
      <c r="DS57" s="726"/>
      <c r="DT57" s="726"/>
      <c r="DU57" s="726"/>
      <c r="DV57" s="726"/>
      <c r="DW57" s="726"/>
    </row>
    <row r="58" spans="1:138" ht="3" customHeight="1">
      <c r="A58" s="320"/>
      <c r="B58" s="268"/>
      <c r="C58" s="261"/>
      <c r="D58" s="261"/>
      <c r="E58" s="262"/>
      <c r="F58" s="261"/>
      <c r="G58" s="261"/>
      <c r="H58" s="261"/>
      <c r="I58" s="262"/>
      <c r="J58" s="261"/>
      <c r="K58" s="261"/>
      <c r="L58" s="261"/>
      <c r="M58" s="261"/>
      <c r="N58" s="268"/>
      <c r="O58" s="261"/>
      <c r="P58" s="261"/>
      <c r="Q58" s="262"/>
      <c r="R58" s="261"/>
      <c r="S58" s="261"/>
      <c r="T58" s="261"/>
      <c r="U58" s="261"/>
      <c r="V58" s="88"/>
      <c r="W58" s="89"/>
      <c r="X58" s="89"/>
      <c r="Y58" s="90"/>
      <c r="Z58" s="88"/>
      <c r="AA58" s="89"/>
      <c r="AB58" s="89"/>
      <c r="AC58" s="90"/>
      <c r="AD58" s="88"/>
      <c r="AE58" s="89"/>
      <c r="AF58" s="89"/>
      <c r="AG58" s="90"/>
      <c r="AH58" s="88"/>
      <c r="AI58" s="89"/>
      <c r="AJ58" s="89"/>
      <c r="AK58" s="90"/>
      <c r="AL58" s="88"/>
      <c r="AM58" s="89"/>
      <c r="AN58" s="89"/>
      <c r="AO58" s="90"/>
      <c r="AP58" s="88"/>
      <c r="AQ58" s="89"/>
      <c r="AR58" s="89"/>
      <c r="AS58" s="90"/>
      <c r="AT58" s="88"/>
      <c r="AU58" s="89"/>
      <c r="AV58" s="89"/>
      <c r="AW58" s="90"/>
      <c r="AX58" s="88"/>
      <c r="AY58" s="89"/>
      <c r="AZ58" s="89"/>
      <c r="BA58" s="90"/>
      <c r="BB58" s="88"/>
      <c r="BC58" s="89"/>
      <c r="BD58" s="89"/>
      <c r="BE58" s="90"/>
      <c r="BF58" s="88"/>
      <c r="BG58" s="89"/>
      <c r="BH58" s="89"/>
      <c r="BI58" s="90"/>
      <c r="BJ58" s="88"/>
      <c r="BK58" s="89"/>
      <c r="BL58" s="89"/>
      <c r="BM58" s="90"/>
      <c r="BN58" s="88"/>
      <c r="BO58" s="89"/>
      <c r="BP58" s="89"/>
      <c r="BQ58" s="90"/>
      <c r="BR58" s="88"/>
      <c r="BS58" s="89"/>
      <c r="BT58" s="89"/>
      <c r="BU58" s="90"/>
      <c r="BV58" s="88"/>
      <c r="BW58" s="89"/>
      <c r="BX58" s="89"/>
      <c r="BY58" s="90"/>
      <c r="BZ58" s="88"/>
      <c r="CA58" s="89"/>
      <c r="CB58" s="89"/>
      <c r="CC58" s="90"/>
      <c r="CD58" s="115"/>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89"/>
      <c r="DD58" s="90"/>
      <c r="DE58" s="174"/>
      <c r="DF58" s="91"/>
      <c r="DG58" s="29"/>
      <c r="DH58" s="29"/>
      <c r="DI58" s="39"/>
      <c r="DJ58" s="91"/>
      <c r="DK58" s="91"/>
      <c r="DL58" s="91"/>
      <c r="DM58" s="91"/>
      <c r="DN58" s="29"/>
      <c r="DO58" s="29"/>
      <c r="DP58" s="29"/>
      <c r="DQ58" s="29"/>
      <c r="DR58" s="29"/>
      <c r="DS58" s="29"/>
      <c r="DT58" s="29"/>
      <c r="DU58" s="29"/>
      <c r="DV58" s="29"/>
      <c r="DW58" s="29"/>
    </row>
    <row r="59" spans="1:138">
      <c r="A59" s="320"/>
      <c r="B59" s="270" t="s">
        <v>622</v>
      </c>
      <c r="C59" s="266"/>
      <c r="D59" s="266"/>
      <c r="E59" s="267"/>
      <c r="F59" s="266"/>
      <c r="G59" s="266"/>
      <c r="H59" s="266"/>
      <c r="I59" s="90"/>
      <c r="J59" s="266"/>
      <c r="K59" s="266"/>
      <c r="L59" s="266"/>
      <c r="M59" s="90"/>
      <c r="N59" s="266"/>
      <c r="O59" s="266"/>
      <c r="P59" s="266"/>
      <c r="Q59" s="90"/>
      <c r="R59" s="266"/>
      <c r="S59" s="266"/>
      <c r="T59" s="266"/>
      <c r="U59" s="90"/>
      <c r="V59" s="266"/>
      <c r="W59" s="266"/>
      <c r="X59" s="266"/>
      <c r="Y59" s="90"/>
      <c r="Z59" s="266"/>
      <c r="AA59" s="266"/>
      <c r="AB59" s="266"/>
      <c r="AC59" s="90"/>
      <c r="AD59" s="266"/>
      <c r="AE59" s="266"/>
      <c r="AF59" s="266"/>
      <c r="AG59" s="90"/>
      <c r="AH59" s="266"/>
      <c r="AI59" s="266"/>
      <c r="AJ59" s="266"/>
      <c r="AK59" s="90"/>
      <c r="AL59" s="266"/>
      <c r="AM59" s="266"/>
      <c r="AN59" s="266"/>
      <c r="AO59" s="90"/>
      <c r="AP59" s="89"/>
      <c r="AQ59" s="89"/>
      <c r="AR59" s="89"/>
      <c r="AS59" s="90"/>
      <c r="AT59" s="89"/>
      <c r="AU59" s="89"/>
      <c r="AV59" s="89"/>
      <c r="AW59" s="90"/>
      <c r="AX59" s="89"/>
      <c r="AY59" s="89"/>
      <c r="AZ59" s="89"/>
      <c r="BA59" s="90"/>
      <c r="BB59" s="89"/>
      <c r="BC59" s="89"/>
      <c r="BD59" s="89"/>
      <c r="BE59" s="90"/>
      <c r="BF59" s="89"/>
      <c r="BG59" s="89"/>
      <c r="BH59" s="89"/>
      <c r="BI59" s="90"/>
      <c r="BJ59" s="89"/>
      <c r="BK59" s="89"/>
      <c r="BL59" s="89"/>
      <c r="BM59" s="90"/>
      <c r="BN59" s="89"/>
      <c r="BO59" s="89"/>
      <c r="BP59" s="89"/>
      <c r="BQ59" s="90"/>
      <c r="BR59" s="89"/>
      <c r="BS59" s="89"/>
      <c r="BT59" s="89"/>
      <c r="BU59" s="90"/>
      <c r="BV59" s="89"/>
      <c r="BW59" s="89"/>
      <c r="BX59" s="89"/>
      <c r="BY59" s="90"/>
      <c r="BZ59" s="89"/>
      <c r="CA59" s="89"/>
      <c r="CB59" s="89"/>
      <c r="CC59" s="90"/>
      <c r="CD59" s="11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66"/>
      <c r="DE59" s="174"/>
      <c r="DF59" s="91"/>
      <c r="DG59" s="29"/>
      <c r="DH59" s="29"/>
      <c r="DI59" s="39"/>
      <c r="DJ59" s="91"/>
      <c r="DK59" s="91"/>
      <c r="DL59" s="91"/>
      <c r="DM59" s="91"/>
      <c r="DN59" s="29"/>
      <c r="DO59" s="29"/>
      <c r="DP59" s="29"/>
      <c r="DQ59" s="29"/>
      <c r="DR59" s="29"/>
      <c r="DS59" s="29"/>
      <c r="DT59" s="29"/>
      <c r="DU59" s="29"/>
      <c r="DV59" s="29"/>
      <c r="DW59" s="29"/>
    </row>
    <row r="60" spans="1:138">
      <c r="A60" s="321"/>
      <c r="B60" s="270"/>
      <c r="C60" s="264" t="s">
        <v>65</v>
      </c>
      <c r="D60" s="264"/>
      <c r="E60" s="265"/>
      <c r="F60" s="845">
        <v>-33.520000000000003</v>
      </c>
      <c r="G60" s="780">
        <v>-31.939</v>
      </c>
      <c r="H60" s="780">
        <v>-37.686999999999998</v>
      </c>
      <c r="I60" s="846">
        <v>-98.863</v>
      </c>
      <c r="J60" s="845">
        <v>20.518000000000001</v>
      </c>
      <c r="K60" s="780">
        <v>33.112000000000002</v>
      </c>
      <c r="L60" s="780">
        <v>52.31</v>
      </c>
      <c r="M60" s="521">
        <v>65.427999999999997</v>
      </c>
      <c r="N60" s="832">
        <v>22.215</v>
      </c>
      <c r="O60" s="457">
        <v>96.575000000000003</v>
      </c>
      <c r="P60" s="457">
        <v>151.077</v>
      </c>
      <c r="Q60" s="521">
        <v>182.1</v>
      </c>
      <c r="R60" s="832">
        <v>5</v>
      </c>
      <c r="S60" s="457">
        <v>73.8</v>
      </c>
      <c r="T60" s="457">
        <v>121.7</v>
      </c>
      <c r="U60" s="457">
        <v>151.30000000000001</v>
      </c>
      <c r="V60" s="619">
        <v>30.4</v>
      </c>
      <c r="W60" s="459">
        <v>86.4</v>
      </c>
      <c r="X60" s="459">
        <v>157.19999999999999</v>
      </c>
      <c r="Y60" s="522">
        <v>198.4</v>
      </c>
      <c r="Z60" s="619">
        <v>68.8</v>
      </c>
      <c r="AA60" s="459">
        <v>173.1</v>
      </c>
      <c r="AB60" s="459">
        <v>276</v>
      </c>
      <c r="AC60" s="522">
        <v>394.6</v>
      </c>
      <c r="AD60" s="619">
        <v>103</v>
      </c>
      <c r="AE60" s="459">
        <v>231</v>
      </c>
      <c r="AF60" s="457">
        <v>352</v>
      </c>
      <c r="AG60" s="522">
        <v>564</v>
      </c>
      <c r="AH60" s="832">
        <v>69</v>
      </c>
      <c r="AI60" s="527">
        <v>374</v>
      </c>
      <c r="AJ60" s="526">
        <v>654</v>
      </c>
      <c r="AK60" s="534">
        <v>867</v>
      </c>
      <c r="AL60" s="527">
        <v>211</v>
      </c>
      <c r="AM60" s="527">
        <v>225</v>
      </c>
      <c r="AN60" s="527">
        <v>274</v>
      </c>
      <c r="AO60" s="534">
        <v>470</v>
      </c>
      <c r="AP60" s="527">
        <v>288</v>
      </c>
      <c r="AQ60" s="527">
        <v>717</v>
      </c>
      <c r="AR60" s="527">
        <v>1118</v>
      </c>
      <c r="AS60" s="534">
        <v>1382</v>
      </c>
      <c r="AT60" s="527">
        <v>197</v>
      </c>
      <c r="AU60" s="527">
        <v>422</v>
      </c>
      <c r="AV60" s="527">
        <v>568</v>
      </c>
      <c r="AW60" s="534">
        <v>726</v>
      </c>
      <c r="AX60" s="527">
        <v>239</v>
      </c>
      <c r="AY60" s="527">
        <v>384</v>
      </c>
      <c r="AZ60" s="527">
        <v>867</v>
      </c>
      <c r="BA60" s="884">
        <v>1612</v>
      </c>
      <c r="BB60" s="527">
        <v>519</v>
      </c>
      <c r="BC60" s="526">
        <v>854</v>
      </c>
      <c r="BD60" s="527">
        <v>1245</v>
      </c>
      <c r="BE60" s="534">
        <v>980</v>
      </c>
      <c r="BF60" s="527">
        <v>495</v>
      </c>
      <c r="BG60" s="1374">
        <v>925</v>
      </c>
      <c r="BH60" s="1397">
        <v>1300</v>
      </c>
      <c r="BI60" s="1451">
        <v>1617</v>
      </c>
      <c r="BJ60" s="1397">
        <v>423</v>
      </c>
      <c r="BK60" s="1374">
        <v>861</v>
      </c>
      <c r="BL60" s="1397">
        <v>1245</v>
      </c>
      <c r="BM60" s="1451">
        <v>1465</v>
      </c>
      <c r="BN60" s="1397">
        <v>283</v>
      </c>
      <c r="BO60" s="1374">
        <v>534</v>
      </c>
      <c r="BP60" s="1397">
        <v>608</v>
      </c>
      <c r="BQ60" s="1451">
        <v>242</v>
      </c>
      <c r="BR60" s="674">
        <v>-366</v>
      </c>
      <c r="BS60" s="1374">
        <v>-131</v>
      </c>
      <c r="BT60" s="1374">
        <v>117</v>
      </c>
      <c r="BU60" s="1451">
        <v>397</v>
      </c>
      <c r="BV60" s="674">
        <v>681</v>
      </c>
      <c r="BW60" s="674">
        <v>-142</v>
      </c>
      <c r="BX60" s="662">
        <f t="shared" ref="BX60:BX68" si="259">BW60+BX13</f>
        <v>428.84186636899972</v>
      </c>
      <c r="BY60" s="663">
        <f t="shared" ref="BY60:BY68" si="260">BX60+BY13</f>
        <v>912.37527704284457</v>
      </c>
      <c r="BZ60" s="662">
        <f t="shared" ref="BZ60:BZ68" si="261">BZ13</f>
        <v>638.19150366399299</v>
      </c>
      <c r="CA60" s="662">
        <f t="shared" ref="CA60:CA68" si="262">BZ60+CA13</f>
        <v>1200.0140498143478</v>
      </c>
      <c r="CB60" s="662">
        <f t="shared" ref="CB60:CB68" si="263">CA60+CB13</f>
        <v>1598.2080914048602</v>
      </c>
      <c r="CC60" s="663">
        <f t="shared" ref="CC60:CC68" si="264">CB60+CC13</f>
        <v>1945.346221524519</v>
      </c>
      <c r="CD60" s="117"/>
      <c r="CE60" s="847">
        <f t="shared" ref="CE60:CE68" si="265">I60</f>
        <v>-98.863</v>
      </c>
      <c r="CF60" s="35">
        <f t="shared" ref="CF60:CF68" si="266">M60</f>
        <v>65.427999999999997</v>
      </c>
      <c r="CG60" s="35">
        <f t="shared" ref="CG60:CG68" si="267">Q60</f>
        <v>182.1</v>
      </c>
      <c r="CH60" s="35">
        <f t="shared" ref="CH60:CH68" si="268">U60</f>
        <v>151.30000000000001</v>
      </c>
      <c r="CI60" s="35">
        <f t="shared" ref="CI60:CI68" si="269">Y60</f>
        <v>198.4</v>
      </c>
      <c r="CJ60" s="35">
        <f t="shared" ref="CJ60:CJ68" si="270">AC60</f>
        <v>394.6</v>
      </c>
      <c r="CK60" s="35">
        <f t="shared" ref="CK60:CK68" si="271">AG60</f>
        <v>564</v>
      </c>
      <c r="CL60" s="35">
        <f t="shared" ref="CL60:CL68" si="272">AK60</f>
        <v>867</v>
      </c>
      <c r="CM60" s="35">
        <f t="shared" ref="CM60:CM68" si="273">AO60</f>
        <v>470</v>
      </c>
      <c r="CN60" s="35">
        <f t="shared" ref="CN60:CN68" si="274">AS60</f>
        <v>1382</v>
      </c>
      <c r="CO60" s="35">
        <f t="shared" ref="CO60:CO68" si="275">AW60</f>
        <v>726</v>
      </c>
      <c r="CP60" s="35">
        <f t="shared" ref="CP60:CP68" si="276">BA60</f>
        <v>1612</v>
      </c>
      <c r="CQ60" s="35">
        <f t="shared" ref="CQ60:CQ68" si="277">BE60</f>
        <v>980</v>
      </c>
      <c r="CR60" s="35">
        <f t="shared" ref="CR60:CR68" si="278">BI60</f>
        <v>1617</v>
      </c>
      <c r="CS60" s="35">
        <f t="shared" ref="CS60:CS75" si="279">BM60</f>
        <v>1465</v>
      </c>
      <c r="CT60" s="35">
        <f t="shared" ref="CT60:CT75" si="280">BQ60</f>
        <v>242</v>
      </c>
      <c r="CU60" s="662">
        <f t="shared" ref="CU60:CU75" si="281">BU60</f>
        <v>397</v>
      </c>
      <c r="CV60" s="662">
        <f>BY60</f>
        <v>912.37527704284457</v>
      </c>
      <c r="CW60" s="662">
        <f t="shared" ref="CW60:CW75" si="282">CC60</f>
        <v>1945.346221524519</v>
      </c>
      <c r="CX60" s="662">
        <f t="shared" ref="CX60:DC60" si="283">CX13</f>
        <v>2275.2020940646489</v>
      </c>
      <c r="CY60" s="662">
        <f t="shared" si="283"/>
        <v>2421.2963633356276</v>
      </c>
      <c r="CZ60" s="662">
        <f t="shared" si="283"/>
        <v>2648.6104222752533</v>
      </c>
      <c r="DA60" s="662">
        <f t="shared" si="283"/>
        <v>2670.3340380490326</v>
      </c>
      <c r="DB60" s="662">
        <f t="shared" si="283"/>
        <v>2881.31318536872</v>
      </c>
      <c r="DC60" s="662">
        <f t="shared" si="283"/>
        <v>3117.7365510555992</v>
      </c>
      <c r="DD60" s="663"/>
      <c r="DE60" s="174"/>
      <c r="DF60" s="91"/>
      <c r="DG60" s="29"/>
      <c r="DH60" s="29"/>
      <c r="DI60" s="39"/>
      <c r="DJ60" s="29"/>
      <c r="DK60" s="29"/>
      <c r="DL60" s="29"/>
      <c r="DM60" s="91"/>
      <c r="DN60" s="29"/>
      <c r="DO60" s="29"/>
      <c r="DP60" s="29"/>
      <c r="DQ60" s="29"/>
      <c r="DR60" s="29"/>
      <c r="DS60" s="29"/>
      <c r="DT60" s="29"/>
      <c r="DU60" s="29"/>
      <c r="DV60" s="29"/>
      <c r="DW60" s="29"/>
      <c r="EH60" s="1330"/>
    </row>
    <row r="61" spans="1:138">
      <c r="A61" s="321"/>
      <c r="B61" s="270"/>
      <c r="C61" s="264" t="s">
        <v>358</v>
      </c>
      <c r="D61" s="264"/>
      <c r="E61" s="265"/>
      <c r="F61" s="845"/>
      <c r="G61" s="780"/>
      <c r="H61" s="780"/>
      <c r="I61" s="846"/>
      <c r="J61" s="845"/>
      <c r="K61" s="780"/>
      <c r="L61" s="780"/>
      <c r="M61" s="521"/>
      <c r="N61" s="832"/>
      <c r="O61" s="457"/>
      <c r="P61" s="457"/>
      <c r="Q61" s="521"/>
      <c r="R61" s="832"/>
      <c r="S61" s="457"/>
      <c r="T61" s="457"/>
      <c r="U61" s="457"/>
      <c r="V61" s="832"/>
      <c r="W61" s="457"/>
      <c r="X61" s="457"/>
      <c r="Y61" s="521"/>
      <c r="Z61" s="832"/>
      <c r="AA61" s="457"/>
      <c r="AB61" s="457"/>
      <c r="AC61" s="521"/>
      <c r="AD61" s="832"/>
      <c r="AE61" s="457"/>
      <c r="AF61" s="457"/>
      <c r="AG61" s="522"/>
      <c r="AH61" s="832"/>
      <c r="AI61" s="527"/>
      <c r="AJ61" s="526">
        <v>0</v>
      </c>
      <c r="AK61" s="534">
        <v>0</v>
      </c>
      <c r="AL61" s="527">
        <v>0</v>
      </c>
      <c r="AM61" s="527">
        <v>0</v>
      </c>
      <c r="AN61" s="527">
        <v>0</v>
      </c>
      <c r="AO61" s="534">
        <v>0</v>
      </c>
      <c r="AP61" s="527">
        <v>0</v>
      </c>
      <c r="AQ61" s="527">
        <v>0</v>
      </c>
      <c r="AR61" s="527">
        <v>0</v>
      </c>
      <c r="AS61" s="534">
        <v>0</v>
      </c>
      <c r="AT61" s="527">
        <v>0</v>
      </c>
      <c r="AU61" s="527">
        <v>0</v>
      </c>
      <c r="AV61" s="527">
        <v>0</v>
      </c>
      <c r="AW61" s="534">
        <v>0</v>
      </c>
      <c r="AX61" s="527">
        <v>0</v>
      </c>
      <c r="AY61" s="527">
        <v>0</v>
      </c>
      <c r="AZ61" s="527">
        <v>0</v>
      </c>
      <c r="BA61" s="884">
        <v>0</v>
      </c>
      <c r="BB61" s="527">
        <v>0</v>
      </c>
      <c r="BC61" s="526">
        <v>0</v>
      </c>
      <c r="BD61" s="527">
        <v>0</v>
      </c>
      <c r="BE61" s="534">
        <v>0</v>
      </c>
      <c r="BF61" s="527">
        <v>0</v>
      </c>
      <c r="BG61" s="1374">
        <v>0</v>
      </c>
      <c r="BH61" s="1397">
        <v>0</v>
      </c>
      <c r="BI61" s="663">
        <v>0</v>
      </c>
      <c r="BJ61" s="1397">
        <v>0</v>
      </c>
      <c r="BK61" s="1374">
        <v>0</v>
      </c>
      <c r="BL61" s="1397">
        <v>0</v>
      </c>
      <c r="BM61" s="663">
        <v>0</v>
      </c>
      <c r="BN61" s="1397">
        <v>0</v>
      </c>
      <c r="BO61" s="1374">
        <v>0</v>
      </c>
      <c r="BP61" s="1397">
        <v>0</v>
      </c>
      <c r="BQ61" s="663">
        <v>0</v>
      </c>
      <c r="BR61" s="674">
        <v>0</v>
      </c>
      <c r="BS61" s="1374">
        <v>0</v>
      </c>
      <c r="BT61" s="1374">
        <v>0</v>
      </c>
      <c r="BU61" s="663">
        <v>0</v>
      </c>
      <c r="BV61" s="674">
        <v>0</v>
      </c>
      <c r="BW61" s="674">
        <v>0</v>
      </c>
      <c r="BX61" s="662">
        <f t="shared" si="259"/>
        <v>0</v>
      </c>
      <c r="BY61" s="663">
        <f t="shared" si="260"/>
        <v>0</v>
      </c>
      <c r="BZ61" s="662">
        <f t="shared" si="261"/>
        <v>0</v>
      </c>
      <c r="CA61" s="662">
        <f t="shared" si="262"/>
        <v>0</v>
      </c>
      <c r="CB61" s="662">
        <f t="shared" si="263"/>
        <v>0</v>
      </c>
      <c r="CC61" s="663">
        <f t="shared" si="264"/>
        <v>0</v>
      </c>
      <c r="CD61" s="117"/>
      <c r="CE61" s="847">
        <f t="shared" si="265"/>
        <v>0</v>
      </c>
      <c r="CF61" s="35">
        <f t="shared" si="266"/>
        <v>0</v>
      </c>
      <c r="CG61" s="35">
        <f t="shared" si="267"/>
        <v>0</v>
      </c>
      <c r="CH61" s="35">
        <f t="shared" si="268"/>
        <v>0</v>
      </c>
      <c r="CI61" s="35">
        <f t="shared" si="269"/>
        <v>0</v>
      </c>
      <c r="CJ61" s="35">
        <f t="shared" si="270"/>
        <v>0</v>
      </c>
      <c r="CK61" s="35">
        <f t="shared" si="271"/>
        <v>0</v>
      </c>
      <c r="CL61" s="35">
        <f t="shared" si="272"/>
        <v>0</v>
      </c>
      <c r="CM61" s="35">
        <f t="shared" si="273"/>
        <v>0</v>
      </c>
      <c r="CN61" s="35">
        <f t="shared" si="274"/>
        <v>0</v>
      </c>
      <c r="CO61" s="35">
        <f t="shared" si="275"/>
        <v>0</v>
      </c>
      <c r="CP61" s="35">
        <f t="shared" si="276"/>
        <v>0</v>
      </c>
      <c r="CQ61" s="35">
        <f t="shared" si="277"/>
        <v>0</v>
      </c>
      <c r="CR61" s="35">
        <f t="shared" si="278"/>
        <v>0</v>
      </c>
      <c r="CS61" s="35">
        <f t="shared" si="279"/>
        <v>0</v>
      </c>
      <c r="CT61" s="35">
        <f t="shared" si="280"/>
        <v>0</v>
      </c>
      <c r="CU61" s="662">
        <f t="shared" si="281"/>
        <v>0</v>
      </c>
      <c r="CV61" s="662">
        <f t="shared" ref="CV61:CV75" si="284">BY61</f>
        <v>0</v>
      </c>
      <c r="CW61" s="662">
        <f t="shared" si="282"/>
        <v>0</v>
      </c>
      <c r="CX61" s="662">
        <f t="shared" ref="CX61:DA75" si="285">CX14</f>
        <v>0</v>
      </c>
      <c r="CY61" s="662">
        <f t="shared" si="285"/>
        <v>0</v>
      </c>
      <c r="CZ61" s="662">
        <f t="shared" si="285"/>
        <v>0</v>
      </c>
      <c r="DA61" s="662">
        <f t="shared" si="285"/>
        <v>0</v>
      </c>
      <c r="DB61" s="662">
        <f t="shared" ref="DB61:DC75" si="286">DB14</f>
        <v>0</v>
      </c>
      <c r="DC61" s="662">
        <f t="shared" si="286"/>
        <v>0</v>
      </c>
      <c r="DD61" s="663"/>
      <c r="DE61" s="174"/>
      <c r="DF61" s="91"/>
      <c r="DG61" s="29"/>
      <c r="DH61" s="29"/>
      <c r="DI61" s="39"/>
      <c r="DJ61" s="29"/>
      <c r="DK61" s="29"/>
      <c r="DL61" s="29"/>
      <c r="DM61" s="91"/>
      <c r="DN61" s="29"/>
      <c r="DO61" s="29"/>
      <c r="DP61" s="29"/>
      <c r="DQ61" s="29"/>
      <c r="DR61" s="29"/>
      <c r="DS61" s="29"/>
      <c r="DT61" s="29"/>
      <c r="DU61" s="29"/>
      <c r="DV61" s="29"/>
      <c r="DW61" s="29"/>
      <c r="EH61" s="1330"/>
    </row>
    <row r="62" spans="1:138">
      <c r="A62" s="320"/>
      <c r="B62" s="208"/>
      <c r="C62" s="196" t="s">
        <v>617</v>
      </c>
      <c r="D62" s="196"/>
      <c r="E62" s="197"/>
      <c r="F62" s="845">
        <v>13.76</v>
      </c>
      <c r="G62" s="780">
        <v>26.689</v>
      </c>
      <c r="H62" s="780">
        <v>39.530999999999999</v>
      </c>
      <c r="I62" s="846">
        <v>51.905000000000001</v>
      </c>
      <c r="J62" s="845">
        <v>11.26</v>
      </c>
      <c r="K62" s="780">
        <v>22.609000000000002</v>
      </c>
      <c r="L62" s="780">
        <v>34.323999999999998</v>
      </c>
      <c r="M62" s="521">
        <v>45.793999999999997</v>
      </c>
      <c r="N62" s="832">
        <v>11.634</v>
      </c>
      <c r="O62" s="457">
        <v>23.436</v>
      </c>
      <c r="P62" s="457">
        <v>36.298000000000002</v>
      </c>
      <c r="Q62" s="521">
        <v>50.4</v>
      </c>
      <c r="R62" s="832">
        <v>21.4</v>
      </c>
      <c r="S62" s="457">
        <v>47.2</v>
      </c>
      <c r="T62" s="457">
        <v>74</v>
      </c>
      <c r="U62" s="457">
        <v>101.7</v>
      </c>
      <c r="V62" s="832">
        <v>29</v>
      </c>
      <c r="W62" s="457">
        <v>61.5</v>
      </c>
      <c r="X62" s="457">
        <v>97.2</v>
      </c>
      <c r="Y62" s="521">
        <v>134.80000000000001</v>
      </c>
      <c r="Z62" s="832">
        <v>35.6</v>
      </c>
      <c r="AA62" s="457">
        <v>74.2</v>
      </c>
      <c r="AB62" s="457">
        <v>116.1</v>
      </c>
      <c r="AC62" s="521">
        <v>159.80000000000001</v>
      </c>
      <c r="AD62" s="832">
        <v>45</v>
      </c>
      <c r="AE62" s="457">
        <v>94</v>
      </c>
      <c r="AF62" s="457">
        <v>149</v>
      </c>
      <c r="AG62" s="522">
        <v>210</v>
      </c>
      <c r="AH62" s="832">
        <v>78</v>
      </c>
      <c r="AI62" s="527">
        <v>189</v>
      </c>
      <c r="AJ62" s="526">
        <v>300</v>
      </c>
      <c r="AK62" s="534">
        <v>413</v>
      </c>
      <c r="AL62" s="527">
        <v>117</v>
      </c>
      <c r="AM62" s="527">
        <v>239</v>
      </c>
      <c r="AN62" s="527">
        <v>358</v>
      </c>
      <c r="AO62" s="534">
        <v>479</v>
      </c>
      <c r="AP62" s="527">
        <v>121</v>
      </c>
      <c r="AQ62" s="527">
        <v>247</v>
      </c>
      <c r="AR62" s="527">
        <v>376</v>
      </c>
      <c r="AS62" s="534">
        <v>510</v>
      </c>
      <c r="AT62" s="527">
        <v>150</v>
      </c>
      <c r="AU62" s="527">
        <v>301</v>
      </c>
      <c r="AV62" s="527">
        <v>452</v>
      </c>
      <c r="AW62" s="534">
        <v>602</v>
      </c>
      <c r="AX62" s="527">
        <v>158</v>
      </c>
      <c r="AY62" s="527">
        <v>298</v>
      </c>
      <c r="AZ62" s="527">
        <v>486</v>
      </c>
      <c r="BA62" s="884">
        <v>825</v>
      </c>
      <c r="BB62" s="527">
        <v>313</v>
      </c>
      <c r="BC62" s="526">
        <v>622</v>
      </c>
      <c r="BD62" s="527">
        <v>931</v>
      </c>
      <c r="BE62" s="534">
        <v>1233</v>
      </c>
      <c r="BF62" s="527">
        <v>312</v>
      </c>
      <c r="BG62" s="1374">
        <v>629</v>
      </c>
      <c r="BH62" s="1397">
        <v>936</v>
      </c>
      <c r="BI62" s="1451">
        <v>1244</v>
      </c>
      <c r="BJ62" s="1397">
        <v>289</v>
      </c>
      <c r="BK62" s="1374">
        <v>579</v>
      </c>
      <c r="BL62" s="1397">
        <v>864</v>
      </c>
      <c r="BM62" s="1451">
        <v>1114</v>
      </c>
      <c r="BN62" s="1397">
        <v>236</v>
      </c>
      <c r="BO62" s="1374">
        <v>488</v>
      </c>
      <c r="BP62" s="1397">
        <v>734</v>
      </c>
      <c r="BQ62" s="1451">
        <v>1154</v>
      </c>
      <c r="BR62" s="674">
        <v>508</v>
      </c>
      <c r="BS62" s="1374">
        <v>1022</v>
      </c>
      <c r="BT62" s="1374">
        <v>1582</v>
      </c>
      <c r="BU62" s="1451">
        <v>2128</v>
      </c>
      <c r="BV62" s="674">
        <v>533</v>
      </c>
      <c r="BW62" s="674">
        <v>1068</v>
      </c>
      <c r="BX62" s="662">
        <f t="shared" si="259"/>
        <v>1443.7153757589285</v>
      </c>
      <c r="BY62" s="663">
        <f t="shared" si="260"/>
        <v>1828.3957967330034</v>
      </c>
      <c r="BZ62" s="662">
        <f t="shared" si="261"/>
        <v>396.70836252236114</v>
      </c>
      <c r="CA62" s="662">
        <f t="shared" si="262"/>
        <v>805.09422904337566</v>
      </c>
      <c r="CB62" s="662">
        <f t="shared" si="263"/>
        <v>1224.2370716193448</v>
      </c>
      <c r="CC62" s="663">
        <f t="shared" si="264"/>
        <v>1658.0015398208395</v>
      </c>
      <c r="CD62" s="115"/>
      <c r="CE62" s="847">
        <f t="shared" si="265"/>
        <v>51.905000000000001</v>
      </c>
      <c r="CF62" s="35">
        <f t="shared" si="266"/>
        <v>45.793999999999997</v>
      </c>
      <c r="CG62" s="35">
        <f t="shared" si="267"/>
        <v>50.4</v>
      </c>
      <c r="CH62" s="35">
        <f t="shared" si="268"/>
        <v>101.7</v>
      </c>
      <c r="CI62" s="35">
        <f t="shared" si="269"/>
        <v>134.80000000000001</v>
      </c>
      <c r="CJ62" s="35">
        <f t="shared" si="270"/>
        <v>159.80000000000001</v>
      </c>
      <c r="CK62" s="35">
        <f t="shared" si="271"/>
        <v>210</v>
      </c>
      <c r="CL62" s="35">
        <f t="shared" si="272"/>
        <v>413</v>
      </c>
      <c r="CM62" s="35">
        <f t="shared" si="273"/>
        <v>479</v>
      </c>
      <c r="CN62" s="35">
        <f t="shared" si="274"/>
        <v>510</v>
      </c>
      <c r="CO62" s="35">
        <f t="shared" si="275"/>
        <v>602</v>
      </c>
      <c r="CP62" s="35">
        <f t="shared" si="276"/>
        <v>825</v>
      </c>
      <c r="CQ62" s="35">
        <f t="shared" si="277"/>
        <v>1233</v>
      </c>
      <c r="CR62" s="35">
        <f t="shared" si="278"/>
        <v>1244</v>
      </c>
      <c r="CS62" s="35">
        <f t="shared" si="279"/>
        <v>1114</v>
      </c>
      <c r="CT62" s="35">
        <f t="shared" si="280"/>
        <v>1154</v>
      </c>
      <c r="CU62" s="662">
        <f t="shared" si="281"/>
        <v>2128</v>
      </c>
      <c r="CV62" s="662">
        <f t="shared" si="284"/>
        <v>1828.3957967330034</v>
      </c>
      <c r="CW62" s="662">
        <f t="shared" si="282"/>
        <v>1658.0015398208395</v>
      </c>
      <c r="CX62" s="662">
        <f t="shared" si="285"/>
        <v>1829.0753339658129</v>
      </c>
      <c r="CY62" s="662">
        <f t="shared" si="285"/>
        <v>1415.8333134950572</v>
      </c>
      <c r="CZ62" s="662">
        <f t="shared" si="285"/>
        <v>1561.8556946851677</v>
      </c>
      <c r="DA62" s="662">
        <f t="shared" si="285"/>
        <v>1432.9834507693315</v>
      </c>
      <c r="DB62" s="662">
        <f t="shared" si="286"/>
        <v>1570.7712490121428</v>
      </c>
      <c r="DC62" s="662">
        <f t="shared" si="286"/>
        <v>1715.7539540343084</v>
      </c>
      <c r="DD62" s="663"/>
      <c r="DE62" s="174"/>
      <c r="DF62" s="91"/>
      <c r="DG62" s="29"/>
      <c r="DH62" s="29"/>
      <c r="DI62" s="39"/>
      <c r="DJ62" s="29"/>
      <c r="DK62" s="29"/>
      <c r="DL62" s="29"/>
      <c r="DM62" s="91"/>
      <c r="DN62" s="29"/>
      <c r="DO62" s="29"/>
      <c r="DP62" s="29"/>
      <c r="DQ62" s="29"/>
      <c r="DR62" s="29"/>
      <c r="DS62" s="29"/>
      <c r="DT62" s="29"/>
      <c r="DU62" s="29"/>
      <c r="DV62" s="29"/>
      <c r="DW62" s="29"/>
      <c r="EH62" s="1330"/>
    </row>
    <row r="63" spans="1:138">
      <c r="A63" s="320"/>
      <c r="B63" s="208"/>
      <c r="C63" s="51" t="s">
        <v>786</v>
      </c>
      <c r="D63" s="196"/>
      <c r="E63" s="197"/>
      <c r="F63" s="845">
        <v>0</v>
      </c>
      <c r="G63" s="780">
        <v>0</v>
      </c>
      <c r="H63" s="780">
        <v>0</v>
      </c>
      <c r="I63" s="846">
        <v>0</v>
      </c>
      <c r="J63" s="845">
        <v>0</v>
      </c>
      <c r="K63" s="780">
        <v>0</v>
      </c>
      <c r="L63" s="780">
        <v>0</v>
      </c>
      <c r="M63" s="521">
        <v>0</v>
      </c>
      <c r="N63" s="832">
        <v>0</v>
      </c>
      <c r="O63" s="457">
        <v>0</v>
      </c>
      <c r="P63" s="457">
        <v>0</v>
      </c>
      <c r="Q63" s="521">
        <v>0</v>
      </c>
      <c r="R63" s="832">
        <v>0</v>
      </c>
      <c r="S63" s="457">
        <v>0</v>
      </c>
      <c r="T63" s="457">
        <v>0</v>
      </c>
      <c r="U63" s="457">
        <v>0</v>
      </c>
      <c r="V63" s="832">
        <v>0</v>
      </c>
      <c r="W63" s="457">
        <v>0</v>
      </c>
      <c r="X63" s="457">
        <v>0</v>
      </c>
      <c r="Y63" s="521">
        <v>0</v>
      </c>
      <c r="Z63" s="457">
        <v>0</v>
      </c>
      <c r="AA63" s="457">
        <v>0</v>
      </c>
      <c r="AB63" s="457">
        <v>0</v>
      </c>
      <c r="AC63" s="521">
        <v>-22.3</v>
      </c>
      <c r="AD63" s="832">
        <v>0</v>
      </c>
      <c r="AE63" s="457">
        <v>0</v>
      </c>
      <c r="AF63" s="457">
        <v>3</v>
      </c>
      <c r="AG63" s="522">
        <v>-126</v>
      </c>
      <c r="AH63" s="832">
        <v>60</v>
      </c>
      <c r="AI63" s="527">
        <v>62</v>
      </c>
      <c r="AJ63" s="526">
        <v>76</v>
      </c>
      <c r="AK63" s="534">
        <v>-2</v>
      </c>
      <c r="AL63" s="527">
        <v>0</v>
      </c>
      <c r="AM63" s="527">
        <v>-7</v>
      </c>
      <c r="AN63" s="527">
        <v>-7</v>
      </c>
      <c r="AO63" s="534">
        <v>24</v>
      </c>
      <c r="AP63" s="527">
        <v>0</v>
      </c>
      <c r="AQ63" s="527">
        <v>-5</v>
      </c>
      <c r="AR63" s="527">
        <v>-2</v>
      </c>
      <c r="AS63" s="534">
        <v>27</v>
      </c>
      <c r="AT63" s="527">
        <v>0</v>
      </c>
      <c r="AU63" s="527">
        <v>1</v>
      </c>
      <c r="AV63" s="527">
        <v>4</v>
      </c>
      <c r="AW63" s="534">
        <v>20</v>
      </c>
      <c r="AX63" s="527">
        <v>9</v>
      </c>
      <c r="AY63" s="527">
        <v>18</v>
      </c>
      <c r="AZ63" s="527">
        <v>42</v>
      </c>
      <c r="BA63" s="884">
        <v>34</v>
      </c>
      <c r="BB63" s="527">
        <v>-12</v>
      </c>
      <c r="BC63" s="526">
        <v>68</v>
      </c>
      <c r="BD63" s="527">
        <v>59</v>
      </c>
      <c r="BE63" s="534">
        <v>35</v>
      </c>
      <c r="BF63" s="527">
        <v>-10</v>
      </c>
      <c r="BG63" s="1374">
        <v>-39</v>
      </c>
      <c r="BH63" s="1397">
        <v>-66</v>
      </c>
      <c r="BI63" s="1451">
        <v>-13</v>
      </c>
      <c r="BJ63" s="1397">
        <v>10</v>
      </c>
      <c r="BK63" s="1374">
        <v>31</v>
      </c>
      <c r="BL63" s="1397">
        <v>9</v>
      </c>
      <c r="BM63" s="1451">
        <v>28</v>
      </c>
      <c r="BN63" s="1397">
        <v>-7</v>
      </c>
      <c r="BO63" s="1374">
        <v>15</v>
      </c>
      <c r="BP63" s="1397">
        <v>-17</v>
      </c>
      <c r="BQ63" s="1451">
        <v>-149</v>
      </c>
      <c r="BR63" s="674">
        <v>147</v>
      </c>
      <c r="BS63" s="1374">
        <v>117</v>
      </c>
      <c r="BT63" s="1374">
        <v>61</v>
      </c>
      <c r="BU63" s="1451">
        <v>12</v>
      </c>
      <c r="BV63" s="674">
        <v>36</v>
      </c>
      <c r="BW63" s="674">
        <v>165</v>
      </c>
      <c r="BX63" s="662">
        <f t="shared" si="259"/>
        <v>165</v>
      </c>
      <c r="BY63" s="663">
        <f t="shared" si="260"/>
        <v>165</v>
      </c>
      <c r="BZ63" s="662">
        <f t="shared" si="261"/>
        <v>0</v>
      </c>
      <c r="CA63" s="662">
        <f t="shared" si="262"/>
        <v>0</v>
      </c>
      <c r="CB63" s="662">
        <f t="shared" si="263"/>
        <v>0</v>
      </c>
      <c r="CC63" s="663">
        <f t="shared" si="264"/>
        <v>0</v>
      </c>
      <c r="CD63" s="115"/>
      <c r="CE63" s="847">
        <f t="shared" si="265"/>
        <v>0</v>
      </c>
      <c r="CF63" s="35">
        <f t="shared" si="266"/>
        <v>0</v>
      </c>
      <c r="CG63" s="35">
        <f t="shared" si="267"/>
        <v>0</v>
      </c>
      <c r="CH63" s="35">
        <f t="shared" si="268"/>
        <v>0</v>
      </c>
      <c r="CI63" s="35">
        <f t="shared" si="269"/>
        <v>0</v>
      </c>
      <c r="CJ63" s="35">
        <f t="shared" si="270"/>
        <v>-22.3</v>
      </c>
      <c r="CK63" s="35">
        <f t="shared" si="271"/>
        <v>-126</v>
      </c>
      <c r="CL63" s="35">
        <f t="shared" si="272"/>
        <v>-2</v>
      </c>
      <c r="CM63" s="35">
        <f t="shared" si="273"/>
        <v>24</v>
      </c>
      <c r="CN63" s="35">
        <f t="shared" si="274"/>
        <v>27</v>
      </c>
      <c r="CO63" s="35">
        <f t="shared" si="275"/>
        <v>20</v>
      </c>
      <c r="CP63" s="35">
        <f t="shared" si="276"/>
        <v>34</v>
      </c>
      <c r="CQ63" s="35">
        <f t="shared" si="277"/>
        <v>35</v>
      </c>
      <c r="CR63" s="35">
        <f t="shared" si="278"/>
        <v>-13</v>
      </c>
      <c r="CS63" s="35">
        <f t="shared" si="279"/>
        <v>28</v>
      </c>
      <c r="CT63" s="35">
        <f t="shared" si="280"/>
        <v>-149</v>
      </c>
      <c r="CU63" s="662">
        <f t="shared" si="281"/>
        <v>12</v>
      </c>
      <c r="CV63" s="662">
        <f t="shared" si="284"/>
        <v>165</v>
      </c>
      <c r="CW63" s="662">
        <f t="shared" si="282"/>
        <v>0</v>
      </c>
      <c r="CX63" s="662">
        <f t="shared" si="285"/>
        <v>0</v>
      </c>
      <c r="CY63" s="662">
        <f t="shared" si="285"/>
        <v>0</v>
      </c>
      <c r="CZ63" s="662">
        <f t="shared" si="285"/>
        <v>0</v>
      </c>
      <c r="DA63" s="662">
        <f t="shared" si="285"/>
        <v>0</v>
      </c>
      <c r="DB63" s="662">
        <f t="shared" si="286"/>
        <v>0</v>
      </c>
      <c r="DC63" s="662">
        <f t="shared" si="286"/>
        <v>0</v>
      </c>
      <c r="DD63" s="663"/>
      <c r="DE63" s="174"/>
      <c r="DF63" s="91"/>
      <c r="DG63" s="29"/>
      <c r="DH63" s="29"/>
      <c r="DI63" s="39"/>
      <c r="DJ63" s="29"/>
      <c r="DK63" s="29"/>
      <c r="DL63" s="29"/>
      <c r="DM63" s="91"/>
      <c r="DN63" s="29"/>
      <c r="DO63" s="29"/>
      <c r="DP63" s="29"/>
      <c r="DQ63" s="29"/>
      <c r="DR63" s="29"/>
      <c r="DS63" s="29"/>
      <c r="DT63" s="29"/>
      <c r="DU63" s="29"/>
      <c r="DV63" s="29"/>
      <c r="DW63" s="29"/>
      <c r="EH63" s="1330"/>
    </row>
    <row r="64" spans="1:138">
      <c r="A64" s="320"/>
      <c r="B64" s="208"/>
      <c r="C64" s="51" t="s">
        <v>787</v>
      </c>
      <c r="D64" s="196"/>
      <c r="E64" s="197"/>
      <c r="F64" s="845"/>
      <c r="G64" s="780"/>
      <c r="H64" s="780"/>
      <c r="I64" s="846">
        <v>0</v>
      </c>
      <c r="J64" s="845">
        <v>0</v>
      </c>
      <c r="K64" s="780">
        <v>0</v>
      </c>
      <c r="L64" s="780">
        <v>0</v>
      </c>
      <c r="M64" s="521">
        <v>0</v>
      </c>
      <c r="N64" s="832">
        <v>0</v>
      </c>
      <c r="O64" s="457">
        <v>0</v>
      </c>
      <c r="P64" s="457">
        <v>0</v>
      </c>
      <c r="Q64" s="521">
        <v>0</v>
      </c>
      <c r="R64" s="832">
        <v>25.6</v>
      </c>
      <c r="S64" s="457">
        <v>25.6</v>
      </c>
      <c r="T64" s="457">
        <v>25.6</v>
      </c>
      <c r="U64" s="521">
        <v>25.6</v>
      </c>
      <c r="V64" s="832"/>
      <c r="W64" s="457"/>
      <c r="X64" s="457"/>
      <c r="Y64" s="521"/>
      <c r="Z64" s="457"/>
      <c r="AA64" s="457"/>
      <c r="AB64" s="457"/>
      <c r="AC64" s="521"/>
      <c r="AD64" s="832">
        <v>0</v>
      </c>
      <c r="AE64" s="457">
        <v>0</v>
      </c>
      <c r="AF64" s="457">
        <v>0</v>
      </c>
      <c r="AG64" s="522">
        <v>0</v>
      </c>
      <c r="AH64" s="832">
        <v>49</v>
      </c>
      <c r="AI64" s="527">
        <v>49</v>
      </c>
      <c r="AJ64" s="526">
        <v>49</v>
      </c>
      <c r="AK64" s="534">
        <v>49</v>
      </c>
      <c r="AL64" s="527">
        <v>0</v>
      </c>
      <c r="AM64" s="527">
        <v>0</v>
      </c>
      <c r="AN64" s="527">
        <v>0</v>
      </c>
      <c r="AO64" s="534">
        <v>0</v>
      </c>
      <c r="AP64" s="527">
        <v>0</v>
      </c>
      <c r="AQ64" s="527">
        <v>0</v>
      </c>
      <c r="AR64" s="527">
        <v>0</v>
      </c>
      <c r="AS64" s="534">
        <v>0</v>
      </c>
      <c r="AT64" s="527">
        <v>0</v>
      </c>
      <c r="AU64" s="527">
        <v>0</v>
      </c>
      <c r="AV64" s="527">
        <v>0</v>
      </c>
      <c r="AW64" s="534">
        <v>0</v>
      </c>
      <c r="AX64" s="527">
        <v>0</v>
      </c>
      <c r="AY64" s="527">
        <v>0</v>
      </c>
      <c r="AZ64" s="527">
        <v>0</v>
      </c>
      <c r="BA64" s="884">
        <v>0</v>
      </c>
      <c r="BB64" s="527">
        <v>0</v>
      </c>
      <c r="BC64" s="526">
        <v>0</v>
      </c>
      <c r="BD64" s="527">
        <v>0</v>
      </c>
      <c r="BE64" s="534">
        <v>0</v>
      </c>
      <c r="BF64" s="527">
        <v>0</v>
      </c>
      <c r="BG64" s="1374">
        <v>0</v>
      </c>
      <c r="BH64" s="1397">
        <v>0</v>
      </c>
      <c r="BI64" s="1451">
        <v>0</v>
      </c>
      <c r="BJ64" s="1397">
        <v>0</v>
      </c>
      <c r="BK64" s="1374">
        <v>0</v>
      </c>
      <c r="BL64" s="1397">
        <v>0</v>
      </c>
      <c r="BM64" s="1451">
        <v>0</v>
      </c>
      <c r="BN64" s="1397">
        <v>0</v>
      </c>
      <c r="BO64" s="1374">
        <v>0</v>
      </c>
      <c r="BP64" s="1397">
        <v>0</v>
      </c>
      <c r="BQ64" s="1451">
        <v>0</v>
      </c>
      <c r="BR64" s="674">
        <v>0</v>
      </c>
      <c r="BS64" s="1374">
        <v>0</v>
      </c>
      <c r="BT64" s="1374">
        <v>0</v>
      </c>
      <c r="BU64" s="1451">
        <v>0</v>
      </c>
      <c r="BV64" s="674">
        <v>0</v>
      </c>
      <c r="BW64" s="674">
        <v>0</v>
      </c>
      <c r="BX64" s="662">
        <f t="shared" si="259"/>
        <v>0</v>
      </c>
      <c r="BY64" s="663">
        <f t="shared" si="260"/>
        <v>0</v>
      </c>
      <c r="BZ64" s="662">
        <f t="shared" si="261"/>
        <v>0</v>
      </c>
      <c r="CA64" s="662">
        <f t="shared" si="262"/>
        <v>0</v>
      </c>
      <c r="CB64" s="662">
        <f t="shared" si="263"/>
        <v>0</v>
      </c>
      <c r="CC64" s="663">
        <f t="shared" si="264"/>
        <v>0</v>
      </c>
      <c r="CD64" s="115"/>
      <c r="CE64" s="847">
        <f t="shared" si="265"/>
        <v>0</v>
      </c>
      <c r="CF64" s="35">
        <f t="shared" si="266"/>
        <v>0</v>
      </c>
      <c r="CG64" s="35">
        <f t="shared" si="267"/>
        <v>0</v>
      </c>
      <c r="CH64" s="35">
        <f t="shared" si="268"/>
        <v>25.6</v>
      </c>
      <c r="CI64" s="35">
        <f t="shared" si="269"/>
        <v>0</v>
      </c>
      <c r="CJ64" s="35">
        <f t="shared" si="270"/>
        <v>0</v>
      </c>
      <c r="CK64" s="35">
        <f t="shared" si="271"/>
        <v>0</v>
      </c>
      <c r="CL64" s="35">
        <f t="shared" si="272"/>
        <v>49</v>
      </c>
      <c r="CM64" s="35">
        <f t="shared" si="273"/>
        <v>0</v>
      </c>
      <c r="CN64" s="35">
        <f t="shared" si="274"/>
        <v>0</v>
      </c>
      <c r="CO64" s="35">
        <f t="shared" si="275"/>
        <v>0</v>
      </c>
      <c r="CP64" s="35">
        <f t="shared" si="276"/>
        <v>0</v>
      </c>
      <c r="CQ64" s="35">
        <f t="shared" si="277"/>
        <v>0</v>
      </c>
      <c r="CR64" s="35">
        <f t="shared" si="278"/>
        <v>0</v>
      </c>
      <c r="CS64" s="35">
        <f t="shared" si="279"/>
        <v>0</v>
      </c>
      <c r="CT64" s="35">
        <f t="shared" si="280"/>
        <v>0</v>
      </c>
      <c r="CU64" s="662">
        <f t="shared" si="281"/>
        <v>0</v>
      </c>
      <c r="CV64" s="662">
        <f t="shared" si="284"/>
        <v>0</v>
      </c>
      <c r="CW64" s="662">
        <f t="shared" si="282"/>
        <v>0</v>
      </c>
      <c r="CX64" s="662">
        <f t="shared" si="285"/>
        <v>0</v>
      </c>
      <c r="CY64" s="662">
        <f t="shared" si="285"/>
        <v>0</v>
      </c>
      <c r="CZ64" s="662">
        <f t="shared" si="285"/>
        <v>0</v>
      </c>
      <c r="DA64" s="662">
        <f t="shared" si="285"/>
        <v>0</v>
      </c>
      <c r="DB64" s="662">
        <f t="shared" si="286"/>
        <v>0</v>
      </c>
      <c r="DC64" s="662">
        <f t="shared" si="286"/>
        <v>0</v>
      </c>
      <c r="DD64" s="663"/>
      <c r="DE64" s="174"/>
      <c r="DF64" s="91"/>
      <c r="DG64" s="29"/>
      <c r="DH64" s="29"/>
      <c r="DI64" s="39"/>
      <c r="DJ64" s="29"/>
      <c r="DK64" s="29"/>
      <c r="DL64" s="29"/>
      <c r="DM64" s="91"/>
      <c r="DN64" s="29"/>
      <c r="DO64" s="29"/>
      <c r="DP64" s="29"/>
      <c r="DQ64" s="29"/>
      <c r="DR64" s="29"/>
      <c r="DS64" s="29"/>
      <c r="DT64" s="29"/>
      <c r="DU64" s="29"/>
      <c r="DV64" s="29"/>
      <c r="DW64" s="29"/>
      <c r="EH64" s="1330"/>
    </row>
    <row r="65" spans="1:138">
      <c r="A65" s="320"/>
      <c r="B65" s="208"/>
      <c r="C65" s="51" t="s">
        <v>361</v>
      </c>
      <c r="D65" s="196"/>
      <c r="E65" s="197"/>
      <c r="F65" s="845"/>
      <c r="G65" s="780">
        <f>17.872-21.819</f>
        <v>-3.9469999999999992</v>
      </c>
      <c r="H65" s="780">
        <f>-22.19+25.028</f>
        <v>2.8379999999999974</v>
      </c>
      <c r="I65" s="846">
        <f>45.168-22.4</f>
        <v>22.768000000000001</v>
      </c>
      <c r="J65" s="845"/>
      <c r="K65" s="780"/>
      <c r="L65" s="780">
        <v>8.6999999999999994E-2</v>
      </c>
      <c r="M65" s="521">
        <f>12.291+0.048</f>
        <v>12.339</v>
      </c>
      <c r="N65" s="832"/>
      <c r="O65" s="457"/>
      <c r="P65" s="457"/>
      <c r="Q65" s="521"/>
      <c r="R65" s="832"/>
      <c r="S65" s="457"/>
      <c r="T65" s="457"/>
      <c r="U65" s="521"/>
      <c r="V65" s="832"/>
      <c r="W65" s="457"/>
      <c r="X65" s="457"/>
      <c r="Y65" s="521"/>
      <c r="Z65" s="457"/>
      <c r="AA65" s="457"/>
      <c r="AB65" s="457"/>
      <c r="AC65" s="521"/>
      <c r="AD65" s="832">
        <v>0</v>
      </c>
      <c r="AE65" s="457">
        <v>0</v>
      </c>
      <c r="AF65" s="457">
        <v>0</v>
      </c>
      <c r="AG65" s="522">
        <v>0</v>
      </c>
      <c r="AH65" s="832">
        <v>0</v>
      </c>
      <c r="AI65" s="527">
        <v>0</v>
      </c>
      <c r="AJ65" s="526">
        <v>0</v>
      </c>
      <c r="AK65" s="534">
        <v>0</v>
      </c>
      <c r="AL65" s="527">
        <v>0</v>
      </c>
      <c r="AM65" s="527">
        <v>80</v>
      </c>
      <c r="AN65" s="527">
        <v>81</v>
      </c>
      <c r="AO65" s="534">
        <v>63</v>
      </c>
      <c r="AP65" s="527">
        <v>0</v>
      </c>
      <c r="AQ65" s="527">
        <v>0</v>
      </c>
      <c r="AR65" s="527">
        <v>0</v>
      </c>
      <c r="AS65" s="534">
        <v>0</v>
      </c>
      <c r="AT65" s="527">
        <v>0</v>
      </c>
      <c r="AU65" s="527">
        <v>0</v>
      </c>
      <c r="AV65" s="527">
        <v>0</v>
      </c>
      <c r="AW65" s="534">
        <v>0</v>
      </c>
      <c r="AX65" s="527">
        <v>0</v>
      </c>
      <c r="AY65" s="527">
        <v>0</v>
      </c>
      <c r="AZ65" s="527">
        <v>0</v>
      </c>
      <c r="BA65" s="884">
        <v>61</v>
      </c>
      <c r="BB65" s="527">
        <v>0</v>
      </c>
      <c r="BC65" s="526">
        <v>15</v>
      </c>
      <c r="BD65" s="527">
        <v>0</v>
      </c>
      <c r="BE65" s="534">
        <v>0</v>
      </c>
      <c r="BF65" s="527">
        <v>0</v>
      </c>
      <c r="BG65" s="1374">
        <v>0</v>
      </c>
      <c r="BH65" s="1397">
        <v>0</v>
      </c>
      <c r="BI65" s="1451">
        <v>62</v>
      </c>
      <c r="BJ65" s="1397">
        <v>0</v>
      </c>
      <c r="BK65" s="1374">
        <v>0</v>
      </c>
      <c r="BL65" s="1397">
        <v>0</v>
      </c>
      <c r="BM65" s="1451">
        <v>86</v>
      </c>
      <c r="BN65" s="1397">
        <v>0</v>
      </c>
      <c r="BO65" s="1374">
        <v>0</v>
      </c>
      <c r="BP65" s="1397">
        <v>0</v>
      </c>
      <c r="BQ65" s="1451">
        <v>41</v>
      </c>
      <c r="BR65" s="674">
        <v>0</v>
      </c>
      <c r="BS65" s="1374">
        <v>0</v>
      </c>
      <c r="BT65" s="1374">
        <v>0</v>
      </c>
      <c r="BU65" s="1451">
        <v>0</v>
      </c>
      <c r="BV65" s="674">
        <v>0</v>
      </c>
      <c r="BW65" s="674">
        <v>0</v>
      </c>
      <c r="BX65" s="662">
        <f t="shared" si="259"/>
        <v>0</v>
      </c>
      <c r="BY65" s="663">
        <f t="shared" si="260"/>
        <v>0</v>
      </c>
      <c r="BZ65" s="662">
        <f t="shared" si="261"/>
        <v>0</v>
      </c>
      <c r="CA65" s="662">
        <f t="shared" si="262"/>
        <v>0</v>
      </c>
      <c r="CB65" s="662">
        <f t="shared" si="263"/>
        <v>0</v>
      </c>
      <c r="CC65" s="663">
        <f t="shared" si="264"/>
        <v>0</v>
      </c>
      <c r="CD65" s="115"/>
      <c r="CE65" s="847">
        <f t="shared" si="265"/>
        <v>22.768000000000001</v>
      </c>
      <c r="CF65" s="35">
        <f t="shared" si="266"/>
        <v>12.339</v>
      </c>
      <c r="CG65" s="35">
        <f t="shared" si="267"/>
        <v>0</v>
      </c>
      <c r="CH65" s="35">
        <f t="shared" si="268"/>
        <v>0</v>
      </c>
      <c r="CI65" s="35">
        <f t="shared" si="269"/>
        <v>0</v>
      </c>
      <c r="CJ65" s="35">
        <f t="shared" si="270"/>
        <v>0</v>
      </c>
      <c r="CK65" s="35">
        <f t="shared" si="271"/>
        <v>0</v>
      </c>
      <c r="CL65" s="35">
        <f t="shared" si="272"/>
        <v>0</v>
      </c>
      <c r="CM65" s="35">
        <f t="shared" si="273"/>
        <v>63</v>
      </c>
      <c r="CN65" s="35">
        <f t="shared" si="274"/>
        <v>0</v>
      </c>
      <c r="CO65" s="35">
        <f t="shared" si="275"/>
        <v>0</v>
      </c>
      <c r="CP65" s="35">
        <f t="shared" si="276"/>
        <v>61</v>
      </c>
      <c r="CQ65" s="35">
        <f t="shared" si="277"/>
        <v>0</v>
      </c>
      <c r="CR65" s="35">
        <f t="shared" si="278"/>
        <v>62</v>
      </c>
      <c r="CS65" s="35">
        <f t="shared" si="279"/>
        <v>86</v>
      </c>
      <c r="CT65" s="35">
        <f t="shared" si="280"/>
        <v>41</v>
      </c>
      <c r="CU65" s="662">
        <f t="shared" si="281"/>
        <v>0</v>
      </c>
      <c r="CV65" s="662">
        <f t="shared" si="284"/>
        <v>0</v>
      </c>
      <c r="CW65" s="662">
        <f t="shared" si="282"/>
        <v>0</v>
      </c>
      <c r="CX65" s="662">
        <f t="shared" si="285"/>
        <v>0</v>
      </c>
      <c r="CY65" s="662">
        <f t="shared" si="285"/>
        <v>0</v>
      </c>
      <c r="CZ65" s="662">
        <f t="shared" si="285"/>
        <v>0</v>
      </c>
      <c r="DA65" s="662">
        <f t="shared" si="285"/>
        <v>0</v>
      </c>
      <c r="DB65" s="662">
        <f t="shared" si="286"/>
        <v>0</v>
      </c>
      <c r="DC65" s="662">
        <f t="shared" si="286"/>
        <v>0</v>
      </c>
      <c r="DD65" s="663"/>
      <c r="DE65" s="174"/>
      <c r="DF65" s="91"/>
      <c r="DG65" s="29"/>
      <c r="DH65" s="29"/>
      <c r="DI65" s="39"/>
      <c r="DJ65" s="29"/>
      <c r="DK65" s="29"/>
      <c r="DL65" s="29"/>
      <c r="DM65" s="91"/>
      <c r="DN65" s="29"/>
      <c r="DO65" s="29"/>
      <c r="DP65" s="29"/>
      <c r="DQ65" s="29"/>
      <c r="DR65" s="29"/>
      <c r="DS65" s="29"/>
      <c r="DT65" s="29"/>
      <c r="DU65" s="29"/>
      <c r="DV65" s="29"/>
      <c r="DW65" s="29"/>
      <c r="EH65" s="1330"/>
    </row>
    <row r="66" spans="1:138">
      <c r="A66" s="320"/>
      <c r="B66" s="208"/>
      <c r="C66" s="51" t="s">
        <v>359</v>
      </c>
      <c r="D66" s="196"/>
      <c r="E66" s="197"/>
      <c r="F66" s="845"/>
      <c r="G66" s="780"/>
      <c r="H66" s="780"/>
      <c r="I66" s="846"/>
      <c r="J66" s="845"/>
      <c r="K66" s="780"/>
      <c r="L66" s="780"/>
      <c r="M66" s="521"/>
      <c r="N66" s="832"/>
      <c r="O66" s="457"/>
      <c r="P66" s="457"/>
      <c r="Q66" s="521"/>
      <c r="R66" s="832"/>
      <c r="S66" s="457"/>
      <c r="T66" s="457"/>
      <c r="U66" s="521"/>
      <c r="V66" s="832"/>
      <c r="W66" s="457"/>
      <c r="X66" s="457"/>
      <c r="Y66" s="521"/>
      <c r="Z66" s="832">
        <v>6.9</v>
      </c>
      <c r="AA66" s="457">
        <v>15.8</v>
      </c>
      <c r="AB66" s="457">
        <v>24.5</v>
      </c>
      <c r="AC66" s="521">
        <v>37</v>
      </c>
      <c r="AD66" s="832">
        <v>9</v>
      </c>
      <c r="AE66" s="457">
        <v>21</v>
      </c>
      <c r="AF66" s="457">
        <v>34</v>
      </c>
      <c r="AG66" s="522">
        <v>48</v>
      </c>
      <c r="AH66" s="832">
        <v>8</v>
      </c>
      <c r="AI66" s="527">
        <v>17</v>
      </c>
      <c r="AJ66" s="526">
        <v>27</v>
      </c>
      <c r="AK66" s="534">
        <v>37</v>
      </c>
      <c r="AL66" s="527">
        <v>10</v>
      </c>
      <c r="AM66" s="527">
        <v>21</v>
      </c>
      <c r="AN66" s="527">
        <v>33</v>
      </c>
      <c r="AO66" s="534">
        <v>47</v>
      </c>
      <c r="AP66" s="527">
        <v>13</v>
      </c>
      <c r="AQ66" s="527">
        <v>27</v>
      </c>
      <c r="AR66" s="527">
        <v>43</v>
      </c>
      <c r="AS66" s="534">
        <v>60</v>
      </c>
      <c r="AT66" s="527">
        <v>19</v>
      </c>
      <c r="AU66" s="527">
        <v>37</v>
      </c>
      <c r="AV66" s="527">
        <v>54</v>
      </c>
      <c r="AW66" s="534">
        <v>69</v>
      </c>
      <c r="AX66" s="527">
        <v>17</v>
      </c>
      <c r="AY66" s="527">
        <v>41</v>
      </c>
      <c r="AZ66" s="527">
        <v>61</v>
      </c>
      <c r="BA66" s="884">
        <v>92</v>
      </c>
      <c r="BB66" s="527">
        <v>39</v>
      </c>
      <c r="BC66" s="526">
        <v>71</v>
      </c>
      <c r="BD66" s="527">
        <v>107</v>
      </c>
      <c r="BE66" s="534">
        <v>137</v>
      </c>
      <c r="BF66" s="527">
        <v>42</v>
      </c>
      <c r="BG66" s="1374">
        <v>84</v>
      </c>
      <c r="BH66" s="1397">
        <v>125</v>
      </c>
      <c r="BI66" s="1451">
        <v>156</v>
      </c>
      <c r="BJ66" s="1397">
        <v>39</v>
      </c>
      <c r="BK66" s="1374">
        <v>80</v>
      </c>
      <c r="BL66" s="1397">
        <v>117</v>
      </c>
      <c r="BM66" s="1451">
        <v>162</v>
      </c>
      <c r="BN66" s="1397">
        <v>42</v>
      </c>
      <c r="BO66" s="1374">
        <v>79</v>
      </c>
      <c r="BP66" s="1397">
        <v>121</v>
      </c>
      <c r="BQ66" s="1451">
        <v>191</v>
      </c>
      <c r="BR66" s="674">
        <v>99</v>
      </c>
      <c r="BS66" s="1374">
        <v>201</v>
      </c>
      <c r="BT66" s="1374">
        <v>303</v>
      </c>
      <c r="BU66" s="1451">
        <v>394</v>
      </c>
      <c r="BV66" s="674">
        <v>97</v>
      </c>
      <c r="BW66" s="674">
        <v>196</v>
      </c>
      <c r="BX66" s="662">
        <f t="shared" si="259"/>
        <v>287.07960388868065</v>
      </c>
      <c r="BY66" s="663">
        <f t="shared" si="260"/>
        <v>378.25053841767988</v>
      </c>
      <c r="BZ66" s="662">
        <f t="shared" si="261"/>
        <v>94.074329599891229</v>
      </c>
      <c r="CA66" s="662">
        <f t="shared" si="262"/>
        <v>186.65690857033275</v>
      </c>
      <c r="CB66" s="662">
        <f t="shared" si="263"/>
        <v>272.6305891005685</v>
      </c>
      <c r="CC66" s="663">
        <f t="shared" si="264"/>
        <v>354.00753251669488</v>
      </c>
      <c r="CD66" s="115"/>
      <c r="CE66" s="847">
        <f t="shared" si="265"/>
        <v>0</v>
      </c>
      <c r="CF66" s="35">
        <f t="shared" si="266"/>
        <v>0</v>
      </c>
      <c r="CG66" s="35">
        <f t="shared" si="267"/>
        <v>0</v>
      </c>
      <c r="CH66" s="35">
        <f t="shared" si="268"/>
        <v>0</v>
      </c>
      <c r="CI66" s="35">
        <f t="shared" si="269"/>
        <v>0</v>
      </c>
      <c r="CJ66" s="35">
        <f t="shared" si="270"/>
        <v>37</v>
      </c>
      <c r="CK66" s="35">
        <f t="shared" si="271"/>
        <v>48</v>
      </c>
      <c r="CL66" s="35">
        <f t="shared" si="272"/>
        <v>37</v>
      </c>
      <c r="CM66" s="35">
        <f t="shared" si="273"/>
        <v>47</v>
      </c>
      <c r="CN66" s="35">
        <f t="shared" si="274"/>
        <v>60</v>
      </c>
      <c r="CO66" s="35">
        <f t="shared" si="275"/>
        <v>69</v>
      </c>
      <c r="CP66" s="35">
        <f t="shared" si="276"/>
        <v>92</v>
      </c>
      <c r="CQ66" s="35">
        <f t="shared" si="277"/>
        <v>137</v>
      </c>
      <c r="CR66" s="35">
        <f t="shared" si="278"/>
        <v>156</v>
      </c>
      <c r="CS66" s="35">
        <f t="shared" si="279"/>
        <v>162</v>
      </c>
      <c r="CT66" s="35">
        <f t="shared" si="280"/>
        <v>191</v>
      </c>
      <c r="CU66" s="662">
        <f t="shared" si="281"/>
        <v>394</v>
      </c>
      <c r="CV66" s="662">
        <f t="shared" si="284"/>
        <v>378.25053841767988</v>
      </c>
      <c r="CW66" s="662">
        <f t="shared" si="282"/>
        <v>354.00753251669488</v>
      </c>
      <c r="CX66" s="662">
        <f t="shared" si="285"/>
        <v>379.82319129474587</v>
      </c>
      <c r="CY66" s="662">
        <f t="shared" si="285"/>
        <v>393.5926426448118</v>
      </c>
      <c r="CZ66" s="662">
        <f t="shared" si="285"/>
        <v>408.57421980480962</v>
      </c>
      <c r="DA66" s="662">
        <f t="shared" si="285"/>
        <v>427.51060443833717</v>
      </c>
      <c r="DB66" s="662">
        <f t="shared" si="286"/>
        <v>448.97207018395602</v>
      </c>
      <c r="DC66" s="662">
        <f t="shared" si="286"/>
        <v>473.27816309047603</v>
      </c>
      <c r="DD66" s="663"/>
      <c r="DE66" s="174"/>
      <c r="DF66" s="91"/>
      <c r="DG66" s="29"/>
      <c r="DH66" s="29"/>
      <c r="DI66" s="39"/>
      <c r="DJ66" s="29"/>
      <c r="DK66" s="29"/>
      <c r="DL66" s="29"/>
      <c r="DM66" s="91"/>
      <c r="DN66" s="29"/>
      <c r="DO66" s="29"/>
      <c r="DP66" s="29"/>
      <c r="DQ66" s="29"/>
      <c r="DR66" s="29"/>
      <c r="DS66" s="29"/>
      <c r="DT66" s="29"/>
      <c r="DU66" s="29"/>
      <c r="DV66" s="29"/>
      <c r="DW66" s="29"/>
      <c r="EH66" s="1330"/>
    </row>
    <row r="67" spans="1:138">
      <c r="A67" s="320"/>
      <c r="B67" s="208"/>
      <c r="C67" s="52" t="s">
        <v>360</v>
      </c>
      <c r="D67" s="196"/>
      <c r="E67" s="197"/>
      <c r="F67" s="845">
        <v>2.8559999999999999</v>
      </c>
      <c r="G67" s="780">
        <v>4.3289999999999997</v>
      </c>
      <c r="H67" s="780">
        <v>5.9119999999999999</v>
      </c>
      <c r="I67" s="846">
        <v>7.4829999999999997</v>
      </c>
      <c r="J67" s="845">
        <v>1.583</v>
      </c>
      <c r="K67" s="780">
        <v>3.0720000000000001</v>
      </c>
      <c r="L67" s="780">
        <v>4.4459999999999997</v>
      </c>
      <c r="M67" s="521">
        <f>5.649-4.391</f>
        <v>1.258</v>
      </c>
      <c r="N67" s="832">
        <v>1.1890000000000001</v>
      </c>
      <c r="O67" s="457">
        <v>2.246</v>
      </c>
      <c r="P67" s="457">
        <v>2.9910000000000001</v>
      </c>
      <c r="Q67" s="521">
        <v>3</v>
      </c>
      <c r="R67" s="832">
        <v>0</v>
      </c>
      <c r="S67" s="457"/>
      <c r="T67" s="457"/>
      <c r="U67" s="521">
        <v>0</v>
      </c>
      <c r="V67" s="832"/>
      <c r="W67" s="457"/>
      <c r="X67" s="457"/>
      <c r="Y67" s="521">
        <v>0</v>
      </c>
      <c r="Z67" s="832"/>
      <c r="AA67" s="457">
        <v>0</v>
      </c>
      <c r="AB67" s="457">
        <v>0</v>
      </c>
      <c r="AC67" s="521">
        <v>0</v>
      </c>
      <c r="AD67" s="832">
        <v>0</v>
      </c>
      <c r="AE67" s="457">
        <v>0</v>
      </c>
      <c r="AF67" s="457">
        <v>0</v>
      </c>
      <c r="AG67" s="522">
        <v>0</v>
      </c>
      <c r="AH67" s="832">
        <v>0</v>
      </c>
      <c r="AI67" s="527">
        <v>8</v>
      </c>
      <c r="AJ67" s="526">
        <v>12</v>
      </c>
      <c r="AK67" s="534">
        <v>13</v>
      </c>
      <c r="AL67" s="527">
        <v>3</v>
      </c>
      <c r="AM67" s="527">
        <v>9</v>
      </c>
      <c r="AN67" s="527">
        <v>10</v>
      </c>
      <c r="AO67" s="534">
        <v>10</v>
      </c>
      <c r="AP67" s="527">
        <v>0</v>
      </c>
      <c r="AQ67" s="527">
        <v>0</v>
      </c>
      <c r="AR67" s="527">
        <v>0</v>
      </c>
      <c r="AS67" s="534">
        <v>0</v>
      </c>
      <c r="AT67" s="527">
        <v>0</v>
      </c>
      <c r="AU67" s="527">
        <v>0</v>
      </c>
      <c r="AV67" s="527">
        <v>0</v>
      </c>
      <c r="AW67" s="534">
        <v>0</v>
      </c>
      <c r="AX67" s="527">
        <v>0</v>
      </c>
      <c r="AY67" s="527">
        <v>0</v>
      </c>
      <c r="AZ67" s="527">
        <v>0</v>
      </c>
      <c r="BA67" s="884">
        <v>0</v>
      </c>
      <c r="BB67" s="527">
        <v>0</v>
      </c>
      <c r="BC67" s="526">
        <v>0</v>
      </c>
      <c r="BD67" s="527">
        <v>0</v>
      </c>
      <c r="BE67" s="534">
        <v>0</v>
      </c>
      <c r="BF67" s="527">
        <v>0</v>
      </c>
      <c r="BG67" s="1374">
        <v>0</v>
      </c>
      <c r="BH67" s="1397">
        <v>0</v>
      </c>
      <c r="BI67" s="1451">
        <v>0</v>
      </c>
      <c r="BJ67" s="1397">
        <v>0</v>
      </c>
      <c r="BK67" s="1374">
        <v>0</v>
      </c>
      <c r="BL67" s="1397">
        <v>0</v>
      </c>
      <c r="BM67" s="1451">
        <v>0</v>
      </c>
      <c r="BN67" s="1397">
        <v>0</v>
      </c>
      <c r="BO67" s="1374">
        <v>0</v>
      </c>
      <c r="BP67" s="1397">
        <v>0</v>
      </c>
      <c r="BQ67" s="1451">
        <v>0</v>
      </c>
      <c r="BR67" s="674">
        <v>0</v>
      </c>
      <c r="BS67" s="1374">
        <v>0</v>
      </c>
      <c r="BT67" s="1374">
        <v>0</v>
      </c>
      <c r="BU67" s="1451">
        <v>0</v>
      </c>
      <c r="BV67" s="674">
        <v>0</v>
      </c>
      <c r="BW67" s="674">
        <v>0</v>
      </c>
      <c r="BX67" s="662">
        <f t="shared" si="259"/>
        <v>0</v>
      </c>
      <c r="BY67" s="663">
        <f t="shared" si="260"/>
        <v>0</v>
      </c>
      <c r="BZ67" s="662">
        <f t="shared" si="261"/>
        <v>0</v>
      </c>
      <c r="CA67" s="662">
        <f t="shared" si="262"/>
        <v>0</v>
      </c>
      <c r="CB67" s="662">
        <f t="shared" si="263"/>
        <v>0</v>
      </c>
      <c r="CC67" s="663">
        <f t="shared" si="264"/>
        <v>0</v>
      </c>
      <c r="CD67" s="115"/>
      <c r="CE67" s="847">
        <f t="shared" si="265"/>
        <v>7.4829999999999997</v>
      </c>
      <c r="CF67" s="35">
        <f t="shared" si="266"/>
        <v>1.258</v>
      </c>
      <c r="CG67" s="35">
        <f t="shared" si="267"/>
        <v>3</v>
      </c>
      <c r="CH67" s="35">
        <f t="shared" si="268"/>
        <v>0</v>
      </c>
      <c r="CI67" s="35">
        <f t="shared" si="269"/>
        <v>0</v>
      </c>
      <c r="CJ67" s="35">
        <f t="shared" si="270"/>
        <v>0</v>
      </c>
      <c r="CK67" s="35">
        <f t="shared" si="271"/>
        <v>0</v>
      </c>
      <c r="CL67" s="35">
        <f t="shared" si="272"/>
        <v>13</v>
      </c>
      <c r="CM67" s="35">
        <f t="shared" si="273"/>
        <v>10</v>
      </c>
      <c r="CN67" s="35">
        <f t="shared" si="274"/>
        <v>0</v>
      </c>
      <c r="CO67" s="35">
        <f t="shared" si="275"/>
        <v>0</v>
      </c>
      <c r="CP67" s="35">
        <f t="shared" si="276"/>
        <v>0</v>
      </c>
      <c r="CQ67" s="35">
        <f t="shared" si="277"/>
        <v>0</v>
      </c>
      <c r="CR67" s="35">
        <f t="shared" si="278"/>
        <v>0</v>
      </c>
      <c r="CS67" s="35">
        <f t="shared" si="279"/>
        <v>0</v>
      </c>
      <c r="CT67" s="35">
        <f t="shared" si="280"/>
        <v>0</v>
      </c>
      <c r="CU67" s="662">
        <f t="shared" si="281"/>
        <v>0</v>
      </c>
      <c r="CV67" s="662">
        <f t="shared" si="284"/>
        <v>0</v>
      </c>
      <c r="CW67" s="662">
        <f t="shared" si="282"/>
        <v>0</v>
      </c>
      <c r="CX67" s="662">
        <f t="shared" si="285"/>
        <v>0</v>
      </c>
      <c r="CY67" s="662">
        <f t="shared" si="285"/>
        <v>0</v>
      </c>
      <c r="CZ67" s="662">
        <f t="shared" si="285"/>
        <v>0</v>
      </c>
      <c r="DA67" s="662">
        <f t="shared" si="285"/>
        <v>0</v>
      </c>
      <c r="DB67" s="662">
        <f t="shared" si="286"/>
        <v>0</v>
      </c>
      <c r="DC67" s="662">
        <f t="shared" si="286"/>
        <v>0</v>
      </c>
      <c r="DD67" s="663"/>
      <c r="DE67" s="174"/>
      <c r="DF67" s="91"/>
      <c r="DG67" s="29"/>
      <c r="DH67" s="29"/>
      <c r="DI67" s="39"/>
      <c r="DJ67" s="29"/>
      <c r="DK67" s="29"/>
      <c r="DL67" s="29"/>
      <c r="DM67" s="91"/>
      <c r="DN67" s="29"/>
      <c r="DO67" s="29"/>
      <c r="DP67" s="29"/>
      <c r="DQ67" s="29"/>
      <c r="DR67" s="29"/>
      <c r="DS67" s="29"/>
      <c r="DT67" s="29"/>
      <c r="DU67" s="29"/>
      <c r="DV67" s="29"/>
      <c r="DW67" s="29"/>
      <c r="EH67" s="1330"/>
    </row>
    <row r="68" spans="1:138">
      <c r="A68" s="320"/>
      <c r="B68" s="208"/>
      <c r="C68" s="52" t="s">
        <v>790</v>
      </c>
      <c r="D68" s="196"/>
      <c r="E68" s="197"/>
      <c r="F68" s="845">
        <f>-11.243+0.382</f>
        <v>-10.861000000000001</v>
      </c>
      <c r="G68" s="780">
        <f>0.738</f>
        <v>0.73799999999999999</v>
      </c>
      <c r="H68" s="780">
        <f>-0.264</f>
        <v>-0.26400000000000001</v>
      </c>
      <c r="I68" s="846">
        <v>39.283000000000001</v>
      </c>
      <c r="J68" s="845">
        <f>2-24.532</f>
        <v>-22.532</v>
      </c>
      <c r="K68" s="780">
        <f>-1.479+0.101-24.532</f>
        <v>-25.91</v>
      </c>
      <c r="L68" s="780">
        <f>-2.391-24.532</f>
        <v>-26.923000000000002</v>
      </c>
      <c r="M68" s="521">
        <f>2-24.532</f>
        <v>-22.532</v>
      </c>
      <c r="N68" s="832">
        <v>0</v>
      </c>
      <c r="O68" s="457">
        <v>-1.32</v>
      </c>
      <c r="P68" s="457">
        <v>-1.32</v>
      </c>
      <c r="Q68" s="521">
        <f>18.5-3.4-1.3</f>
        <v>13.799999999999999</v>
      </c>
      <c r="R68" s="832">
        <v>0</v>
      </c>
      <c r="S68" s="457"/>
      <c r="T68" s="457"/>
      <c r="U68" s="457"/>
      <c r="V68" s="832"/>
      <c r="W68" s="457"/>
      <c r="X68" s="457"/>
      <c r="Y68" s="521">
        <v>0</v>
      </c>
      <c r="Z68" s="29"/>
      <c r="AA68" s="39">
        <v>7</v>
      </c>
      <c r="AB68" s="39">
        <v>4.9000000000000004</v>
      </c>
      <c r="AC68" s="39">
        <f>4.9</f>
        <v>4.9000000000000004</v>
      </c>
      <c r="AD68" s="832">
        <v>0</v>
      </c>
      <c r="AE68" s="457">
        <v>0</v>
      </c>
      <c r="AF68" s="457">
        <v>0</v>
      </c>
      <c r="AG68" s="522">
        <v>0</v>
      </c>
      <c r="AH68" s="832">
        <v>0</v>
      </c>
      <c r="AI68" s="527">
        <v>0</v>
      </c>
      <c r="AJ68" s="526">
        <v>0</v>
      </c>
      <c r="AK68" s="534">
        <v>0</v>
      </c>
      <c r="AL68" s="527">
        <v>0</v>
      </c>
      <c r="AM68" s="527">
        <v>0</v>
      </c>
      <c r="AN68" s="527">
        <v>14</v>
      </c>
      <c r="AO68" s="534">
        <v>14</v>
      </c>
      <c r="AP68" s="527">
        <v>0</v>
      </c>
      <c r="AQ68" s="527">
        <v>0</v>
      </c>
      <c r="AR68" s="527">
        <v>0</v>
      </c>
      <c r="AS68" s="534">
        <v>0</v>
      </c>
      <c r="AT68" s="527">
        <v>0</v>
      </c>
      <c r="AU68" s="527">
        <v>0</v>
      </c>
      <c r="AV68" s="527">
        <v>0</v>
      </c>
      <c r="AW68" s="534">
        <v>0</v>
      </c>
      <c r="AX68" s="527">
        <v>0</v>
      </c>
      <c r="AY68" s="527">
        <v>109</v>
      </c>
      <c r="AZ68" s="527">
        <v>119</v>
      </c>
      <c r="BA68" s="884">
        <f>119</f>
        <v>119</v>
      </c>
      <c r="BB68" s="527">
        <v>0</v>
      </c>
      <c r="BC68" s="526">
        <v>0</v>
      </c>
      <c r="BD68" s="527">
        <f>16</f>
        <v>16</v>
      </c>
      <c r="BE68" s="534">
        <v>19</v>
      </c>
      <c r="BF68" s="527">
        <f>-65</f>
        <v>-65</v>
      </c>
      <c r="BG68" s="1374">
        <f>29-65</f>
        <v>-36</v>
      </c>
      <c r="BH68" s="1397">
        <f>-65+33+21</f>
        <v>-11</v>
      </c>
      <c r="BI68" s="1451">
        <f>-65+40+9</f>
        <v>-16</v>
      </c>
      <c r="BJ68" s="1397">
        <f>4+1</f>
        <v>5</v>
      </c>
      <c r="BK68" s="1374">
        <f>12-37+19</f>
        <v>-6</v>
      </c>
      <c r="BL68" s="1397">
        <f>-37+14+12</f>
        <v>-11</v>
      </c>
      <c r="BM68" s="1451">
        <f>-37+17</f>
        <v>-20</v>
      </c>
      <c r="BN68" s="1397">
        <v>18</v>
      </c>
      <c r="BO68" s="1374">
        <f>6+18</f>
        <v>24</v>
      </c>
      <c r="BP68" s="1397">
        <f>13+36</f>
        <v>49</v>
      </c>
      <c r="BQ68" s="1451">
        <f>22+36+58+11</f>
        <v>127</v>
      </c>
      <c r="BR68" s="674">
        <f>4+247+5+1</f>
        <v>257</v>
      </c>
      <c r="BS68" s="1374">
        <f>10+13+5+42+258</f>
        <v>328</v>
      </c>
      <c r="BT68" s="1374">
        <f>12+275+6+13+58</f>
        <v>364</v>
      </c>
      <c r="BU68" s="1451">
        <f>18+285+5+13+94</f>
        <v>415</v>
      </c>
      <c r="BV68" s="674">
        <f>1+10+11</f>
        <v>22</v>
      </c>
      <c r="BW68" s="674">
        <f>12+23+16</f>
        <v>51</v>
      </c>
      <c r="BX68" s="662">
        <f t="shared" si="259"/>
        <v>51</v>
      </c>
      <c r="BY68" s="663">
        <f t="shared" si="260"/>
        <v>51</v>
      </c>
      <c r="BZ68" s="662">
        <f t="shared" si="261"/>
        <v>0</v>
      </c>
      <c r="CA68" s="662">
        <f t="shared" si="262"/>
        <v>0</v>
      </c>
      <c r="CB68" s="662">
        <f t="shared" si="263"/>
        <v>0</v>
      </c>
      <c r="CC68" s="663">
        <f t="shared" si="264"/>
        <v>0</v>
      </c>
      <c r="CD68" s="115"/>
      <c r="CE68" s="847">
        <f t="shared" si="265"/>
        <v>39.283000000000001</v>
      </c>
      <c r="CF68" s="35">
        <f t="shared" si="266"/>
        <v>-22.532</v>
      </c>
      <c r="CG68" s="35">
        <f t="shared" si="267"/>
        <v>13.799999999999999</v>
      </c>
      <c r="CH68" s="35">
        <f t="shared" si="268"/>
        <v>0</v>
      </c>
      <c r="CI68" s="35">
        <f t="shared" si="269"/>
        <v>0</v>
      </c>
      <c r="CJ68" s="35">
        <f t="shared" si="270"/>
        <v>4.9000000000000004</v>
      </c>
      <c r="CK68" s="35">
        <f t="shared" si="271"/>
        <v>0</v>
      </c>
      <c r="CL68" s="35">
        <f t="shared" si="272"/>
        <v>0</v>
      </c>
      <c r="CM68" s="35">
        <f t="shared" si="273"/>
        <v>14</v>
      </c>
      <c r="CN68" s="35">
        <f t="shared" si="274"/>
        <v>0</v>
      </c>
      <c r="CO68" s="35">
        <f t="shared" si="275"/>
        <v>0</v>
      </c>
      <c r="CP68" s="35">
        <f t="shared" si="276"/>
        <v>119</v>
      </c>
      <c r="CQ68" s="35">
        <f t="shared" si="277"/>
        <v>19</v>
      </c>
      <c r="CR68" s="35">
        <f t="shared" si="278"/>
        <v>-16</v>
      </c>
      <c r="CS68" s="35">
        <f t="shared" si="279"/>
        <v>-20</v>
      </c>
      <c r="CT68" s="35">
        <f t="shared" si="280"/>
        <v>127</v>
      </c>
      <c r="CU68" s="662">
        <f t="shared" si="281"/>
        <v>415</v>
      </c>
      <c r="CV68" s="662">
        <f t="shared" si="284"/>
        <v>51</v>
      </c>
      <c r="CW68" s="662">
        <f t="shared" si="282"/>
        <v>0</v>
      </c>
      <c r="CX68" s="662">
        <f t="shared" si="285"/>
        <v>0</v>
      </c>
      <c r="CY68" s="662">
        <f t="shared" si="285"/>
        <v>0</v>
      </c>
      <c r="CZ68" s="662">
        <f t="shared" si="285"/>
        <v>0</v>
      </c>
      <c r="DA68" s="662">
        <f t="shared" si="285"/>
        <v>0</v>
      </c>
      <c r="DB68" s="662">
        <f t="shared" si="286"/>
        <v>0</v>
      </c>
      <c r="DC68" s="662">
        <f t="shared" si="286"/>
        <v>0</v>
      </c>
      <c r="DD68" s="663"/>
      <c r="DE68" s="174"/>
      <c r="DF68" s="91"/>
      <c r="DG68" s="29"/>
      <c r="DH68" s="29"/>
      <c r="DI68" s="39"/>
      <c r="DJ68" s="29"/>
      <c r="DK68" s="29"/>
      <c r="DL68" s="29"/>
      <c r="DM68" s="91"/>
      <c r="DN68" s="29"/>
      <c r="DO68" s="29"/>
      <c r="DP68" s="29"/>
      <c r="DQ68" s="29"/>
      <c r="DR68" s="29"/>
      <c r="DS68" s="29"/>
      <c r="DT68" s="29"/>
      <c r="DU68" s="29"/>
      <c r="DV68" s="29"/>
      <c r="DW68" s="29"/>
      <c r="EH68" s="1330"/>
    </row>
    <row r="69" spans="1:138">
      <c r="A69" s="320"/>
      <c r="B69" s="208"/>
      <c r="C69" s="196" t="s">
        <v>602</v>
      </c>
      <c r="D69" s="196"/>
      <c r="E69" s="197"/>
      <c r="F69" s="845"/>
      <c r="G69" s="780"/>
      <c r="H69" s="780"/>
      <c r="I69" s="846"/>
      <c r="J69" s="845"/>
      <c r="K69" s="780"/>
      <c r="L69" s="780"/>
      <c r="M69" s="521"/>
      <c r="N69" s="832"/>
      <c r="O69" s="457"/>
      <c r="P69" s="457"/>
      <c r="Q69" s="843"/>
      <c r="R69" s="832"/>
      <c r="S69" s="457"/>
      <c r="T69" s="457"/>
      <c r="U69" s="551"/>
      <c r="V69" s="832"/>
      <c r="W69" s="457"/>
      <c r="X69" s="457"/>
      <c r="Y69" s="521"/>
      <c r="Z69" s="832"/>
      <c r="AA69" s="457"/>
      <c r="AB69" s="457"/>
      <c r="AC69" s="521"/>
      <c r="AD69" s="832"/>
      <c r="AE69" s="457"/>
      <c r="AF69" s="457"/>
      <c r="AG69" s="522"/>
      <c r="AH69" s="832"/>
      <c r="AI69" s="662"/>
      <c r="AJ69" s="662"/>
      <c r="AK69" s="663"/>
      <c r="AL69" s="662"/>
      <c r="AM69" s="527"/>
      <c r="AN69" s="527"/>
      <c r="AO69" s="663"/>
      <c r="AP69" s="527"/>
      <c r="AQ69" s="527"/>
      <c r="AR69" s="662"/>
      <c r="AS69" s="663"/>
      <c r="AT69" s="527"/>
      <c r="AU69" s="527"/>
      <c r="AV69" s="662"/>
      <c r="AW69" s="663"/>
      <c r="AX69" s="527"/>
      <c r="AY69" s="662"/>
      <c r="AZ69" s="527"/>
      <c r="BA69" s="884"/>
      <c r="BB69" s="662"/>
      <c r="BC69" s="526"/>
      <c r="BD69" s="662"/>
      <c r="BE69" s="663"/>
      <c r="BF69" s="527"/>
      <c r="BG69" s="662"/>
      <c r="BH69" s="662"/>
      <c r="BI69" s="663"/>
      <c r="BJ69" s="662"/>
      <c r="BK69" s="662"/>
      <c r="BL69" s="662"/>
      <c r="BM69" s="663"/>
      <c r="BN69" s="1668"/>
      <c r="BO69" s="1668"/>
      <c r="BP69" s="1668"/>
      <c r="BQ69" s="1668"/>
      <c r="BR69" s="1669"/>
      <c r="BS69" s="662"/>
      <c r="BT69" s="662"/>
      <c r="BU69" s="2201"/>
      <c r="BV69" s="662"/>
      <c r="BW69" s="662"/>
      <c r="BX69" s="662"/>
      <c r="BY69" s="663"/>
      <c r="BZ69" s="662"/>
      <c r="CA69" s="662"/>
      <c r="CB69" s="662"/>
      <c r="CC69" s="663"/>
      <c r="CD69" s="115"/>
      <c r="CE69" s="847"/>
      <c r="CF69" s="35"/>
      <c r="CG69" s="35"/>
      <c r="CH69" s="35"/>
      <c r="CI69" s="35"/>
      <c r="CJ69" s="35"/>
      <c r="CK69" s="35"/>
      <c r="CL69" s="35"/>
      <c r="CM69" s="35"/>
      <c r="CN69" s="35"/>
      <c r="CO69" s="35"/>
      <c r="CP69" s="35"/>
      <c r="CQ69" s="35"/>
      <c r="CR69" s="35"/>
      <c r="CS69" s="35">
        <f t="shared" si="279"/>
        <v>0</v>
      </c>
      <c r="CT69" s="35">
        <f t="shared" si="280"/>
        <v>0</v>
      </c>
      <c r="CU69" s="662">
        <f t="shared" si="281"/>
        <v>0</v>
      </c>
      <c r="CV69" s="662">
        <f t="shared" si="284"/>
        <v>0</v>
      </c>
      <c r="CW69" s="662">
        <f t="shared" si="282"/>
        <v>0</v>
      </c>
      <c r="CX69" s="662">
        <f t="shared" si="285"/>
        <v>0</v>
      </c>
      <c r="CY69" s="662">
        <f t="shared" si="285"/>
        <v>0</v>
      </c>
      <c r="CZ69" s="662">
        <f t="shared" si="285"/>
        <v>0</v>
      </c>
      <c r="DA69" s="662">
        <f t="shared" si="285"/>
        <v>0</v>
      </c>
      <c r="DB69" s="662">
        <f t="shared" si="286"/>
        <v>0</v>
      </c>
      <c r="DC69" s="662">
        <f t="shared" si="286"/>
        <v>0</v>
      </c>
      <c r="DD69" s="663"/>
      <c r="DE69" s="174"/>
      <c r="DF69" s="91"/>
      <c r="DG69" s="29"/>
      <c r="DH69" s="29"/>
      <c r="DI69" s="39"/>
      <c r="DJ69" s="29"/>
      <c r="DK69" s="29"/>
      <c r="DL69" s="29"/>
      <c r="DM69" s="91"/>
      <c r="DN69" s="29"/>
      <c r="DO69" s="29"/>
      <c r="DP69" s="29"/>
      <c r="DQ69" s="29"/>
      <c r="DR69" s="29"/>
      <c r="DS69" s="29"/>
      <c r="DT69" s="29"/>
      <c r="DU69" s="29"/>
      <c r="DV69" s="29"/>
      <c r="DW69" s="29"/>
      <c r="EH69" s="1330"/>
    </row>
    <row r="70" spans="1:138">
      <c r="A70" s="320"/>
      <c r="B70" s="208"/>
      <c r="C70" s="196"/>
      <c r="D70" s="52" t="s">
        <v>791</v>
      </c>
      <c r="E70" s="197"/>
      <c r="F70" s="845">
        <v>2.8170000000000002</v>
      </c>
      <c r="G70" s="780">
        <v>-13.128</v>
      </c>
      <c r="H70" s="780">
        <v>29.393999999999998</v>
      </c>
      <c r="I70" s="846">
        <v>31.149000000000001</v>
      </c>
      <c r="J70" s="845">
        <v>-84.317999999999998</v>
      </c>
      <c r="K70" s="780">
        <v>-95.090999999999994</v>
      </c>
      <c r="L70" s="780">
        <v>-57.87</v>
      </c>
      <c r="M70" s="521">
        <v>-90.528999999999996</v>
      </c>
      <c r="N70" s="832">
        <v>-14.205</v>
      </c>
      <c r="O70" s="457">
        <v>-27.472000000000001</v>
      </c>
      <c r="P70" s="457">
        <v>23.094000000000001</v>
      </c>
      <c r="Q70" s="521">
        <v>-25.1</v>
      </c>
      <c r="R70" s="832">
        <v>-82.3</v>
      </c>
      <c r="S70" s="457">
        <v>-114.8</v>
      </c>
      <c r="T70" s="457">
        <v>-62</v>
      </c>
      <c r="U70" s="457">
        <v>-66.5</v>
      </c>
      <c r="V70" s="832">
        <v>-87.9</v>
      </c>
      <c r="W70" s="457">
        <v>-77.3</v>
      </c>
      <c r="X70" s="457">
        <v>-85.8</v>
      </c>
      <c r="Y70" s="521">
        <v>-90.3</v>
      </c>
      <c r="Z70" s="832">
        <v>-67.099999999999994</v>
      </c>
      <c r="AA70" s="457">
        <v>-25.4</v>
      </c>
      <c r="AB70" s="457">
        <v>-78.8</v>
      </c>
      <c r="AC70" s="521">
        <v>-77.3</v>
      </c>
      <c r="AD70" s="832">
        <v>-132</v>
      </c>
      <c r="AE70" s="457">
        <v>-188</v>
      </c>
      <c r="AF70" s="457">
        <v>-229</v>
      </c>
      <c r="AG70" s="522">
        <v>-218</v>
      </c>
      <c r="AH70" s="832">
        <v>-173</v>
      </c>
      <c r="AI70" s="527">
        <v>-270</v>
      </c>
      <c r="AJ70" s="526">
        <v>-198</v>
      </c>
      <c r="AK70" s="534">
        <v>-194</v>
      </c>
      <c r="AL70" s="526">
        <v>-72</v>
      </c>
      <c r="AM70" s="526">
        <v>84</v>
      </c>
      <c r="AN70" s="526">
        <v>190</v>
      </c>
      <c r="AO70" s="534">
        <v>92</v>
      </c>
      <c r="AP70" s="527">
        <v>-205</v>
      </c>
      <c r="AQ70" s="527">
        <v>-439</v>
      </c>
      <c r="AR70" s="526">
        <v>-331</v>
      </c>
      <c r="AS70" s="884">
        <v>-330</v>
      </c>
      <c r="AT70" s="526">
        <v>-68</v>
      </c>
      <c r="AU70" s="526">
        <v>7</v>
      </c>
      <c r="AV70" s="526">
        <v>86</v>
      </c>
      <c r="AW70" s="884">
        <v>50</v>
      </c>
      <c r="AX70" s="526">
        <v>-150</v>
      </c>
      <c r="AY70" s="526">
        <v>459</v>
      </c>
      <c r="AZ70" s="526">
        <v>122</v>
      </c>
      <c r="BA70" s="884">
        <v>162</v>
      </c>
      <c r="BB70" s="526">
        <v>413</v>
      </c>
      <c r="BC70" s="526">
        <v>633</v>
      </c>
      <c r="BD70" s="526">
        <v>665</v>
      </c>
      <c r="BE70" s="884">
        <v>584</v>
      </c>
      <c r="BF70" s="674">
        <v>25</v>
      </c>
      <c r="BG70" s="1383">
        <v>-145</v>
      </c>
      <c r="BH70" s="1437">
        <v>12</v>
      </c>
      <c r="BI70" s="884">
        <v>-175</v>
      </c>
      <c r="BJ70" s="674">
        <v>74</v>
      </c>
      <c r="BK70" s="1383">
        <v>109</v>
      </c>
      <c r="BL70" s="1437">
        <v>294</v>
      </c>
      <c r="BM70" s="884">
        <v>458</v>
      </c>
      <c r="BN70" s="674">
        <v>-84</v>
      </c>
      <c r="BO70" s="1383">
        <v>-118</v>
      </c>
      <c r="BP70" s="1437">
        <v>278</v>
      </c>
      <c r="BQ70" s="884">
        <v>466</v>
      </c>
      <c r="BR70" s="674">
        <v>-562</v>
      </c>
      <c r="BS70" s="674">
        <v>-540</v>
      </c>
      <c r="BT70" s="674">
        <v>-489</v>
      </c>
      <c r="BU70" s="884">
        <v>-487</v>
      </c>
      <c r="BV70" s="2208">
        <v>-153</v>
      </c>
      <c r="BW70" s="2208">
        <v>-153</v>
      </c>
      <c r="BX70" s="662">
        <f t="shared" ref="BX70:BX75" si="287">BW70+BX23</f>
        <v>-128.67118152173884</v>
      </c>
      <c r="BY70" s="663">
        <f t="shared" ref="BY70:BY75" si="288">BX70+BY23</f>
        <v>-23.877891884347719</v>
      </c>
      <c r="BZ70" s="662">
        <f t="shared" ref="BZ70:BZ75" si="289">BZ23</f>
        <v>-171.46374890515017</v>
      </c>
      <c r="CA70" s="662">
        <f t="shared" ref="CA70:CA75" si="290">BZ70+CA23</f>
        <v>-84.013163373909492</v>
      </c>
      <c r="CB70" s="662">
        <f t="shared" ref="CB70:CB75" si="291">CA70+CB23</f>
        <v>8.8779738172813722</v>
      </c>
      <c r="CC70" s="663">
        <f t="shared" ref="CC70:CC75" si="292">CB70+CC23</f>
        <v>-48.975865914412907</v>
      </c>
      <c r="CD70" s="115"/>
      <c r="CE70" s="847">
        <f t="shared" ref="CE70:CE76" si="293">I70</f>
        <v>31.149000000000001</v>
      </c>
      <c r="CF70" s="35">
        <f t="shared" ref="CF70:CF75" si="294">M70</f>
        <v>-90.528999999999996</v>
      </c>
      <c r="CG70" s="35">
        <f t="shared" ref="CG70:CG75" si="295">Q70</f>
        <v>-25.1</v>
      </c>
      <c r="CH70" s="35">
        <f t="shared" ref="CH70:CH75" si="296">U70</f>
        <v>-66.5</v>
      </c>
      <c r="CI70" s="35">
        <f t="shared" ref="CI70:CI75" si="297">Y70</f>
        <v>-90.3</v>
      </c>
      <c r="CJ70" s="35">
        <f t="shared" ref="CJ70:CJ75" si="298">AC70</f>
        <v>-77.3</v>
      </c>
      <c r="CK70" s="35">
        <f t="shared" ref="CK70:CK75" si="299">AG70</f>
        <v>-218</v>
      </c>
      <c r="CL70" s="35">
        <f t="shared" ref="CL70:CL75" si="300">AK70</f>
        <v>-194</v>
      </c>
      <c r="CM70" s="35">
        <f t="shared" ref="CM70:CM75" si="301">AO70</f>
        <v>92</v>
      </c>
      <c r="CN70" s="35">
        <f t="shared" ref="CN70:CN75" si="302">AS70</f>
        <v>-330</v>
      </c>
      <c r="CO70" s="35">
        <f t="shared" ref="CO70:CO75" si="303">AW70</f>
        <v>50</v>
      </c>
      <c r="CP70" s="35">
        <f t="shared" ref="CP70:CP75" si="304">BA70</f>
        <v>162</v>
      </c>
      <c r="CQ70" s="35">
        <f t="shared" ref="CQ70:CQ75" si="305">BE70</f>
        <v>584</v>
      </c>
      <c r="CR70" s="35">
        <f t="shared" ref="CR70:CR75" si="306">BI70</f>
        <v>-175</v>
      </c>
      <c r="CS70" s="35">
        <f t="shared" si="279"/>
        <v>458</v>
      </c>
      <c r="CT70" s="35">
        <f t="shared" si="280"/>
        <v>466</v>
      </c>
      <c r="CU70" s="662">
        <f t="shared" si="281"/>
        <v>-487</v>
      </c>
      <c r="CV70" s="662">
        <f t="shared" si="284"/>
        <v>-23.877891884347719</v>
      </c>
      <c r="CW70" s="662">
        <f t="shared" si="282"/>
        <v>-48.975865914412907</v>
      </c>
      <c r="CX70" s="662">
        <f t="shared" si="285"/>
        <v>-321.46739081026158</v>
      </c>
      <c r="CY70" s="662">
        <f t="shared" si="285"/>
        <v>-83.138088219960082</v>
      </c>
      <c r="CZ70" s="662">
        <f t="shared" si="285"/>
        <v>-90.456740209628606</v>
      </c>
      <c r="DA70" s="662">
        <f t="shared" si="285"/>
        <v>-114.3353337910421</v>
      </c>
      <c r="DB70" s="662">
        <f t="shared" si="286"/>
        <v>-129.58143263132752</v>
      </c>
      <c r="DC70" s="662">
        <f t="shared" si="286"/>
        <v>-146.75690737199375</v>
      </c>
      <c r="DD70" s="663"/>
      <c r="DE70" s="174"/>
      <c r="DF70" s="91"/>
      <c r="DG70" s="29"/>
      <c r="DH70" s="29"/>
      <c r="DI70" s="39"/>
      <c r="DJ70" s="29"/>
      <c r="DK70" s="29"/>
      <c r="DL70" s="29"/>
      <c r="DM70" s="91"/>
      <c r="DN70" s="29"/>
      <c r="DO70" s="29"/>
      <c r="DP70" s="29"/>
      <c r="DQ70" s="29"/>
      <c r="DR70" s="29"/>
      <c r="DS70" s="29"/>
      <c r="DT70" s="29"/>
      <c r="DU70" s="29"/>
      <c r="DV70" s="29"/>
      <c r="DW70" s="29"/>
      <c r="EH70" s="1330"/>
    </row>
    <row r="71" spans="1:138">
      <c r="A71" s="320"/>
      <c r="B71" s="208"/>
      <c r="C71" s="196"/>
      <c r="D71" s="52" t="s">
        <v>45</v>
      </c>
      <c r="E71" s="197"/>
      <c r="F71" s="845">
        <v>24.518999999999998</v>
      </c>
      <c r="G71" s="780">
        <v>1.109</v>
      </c>
      <c r="H71" s="780">
        <v>-4.649</v>
      </c>
      <c r="I71" s="846">
        <v>1.804</v>
      </c>
      <c r="J71" s="845">
        <v>2.5619999999999998</v>
      </c>
      <c r="K71" s="780">
        <v>-17.536000000000001</v>
      </c>
      <c r="L71" s="780">
        <v>-15.608000000000001</v>
      </c>
      <c r="M71" s="521">
        <v>5.4269999999999996</v>
      </c>
      <c r="N71" s="832">
        <v>-18.108000000000001</v>
      </c>
      <c r="O71" s="457">
        <v>-32.396999999999998</v>
      </c>
      <c r="P71" s="457">
        <v>-37.268000000000001</v>
      </c>
      <c r="Q71" s="521">
        <v>-24.4</v>
      </c>
      <c r="R71" s="832">
        <v>-16.100000000000001</v>
      </c>
      <c r="S71" s="457">
        <v>-49</v>
      </c>
      <c r="T71" s="457">
        <v>-42.3</v>
      </c>
      <c r="U71" s="457">
        <v>-41.9</v>
      </c>
      <c r="V71" s="832">
        <v>4.3</v>
      </c>
      <c r="W71" s="457">
        <v>30.4</v>
      </c>
      <c r="X71" s="457">
        <v>13.1</v>
      </c>
      <c r="Y71" s="521">
        <v>-4.2</v>
      </c>
      <c r="Z71" s="832">
        <v>-19.899999999999999</v>
      </c>
      <c r="AA71" s="457">
        <v>-15.4</v>
      </c>
      <c r="AB71" s="457">
        <v>-24.7</v>
      </c>
      <c r="AC71" s="521">
        <v>-52.2</v>
      </c>
      <c r="AD71" s="832">
        <v>-11</v>
      </c>
      <c r="AE71" s="457">
        <v>-60</v>
      </c>
      <c r="AF71" s="457">
        <v>-38</v>
      </c>
      <c r="AG71" s="522">
        <v>-53</v>
      </c>
      <c r="AH71" s="832">
        <v>3</v>
      </c>
      <c r="AI71" s="527">
        <v>5</v>
      </c>
      <c r="AJ71" s="526">
        <v>8</v>
      </c>
      <c r="AK71" s="534">
        <v>8</v>
      </c>
      <c r="AL71" s="526">
        <v>-21</v>
      </c>
      <c r="AM71" s="526">
        <v>10</v>
      </c>
      <c r="AN71" s="526">
        <v>79</v>
      </c>
      <c r="AO71" s="534">
        <v>88</v>
      </c>
      <c r="AP71" s="527">
        <v>-19</v>
      </c>
      <c r="AQ71" s="527">
        <v>-77</v>
      </c>
      <c r="AR71" s="526">
        <v>-131</v>
      </c>
      <c r="AS71" s="884">
        <v>-148</v>
      </c>
      <c r="AT71" s="526">
        <v>-1</v>
      </c>
      <c r="AU71" s="526">
        <v>-8</v>
      </c>
      <c r="AV71" s="526">
        <v>-14</v>
      </c>
      <c r="AW71" s="884">
        <v>-17</v>
      </c>
      <c r="AX71" s="526">
        <v>-68</v>
      </c>
      <c r="AY71" s="526">
        <v>111</v>
      </c>
      <c r="AZ71" s="526">
        <v>17</v>
      </c>
      <c r="BA71" s="884">
        <v>88</v>
      </c>
      <c r="BB71" s="526">
        <v>-94</v>
      </c>
      <c r="BC71" s="526">
        <v>7</v>
      </c>
      <c r="BD71" s="526">
        <v>13</v>
      </c>
      <c r="BE71" s="884">
        <v>22</v>
      </c>
      <c r="BF71" s="674">
        <v>-21</v>
      </c>
      <c r="BG71" s="1383">
        <v>-66</v>
      </c>
      <c r="BH71" s="1437">
        <v>-50</v>
      </c>
      <c r="BI71" s="884">
        <v>0</v>
      </c>
      <c r="BJ71" s="674">
        <v>-46</v>
      </c>
      <c r="BK71" s="1383">
        <v>-56</v>
      </c>
      <c r="BL71" s="1437">
        <v>-96</v>
      </c>
      <c r="BM71" s="884">
        <v>-143</v>
      </c>
      <c r="BN71" s="674">
        <v>105</v>
      </c>
      <c r="BO71" s="1383">
        <v>127</v>
      </c>
      <c r="BP71" s="1437">
        <v>138</v>
      </c>
      <c r="BQ71" s="884">
        <v>306</v>
      </c>
      <c r="BR71" s="674">
        <v>28</v>
      </c>
      <c r="BS71" s="674">
        <v>52</v>
      </c>
      <c r="BT71" s="674">
        <f>-117+25</f>
        <v>-92</v>
      </c>
      <c r="BU71" s="884">
        <v>-204</v>
      </c>
      <c r="BV71" s="2208">
        <v>39</v>
      </c>
      <c r="BW71" s="2208">
        <v>39</v>
      </c>
      <c r="BX71" s="662">
        <f t="shared" si="287"/>
        <v>80.094099086956703</v>
      </c>
      <c r="BY71" s="663">
        <f t="shared" si="288"/>
        <v>-0.98881571735591933</v>
      </c>
      <c r="BZ71" s="662">
        <f t="shared" si="289"/>
        <v>-176.46041652402209</v>
      </c>
      <c r="CA71" s="662">
        <f t="shared" si="290"/>
        <v>-197.24546915902329</v>
      </c>
      <c r="CB71" s="662">
        <f t="shared" si="291"/>
        <v>-22.332192258545547</v>
      </c>
      <c r="CC71" s="663">
        <f t="shared" si="292"/>
        <v>222.57884698730322</v>
      </c>
      <c r="CD71" s="115"/>
      <c r="CE71" s="847">
        <f t="shared" si="293"/>
        <v>1.804</v>
      </c>
      <c r="CF71" s="35">
        <f t="shared" si="294"/>
        <v>5.4269999999999996</v>
      </c>
      <c r="CG71" s="35">
        <f t="shared" si="295"/>
        <v>-24.4</v>
      </c>
      <c r="CH71" s="35">
        <f t="shared" si="296"/>
        <v>-41.9</v>
      </c>
      <c r="CI71" s="35">
        <f t="shared" si="297"/>
        <v>-4.2</v>
      </c>
      <c r="CJ71" s="35">
        <f t="shared" si="298"/>
        <v>-52.2</v>
      </c>
      <c r="CK71" s="35">
        <f t="shared" si="299"/>
        <v>-53</v>
      </c>
      <c r="CL71" s="35">
        <f t="shared" si="300"/>
        <v>8</v>
      </c>
      <c r="CM71" s="35">
        <f t="shared" si="301"/>
        <v>88</v>
      </c>
      <c r="CN71" s="35">
        <f t="shared" si="302"/>
        <v>-148</v>
      </c>
      <c r="CO71" s="35">
        <f t="shared" si="303"/>
        <v>-17</v>
      </c>
      <c r="CP71" s="35">
        <f t="shared" si="304"/>
        <v>88</v>
      </c>
      <c r="CQ71" s="35">
        <f t="shared" si="305"/>
        <v>22</v>
      </c>
      <c r="CR71" s="35">
        <f t="shared" si="306"/>
        <v>0</v>
      </c>
      <c r="CS71" s="35">
        <f t="shared" si="279"/>
        <v>-143</v>
      </c>
      <c r="CT71" s="35">
        <f t="shared" si="280"/>
        <v>306</v>
      </c>
      <c r="CU71" s="662">
        <f t="shared" si="281"/>
        <v>-204</v>
      </c>
      <c r="CV71" s="662">
        <f t="shared" si="284"/>
        <v>-0.98881571735591933</v>
      </c>
      <c r="CW71" s="662">
        <f t="shared" si="282"/>
        <v>222.57884698730322</v>
      </c>
      <c r="CX71" s="662">
        <f t="shared" si="285"/>
        <v>-240.66759562732977</v>
      </c>
      <c r="CY71" s="662">
        <f t="shared" si="285"/>
        <v>-138.4199702969031</v>
      </c>
      <c r="CZ71" s="662">
        <f t="shared" si="285"/>
        <v>-102.09915803636341</v>
      </c>
      <c r="DA71" s="662">
        <f t="shared" si="285"/>
        <v>-137.83736061028139</v>
      </c>
      <c r="DB71" s="662">
        <f t="shared" si="286"/>
        <v>-155.04186742940874</v>
      </c>
      <c r="DC71" s="662">
        <f t="shared" si="286"/>
        <v>-174.72774871224374</v>
      </c>
      <c r="DD71" s="663"/>
      <c r="DE71" s="174"/>
      <c r="DF71" s="91"/>
      <c r="DG71" s="29"/>
      <c r="DH71" s="29"/>
      <c r="DI71" s="39"/>
      <c r="DJ71" s="29"/>
      <c r="DK71" s="29"/>
      <c r="DL71" s="29"/>
      <c r="DM71" s="91"/>
      <c r="DN71" s="29"/>
      <c r="DO71" s="29"/>
      <c r="DP71" s="29"/>
      <c r="DQ71" s="29"/>
      <c r="DR71" s="29"/>
      <c r="DS71" s="29"/>
      <c r="DT71" s="29"/>
      <c r="DU71" s="29"/>
      <c r="DV71" s="29"/>
      <c r="DW71" s="29"/>
      <c r="EH71" s="1330"/>
    </row>
    <row r="72" spans="1:138">
      <c r="A72" s="320"/>
      <c r="B72" s="208"/>
      <c r="C72" s="196"/>
      <c r="D72" s="52" t="s">
        <v>106</v>
      </c>
      <c r="E72" s="197"/>
      <c r="F72" s="845">
        <v>-54.777000000000001</v>
      </c>
      <c r="G72" s="780">
        <v>-29.242000000000001</v>
      </c>
      <c r="H72" s="780">
        <v>-72.677000000000007</v>
      </c>
      <c r="I72" s="846">
        <v>-90.462999999999994</v>
      </c>
      <c r="J72" s="845">
        <v>80.617000000000004</v>
      </c>
      <c r="K72" s="780">
        <v>91.257000000000005</v>
      </c>
      <c r="L72" s="780">
        <v>79.888000000000005</v>
      </c>
      <c r="M72" s="521">
        <v>71.022999999999996</v>
      </c>
      <c r="N72" s="832">
        <v>41.390999999999998</v>
      </c>
      <c r="O72" s="457">
        <v>49.250999999999998</v>
      </c>
      <c r="P72" s="457">
        <v>45.334000000000003</v>
      </c>
      <c r="Q72" s="521">
        <v>49.3</v>
      </c>
      <c r="R72" s="832">
        <v>34.299999999999997</v>
      </c>
      <c r="S72" s="457">
        <v>91.1</v>
      </c>
      <c r="T72" s="457">
        <v>40</v>
      </c>
      <c r="U72" s="457">
        <v>54.3</v>
      </c>
      <c r="V72" s="832">
        <v>100.7</v>
      </c>
      <c r="W72" s="457">
        <v>86.6</v>
      </c>
      <c r="X72" s="457">
        <v>116.1</v>
      </c>
      <c r="Y72" s="521">
        <v>134.19999999999999</v>
      </c>
      <c r="Z72" s="832">
        <v>79</v>
      </c>
      <c r="AA72" s="457">
        <v>11.1</v>
      </c>
      <c r="AB72" s="457">
        <v>30.4</v>
      </c>
      <c r="AC72" s="521">
        <v>64.599999999999994</v>
      </c>
      <c r="AD72" s="832">
        <v>118</v>
      </c>
      <c r="AE72" s="457">
        <v>193</v>
      </c>
      <c r="AF72" s="457">
        <v>209</v>
      </c>
      <c r="AG72" s="522">
        <v>196</v>
      </c>
      <c r="AH72" s="832">
        <v>72</v>
      </c>
      <c r="AI72" s="527">
        <v>202</v>
      </c>
      <c r="AJ72" s="526">
        <v>181</v>
      </c>
      <c r="AK72" s="534">
        <v>114</v>
      </c>
      <c r="AL72" s="526">
        <v>76</v>
      </c>
      <c r="AM72" s="526">
        <v>-64</v>
      </c>
      <c r="AN72" s="526">
        <v>-99</v>
      </c>
      <c r="AO72" s="534">
        <v>-33</v>
      </c>
      <c r="AP72" s="527">
        <v>241</v>
      </c>
      <c r="AQ72" s="527">
        <v>428</v>
      </c>
      <c r="AR72" s="526">
        <v>420</v>
      </c>
      <c r="AS72" s="884">
        <v>270</v>
      </c>
      <c r="AT72" s="526">
        <v>162</v>
      </c>
      <c r="AU72" s="526">
        <v>157</v>
      </c>
      <c r="AV72" s="526">
        <v>71</v>
      </c>
      <c r="AW72" s="884">
        <v>178</v>
      </c>
      <c r="AX72" s="526">
        <v>157</v>
      </c>
      <c r="AY72" s="526">
        <v>-675</v>
      </c>
      <c r="AZ72" s="526">
        <v>227</v>
      </c>
      <c r="BA72" s="884">
        <v>132</v>
      </c>
      <c r="BB72" s="526">
        <v>-67</v>
      </c>
      <c r="BC72" s="526">
        <v>-352</v>
      </c>
      <c r="BD72" s="526">
        <v>-434</v>
      </c>
      <c r="BE72" s="884">
        <v>-511</v>
      </c>
      <c r="BF72" s="674">
        <v>29</v>
      </c>
      <c r="BG72" s="1383">
        <v>93</v>
      </c>
      <c r="BH72" s="1437">
        <v>-106</v>
      </c>
      <c r="BI72" s="884">
        <v>-32</v>
      </c>
      <c r="BJ72" s="674">
        <v>49</v>
      </c>
      <c r="BK72" s="1383">
        <v>94</v>
      </c>
      <c r="BL72" s="1437">
        <v>8</v>
      </c>
      <c r="BM72" s="884">
        <v>-148</v>
      </c>
      <c r="BN72" s="674">
        <v>-71</v>
      </c>
      <c r="BO72" s="1383">
        <v>-58</v>
      </c>
      <c r="BP72" s="1437">
        <v>-301</v>
      </c>
      <c r="BQ72" s="884">
        <f>-299+-115</f>
        <v>-414</v>
      </c>
      <c r="BR72" s="674">
        <f>99+21</f>
        <v>120</v>
      </c>
      <c r="BS72" s="674">
        <f>180+6</f>
        <v>186</v>
      </c>
      <c r="BT72" s="674">
        <v>319</v>
      </c>
      <c r="BU72" s="884">
        <f>223+38</f>
        <v>261</v>
      </c>
      <c r="BV72" s="2208">
        <v>-58</v>
      </c>
      <c r="BW72" s="2208">
        <v>-58</v>
      </c>
      <c r="BX72" s="662">
        <f t="shared" si="287"/>
        <v>41.589543391304233</v>
      </c>
      <c r="BY72" s="663">
        <f t="shared" si="288"/>
        <v>156.46072726506054</v>
      </c>
      <c r="BZ72" s="662">
        <f t="shared" si="289"/>
        <v>145.73781892552552</v>
      </c>
      <c r="CA72" s="662">
        <f t="shared" si="290"/>
        <v>166.8037506501887</v>
      </c>
      <c r="CB72" s="662">
        <f t="shared" si="291"/>
        <v>-10.039431508667349</v>
      </c>
      <c r="CC72" s="663">
        <f t="shared" si="292"/>
        <v>-319.38135966731261</v>
      </c>
      <c r="CD72" s="115"/>
      <c r="CE72" s="847">
        <f t="shared" si="293"/>
        <v>-90.462999999999994</v>
      </c>
      <c r="CF72" s="35">
        <f t="shared" si="294"/>
        <v>71.022999999999996</v>
      </c>
      <c r="CG72" s="35">
        <f t="shared" si="295"/>
        <v>49.3</v>
      </c>
      <c r="CH72" s="35">
        <f t="shared" si="296"/>
        <v>54.3</v>
      </c>
      <c r="CI72" s="35">
        <f t="shared" si="297"/>
        <v>134.19999999999999</v>
      </c>
      <c r="CJ72" s="35">
        <f t="shared" si="298"/>
        <v>64.599999999999994</v>
      </c>
      <c r="CK72" s="35">
        <f t="shared" si="299"/>
        <v>196</v>
      </c>
      <c r="CL72" s="35">
        <f t="shared" si="300"/>
        <v>114</v>
      </c>
      <c r="CM72" s="35">
        <f t="shared" si="301"/>
        <v>-33</v>
      </c>
      <c r="CN72" s="35">
        <f t="shared" si="302"/>
        <v>270</v>
      </c>
      <c r="CO72" s="35">
        <f t="shared" si="303"/>
        <v>178</v>
      </c>
      <c r="CP72" s="35">
        <f t="shared" si="304"/>
        <v>132</v>
      </c>
      <c r="CQ72" s="35">
        <f t="shared" si="305"/>
        <v>-511</v>
      </c>
      <c r="CR72" s="35">
        <f t="shared" si="306"/>
        <v>-32</v>
      </c>
      <c r="CS72" s="35">
        <f t="shared" si="279"/>
        <v>-148</v>
      </c>
      <c r="CT72" s="35">
        <f t="shared" si="280"/>
        <v>-414</v>
      </c>
      <c r="CU72" s="662">
        <f t="shared" si="281"/>
        <v>261</v>
      </c>
      <c r="CV72" s="662">
        <f t="shared" si="284"/>
        <v>156.46072726506054</v>
      </c>
      <c r="CW72" s="662">
        <f t="shared" si="282"/>
        <v>-319.38135966731261</v>
      </c>
      <c r="CX72" s="662">
        <f t="shared" si="285"/>
        <v>202.11705844577455</v>
      </c>
      <c r="CY72" s="662">
        <f t="shared" si="285"/>
        <v>135.34595832257537</v>
      </c>
      <c r="CZ72" s="662">
        <f t="shared" si="285"/>
        <v>99.051421975576432</v>
      </c>
      <c r="DA72" s="662">
        <f t="shared" si="285"/>
        <v>133.7228125323627</v>
      </c>
      <c r="DB72" s="662">
        <f t="shared" si="286"/>
        <v>150.41375198375454</v>
      </c>
      <c r="DC72" s="662">
        <f t="shared" si="286"/>
        <v>169.51199501934116</v>
      </c>
      <c r="DD72" s="663"/>
      <c r="DE72" s="174"/>
      <c r="DF72" s="91"/>
      <c r="DG72" s="29"/>
      <c r="DH72" s="29"/>
      <c r="DI72" s="39"/>
      <c r="DJ72" s="29"/>
      <c r="DK72" s="29"/>
      <c r="DL72" s="29"/>
      <c r="DM72" s="91"/>
      <c r="DN72" s="29"/>
      <c r="DO72" s="29"/>
      <c r="DP72" s="29"/>
      <c r="DQ72" s="29"/>
      <c r="DR72" s="29"/>
      <c r="DS72" s="29"/>
      <c r="DT72" s="29"/>
      <c r="DU72" s="29"/>
      <c r="DV72" s="29"/>
      <c r="DW72" s="29"/>
      <c r="EH72" s="1330"/>
    </row>
    <row r="73" spans="1:138">
      <c r="A73" s="320"/>
      <c r="B73" s="208"/>
      <c r="C73" s="196"/>
      <c r="D73" s="52" t="s">
        <v>107</v>
      </c>
      <c r="E73" s="197"/>
      <c r="F73" s="845">
        <f>-6.156</f>
        <v>-6.1559999999999997</v>
      </c>
      <c r="G73" s="780">
        <v>-9.7469999999999999</v>
      </c>
      <c r="H73" s="780">
        <v>-12.582000000000001</v>
      </c>
      <c r="I73" s="846">
        <f>-18.095</f>
        <v>-18.094999999999999</v>
      </c>
      <c r="J73" s="845">
        <f>-2.025</f>
        <v>-2.0249999999999999</v>
      </c>
      <c r="K73" s="780">
        <v>-1.4470000000000001</v>
      </c>
      <c r="L73" s="780">
        <f>-3.834</f>
        <v>-3.8340000000000001</v>
      </c>
      <c r="M73" s="521"/>
      <c r="N73" s="832">
        <v>0.73199999999999998</v>
      </c>
      <c r="O73" s="457">
        <v>29.623999999999999</v>
      </c>
      <c r="P73" s="457">
        <v>15.920999999999999</v>
      </c>
      <c r="Q73" s="521">
        <v>23.3</v>
      </c>
      <c r="R73" s="832">
        <v>4.8</v>
      </c>
      <c r="S73" s="457">
        <v>-14.6</v>
      </c>
      <c r="T73" s="457">
        <v>-25.8</v>
      </c>
      <c r="U73" s="457">
        <v>-26.8</v>
      </c>
      <c r="V73" s="832">
        <v>24.4</v>
      </c>
      <c r="W73" s="457">
        <v>52.8</v>
      </c>
      <c r="X73" s="457">
        <v>56.5</v>
      </c>
      <c r="Y73" s="521">
        <v>98.8</v>
      </c>
      <c r="Z73" s="832">
        <v>-39.5</v>
      </c>
      <c r="AA73" s="457">
        <v>-17.399999999999999</v>
      </c>
      <c r="AB73" s="457">
        <v>-11.6</v>
      </c>
      <c r="AC73" s="521">
        <v>-27.4</v>
      </c>
      <c r="AD73" s="832">
        <v>-1</v>
      </c>
      <c r="AE73" s="457">
        <v>8</v>
      </c>
      <c r="AF73" s="457">
        <v>-6</v>
      </c>
      <c r="AG73" s="522">
        <v>6</v>
      </c>
      <c r="AH73" s="832">
        <v>12</v>
      </c>
      <c r="AI73" s="527">
        <v>39</v>
      </c>
      <c r="AJ73" s="526">
        <v>19</v>
      </c>
      <c r="AK73" s="534">
        <v>38</v>
      </c>
      <c r="AL73" s="526">
        <v>7</v>
      </c>
      <c r="AM73" s="526">
        <v>8</v>
      </c>
      <c r="AN73" s="526">
        <v>7</v>
      </c>
      <c r="AO73" s="534">
        <v>23</v>
      </c>
      <c r="AP73" s="527">
        <v>-23</v>
      </c>
      <c r="AQ73" s="527">
        <v>57</v>
      </c>
      <c r="AR73" s="526">
        <v>19</v>
      </c>
      <c r="AS73" s="884">
        <v>67</v>
      </c>
      <c r="AT73" s="526">
        <v>-52</v>
      </c>
      <c r="AU73" s="526">
        <v>-13</v>
      </c>
      <c r="AV73" s="526">
        <v>-26</v>
      </c>
      <c r="AW73" s="884">
        <v>71</v>
      </c>
      <c r="AX73" s="526">
        <v>-17</v>
      </c>
      <c r="AY73" s="526">
        <v>-2</v>
      </c>
      <c r="AZ73" s="526">
        <v>-27</v>
      </c>
      <c r="BA73" s="884">
        <v>-128</v>
      </c>
      <c r="BB73" s="526">
        <v>-113</v>
      </c>
      <c r="BC73" s="526">
        <v>-169</v>
      </c>
      <c r="BD73" s="526">
        <v>-117</v>
      </c>
      <c r="BE73" s="884">
        <f>-122+77+681</f>
        <v>636</v>
      </c>
      <c r="BF73" s="674">
        <f>13-52-65</f>
        <v>-104</v>
      </c>
      <c r="BG73" s="1383">
        <f>26-36+3</f>
        <v>-7</v>
      </c>
      <c r="BH73" s="1437">
        <f>-19-44</f>
        <v>-63</v>
      </c>
      <c r="BI73" s="884">
        <f>-56+7+52</f>
        <v>3</v>
      </c>
      <c r="BJ73" s="674">
        <f>14+16-22</f>
        <v>8</v>
      </c>
      <c r="BK73" s="1383">
        <f>70-9</f>
        <v>61</v>
      </c>
      <c r="BL73" s="1437">
        <v>83</v>
      </c>
      <c r="BM73" s="884">
        <f>35-134</f>
        <v>-99</v>
      </c>
      <c r="BN73" s="674">
        <f>18+6</f>
        <v>24</v>
      </c>
      <c r="BO73" s="1383">
        <f>35-15</f>
        <v>20</v>
      </c>
      <c r="BP73" s="1437">
        <v>137</v>
      </c>
      <c r="BQ73" s="884">
        <f>102-94</f>
        <v>8</v>
      </c>
      <c r="BR73" s="674">
        <f>128+160</f>
        <v>288</v>
      </c>
      <c r="BS73" s="674">
        <f>59+194</f>
        <v>253</v>
      </c>
      <c r="BT73" s="674">
        <v>160</v>
      </c>
      <c r="BU73" s="884">
        <f>231+115</f>
        <v>346</v>
      </c>
      <c r="BV73" s="2208">
        <v>158</v>
      </c>
      <c r="BW73" s="2208">
        <v>158</v>
      </c>
      <c r="BX73" s="662">
        <f t="shared" si="287"/>
        <v>83.630037899999621</v>
      </c>
      <c r="BY73" s="663">
        <f t="shared" si="288"/>
        <v>143.17474241540955</v>
      </c>
      <c r="BZ73" s="662">
        <f t="shared" si="289"/>
        <v>260.74554141007866</v>
      </c>
      <c r="CA73" s="662">
        <f t="shared" si="290"/>
        <v>265.1379252426226</v>
      </c>
      <c r="CB73" s="662">
        <f t="shared" si="291"/>
        <v>-20.363521472904097</v>
      </c>
      <c r="CC73" s="663">
        <f t="shared" si="292"/>
        <v>-69.667337017823002</v>
      </c>
      <c r="CD73" s="115"/>
      <c r="CE73" s="847">
        <f t="shared" si="293"/>
        <v>-18.094999999999999</v>
      </c>
      <c r="CF73" s="35">
        <f t="shared" si="294"/>
        <v>0</v>
      </c>
      <c r="CG73" s="35">
        <f t="shared" si="295"/>
        <v>23.3</v>
      </c>
      <c r="CH73" s="35">
        <f t="shared" si="296"/>
        <v>-26.8</v>
      </c>
      <c r="CI73" s="35">
        <f t="shared" si="297"/>
        <v>98.8</v>
      </c>
      <c r="CJ73" s="35">
        <f t="shared" si="298"/>
        <v>-27.4</v>
      </c>
      <c r="CK73" s="35">
        <f t="shared" si="299"/>
        <v>6</v>
      </c>
      <c r="CL73" s="35">
        <f t="shared" si="300"/>
        <v>38</v>
      </c>
      <c r="CM73" s="35">
        <f t="shared" si="301"/>
        <v>23</v>
      </c>
      <c r="CN73" s="35">
        <f t="shared" si="302"/>
        <v>67</v>
      </c>
      <c r="CO73" s="35">
        <f t="shared" si="303"/>
        <v>71</v>
      </c>
      <c r="CP73" s="35">
        <f t="shared" si="304"/>
        <v>-128</v>
      </c>
      <c r="CQ73" s="35">
        <f t="shared" si="305"/>
        <v>636</v>
      </c>
      <c r="CR73" s="35">
        <f t="shared" si="306"/>
        <v>3</v>
      </c>
      <c r="CS73" s="35">
        <f t="shared" si="279"/>
        <v>-99</v>
      </c>
      <c r="CT73" s="35">
        <f t="shared" si="280"/>
        <v>8</v>
      </c>
      <c r="CU73" s="662">
        <f t="shared" si="281"/>
        <v>346</v>
      </c>
      <c r="CV73" s="662">
        <f t="shared" si="284"/>
        <v>143.17474241540955</v>
      </c>
      <c r="CW73" s="662">
        <f t="shared" si="282"/>
        <v>-69.667337017823002</v>
      </c>
      <c r="CX73" s="662">
        <f t="shared" si="285"/>
        <v>133.54350419365494</v>
      </c>
      <c r="CY73" s="662">
        <f t="shared" si="285"/>
        <v>79.511209413575699</v>
      </c>
      <c r="CZ73" s="662">
        <f t="shared" si="285"/>
        <v>74.691239966896461</v>
      </c>
      <c r="DA73" s="662">
        <f t="shared" si="285"/>
        <v>101.55273492448023</v>
      </c>
      <c r="DB73" s="662">
        <f t="shared" si="286"/>
        <v>117.51012981777461</v>
      </c>
      <c r="DC73" s="662">
        <f t="shared" si="286"/>
        <v>132.65839737406458</v>
      </c>
      <c r="DD73" s="663"/>
      <c r="DE73" s="174"/>
      <c r="DF73" s="91"/>
      <c r="DG73" s="29"/>
      <c r="DH73" s="29"/>
      <c r="DI73" s="39"/>
      <c r="DJ73" s="29"/>
      <c r="DK73" s="29"/>
      <c r="DL73" s="29"/>
      <c r="DM73" s="91"/>
      <c r="DN73" s="29"/>
      <c r="DO73" s="29"/>
      <c r="DP73" s="29"/>
      <c r="DQ73" s="29"/>
      <c r="DR73" s="29"/>
      <c r="DS73" s="29"/>
      <c r="DT73" s="29"/>
      <c r="DU73" s="29"/>
      <c r="DV73" s="29"/>
      <c r="DW73" s="29"/>
      <c r="EH73" s="1330"/>
    </row>
    <row r="74" spans="1:138">
      <c r="A74" s="320"/>
      <c r="B74" s="208"/>
      <c r="C74" s="196"/>
      <c r="D74" s="52" t="s">
        <v>363</v>
      </c>
      <c r="E74" s="197"/>
      <c r="F74" s="845">
        <v>0</v>
      </c>
      <c r="G74" s="780">
        <v>0</v>
      </c>
      <c r="H74" s="780">
        <v>0</v>
      </c>
      <c r="I74" s="846">
        <v>0</v>
      </c>
      <c r="J74" s="845">
        <v>0</v>
      </c>
      <c r="K74" s="780">
        <v>0</v>
      </c>
      <c r="L74" s="780">
        <v>0</v>
      </c>
      <c r="M74" s="521">
        <v>-5.0579999999999998</v>
      </c>
      <c r="N74" s="832">
        <v>0</v>
      </c>
      <c r="O74" s="457">
        <v>0</v>
      </c>
      <c r="P74" s="457">
        <v>0</v>
      </c>
      <c r="Q74" s="521">
        <v>0</v>
      </c>
      <c r="R74" s="832">
        <v>0</v>
      </c>
      <c r="S74" s="457">
        <v>0</v>
      </c>
      <c r="T74" s="457">
        <v>0</v>
      </c>
      <c r="U74" s="457">
        <v>0</v>
      </c>
      <c r="V74" s="832">
        <v>0</v>
      </c>
      <c r="W74" s="457">
        <v>0</v>
      </c>
      <c r="X74" s="457">
        <v>0</v>
      </c>
      <c r="Y74" s="521">
        <v>0</v>
      </c>
      <c r="Z74" s="832">
        <v>0</v>
      </c>
      <c r="AA74" s="457"/>
      <c r="AB74" s="457">
        <v>0</v>
      </c>
      <c r="AC74" s="521">
        <v>-79.400000000000006</v>
      </c>
      <c r="AD74" s="832">
        <v>-3</v>
      </c>
      <c r="AE74" s="457">
        <v>2</v>
      </c>
      <c r="AF74" s="457">
        <v>-10</v>
      </c>
      <c r="AG74" s="522">
        <v>-7</v>
      </c>
      <c r="AH74" s="832">
        <v>30</v>
      </c>
      <c r="AI74" s="527">
        <v>54</v>
      </c>
      <c r="AJ74" s="526">
        <v>54</v>
      </c>
      <c r="AK74" s="534">
        <v>54</v>
      </c>
      <c r="AL74" s="526">
        <v>9</v>
      </c>
      <c r="AM74" s="526">
        <v>9</v>
      </c>
      <c r="AN74" s="526">
        <v>0</v>
      </c>
      <c r="AO74" s="534">
        <v>0</v>
      </c>
      <c r="AP74" s="527">
        <v>0</v>
      </c>
      <c r="AQ74" s="527">
        <v>0</v>
      </c>
      <c r="AR74" s="526">
        <v>0</v>
      </c>
      <c r="AS74" s="884">
        <v>0</v>
      </c>
      <c r="AT74" s="526">
        <v>0</v>
      </c>
      <c r="AU74" s="526">
        <v>0</v>
      </c>
      <c r="AV74" s="526">
        <v>0</v>
      </c>
      <c r="AW74" s="884">
        <v>0</v>
      </c>
      <c r="AX74" s="526">
        <v>0</v>
      </c>
      <c r="AY74" s="526">
        <v>0</v>
      </c>
      <c r="AZ74" s="526">
        <v>0</v>
      </c>
      <c r="BA74" s="884">
        <v>0</v>
      </c>
      <c r="BB74" s="526">
        <v>0</v>
      </c>
      <c r="BC74" s="526">
        <v>0</v>
      </c>
      <c r="BD74" s="526">
        <v>0</v>
      </c>
      <c r="BE74" s="884">
        <v>0</v>
      </c>
      <c r="BF74" s="674">
        <v>0</v>
      </c>
      <c r="BG74" s="1383">
        <v>0</v>
      </c>
      <c r="BH74" s="1437">
        <v>0</v>
      </c>
      <c r="BI74" s="884">
        <v>0</v>
      </c>
      <c r="BJ74" s="674">
        <v>0</v>
      </c>
      <c r="BK74" s="1383">
        <v>0</v>
      </c>
      <c r="BL74" s="1437">
        <v>0</v>
      </c>
      <c r="BM74" s="884">
        <v>0</v>
      </c>
      <c r="BN74" s="674">
        <v>0</v>
      </c>
      <c r="BO74" s="1383">
        <v>0</v>
      </c>
      <c r="BP74" s="1437">
        <v>0</v>
      </c>
      <c r="BQ74" s="884">
        <v>0</v>
      </c>
      <c r="BR74" s="674">
        <v>0</v>
      </c>
      <c r="BS74" s="674">
        <v>0</v>
      </c>
      <c r="BT74" s="674">
        <v>0</v>
      </c>
      <c r="BU74" s="884">
        <v>0</v>
      </c>
      <c r="BV74" s="2208">
        <v>0</v>
      </c>
      <c r="BW74" s="2208">
        <v>0</v>
      </c>
      <c r="BX74" s="662">
        <f t="shared" si="287"/>
        <v>0</v>
      </c>
      <c r="BY74" s="663">
        <f t="shared" si="288"/>
        <v>0</v>
      </c>
      <c r="BZ74" s="662">
        <f t="shared" si="289"/>
        <v>0</v>
      </c>
      <c r="CA74" s="662">
        <f t="shared" si="290"/>
        <v>0</v>
      </c>
      <c r="CB74" s="662">
        <f t="shared" si="291"/>
        <v>0</v>
      </c>
      <c r="CC74" s="663">
        <f t="shared" si="292"/>
        <v>0</v>
      </c>
      <c r="CD74" s="115"/>
      <c r="CE74" s="847">
        <f t="shared" si="293"/>
        <v>0</v>
      </c>
      <c r="CF74" s="35">
        <f t="shared" si="294"/>
        <v>-5.0579999999999998</v>
      </c>
      <c r="CG74" s="35">
        <f t="shared" si="295"/>
        <v>0</v>
      </c>
      <c r="CH74" s="35">
        <f t="shared" si="296"/>
        <v>0</v>
      </c>
      <c r="CI74" s="35">
        <f t="shared" si="297"/>
        <v>0</v>
      </c>
      <c r="CJ74" s="35">
        <f t="shared" si="298"/>
        <v>-79.400000000000006</v>
      </c>
      <c r="CK74" s="35">
        <f t="shared" si="299"/>
        <v>-7</v>
      </c>
      <c r="CL74" s="35">
        <f t="shared" si="300"/>
        <v>54</v>
      </c>
      <c r="CM74" s="35">
        <f t="shared" si="301"/>
        <v>0</v>
      </c>
      <c r="CN74" s="35">
        <f t="shared" si="302"/>
        <v>0</v>
      </c>
      <c r="CO74" s="35">
        <f t="shared" si="303"/>
        <v>0</v>
      </c>
      <c r="CP74" s="35">
        <f t="shared" si="304"/>
        <v>0</v>
      </c>
      <c r="CQ74" s="35">
        <f t="shared" si="305"/>
        <v>0</v>
      </c>
      <c r="CR74" s="35">
        <f t="shared" si="306"/>
        <v>0</v>
      </c>
      <c r="CS74" s="35">
        <f t="shared" si="279"/>
        <v>0</v>
      </c>
      <c r="CT74" s="35">
        <f t="shared" si="280"/>
        <v>0</v>
      </c>
      <c r="CU74" s="662">
        <f t="shared" si="281"/>
        <v>0</v>
      </c>
      <c r="CV74" s="662">
        <f t="shared" si="284"/>
        <v>0</v>
      </c>
      <c r="CW74" s="662">
        <f t="shared" si="282"/>
        <v>0</v>
      </c>
      <c r="CX74" s="662">
        <f t="shared" si="285"/>
        <v>0</v>
      </c>
      <c r="CY74" s="662">
        <f t="shared" si="285"/>
        <v>0</v>
      </c>
      <c r="CZ74" s="662">
        <f t="shared" si="285"/>
        <v>0</v>
      </c>
      <c r="DA74" s="662">
        <f t="shared" si="285"/>
        <v>0</v>
      </c>
      <c r="DB74" s="662">
        <f t="shared" si="286"/>
        <v>0</v>
      </c>
      <c r="DC74" s="662">
        <f t="shared" si="286"/>
        <v>0</v>
      </c>
      <c r="DD74" s="663"/>
      <c r="DE74" s="174"/>
      <c r="DF74" s="91"/>
      <c r="DG74" s="29"/>
      <c r="DH74" s="29"/>
      <c r="DI74" s="39"/>
      <c r="DJ74" s="29"/>
      <c r="DK74" s="29"/>
      <c r="DL74" s="29"/>
      <c r="DM74" s="91"/>
      <c r="DN74" s="29"/>
      <c r="DO74" s="29"/>
      <c r="DP74" s="29"/>
      <c r="DQ74" s="29"/>
      <c r="DR74" s="29"/>
      <c r="DS74" s="29"/>
      <c r="DT74" s="29"/>
      <c r="DU74" s="29"/>
      <c r="DV74" s="29"/>
      <c r="DW74" s="29"/>
      <c r="EH74" s="1330"/>
    </row>
    <row r="75" spans="1:138">
      <c r="A75" s="320"/>
      <c r="B75" s="270"/>
      <c r="C75" s="264"/>
      <c r="D75" s="52" t="s">
        <v>362</v>
      </c>
      <c r="E75" s="265"/>
      <c r="F75" s="845">
        <f>-0.998-4.155</f>
        <v>-5.1530000000000005</v>
      </c>
      <c r="G75" s="780">
        <f>1.406-3.684</f>
        <v>-2.2780000000000005</v>
      </c>
      <c r="H75" s="780">
        <f>-5.401-3.737</f>
        <v>-9.1379999999999999</v>
      </c>
      <c r="I75" s="846">
        <f>-0.134-5.685</f>
        <v>-5.819</v>
      </c>
      <c r="J75" s="845">
        <f>1.954-1.638</f>
        <v>0.31600000000000006</v>
      </c>
      <c r="K75" s="780">
        <f>-1.505+5.664</f>
        <v>4.1589999999999998</v>
      </c>
      <c r="L75" s="780">
        <f>-3.075-0.781</f>
        <v>-3.8560000000000003</v>
      </c>
      <c r="M75" s="521">
        <f>0.938-1.337</f>
        <v>-0.39900000000000002</v>
      </c>
      <c r="N75" s="832">
        <f>0.855-0.677</f>
        <v>0.17799999999999994</v>
      </c>
      <c r="O75" s="457">
        <f>-3.725+1.254</f>
        <v>-2.4710000000000001</v>
      </c>
      <c r="P75" s="457">
        <f>-1.579+1.988</f>
        <v>0.40900000000000003</v>
      </c>
      <c r="Q75" s="521">
        <f>-0.3+8.7</f>
        <v>8.3999999999999986</v>
      </c>
      <c r="R75" s="832">
        <f>-3.8-6.9</f>
        <v>-10.7</v>
      </c>
      <c r="S75" s="457">
        <f>-1.2-2.8</f>
        <v>-4</v>
      </c>
      <c r="T75" s="457">
        <f>-11.1-3.1</f>
        <v>-14.2</v>
      </c>
      <c r="U75" s="457">
        <f>-9.4+1.7</f>
        <v>-7.7</v>
      </c>
      <c r="V75" s="832">
        <f>0.3-8.1</f>
        <v>-7.8</v>
      </c>
      <c r="W75" s="457">
        <f>0.2-4.5</f>
        <v>-4.3</v>
      </c>
      <c r="X75" s="457">
        <v>-6.7</v>
      </c>
      <c r="Y75" s="521">
        <v>-11</v>
      </c>
      <c r="Z75" s="832">
        <v>-24.2</v>
      </c>
      <c r="AA75" s="457">
        <f>-56.3-10.5</f>
        <v>-66.8</v>
      </c>
      <c r="AB75" s="457">
        <f>-55.8-5.8</f>
        <v>-61.599999999999994</v>
      </c>
      <c r="AC75" s="521">
        <v>-0.8</v>
      </c>
      <c r="AD75" s="832">
        <v>0</v>
      </c>
      <c r="AE75" s="457">
        <v>-1</v>
      </c>
      <c r="AF75" s="457">
        <v>0</v>
      </c>
      <c r="AG75" s="522">
        <v>-2</v>
      </c>
      <c r="AH75" s="832">
        <v>11</v>
      </c>
      <c r="AI75" s="527">
        <v>9</v>
      </c>
      <c r="AJ75" s="526">
        <v>-13</v>
      </c>
      <c r="AK75" s="534">
        <v>2</v>
      </c>
      <c r="AL75" s="526">
        <v>-39</v>
      </c>
      <c r="AM75" s="526">
        <v>-13</v>
      </c>
      <c r="AN75" s="526">
        <v>16</v>
      </c>
      <c r="AO75" s="534">
        <v>28</v>
      </c>
      <c r="AP75" s="527">
        <f>12-SUM(AP70:AP74)</f>
        <v>18</v>
      </c>
      <c r="AQ75" s="527">
        <v>36</v>
      </c>
      <c r="AR75" s="526">
        <v>67</v>
      </c>
      <c r="AS75" s="884">
        <v>104</v>
      </c>
      <c r="AT75" s="526">
        <v>-17</v>
      </c>
      <c r="AU75" s="526">
        <v>-9</v>
      </c>
      <c r="AV75" s="526">
        <v>13</v>
      </c>
      <c r="AW75" s="884">
        <v>-44</v>
      </c>
      <c r="AX75" s="526">
        <v>7</v>
      </c>
      <c r="AY75" s="526">
        <v>-13</v>
      </c>
      <c r="AZ75" s="526">
        <v>24</v>
      </c>
      <c r="BA75" s="884">
        <v>70</v>
      </c>
      <c r="BB75" s="526">
        <v>-62</v>
      </c>
      <c r="BC75" s="526">
        <v>-41</v>
      </c>
      <c r="BD75" s="526">
        <v>-50</v>
      </c>
      <c r="BE75" s="884">
        <f>-16</f>
        <v>-16</v>
      </c>
      <c r="BF75" s="674">
        <v>-23</v>
      </c>
      <c r="BG75" s="1383">
        <v>-32</v>
      </c>
      <c r="BH75" s="1437">
        <f>39-12</f>
        <v>27</v>
      </c>
      <c r="BI75" s="884">
        <v>-30</v>
      </c>
      <c r="BJ75" s="674">
        <v>-24</v>
      </c>
      <c r="BK75" s="1383">
        <f>75-758</f>
        <v>-683</v>
      </c>
      <c r="BL75" s="1437">
        <f>+-63+62-758</f>
        <v>-759</v>
      </c>
      <c r="BM75" s="884">
        <f>97-758</f>
        <v>-661</v>
      </c>
      <c r="BN75" s="674">
        <v>-1</v>
      </c>
      <c r="BO75" s="1383">
        <f>0+32</f>
        <v>32</v>
      </c>
      <c r="BP75" s="1437">
        <f>+-68-51</f>
        <v>-119</v>
      </c>
      <c r="BQ75" s="884">
        <v>11</v>
      </c>
      <c r="BR75" s="674">
        <v>-79</v>
      </c>
      <c r="BS75" s="674">
        <v>12</v>
      </c>
      <c r="BT75" s="674">
        <f>90+83</f>
        <v>173</v>
      </c>
      <c r="BU75" s="884">
        <v>175</v>
      </c>
      <c r="BV75" s="2208">
        <f>BV76-SUM(BV60:BV74)</f>
        <v>-222</v>
      </c>
      <c r="BW75" s="2208">
        <f>BW76-SUM(BW60:BW74)</f>
        <v>991</v>
      </c>
      <c r="BX75" s="662">
        <f t="shared" si="287"/>
        <v>-52.850565091000135</v>
      </c>
      <c r="BY75" s="663">
        <f t="shared" si="288"/>
        <v>-109.24806081105919</v>
      </c>
      <c r="BZ75" s="662">
        <f t="shared" si="289"/>
        <v>-20.250548941501108</v>
      </c>
      <c r="CA75" s="662">
        <f t="shared" si="290"/>
        <v>141.13218356304066</v>
      </c>
      <c r="CB75" s="662">
        <f t="shared" si="291"/>
        <v>106.23246460198521</v>
      </c>
      <c r="CC75" s="663">
        <f t="shared" si="292"/>
        <v>-1.0101712496465325</v>
      </c>
      <c r="CD75" s="115"/>
      <c r="CE75" s="847">
        <f t="shared" si="293"/>
        <v>-5.819</v>
      </c>
      <c r="CF75" s="35">
        <f t="shared" si="294"/>
        <v>-0.39900000000000002</v>
      </c>
      <c r="CG75" s="35">
        <f t="shared" si="295"/>
        <v>8.3999999999999986</v>
      </c>
      <c r="CH75" s="35">
        <f t="shared" si="296"/>
        <v>-7.7</v>
      </c>
      <c r="CI75" s="35">
        <f t="shared" si="297"/>
        <v>-11</v>
      </c>
      <c r="CJ75" s="35">
        <f t="shared" si="298"/>
        <v>-0.8</v>
      </c>
      <c r="CK75" s="35">
        <f t="shared" si="299"/>
        <v>-2</v>
      </c>
      <c r="CL75" s="35">
        <f t="shared" si="300"/>
        <v>2</v>
      </c>
      <c r="CM75" s="35">
        <f t="shared" si="301"/>
        <v>28</v>
      </c>
      <c r="CN75" s="35">
        <f t="shared" si="302"/>
        <v>104</v>
      </c>
      <c r="CO75" s="35">
        <f t="shared" si="303"/>
        <v>-44</v>
      </c>
      <c r="CP75" s="35">
        <f t="shared" si="304"/>
        <v>70</v>
      </c>
      <c r="CQ75" s="35">
        <f t="shared" si="305"/>
        <v>-16</v>
      </c>
      <c r="CR75" s="35">
        <f t="shared" si="306"/>
        <v>-30</v>
      </c>
      <c r="CS75" s="35">
        <f t="shared" si="279"/>
        <v>-661</v>
      </c>
      <c r="CT75" s="35">
        <f t="shared" si="280"/>
        <v>11</v>
      </c>
      <c r="CU75" s="662">
        <f t="shared" si="281"/>
        <v>175</v>
      </c>
      <c r="CV75" s="662">
        <f t="shared" si="284"/>
        <v>-109.24806081105919</v>
      </c>
      <c r="CW75" s="662">
        <f t="shared" si="282"/>
        <v>-1.0101712496465325</v>
      </c>
      <c r="CX75" s="662">
        <f t="shared" si="285"/>
        <v>62.514311313856638</v>
      </c>
      <c r="CY75" s="662">
        <f t="shared" si="285"/>
        <v>39.224307086886256</v>
      </c>
      <c r="CZ75" s="662">
        <f t="shared" si="285"/>
        <v>34.285157780481541</v>
      </c>
      <c r="DA75" s="662">
        <f t="shared" si="285"/>
        <v>48.408586776226628</v>
      </c>
      <c r="DB75" s="662">
        <f t="shared" si="286"/>
        <v>56.578936677208389</v>
      </c>
      <c r="DC75" s="662">
        <f t="shared" si="286"/>
        <v>63.774908408725764</v>
      </c>
      <c r="DD75" s="663"/>
      <c r="DE75" s="174"/>
      <c r="DF75" s="91"/>
      <c r="DG75" s="29"/>
      <c r="DH75" s="29"/>
      <c r="DI75" s="39"/>
      <c r="DJ75" s="29"/>
      <c r="DK75" s="29"/>
      <c r="DL75" s="29"/>
      <c r="DM75" s="91"/>
      <c r="DN75" s="29"/>
      <c r="DO75" s="29"/>
      <c r="DP75" s="29"/>
      <c r="DQ75" s="29"/>
      <c r="DR75" s="29"/>
      <c r="DS75" s="29"/>
      <c r="DT75" s="29"/>
      <c r="DU75" s="29"/>
      <c r="DV75" s="29"/>
      <c r="DW75" s="29"/>
      <c r="EH75" s="1330"/>
    </row>
    <row r="76" spans="1:138">
      <c r="A76" s="320"/>
      <c r="B76" s="209" t="s">
        <v>601</v>
      </c>
      <c r="C76" s="188"/>
      <c r="D76" s="188"/>
      <c r="E76" s="198"/>
      <c r="F76" s="505">
        <f t="shared" ref="F76:M76" si="307">SUM(F60:F62,F63:F75)</f>
        <v>-66.515000000000001</v>
      </c>
      <c r="G76" s="505">
        <f t="shared" si="307"/>
        <v>-57.416000000000004</v>
      </c>
      <c r="H76" s="505">
        <f t="shared" si="307"/>
        <v>-59.32200000000001</v>
      </c>
      <c r="I76" s="506">
        <f t="shared" si="307"/>
        <v>-58.847999999999985</v>
      </c>
      <c r="J76" s="505">
        <f t="shared" si="307"/>
        <v>7.9809999999999972</v>
      </c>
      <c r="K76" s="505">
        <f t="shared" si="307"/>
        <v>14.225000000000019</v>
      </c>
      <c r="L76" s="505">
        <f t="shared" si="307"/>
        <v>62.964000000000006</v>
      </c>
      <c r="M76" s="506">
        <f t="shared" si="307"/>
        <v>82.751000000000005</v>
      </c>
      <c r="N76" s="505">
        <f t="shared" ref="N76:BA76" si="308">SUM(N60:N62,N63:N75)</f>
        <v>45.025999999999996</v>
      </c>
      <c r="O76" s="505">
        <f t="shared" si="308"/>
        <v>137.47200000000001</v>
      </c>
      <c r="P76" s="505">
        <f t="shared" si="308"/>
        <v>236.536</v>
      </c>
      <c r="Q76" s="506">
        <f t="shared" si="308"/>
        <v>280.8</v>
      </c>
      <c r="R76" s="505">
        <f t="shared" si="308"/>
        <v>-18</v>
      </c>
      <c r="S76" s="505">
        <f t="shared" si="308"/>
        <v>55.29999999999999</v>
      </c>
      <c r="T76" s="505">
        <f t="shared" si="308"/>
        <v>116.99999999999999</v>
      </c>
      <c r="U76" s="506">
        <f t="shared" si="308"/>
        <v>190</v>
      </c>
      <c r="V76" s="505">
        <f t="shared" si="308"/>
        <v>93.100000000000009</v>
      </c>
      <c r="W76" s="505">
        <f t="shared" si="308"/>
        <v>236.09999999999997</v>
      </c>
      <c r="X76" s="505">
        <f t="shared" si="308"/>
        <v>347.59999999999997</v>
      </c>
      <c r="Y76" s="506">
        <f t="shared" si="308"/>
        <v>460.70000000000005</v>
      </c>
      <c r="Z76" s="505">
        <f>SUM(Z60:Z62,Z63:Z75)</f>
        <v>39.600000000000009</v>
      </c>
      <c r="AA76" s="505">
        <f t="shared" si="308"/>
        <v>156.19999999999999</v>
      </c>
      <c r="AB76" s="505">
        <f t="shared" si="308"/>
        <v>275.19999999999993</v>
      </c>
      <c r="AC76" s="506">
        <f t="shared" si="308"/>
        <v>401.50000000000017</v>
      </c>
      <c r="AD76" s="505">
        <f t="shared" si="308"/>
        <v>128</v>
      </c>
      <c r="AE76" s="505">
        <f t="shared" si="308"/>
        <v>300</v>
      </c>
      <c r="AF76" s="505">
        <f t="shared" si="308"/>
        <v>464</v>
      </c>
      <c r="AG76" s="506">
        <f t="shared" si="308"/>
        <v>618</v>
      </c>
      <c r="AH76" s="507">
        <f t="shared" si="308"/>
        <v>219</v>
      </c>
      <c r="AI76" s="505">
        <f t="shared" si="308"/>
        <v>738</v>
      </c>
      <c r="AJ76" s="505">
        <f t="shared" si="308"/>
        <v>1169</v>
      </c>
      <c r="AK76" s="506">
        <f>SUM(AK60:AK62,AK63:AK75)</f>
        <v>1399</v>
      </c>
      <c r="AL76" s="505">
        <f t="shared" si="308"/>
        <v>301</v>
      </c>
      <c r="AM76" s="505">
        <f t="shared" si="308"/>
        <v>601</v>
      </c>
      <c r="AN76" s="505">
        <f>SUM(AN60:AN62,AN63:AN75)</f>
        <v>956</v>
      </c>
      <c r="AO76" s="506">
        <f>SUM(AO60:AO62,AO63:AO75)</f>
        <v>1305</v>
      </c>
      <c r="AP76" s="505">
        <f t="shared" si="308"/>
        <v>434</v>
      </c>
      <c r="AQ76" s="505">
        <f>SUM(AQ60:AQ62,AQ63:AQ75)</f>
        <v>991</v>
      </c>
      <c r="AR76" s="505">
        <f t="shared" si="308"/>
        <v>1579</v>
      </c>
      <c r="AS76" s="506">
        <f>SUM(AS60:AS62,AS63:AS75)</f>
        <v>1942</v>
      </c>
      <c r="AT76" s="505">
        <f t="shared" si="308"/>
        <v>390</v>
      </c>
      <c r="AU76" s="505">
        <f t="shared" si="308"/>
        <v>895</v>
      </c>
      <c r="AV76" s="505">
        <f t="shared" si="308"/>
        <v>1208</v>
      </c>
      <c r="AW76" s="506">
        <f t="shared" si="308"/>
        <v>1655</v>
      </c>
      <c r="AX76" s="505">
        <f t="shared" si="308"/>
        <v>352</v>
      </c>
      <c r="AY76" s="505">
        <f t="shared" si="308"/>
        <v>730</v>
      </c>
      <c r="AZ76" s="505">
        <f t="shared" si="308"/>
        <v>1938</v>
      </c>
      <c r="BA76" s="506">
        <f t="shared" si="308"/>
        <v>3067</v>
      </c>
      <c r="BB76" s="505">
        <f>SUM(BB60:BB62,BB63:BB75)</f>
        <v>936</v>
      </c>
      <c r="BC76" s="505">
        <f t="shared" ref="BC76:BH76" si="309">SUM(BC60:BC62,BC63:BC75)</f>
        <v>1708</v>
      </c>
      <c r="BD76" s="505">
        <f t="shared" si="309"/>
        <v>2435</v>
      </c>
      <c r="BE76" s="506">
        <f t="shared" si="309"/>
        <v>3119</v>
      </c>
      <c r="BF76" s="505">
        <f>SUM(BF60:BF62,BF63:BF75)</f>
        <v>680</v>
      </c>
      <c r="BG76" s="505">
        <f t="shared" si="309"/>
        <v>1406</v>
      </c>
      <c r="BH76" s="505">
        <f t="shared" si="309"/>
        <v>2104</v>
      </c>
      <c r="BI76" s="506">
        <f t="shared" ref="BI76:BQ76" si="310">SUM(BI60:BI62,BI63:BI75)</f>
        <v>2816</v>
      </c>
      <c r="BJ76" s="505">
        <f t="shared" si="310"/>
        <v>827</v>
      </c>
      <c r="BK76" s="505">
        <f t="shared" si="310"/>
        <v>1070</v>
      </c>
      <c r="BL76" s="505">
        <f t="shared" si="310"/>
        <v>1754</v>
      </c>
      <c r="BM76" s="506">
        <f t="shared" si="310"/>
        <v>2242</v>
      </c>
      <c r="BN76" s="505">
        <f t="shared" si="310"/>
        <v>545</v>
      </c>
      <c r="BO76" s="505">
        <f t="shared" si="310"/>
        <v>1143</v>
      </c>
      <c r="BP76" s="505">
        <f t="shared" si="310"/>
        <v>1628</v>
      </c>
      <c r="BQ76" s="506">
        <f t="shared" si="310"/>
        <v>1983</v>
      </c>
      <c r="BR76" s="505">
        <f t="shared" ref="BR76:BY76" si="311">SUM(BR60:BR62,BR63:BR75)</f>
        <v>440</v>
      </c>
      <c r="BS76" s="505">
        <f t="shared" si="311"/>
        <v>1500</v>
      </c>
      <c r="BT76" s="505">
        <f>SUM(BT60:BT62,BT63:BT75)</f>
        <v>2498</v>
      </c>
      <c r="BU76" s="506">
        <f>SUM(BU60:BU62,BU63:BU75)</f>
        <v>3437</v>
      </c>
      <c r="BV76" s="910">
        <v>1133</v>
      </c>
      <c r="BW76" s="910">
        <v>2315</v>
      </c>
      <c r="BX76" s="505">
        <f t="shared" si="311"/>
        <v>2399.4287797821303</v>
      </c>
      <c r="BY76" s="506">
        <f t="shared" si="311"/>
        <v>3500.5423134612352</v>
      </c>
      <c r="BZ76" s="505">
        <f>SUM(BZ60:BZ62,BZ63:BZ75)</f>
        <v>1167.282841751176</v>
      </c>
      <c r="CA76" s="505">
        <f>SUM(CA60:CA62,CA63:CA75)</f>
        <v>2483.5804143509758</v>
      </c>
      <c r="CB76" s="505">
        <f>SUM(CB60:CB62,CB63:CB75)</f>
        <v>3157.4510453039229</v>
      </c>
      <c r="CC76" s="506">
        <f>SUM(CC60:CC62,CC63:CC75)</f>
        <v>3740.8994070001613</v>
      </c>
      <c r="CD76" s="285"/>
      <c r="CE76" s="847">
        <f t="shared" si="293"/>
        <v>-58.847999999999985</v>
      </c>
      <c r="CF76" s="505">
        <f t="shared" ref="CF76:CP76" si="312">SUM(CF60:CF62,CF63:CF75)</f>
        <v>82.751000000000005</v>
      </c>
      <c r="CG76" s="505">
        <f t="shared" si="312"/>
        <v>280.8</v>
      </c>
      <c r="CH76" s="505">
        <f t="shared" si="312"/>
        <v>190</v>
      </c>
      <c r="CI76" s="505">
        <f t="shared" si="312"/>
        <v>460.70000000000005</v>
      </c>
      <c r="CJ76" s="505">
        <f t="shared" si="312"/>
        <v>401.50000000000017</v>
      </c>
      <c r="CK76" s="505">
        <f t="shared" si="312"/>
        <v>618</v>
      </c>
      <c r="CL76" s="505">
        <f t="shared" si="312"/>
        <v>1399</v>
      </c>
      <c r="CM76" s="505">
        <f t="shared" si="312"/>
        <v>1305</v>
      </c>
      <c r="CN76" s="505">
        <f t="shared" si="312"/>
        <v>1942</v>
      </c>
      <c r="CO76" s="505">
        <f t="shared" si="312"/>
        <v>1655</v>
      </c>
      <c r="CP76" s="505">
        <f t="shared" si="312"/>
        <v>3067</v>
      </c>
      <c r="CQ76" s="505">
        <f t="shared" ref="CQ76:CV76" si="313">SUM(CQ60:CQ62,CQ63:CQ75)</f>
        <v>3119</v>
      </c>
      <c r="CR76" s="505">
        <f t="shared" si="313"/>
        <v>2816</v>
      </c>
      <c r="CS76" s="505">
        <f t="shared" si="313"/>
        <v>2242</v>
      </c>
      <c r="CT76" s="505">
        <f t="shared" si="313"/>
        <v>1983</v>
      </c>
      <c r="CU76" s="505">
        <f t="shared" si="313"/>
        <v>3437</v>
      </c>
      <c r="CV76" s="505">
        <f t="shared" si="313"/>
        <v>3500.5423134612352</v>
      </c>
      <c r="CW76" s="505">
        <f t="shared" ref="CW76:DC76" si="314">SUM(CW60:CW62,CW63:CW75)</f>
        <v>3740.8994070001613</v>
      </c>
      <c r="CX76" s="505">
        <f t="shared" si="314"/>
        <v>4320.1405068409031</v>
      </c>
      <c r="CY76" s="505">
        <f t="shared" si="314"/>
        <v>4263.2457357816711</v>
      </c>
      <c r="CZ76" s="505">
        <f t="shared" si="314"/>
        <v>4634.5122582421918</v>
      </c>
      <c r="DA76" s="505">
        <f t="shared" si="314"/>
        <v>4562.3395330884478</v>
      </c>
      <c r="DB76" s="505">
        <f t="shared" si="314"/>
        <v>4940.9360229828208</v>
      </c>
      <c r="DC76" s="505">
        <f t="shared" si="314"/>
        <v>5351.2293128982783</v>
      </c>
      <c r="DD76" s="506"/>
      <c r="DE76" s="174"/>
      <c r="DF76" s="1692"/>
      <c r="DG76" s="29"/>
      <c r="DH76" s="29"/>
      <c r="DI76" s="39"/>
      <c r="DJ76" s="29"/>
      <c r="DK76" s="29"/>
      <c r="DL76" s="29"/>
      <c r="DM76" s="91"/>
      <c r="DN76" s="29"/>
      <c r="DO76" s="29"/>
      <c r="DP76" s="29"/>
      <c r="DQ76" s="29"/>
      <c r="DR76" s="29"/>
      <c r="DS76" s="29"/>
      <c r="DT76" s="29"/>
      <c r="DU76" s="29"/>
      <c r="DV76" s="29"/>
      <c r="DW76" s="29"/>
      <c r="EH76" s="1330"/>
    </row>
    <row r="77" spans="1:138" ht="3" customHeight="1">
      <c r="A77" s="320"/>
      <c r="B77" s="270"/>
      <c r="C77" s="264"/>
      <c r="D77" s="264"/>
      <c r="E77" s="265"/>
      <c r="F77" s="44"/>
      <c r="G77" s="44"/>
      <c r="H77" s="44"/>
      <c r="I77" s="534"/>
      <c r="J77" s="44"/>
      <c r="K77" s="44"/>
      <c r="L77" s="44"/>
      <c r="M77" s="534"/>
      <c r="N77" s="527"/>
      <c r="O77" s="527"/>
      <c r="P77" s="527"/>
      <c r="Q77" s="534"/>
      <c r="R77" s="527"/>
      <c r="S77" s="527"/>
      <c r="T77" s="527"/>
      <c r="U77" s="534"/>
      <c r="V77" s="527"/>
      <c r="W77" s="527"/>
      <c r="X77" s="527"/>
      <c r="Y77" s="534"/>
      <c r="Z77" s="527"/>
      <c r="AA77" s="527"/>
      <c r="AB77" s="527"/>
      <c r="AC77" s="534"/>
      <c r="AD77" s="527"/>
      <c r="AE77" s="527"/>
      <c r="AF77" s="527"/>
      <c r="AG77" s="534"/>
      <c r="AH77" s="527"/>
      <c r="AI77" s="527"/>
      <c r="AJ77" s="527"/>
      <c r="AK77" s="534"/>
      <c r="AL77" s="527"/>
      <c r="AM77" s="527"/>
      <c r="AN77" s="527"/>
      <c r="AO77" s="534"/>
      <c r="AP77" s="527"/>
      <c r="AQ77" s="527"/>
      <c r="AR77" s="527"/>
      <c r="AS77" s="534"/>
      <c r="AT77" s="527"/>
      <c r="AU77" s="527"/>
      <c r="AV77" s="527"/>
      <c r="AW77" s="534"/>
      <c r="AX77" s="527"/>
      <c r="AY77" s="527"/>
      <c r="AZ77" s="527"/>
      <c r="BA77" s="534"/>
      <c r="BB77" s="527"/>
      <c r="BC77" s="527"/>
      <c r="BD77" s="527"/>
      <c r="BE77" s="534"/>
      <c r="BF77" s="527"/>
      <c r="BG77" s="527"/>
      <c r="BH77" s="527"/>
      <c r="BI77" s="534"/>
      <c r="BJ77" s="527"/>
      <c r="BK77" s="527"/>
      <c r="BL77" s="527"/>
      <c r="BM77" s="534"/>
      <c r="BN77" s="527"/>
      <c r="BO77" s="527"/>
      <c r="BP77" s="527"/>
      <c r="BQ77" s="534"/>
      <c r="BR77" s="527"/>
      <c r="BS77" s="527"/>
      <c r="BT77" s="527"/>
      <c r="BU77" s="534"/>
      <c r="BV77" s="527"/>
      <c r="BW77" s="527"/>
      <c r="BX77" s="527"/>
      <c r="BY77" s="534"/>
      <c r="BZ77" s="527"/>
      <c r="CA77" s="527"/>
      <c r="CB77" s="527"/>
      <c r="CC77" s="534"/>
      <c r="CD77" s="115"/>
      <c r="CE77" s="847"/>
      <c r="CF77" s="35"/>
      <c r="CG77" s="35"/>
      <c r="CH77" s="35"/>
      <c r="CI77" s="173"/>
      <c r="CJ77" s="35"/>
      <c r="CK77" s="35"/>
      <c r="CL77" s="35"/>
      <c r="CM77" s="35"/>
      <c r="CN77" s="35"/>
      <c r="CO77" s="35">
        <f>CO30</f>
        <v>0</v>
      </c>
      <c r="CP77" s="35"/>
      <c r="CQ77" s="35"/>
      <c r="CR77" s="35"/>
      <c r="CS77" s="35">
        <f>BM77</f>
        <v>0</v>
      </c>
      <c r="CT77" s="35"/>
      <c r="CU77" s="527"/>
      <c r="CV77" s="527"/>
      <c r="CW77" s="527"/>
      <c r="CX77" s="527"/>
      <c r="CY77" s="527"/>
      <c r="CZ77" s="527"/>
      <c r="DA77" s="527"/>
      <c r="DB77" s="527"/>
      <c r="DC77" s="527"/>
      <c r="DD77" s="534"/>
      <c r="DE77" s="174"/>
      <c r="DF77" s="91"/>
      <c r="DG77" s="29"/>
      <c r="DH77" s="29"/>
      <c r="DI77" s="39"/>
      <c r="DJ77" s="91"/>
      <c r="DK77" s="91"/>
      <c r="DL77" s="91"/>
      <c r="DM77" s="91"/>
      <c r="DN77" s="29"/>
      <c r="DO77" s="29"/>
      <c r="DP77" s="29"/>
      <c r="DQ77" s="29"/>
      <c r="DR77" s="29"/>
      <c r="DS77" s="29"/>
      <c r="DT77" s="29"/>
      <c r="DU77" s="29"/>
      <c r="DV77" s="29"/>
      <c r="DW77" s="29"/>
    </row>
    <row r="78" spans="1:138">
      <c r="A78" s="320"/>
      <c r="B78" s="208" t="s">
        <v>64</v>
      </c>
      <c r="C78" s="187"/>
      <c r="D78" s="187"/>
      <c r="E78" s="195"/>
      <c r="F78" s="44"/>
      <c r="G78" s="46"/>
      <c r="H78" s="46"/>
      <c r="I78" s="47"/>
      <c r="J78" s="44"/>
      <c r="K78" s="46"/>
      <c r="L78" s="46"/>
      <c r="M78" s="536"/>
      <c r="N78" s="535"/>
      <c r="O78" s="535"/>
      <c r="P78" s="535"/>
      <c r="Q78" s="536"/>
      <c r="R78" s="535"/>
      <c r="S78" s="535"/>
      <c r="T78" s="535"/>
      <c r="U78" s="536"/>
      <c r="V78" s="535"/>
      <c r="W78" s="535"/>
      <c r="X78" s="535"/>
      <c r="Y78" s="536"/>
      <c r="Z78" s="535"/>
      <c r="AA78" s="535"/>
      <c r="AB78" s="535"/>
      <c r="AC78" s="536"/>
      <c r="AD78" s="535"/>
      <c r="AE78" s="535"/>
      <c r="AF78" s="535"/>
      <c r="AG78" s="536"/>
      <c r="AH78" s="535"/>
      <c r="AI78" s="535"/>
      <c r="AJ78" s="535"/>
      <c r="AK78" s="536"/>
      <c r="AL78" s="535"/>
      <c r="AM78" s="535"/>
      <c r="AN78" s="535"/>
      <c r="AO78" s="536"/>
      <c r="AP78" s="535"/>
      <c r="AQ78" s="535"/>
      <c r="AR78" s="535"/>
      <c r="AS78" s="536"/>
      <c r="AT78" s="535"/>
      <c r="AU78" s="535"/>
      <c r="AV78" s="535"/>
      <c r="AW78" s="536"/>
      <c r="AX78" s="535"/>
      <c r="AY78" s="535"/>
      <c r="AZ78" s="535"/>
      <c r="BA78" s="536"/>
      <c r="BB78" s="535"/>
      <c r="BC78" s="535"/>
      <c r="BD78" s="535"/>
      <c r="BE78" s="536"/>
      <c r="BF78" s="535"/>
      <c r="BG78" s="535"/>
      <c r="BH78" s="535"/>
      <c r="BI78" s="536"/>
      <c r="BJ78" s="535"/>
      <c r="BK78" s="535"/>
      <c r="BL78" s="535"/>
      <c r="BM78" s="536"/>
      <c r="BN78" s="535"/>
      <c r="BO78" s="535"/>
      <c r="BP78" s="535"/>
      <c r="BQ78" s="536"/>
      <c r="BR78" s="535"/>
      <c r="BS78" s="535"/>
      <c r="BT78" s="535"/>
      <c r="BU78" s="536"/>
      <c r="BV78" s="535"/>
      <c r="BW78" s="535"/>
      <c r="BX78" s="535"/>
      <c r="BY78" s="536"/>
      <c r="BZ78" s="535"/>
      <c r="CA78" s="535"/>
      <c r="CB78" s="535"/>
      <c r="CC78" s="536"/>
      <c r="CD78" s="115"/>
      <c r="CE78" s="847"/>
      <c r="CF78" s="35"/>
      <c r="CG78" s="35"/>
      <c r="CH78" s="35"/>
      <c r="CI78" s="35"/>
      <c r="CJ78" s="35"/>
      <c r="CK78" s="35"/>
      <c r="CL78" s="35"/>
      <c r="CM78" s="35"/>
      <c r="CN78" s="35"/>
      <c r="CO78" s="35"/>
      <c r="CP78" s="35"/>
      <c r="CQ78" s="35"/>
      <c r="CR78" s="35"/>
      <c r="CS78" s="35"/>
      <c r="CT78" s="35"/>
      <c r="CU78" s="1654"/>
      <c r="CV78" s="1654"/>
      <c r="CW78" s="1654"/>
      <c r="CX78" s="535"/>
      <c r="CY78" s="535"/>
      <c r="CZ78" s="535"/>
      <c r="DA78" s="535"/>
      <c r="DB78" s="535"/>
      <c r="DC78" s="535"/>
      <c r="DD78" s="536"/>
      <c r="DE78" s="174"/>
      <c r="DF78" s="91"/>
      <c r="DG78" s="29"/>
      <c r="DH78" s="29"/>
      <c r="DI78" s="39"/>
      <c r="DJ78" s="29"/>
      <c r="DK78" s="29"/>
      <c r="DL78" s="29"/>
      <c r="DM78" s="91"/>
      <c r="DN78" s="29"/>
      <c r="DO78" s="29"/>
      <c r="DP78" s="29"/>
      <c r="DQ78" s="29"/>
      <c r="DR78" s="29"/>
      <c r="DS78" s="29"/>
      <c r="DT78" s="29"/>
      <c r="DU78" s="29"/>
      <c r="DV78" s="29"/>
      <c r="DW78" s="29"/>
    </row>
    <row r="79" spans="1:138">
      <c r="A79" s="320"/>
      <c r="B79" s="208"/>
      <c r="C79" s="52" t="s">
        <v>364</v>
      </c>
      <c r="D79" s="187"/>
      <c r="E79" s="195"/>
      <c r="F79" s="845">
        <v>-10.587</v>
      </c>
      <c r="G79" s="780">
        <v>-26.849</v>
      </c>
      <c r="H79" s="780">
        <v>-39.893000000000001</v>
      </c>
      <c r="I79" s="846">
        <v>-50.683</v>
      </c>
      <c r="J79" s="845">
        <v>-12.013</v>
      </c>
      <c r="K79" s="780">
        <v>-26.038</v>
      </c>
      <c r="L79" s="780">
        <v>-39.484000000000002</v>
      </c>
      <c r="M79" s="521">
        <v>-47.743000000000002</v>
      </c>
      <c r="N79" s="832">
        <v>-12.362</v>
      </c>
      <c r="O79" s="457">
        <v>-27.786999999999999</v>
      </c>
      <c r="P79" s="457">
        <v>-43.572000000000003</v>
      </c>
      <c r="Q79" s="521">
        <v>-61.9</v>
      </c>
      <c r="R79" s="832">
        <v>-19.899999999999999</v>
      </c>
      <c r="S79" s="457">
        <v>-64.099999999999994</v>
      </c>
      <c r="T79" s="457">
        <v>-90.5</v>
      </c>
      <c r="U79" s="457">
        <v>-131.69999999999999</v>
      </c>
      <c r="V79" s="832">
        <v>-50.7</v>
      </c>
      <c r="W79" s="457">
        <v>-105.5</v>
      </c>
      <c r="X79" s="457">
        <v>-153</v>
      </c>
      <c r="Y79" s="521">
        <v>-233.4</v>
      </c>
      <c r="Z79" s="832">
        <v>-50.2</v>
      </c>
      <c r="AA79" s="457">
        <v>-102.2</v>
      </c>
      <c r="AB79" s="457">
        <v>-206.1</v>
      </c>
      <c r="AC79" s="521">
        <v>-301.89999999999998</v>
      </c>
      <c r="AD79" s="832">
        <v>-72</v>
      </c>
      <c r="AE79" s="457">
        <v>-169</v>
      </c>
      <c r="AF79" s="457">
        <v>-238</v>
      </c>
      <c r="AG79" s="521">
        <v>-324</v>
      </c>
      <c r="AH79" s="832">
        <v>-163</v>
      </c>
      <c r="AI79" s="527">
        <v>-332</v>
      </c>
      <c r="AJ79" s="527">
        <v>-469</v>
      </c>
      <c r="AK79" s="534">
        <v>-615</v>
      </c>
      <c r="AL79" s="527">
        <v>-162</v>
      </c>
      <c r="AM79" s="527">
        <v>-302</v>
      </c>
      <c r="AN79" s="527">
        <v>-408</v>
      </c>
      <c r="AO79" s="534">
        <v>-519</v>
      </c>
      <c r="AP79" s="527">
        <v>-176</v>
      </c>
      <c r="AQ79" s="527">
        <v>-375</v>
      </c>
      <c r="AR79" s="527">
        <v>-552</v>
      </c>
      <c r="AS79" s="534">
        <v>-737</v>
      </c>
      <c r="AT79" s="527">
        <v>-200</v>
      </c>
      <c r="AU79" s="527">
        <v>-450</v>
      </c>
      <c r="AV79" s="527">
        <v>-625</v>
      </c>
      <c r="AW79" s="534">
        <v>-778</v>
      </c>
      <c r="AX79" s="527">
        <v>-134</v>
      </c>
      <c r="AY79" s="527">
        <v>-253</v>
      </c>
      <c r="AZ79" s="527">
        <v>-393</v>
      </c>
      <c r="BA79" s="884">
        <v>-717</v>
      </c>
      <c r="BB79" s="527">
        <v>-382</v>
      </c>
      <c r="BC79" s="526">
        <v>-628</v>
      </c>
      <c r="BD79" s="527">
        <v>-816</v>
      </c>
      <c r="BE79" s="534">
        <v>-952</v>
      </c>
      <c r="BF79" s="527">
        <v>-136</v>
      </c>
      <c r="BG79" s="1374">
        <v>-306</v>
      </c>
      <c r="BH79" s="1397">
        <v>-467</v>
      </c>
      <c r="BI79" s="1451">
        <v>-628</v>
      </c>
      <c r="BJ79" s="1397">
        <v>-160</v>
      </c>
      <c r="BK79" s="1374">
        <v>-306</v>
      </c>
      <c r="BL79" s="1397">
        <v>-456</v>
      </c>
      <c r="BM79" s="1451">
        <v>-612</v>
      </c>
      <c r="BN79" s="1397">
        <v>-151</v>
      </c>
      <c r="BO79" s="1374">
        <v>-300</v>
      </c>
      <c r="BP79" s="1397">
        <v>-433</v>
      </c>
      <c r="BQ79" s="1451">
        <f>-584-90</f>
        <v>-674</v>
      </c>
      <c r="BR79" s="1397">
        <f>-184-20-127+120</f>
        <v>-211</v>
      </c>
      <c r="BS79" s="1374">
        <f>-329-BS80-20-309+259</f>
        <v>-400</v>
      </c>
      <c r="BT79" s="2200">
        <f>-453-20-480+276</f>
        <v>-677</v>
      </c>
      <c r="BU79" s="1451">
        <f>-578-20-549+292</f>
        <v>-855</v>
      </c>
      <c r="BV79" s="1397">
        <f>-155-131</f>
        <v>-286</v>
      </c>
      <c r="BW79" s="1397">
        <f>-406-509</f>
        <v>-915</v>
      </c>
      <c r="BX79" s="662">
        <f t="shared" ref="BX79:BX84" si="315">BW79+BX32</f>
        <v>-1258.6369055</v>
      </c>
      <c r="BY79" s="663">
        <f t="shared" ref="BY79:BY84" si="316">BX79+BY32</f>
        <v>-1602.6183950482</v>
      </c>
      <c r="BZ79" s="662">
        <f t="shared" ref="BZ79:BZ84" si="317">BZ32</f>
        <v>-329.583237155821</v>
      </c>
      <c r="CA79" s="662">
        <f t="shared" ref="CA79:CA84" si="318">BZ79+CA32</f>
        <v>-653.94022392458805</v>
      </c>
      <c r="CB79" s="662">
        <f t="shared" ref="CB79:CB84" si="319">CA79+CB32</f>
        <v>-931.97389623327763</v>
      </c>
      <c r="CC79" s="663">
        <f t="shared" ref="CC79:CC84" si="320">CB79+CC32</f>
        <v>-1195.1419993050658</v>
      </c>
      <c r="CD79" s="115"/>
      <c r="CE79" s="847">
        <f t="shared" ref="CE79:CE85" si="321">I79</f>
        <v>-50.683</v>
      </c>
      <c r="CF79" s="35">
        <f t="shared" ref="CF79:CF84" si="322">M79</f>
        <v>-47.743000000000002</v>
      </c>
      <c r="CG79" s="35">
        <f t="shared" ref="CG79:CG84" si="323">Q79</f>
        <v>-61.9</v>
      </c>
      <c r="CH79" s="35">
        <f t="shared" ref="CH79:CH84" si="324">U79</f>
        <v>-131.69999999999999</v>
      </c>
      <c r="CI79" s="35">
        <f t="shared" ref="CI79:CI84" si="325">Y79</f>
        <v>-233.4</v>
      </c>
      <c r="CJ79" s="35">
        <f t="shared" ref="CJ79:CJ84" si="326">AC79</f>
        <v>-301.89999999999998</v>
      </c>
      <c r="CK79" s="35">
        <f t="shared" ref="CK79:CK84" si="327">AG79</f>
        <v>-324</v>
      </c>
      <c r="CL79" s="35">
        <f t="shared" ref="CL79:CL84" si="328">AK79</f>
        <v>-615</v>
      </c>
      <c r="CM79" s="35">
        <f t="shared" ref="CM79:CM84" si="329">AO79</f>
        <v>-519</v>
      </c>
      <c r="CN79" s="35">
        <f t="shared" ref="CN79:CN84" si="330">AS79</f>
        <v>-737</v>
      </c>
      <c r="CO79" s="35">
        <f t="shared" ref="CO79:CO84" si="331">AW79</f>
        <v>-778</v>
      </c>
      <c r="CP79" s="35">
        <f t="shared" ref="CP79:CP84" si="332">BA79</f>
        <v>-717</v>
      </c>
      <c r="CQ79" s="35">
        <f t="shared" ref="CQ79:CQ84" si="333">BE79</f>
        <v>-952</v>
      </c>
      <c r="CR79" s="35">
        <f t="shared" ref="CR79:CR84" si="334">BI79</f>
        <v>-628</v>
      </c>
      <c r="CS79" s="638">
        <f t="shared" ref="CS79:CS84" si="335">BM79</f>
        <v>-612</v>
      </c>
      <c r="CT79" s="35">
        <f t="shared" ref="CT79:CT84" si="336">BQ79</f>
        <v>-674</v>
      </c>
      <c r="CU79" s="662">
        <f t="shared" ref="CU79:CU84" si="337">BU79</f>
        <v>-855</v>
      </c>
      <c r="CV79" s="662">
        <f t="shared" ref="CV79:CV84" si="338">BY79</f>
        <v>-1602.6183950482</v>
      </c>
      <c r="CW79" s="662">
        <f t="shared" ref="CW79:CW84" si="339">CC79</f>
        <v>-1195.1419993050658</v>
      </c>
      <c r="CX79" s="662">
        <f t="shared" ref="CX79:DA84" si="340">CX32</f>
        <v>-1330.6856128148449</v>
      </c>
      <c r="CY79" s="662">
        <f t="shared" si="340"/>
        <v>-1378.9259815649145</v>
      </c>
      <c r="CZ79" s="662">
        <f t="shared" si="340"/>
        <v>-1541.521642237298</v>
      </c>
      <c r="DA79" s="662">
        <f t="shared" si="340"/>
        <v>-1612.9672825233101</v>
      </c>
      <c r="DB79" s="662">
        <f t="shared" ref="DB79:DC84" si="341">DB32</f>
        <v>-1693.9398753041544</v>
      </c>
      <c r="DC79" s="662">
        <f t="shared" si="341"/>
        <v>-1785.6450452278245</v>
      </c>
      <c r="DD79" s="663"/>
      <c r="DE79" s="174"/>
      <c r="DF79" s="91"/>
      <c r="DG79" s="29"/>
      <c r="DH79" s="29"/>
      <c r="DI79" s="39"/>
      <c r="DJ79" s="29"/>
      <c r="DK79" s="29"/>
      <c r="DL79" s="29"/>
      <c r="DM79" s="91"/>
      <c r="DN79" s="29"/>
      <c r="DO79" s="29"/>
      <c r="DP79" s="29"/>
      <c r="DQ79" s="29"/>
      <c r="DR79" s="29"/>
      <c r="DS79" s="29"/>
      <c r="DT79" s="29"/>
      <c r="DU79" s="29"/>
      <c r="DV79" s="29"/>
      <c r="DW79" s="29"/>
      <c r="EH79" s="1330"/>
    </row>
    <row r="80" spans="1:138">
      <c r="A80" s="320"/>
      <c r="B80" s="208"/>
      <c r="C80" s="52" t="s">
        <v>843</v>
      </c>
      <c r="D80" s="187"/>
      <c r="E80" s="195"/>
      <c r="F80" s="845">
        <v>0</v>
      </c>
      <c r="G80" s="780">
        <v>0</v>
      </c>
      <c r="H80" s="780">
        <v>0</v>
      </c>
      <c r="I80" s="846">
        <v>0</v>
      </c>
      <c r="J80" s="845">
        <v>0</v>
      </c>
      <c r="K80" s="780">
        <v>0</v>
      </c>
      <c r="L80" s="780">
        <v>0</v>
      </c>
      <c r="M80" s="521">
        <v>0</v>
      </c>
      <c r="N80" s="832">
        <v>0</v>
      </c>
      <c r="O80" s="457">
        <v>0</v>
      </c>
      <c r="P80" s="457">
        <v>0</v>
      </c>
      <c r="Q80" s="521">
        <v>0</v>
      </c>
      <c r="R80" s="832">
        <v>0</v>
      </c>
      <c r="S80" s="457">
        <v>0</v>
      </c>
      <c r="T80" s="457">
        <v>0</v>
      </c>
      <c r="U80" s="521">
        <v>0</v>
      </c>
      <c r="V80" s="457">
        <v>0</v>
      </c>
      <c r="W80" s="457">
        <v>0</v>
      </c>
      <c r="X80" s="457">
        <v>0</v>
      </c>
      <c r="Y80" s="521">
        <v>0</v>
      </c>
      <c r="Z80" s="832">
        <v>0</v>
      </c>
      <c r="AA80" s="457">
        <v>0</v>
      </c>
      <c r="AB80" s="457">
        <v>0</v>
      </c>
      <c r="AC80" s="521">
        <v>0</v>
      </c>
      <c r="AD80" s="832">
        <v>0</v>
      </c>
      <c r="AE80" s="457">
        <v>0</v>
      </c>
      <c r="AF80" s="457">
        <v>0</v>
      </c>
      <c r="AG80" s="521">
        <v>0</v>
      </c>
      <c r="AH80" s="832">
        <v>0</v>
      </c>
      <c r="AI80" s="527">
        <v>0</v>
      </c>
      <c r="AJ80" s="527">
        <v>0</v>
      </c>
      <c r="AK80" s="534">
        <v>0</v>
      </c>
      <c r="AL80" s="527">
        <v>0</v>
      </c>
      <c r="AM80" s="527">
        <v>0</v>
      </c>
      <c r="AN80" s="527">
        <v>0</v>
      </c>
      <c r="AO80" s="534">
        <v>29</v>
      </c>
      <c r="AP80" s="527">
        <v>0</v>
      </c>
      <c r="AQ80" s="527">
        <v>0</v>
      </c>
      <c r="AR80" s="527">
        <v>0</v>
      </c>
      <c r="AS80" s="534">
        <v>0</v>
      </c>
      <c r="AT80" s="527">
        <v>0</v>
      </c>
      <c r="AU80" s="527">
        <v>0</v>
      </c>
      <c r="AV80" s="527">
        <v>0</v>
      </c>
      <c r="AW80" s="534">
        <v>0</v>
      </c>
      <c r="AX80" s="527">
        <v>0</v>
      </c>
      <c r="AY80" s="527">
        <v>0</v>
      </c>
      <c r="AZ80" s="527">
        <v>0</v>
      </c>
      <c r="BA80" s="884">
        <v>76</v>
      </c>
      <c r="BB80" s="527">
        <v>0</v>
      </c>
      <c r="BC80" s="526">
        <v>0</v>
      </c>
      <c r="BD80" s="527">
        <v>0</v>
      </c>
      <c r="BE80" s="534">
        <v>0</v>
      </c>
      <c r="BF80" s="527">
        <v>0</v>
      </c>
      <c r="BG80" s="1374">
        <v>0</v>
      </c>
      <c r="BH80" s="1397">
        <v>0</v>
      </c>
      <c r="BI80" s="1451">
        <v>0</v>
      </c>
      <c r="BJ80" s="1397">
        <v>0</v>
      </c>
      <c r="BK80" s="1374">
        <v>7</v>
      </c>
      <c r="BL80" s="1397">
        <v>7</v>
      </c>
      <c r="BM80" s="1451">
        <v>7</v>
      </c>
      <c r="BN80" s="1397">
        <v>0</v>
      </c>
      <c r="BO80" s="1374">
        <v>0</v>
      </c>
      <c r="BP80" s="1397">
        <v>0</v>
      </c>
      <c r="BQ80" s="1451">
        <v>0</v>
      </c>
      <c r="BR80" s="1397">
        <v>1</v>
      </c>
      <c r="BS80" s="1374">
        <v>1</v>
      </c>
      <c r="BT80" s="1437">
        <v>21</v>
      </c>
      <c r="BU80" s="1451">
        <v>21</v>
      </c>
      <c r="BV80" s="1397">
        <v>0</v>
      </c>
      <c r="BW80" s="1397">
        <v>0</v>
      </c>
      <c r="BX80" s="662">
        <f t="shared" si="315"/>
        <v>0</v>
      </c>
      <c r="BY80" s="663">
        <f t="shared" si="316"/>
        <v>0</v>
      </c>
      <c r="BZ80" s="662">
        <f t="shared" si="317"/>
        <v>0</v>
      </c>
      <c r="CA80" s="662">
        <f t="shared" si="318"/>
        <v>0</v>
      </c>
      <c r="CB80" s="662">
        <f t="shared" si="319"/>
        <v>0</v>
      </c>
      <c r="CC80" s="663">
        <f t="shared" si="320"/>
        <v>0</v>
      </c>
      <c r="CD80" s="115"/>
      <c r="CE80" s="847">
        <f t="shared" si="321"/>
        <v>0</v>
      </c>
      <c r="CF80" s="35">
        <f t="shared" si="322"/>
        <v>0</v>
      </c>
      <c r="CG80" s="35">
        <f t="shared" si="323"/>
        <v>0</v>
      </c>
      <c r="CH80" s="35">
        <f t="shared" si="324"/>
        <v>0</v>
      </c>
      <c r="CI80" s="35">
        <f t="shared" si="325"/>
        <v>0</v>
      </c>
      <c r="CJ80" s="35">
        <f t="shared" si="326"/>
        <v>0</v>
      </c>
      <c r="CK80" s="35">
        <f t="shared" si="327"/>
        <v>0</v>
      </c>
      <c r="CL80" s="35">
        <f t="shared" si="328"/>
        <v>0</v>
      </c>
      <c r="CM80" s="35">
        <f t="shared" si="329"/>
        <v>29</v>
      </c>
      <c r="CN80" s="35">
        <f t="shared" si="330"/>
        <v>0</v>
      </c>
      <c r="CO80" s="35">
        <f t="shared" si="331"/>
        <v>0</v>
      </c>
      <c r="CP80" s="35">
        <f t="shared" si="332"/>
        <v>76</v>
      </c>
      <c r="CQ80" s="35">
        <f t="shared" si="333"/>
        <v>0</v>
      </c>
      <c r="CR80" s="35">
        <f t="shared" si="334"/>
        <v>0</v>
      </c>
      <c r="CS80" s="638">
        <f t="shared" si="335"/>
        <v>7</v>
      </c>
      <c r="CT80" s="35">
        <f t="shared" si="336"/>
        <v>0</v>
      </c>
      <c r="CU80" s="662">
        <f t="shared" si="337"/>
        <v>21</v>
      </c>
      <c r="CV80" s="662">
        <f t="shared" si="338"/>
        <v>0</v>
      </c>
      <c r="CW80" s="662">
        <f t="shared" si="339"/>
        <v>0</v>
      </c>
      <c r="CX80" s="662">
        <f t="shared" si="340"/>
        <v>0</v>
      </c>
      <c r="CY80" s="662">
        <f t="shared" si="340"/>
        <v>0</v>
      </c>
      <c r="CZ80" s="662">
        <f t="shared" si="340"/>
        <v>0</v>
      </c>
      <c r="DA80" s="662">
        <f t="shared" si="340"/>
        <v>0</v>
      </c>
      <c r="DB80" s="662">
        <f t="shared" si="341"/>
        <v>0</v>
      </c>
      <c r="DC80" s="662">
        <f t="shared" si="341"/>
        <v>0</v>
      </c>
      <c r="DD80" s="663"/>
      <c r="DE80" s="174"/>
      <c r="DF80" s="91"/>
      <c r="DG80" s="29"/>
      <c r="DH80" s="29"/>
      <c r="DI80" s="39"/>
      <c r="DJ80" s="29"/>
      <c r="DK80" s="29"/>
      <c r="DL80" s="29"/>
      <c r="DM80" s="91"/>
      <c r="DN80" s="29"/>
      <c r="DO80" s="29"/>
      <c r="DP80" s="29"/>
      <c r="DQ80" s="29"/>
      <c r="DR80" s="29"/>
      <c r="DS80" s="29"/>
      <c r="DT80" s="29"/>
      <c r="DU80" s="29"/>
      <c r="DV80" s="29"/>
      <c r="DW80" s="29"/>
      <c r="EH80" s="1330"/>
    </row>
    <row r="81" spans="1:138">
      <c r="A81" s="320"/>
      <c r="B81" s="208"/>
      <c r="C81" s="844" t="s">
        <v>792</v>
      </c>
      <c r="D81" s="187"/>
      <c r="E81" s="195"/>
      <c r="F81" s="845"/>
      <c r="G81" s="780"/>
      <c r="H81" s="780"/>
      <c r="I81" s="846">
        <v>0</v>
      </c>
      <c r="J81" s="845">
        <v>0</v>
      </c>
      <c r="K81" s="780"/>
      <c r="L81" s="780"/>
      <c r="M81" s="521">
        <v>0</v>
      </c>
      <c r="N81" s="832"/>
      <c r="O81" s="457"/>
      <c r="P81" s="457"/>
      <c r="Q81" s="521">
        <v>0</v>
      </c>
      <c r="R81" s="832">
        <v>-94.8</v>
      </c>
      <c r="S81" s="457">
        <v>-94.8</v>
      </c>
      <c r="T81" s="457">
        <v>-94.8</v>
      </c>
      <c r="U81" s="521">
        <v>-94.8</v>
      </c>
      <c r="V81" s="457"/>
      <c r="W81" s="457"/>
      <c r="X81" s="457"/>
      <c r="Y81" s="521">
        <v>14.5</v>
      </c>
      <c r="Z81" s="832">
        <v>-19</v>
      </c>
      <c r="AA81" s="457">
        <v>-54</v>
      </c>
      <c r="AB81" s="457">
        <v>-90.2</v>
      </c>
      <c r="AC81" s="521">
        <v>-107.5</v>
      </c>
      <c r="AD81" s="832">
        <v>0</v>
      </c>
      <c r="AE81" s="457">
        <v>0</v>
      </c>
      <c r="AF81" s="457">
        <v>0</v>
      </c>
      <c r="AG81" s="521">
        <v>0</v>
      </c>
      <c r="AH81" s="832">
        <v>-911</v>
      </c>
      <c r="AI81" s="527">
        <v>-915</v>
      </c>
      <c r="AJ81" s="526">
        <v>-925</v>
      </c>
      <c r="AK81" s="534">
        <v>-927</v>
      </c>
      <c r="AL81" s="527">
        <v>0</v>
      </c>
      <c r="AM81" s="527">
        <v>0</v>
      </c>
      <c r="AN81" s="527">
        <v>-44</v>
      </c>
      <c r="AO81" s="534">
        <v>-63</v>
      </c>
      <c r="AP81" s="527">
        <v>0</v>
      </c>
      <c r="AQ81" s="527">
        <v>0</v>
      </c>
      <c r="AR81" s="527">
        <v>0</v>
      </c>
      <c r="AS81" s="534">
        <v>-253</v>
      </c>
      <c r="AT81" s="527">
        <v>0</v>
      </c>
      <c r="AU81" s="527">
        <v>0</v>
      </c>
      <c r="AV81" s="527">
        <v>0</v>
      </c>
      <c r="AW81" s="534">
        <v>-15</v>
      </c>
      <c r="AX81" s="527">
        <v>0</v>
      </c>
      <c r="AY81" s="527">
        <v>0</v>
      </c>
      <c r="AZ81" s="527">
        <v>-3541</v>
      </c>
      <c r="BA81" s="884">
        <v>-3526</v>
      </c>
      <c r="BB81" s="527">
        <v>0</v>
      </c>
      <c r="BC81" s="526">
        <v>-27</v>
      </c>
      <c r="BD81" s="527">
        <v>-1</v>
      </c>
      <c r="BE81" s="534">
        <v>-1</v>
      </c>
      <c r="BF81" s="527">
        <v>-263</v>
      </c>
      <c r="BG81" s="1374">
        <v>-823</v>
      </c>
      <c r="BH81" s="1397">
        <v>-823</v>
      </c>
      <c r="BI81" s="1451">
        <v>-823</v>
      </c>
      <c r="BJ81" s="1397">
        <v>0</v>
      </c>
      <c r="BK81" s="1374">
        <v>-6</v>
      </c>
      <c r="BL81" s="1397">
        <v>-247</v>
      </c>
      <c r="BM81" s="1451">
        <v>-257</v>
      </c>
      <c r="BN81" s="1397">
        <v>0</v>
      </c>
      <c r="BO81" s="1374">
        <v>0</v>
      </c>
      <c r="BP81" s="1397">
        <v>0</v>
      </c>
      <c r="BQ81" s="1451">
        <v>-9835</v>
      </c>
      <c r="BR81" s="1397">
        <v>0</v>
      </c>
      <c r="BS81" s="1374">
        <v>0</v>
      </c>
      <c r="BT81" s="1437">
        <v>0</v>
      </c>
      <c r="BU81" s="1451">
        <v>0</v>
      </c>
      <c r="BV81" s="1397">
        <v>-93</v>
      </c>
      <c r="BW81" s="1397">
        <v>-99</v>
      </c>
      <c r="BX81" s="662">
        <f t="shared" si="315"/>
        <v>-99</v>
      </c>
      <c r="BY81" s="663">
        <f t="shared" si="316"/>
        <v>-99</v>
      </c>
      <c r="BZ81" s="662">
        <f t="shared" si="317"/>
        <v>0</v>
      </c>
      <c r="CA81" s="662">
        <f t="shared" si="318"/>
        <v>0</v>
      </c>
      <c r="CB81" s="662">
        <f t="shared" si="319"/>
        <v>0</v>
      </c>
      <c r="CC81" s="663">
        <f t="shared" si="320"/>
        <v>0</v>
      </c>
      <c r="CD81" s="115"/>
      <c r="CE81" s="847">
        <f t="shared" si="321"/>
        <v>0</v>
      </c>
      <c r="CF81" s="35">
        <f t="shared" si="322"/>
        <v>0</v>
      </c>
      <c r="CG81" s="35">
        <f t="shared" si="323"/>
        <v>0</v>
      </c>
      <c r="CH81" s="35">
        <f t="shared" si="324"/>
        <v>-94.8</v>
      </c>
      <c r="CI81" s="35">
        <f t="shared" si="325"/>
        <v>14.5</v>
      </c>
      <c r="CJ81" s="35">
        <f t="shared" si="326"/>
        <v>-107.5</v>
      </c>
      <c r="CK81" s="35">
        <f t="shared" si="327"/>
        <v>0</v>
      </c>
      <c r="CL81" s="35">
        <f t="shared" si="328"/>
        <v>-927</v>
      </c>
      <c r="CM81" s="35">
        <f t="shared" si="329"/>
        <v>-63</v>
      </c>
      <c r="CN81" s="35">
        <f t="shared" si="330"/>
        <v>-253</v>
      </c>
      <c r="CO81" s="35">
        <f t="shared" si="331"/>
        <v>-15</v>
      </c>
      <c r="CP81" s="35">
        <f t="shared" si="332"/>
        <v>-3526</v>
      </c>
      <c r="CQ81" s="35">
        <f t="shared" si="333"/>
        <v>-1</v>
      </c>
      <c r="CR81" s="35">
        <f t="shared" si="334"/>
        <v>-823</v>
      </c>
      <c r="CS81" s="638">
        <f t="shared" si="335"/>
        <v>-257</v>
      </c>
      <c r="CT81" s="35">
        <f t="shared" si="336"/>
        <v>-9835</v>
      </c>
      <c r="CU81" s="662">
        <f t="shared" si="337"/>
        <v>0</v>
      </c>
      <c r="CV81" s="662">
        <f t="shared" si="338"/>
        <v>-99</v>
      </c>
      <c r="CW81" s="662">
        <f t="shared" si="339"/>
        <v>0</v>
      </c>
      <c r="CX81" s="662">
        <f t="shared" si="340"/>
        <v>0</v>
      </c>
      <c r="CY81" s="662">
        <f t="shared" si="340"/>
        <v>0</v>
      </c>
      <c r="CZ81" s="662">
        <f t="shared" si="340"/>
        <v>0</v>
      </c>
      <c r="DA81" s="662">
        <f t="shared" si="340"/>
        <v>0</v>
      </c>
      <c r="DB81" s="662">
        <f t="shared" si="341"/>
        <v>0</v>
      </c>
      <c r="DC81" s="662">
        <f t="shared" si="341"/>
        <v>0</v>
      </c>
      <c r="DD81" s="663"/>
      <c r="DE81" s="174"/>
      <c r="DF81" s="91"/>
      <c r="DG81" s="29"/>
      <c r="DH81" s="29"/>
      <c r="DI81" s="39"/>
      <c r="DJ81" s="29"/>
      <c r="DK81" s="29"/>
      <c r="DL81" s="29"/>
      <c r="DM81" s="91"/>
      <c r="DN81" s="29"/>
      <c r="DO81" s="29"/>
      <c r="DP81" s="29"/>
      <c r="DQ81" s="29"/>
      <c r="DR81" s="29"/>
      <c r="DS81" s="29"/>
      <c r="DT81" s="29"/>
      <c r="DU81" s="29"/>
      <c r="DV81" s="29"/>
      <c r="DW81" s="29"/>
      <c r="EH81" s="1330"/>
    </row>
    <row r="82" spans="1:138">
      <c r="A82" s="320"/>
      <c r="B82" s="208"/>
      <c r="C82" s="844" t="s">
        <v>375</v>
      </c>
      <c r="D82" s="196"/>
      <c r="E82" s="197"/>
      <c r="F82" s="845">
        <v>14.978999999999999</v>
      </c>
      <c r="G82" s="780">
        <v>14.978999999999999</v>
      </c>
      <c r="H82" s="780">
        <v>14.978999999999999</v>
      </c>
      <c r="I82" s="846">
        <v>14.978999999999999</v>
      </c>
      <c r="J82" s="845">
        <v>0</v>
      </c>
      <c r="K82" s="780"/>
      <c r="L82" s="780">
        <v>0.91200000000000003</v>
      </c>
      <c r="M82" s="521"/>
      <c r="N82" s="832"/>
      <c r="O82" s="457"/>
      <c r="P82" s="457"/>
      <c r="Q82" s="521">
        <v>3.4</v>
      </c>
      <c r="R82" s="832"/>
      <c r="S82" s="457"/>
      <c r="T82" s="457"/>
      <c r="U82" s="521">
        <v>-32.299999999999997</v>
      </c>
      <c r="V82" s="457"/>
      <c r="W82" s="457"/>
      <c r="X82" s="457">
        <v>-80.900000000000006</v>
      </c>
      <c r="Y82" s="521">
        <v>-95.4</v>
      </c>
      <c r="Z82" s="832">
        <v>57</v>
      </c>
      <c r="AA82" s="457">
        <v>72.7</v>
      </c>
      <c r="AB82" s="457">
        <v>72.7</v>
      </c>
      <c r="AC82" s="521">
        <v>72.7</v>
      </c>
      <c r="AD82" s="832">
        <v>-1</v>
      </c>
      <c r="AE82" s="457">
        <v>-6</v>
      </c>
      <c r="AF82" s="457">
        <v>-24</v>
      </c>
      <c r="AG82" s="521">
        <v>-68</v>
      </c>
      <c r="AH82" s="832">
        <v>-28</v>
      </c>
      <c r="AI82" s="527">
        <v>-221</v>
      </c>
      <c r="AJ82" s="526">
        <v>-103</v>
      </c>
      <c r="AK82" s="534">
        <v>-105</v>
      </c>
      <c r="AL82" s="527">
        <v>0</v>
      </c>
      <c r="AM82" s="527">
        <v>0</v>
      </c>
      <c r="AN82" s="527">
        <v>0</v>
      </c>
      <c r="AO82" s="534">
        <v>0</v>
      </c>
      <c r="AP82" s="527">
        <v>0</v>
      </c>
      <c r="AQ82" s="527">
        <v>0</v>
      </c>
      <c r="AR82" s="527">
        <v>0</v>
      </c>
      <c r="AS82" s="534">
        <v>0</v>
      </c>
      <c r="AT82" s="527">
        <v>0</v>
      </c>
      <c r="AU82" s="527">
        <v>0</v>
      </c>
      <c r="AV82" s="527">
        <v>0</v>
      </c>
      <c r="AW82" s="534">
        <v>0</v>
      </c>
      <c r="AX82" s="527">
        <v>0</v>
      </c>
      <c r="AY82" s="527">
        <v>0</v>
      </c>
      <c r="AZ82" s="527">
        <v>0</v>
      </c>
      <c r="BA82" s="884">
        <v>0</v>
      </c>
      <c r="BB82" s="527">
        <v>0</v>
      </c>
      <c r="BC82" s="526">
        <v>-15</v>
      </c>
      <c r="BD82" s="527">
        <v>-17</v>
      </c>
      <c r="BE82" s="534">
        <v>-17</v>
      </c>
      <c r="BF82" s="527">
        <v>0</v>
      </c>
      <c r="BG82" s="1374">
        <v>0</v>
      </c>
      <c r="BH82" s="1397">
        <v>-470</v>
      </c>
      <c r="BI82" s="1451">
        <v>-561</v>
      </c>
      <c r="BJ82" s="1397">
        <v>-120</v>
      </c>
      <c r="BK82" s="1374">
        <v>-595</v>
      </c>
      <c r="BL82" s="1397">
        <v>-687</v>
      </c>
      <c r="BM82" s="1451">
        <v>-857</v>
      </c>
      <c r="BN82" s="1397">
        <v>-236</v>
      </c>
      <c r="BO82" s="1374">
        <v>-408</v>
      </c>
      <c r="BP82" s="1397">
        <v>-462</v>
      </c>
      <c r="BQ82" s="1451">
        <v>-605</v>
      </c>
      <c r="BR82" s="1397">
        <v>-84</v>
      </c>
      <c r="BS82" s="1374">
        <v>-239</v>
      </c>
      <c r="BT82" s="1437">
        <f>-274+75</f>
        <v>-199</v>
      </c>
      <c r="BU82" s="1451">
        <f>-281+94</f>
        <v>-187</v>
      </c>
      <c r="BV82" s="1397">
        <v>-22</v>
      </c>
      <c r="BW82" s="1397">
        <v>0</v>
      </c>
      <c r="BX82" s="662">
        <f t="shared" si="315"/>
        <v>0</v>
      </c>
      <c r="BY82" s="663">
        <f t="shared" si="316"/>
        <v>0</v>
      </c>
      <c r="BZ82" s="662">
        <f t="shared" si="317"/>
        <v>0</v>
      </c>
      <c r="CA82" s="662">
        <f t="shared" si="318"/>
        <v>0</v>
      </c>
      <c r="CB82" s="662">
        <f t="shared" si="319"/>
        <v>0</v>
      </c>
      <c r="CC82" s="663">
        <f t="shared" si="320"/>
        <v>0</v>
      </c>
      <c r="CD82" s="115"/>
      <c r="CE82" s="847">
        <f t="shared" si="321"/>
        <v>14.978999999999999</v>
      </c>
      <c r="CF82" s="35">
        <f t="shared" si="322"/>
        <v>0</v>
      </c>
      <c r="CG82" s="35">
        <f t="shared" si="323"/>
        <v>3.4</v>
      </c>
      <c r="CH82" s="35">
        <f t="shared" si="324"/>
        <v>-32.299999999999997</v>
      </c>
      <c r="CI82" s="35">
        <f t="shared" si="325"/>
        <v>-95.4</v>
      </c>
      <c r="CJ82" s="35">
        <f t="shared" si="326"/>
        <v>72.7</v>
      </c>
      <c r="CK82" s="35">
        <f t="shared" si="327"/>
        <v>-68</v>
      </c>
      <c r="CL82" s="35">
        <f t="shared" si="328"/>
        <v>-105</v>
      </c>
      <c r="CM82" s="35">
        <f t="shared" si="329"/>
        <v>0</v>
      </c>
      <c r="CN82" s="35">
        <f t="shared" si="330"/>
        <v>0</v>
      </c>
      <c r="CO82" s="35">
        <f t="shared" si="331"/>
        <v>0</v>
      </c>
      <c r="CP82" s="35">
        <f t="shared" si="332"/>
        <v>0</v>
      </c>
      <c r="CQ82" s="35">
        <f t="shared" si="333"/>
        <v>-17</v>
      </c>
      <c r="CR82" s="35">
        <f t="shared" si="334"/>
        <v>-561</v>
      </c>
      <c r="CS82" s="638">
        <f t="shared" si="335"/>
        <v>-857</v>
      </c>
      <c r="CT82" s="35">
        <f t="shared" si="336"/>
        <v>-605</v>
      </c>
      <c r="CU82" s="662">
        <f t="shared" si="337"/>
        <v>-187</v>
      </c>
      <c r="CV82" s="662">
        <f t="shared" si="338"/>
        <v>0</v>
      </c>
      <c r="CW82" s="662">
        <f t="shared" si="339"/>
        <v>0</v>
      </c>
      <c r="CX82" s="662">
        <f t="shared" si="340"/>
        <v>0</v>
      </c>
      <c r="CY82" s="662">
        <f t="shared" si="340"/>
        <v>0</v>
      </c>
      <c r="CZ82" s="662">
        <f t="shared" si="340"/>
        <v>0</v>
      </c>
      <c r="DA82" s="662">
        <f t="shared" si="340"/>
        <v>0</v>
      </c>
      <c r="DB82" s="662">
        <f t="shared" si="341"/>
        <v>0</v>
      </c>
      <c r="DC82" s="662">
        <f t="shared" si="341"/>
        <v>0</v>
      </c>
      <c r="DD82" s="663"/>
      <c r="DE82" s="174"/>
      <c r="DF82" s="91"/>
      <c r="DG82" s="29"/>
      <c r="DH82" s="29"/>
      <c r="DI82" s="39"/>
      <c r="DJ82" s="29"/>
      <c r="DK82" s="29"/>
      <c r="DL82" s="29"/>
      <c r="DM82" s="91"/>
      <c r="DN82" s="29"/>
      <c r="DO82" s="29"/>
      <c r="DP82" s="29"/>
      <c r="DQ82" s="29"/>
      <c r="DR82" s="29"/>
      <c r="DS82" s="29"/>
      <c r="DT82" s="29"/>
      <c r="DU82" s="29"/>
      <c r="DV82" s="29"/>
      <c r="DW82" s="29"/>
      <c r="EH82" s="1330"/>
    </row>
    <row r="83" spans="1:138">
      <c r="A83" s="320"/>
      <c r="B83" s="208"/>
      <c r="C83" s="844" t="s">
        <v>376</v>
      </c>
      <c r="D83" s="196"/>
      <c r="E83" s="197"/>
      <c r="F83" s="845"/>
      <c r="G83" s="780"/>
      <c r="H83" s="780"/>
      <c r="I83" s="846"/>
      <c r="J83" s="845"/>
      <c r="K83" s="780"/>
      <c r="L83" s="780"/>
      <c r="M83" s="521"/>
      <c r="N83" s="832"/>
      <c r="O83" s="457"/>
      <c r="P83" s="457"/>
      <c r="Q83" s="521"/>
      <c r="R83" s="832"/>
      <c r="S83" s="457"/>
      <c r="T83" s="457"/>
      <c r="U83" s="521"/>
      <c r="V83" s="457"/>
      <c r="W83" s="457"/>
      <c r="X83" s="457"/>
      <c r="Y83" s="521"/>
      <c r="Z83" s="832"/>
      <c r="AA83" s="457"/>
      <c r="AB83" s="457"/>
      <c r="AC83" s="521"/>
      <c r="AD83" s="832">
        <v>1</v>
      </c>
      <c r="AE83" s="457">
        <v>0</v>
      </c>
      <c r="AF83" s="457">
        <v>1</v>
      </c>
      <c r="AG83" s="521">
        <v>9</v>
      </c>
      <c r="AH83" s="832">
        <v>93</v>
      </c>
      <c r="AI83" s="527">
        <v>428</v>
      </c>
      <c r="AJ83" s="526">
        <v>325</v>
      </c>
      <c r="AK83" s="534">
        <v>326</v>
      </c>
      <c r="AL83" s="527">
        <v>1</v>
      </c>
      <c r="AM83" s="527">
        <v>1</v>
      </c>
      <c r="AN83" s="527">
        <v>1</v>
      </c>
      <c r="AO83" s="534">
        <v>2</v>
      </c>
      <c r="AP83" s="527">
        <v>0</v>
      </c>
      <c r="AQ83" s="527">
        <v>3</v>
      </c>
      <c r="AR83" s="527">
        <v>4</v>
      </c>
      <c r="AS83" s="534">
        <v>4</v>
      </c>
      <c r="AT83" s="527">
        <v>0</v>
      </c>
      <c r="AU83" s="527">
        <v>0</v>
      </c>
      <c r="AV83" s="527">
        <v>0</v>
      </c>
      <c r="AW83" s="534">
        <v>0</v>
      </c>
      <c r="AX83" s="527">
        <v>0</v>
      </c>
      <c r="AY83" s="527">
        <v>0</v>
      </c>
      <c r="AZ83" s="527">
        <v>0</v>
      </c>
      <c r="BA83" s="884">
        <v>0</v>
      </c>
      <c r="BB83" s="527">
        <v>0</v>
      </c>
      <c r="BC83" s="526">
        <v>0</v>
      </c>
      <c r="BD83" s="527">
        <v>0</v>
      </c>
      <c r="BE83" s="534">
        <v>0</v>
      </c>
      <c r="BF83" s="527">
        <v>39</v>
      </c>
      <c r="BG83" s="1374">
        <v>4</v>
      </c>
      <c r="BH83" s="1397">
        <v>4</v>
      </c>
      <c r="BI83" s="1451">
        <f>72+4</f>
        <v>76</v>
      </c>
      <c r="BJ83" s="1397">
        <v>166</v>
      </c>
      <c r="BK83" s="1374">
        <v>630</v>
      </c>
      <c r="BL83" s="1397">
        <v>6</v>
      </c>
      <c r="BM83" s="1451">
        <f>768</f>
        <v>768</v>
      </c>
      <c r="BN83" s="1397">
        <v>124</v>
      </c>
      <c r="BO83" s="1374">
        <v>266</v>
      </c>
      <c r="BP83" s="1397">
        <v>-23</v>
      </c>
      <c r="BQ83" s="1451">
        <v>1582</v>
      </c>
      <c r="BR83" s="1397">
        <f>39+54</f>
        <v>93</v>
      </c>
      <c r="BS83" s="1374">
        <f>55+279</f>
        <v>334</v>
      </c>
      <c r="BT83" s="1437">
        <v>430</v>
      </c>
      <c r="BU83" s="1451">
        <v>417</v>
      </c>
      <c r="BV83" s="1397">
        <v>0</v>
      </c>
      <c r="BW83" s="1397">
        <v>0</v>
      </c>
      <c r="BX83" s="662">
        <f t="shared" si="315"/>
        <v>0</v>
      </c>
      <c r="BY83" s="663">
        <f t="shared" si="316"/>
        <v>0</v>
      </c>
      <c r="BZ83" s="662">
        <f t="shared" si="317"/>
        <v>0</v>
      </c>
      <c r="CA83" s="662">
        <f t="shared" si="318"/>
        <v>0</v>
      </c>
      <c r="CB83" s="662">
        <f t="shared" si="319"/>
        <v>0</v>
      </c>
      <c r="CC83" s="663">
        <f t="shared" si="320"/>
        <v>0</v>
      </c>
      <c r="CD83" s="115"/>
      <c r="CE83" s="847">
        <f t="shared" si="321"/>
        <v>0</v>
      </c>
      <c r="CF83" s="35">
        <f t="shared" si="322"/>
        <v>0</v>
      </c>
      <c r="CG83" s="35">
        <f t="shared" si="323"/>
        <v>0</v>
      </c>
      <c r="CH83" s="35">
        <f t="shared" si="324"/>
        <v>0</v>
      </c>
      <c r="CI83" s="35">
        <f t="shared" si="325"/>
        <v>0</v>
      </c>
      <c r="CJ83" s="35">
        <f t="shared" si="326"/>
        <v>0</v>
      </c>
      <c r="CK83" s="35">
        <f t="shared" si="327"/>
        <v>9</v>
      </c>
      <c r="CL83" s="35">
        <f t="shared" si="328"/>
        <v>326</v>
      </c>
      <c r="CM83" s="35">
        <f t="shared" si="329"/>
        <v>2</v>
      </c>
      <c r="CN83" s="35">
        <f t="shared" si="330"/>
        <v>4</v>
      </c>
      <c r="CO83" s="35">
        <f t="shared" si="331"/>
        <v>0</v>
      </c>
      <c r="CP83" s="35">
        <f t="shared" si="332"/>
        <v>0</v>
      </c>
      <c r="CQ83" s="35">
        <f t="shared" si="333"/>
        <v>0</v>
      </c>
      <c r="CR83" s="35">
        <f t="shared" si="334"/>
        <v>76</v>
      </c>
      <c r="CS83" s="638">
        <f t="shared" si="335"/>
        <v>768</v>
      </c>
      <c r="CT83" s="35">
        <f t="shared" si="336"/>
        <v>1582</v>
      </c>
      <c r="CU83" s="662">
        <f t="shared" si="337"/>
        <v>417</v>
      </c>
      <c r="CV83" s="662">
        <f t="shared" si="338"/>
        <v>0</v>
      </c>
      <c r="CW83" s="662">
        <f t="shared" si="339"/>
        <v>0</v>
      </c>
      <c r="CX83" s="662">
        <f t="shared" si="340"/>
        <v>0</v>
      </c>
      <c r="CY83" s="662">
        <f t="shared" si="340"/>
        <v>0</v>
      </c>
      <c r="CZ83" s="662">
        <f t="shared" si="340"/>
        <v>0</v>
      </c>
      <c r="DA83" s="662">
        <f t="shared" si="340"/>
        <v>0</v>
      </c>
      <c r="DB83" s="662">
        <f t="shared" si="341"/>
        <v>0</v>
      </c>
      <c r="DC83" s="662">
        <f t="shared" si="341"/>
        <v>0</v>
      </c>
      <c r="DD83" s="663"/>
      <c r="DE83" s="174"/>
      <c r="DF83" s="91"/>
      <c r="DG83" s="29"/>
      <c r="DH83" s="29"/>
      <c r="DI83" s="39"/>
      <c r="DJ83" s="29"/>
      <c r="DK83" s="29"/>
      <c r="DL83" s="29"/>
      <c r="DM83" s="91"/>
      <c r="DN83" s="29"/>
      <c r="DO83" s="29"/>
      <c r="DP83" s="29"/>
      <c r="DQ83" s="29"/>
      <c r="DR83" s="29"/>
      <c r="DS83" s="29"/>
      <c r="DT83" s="29"/>
      <c r="DU83" s="29"/>
      <c r="DV83" s="29"/>
      <c r="DW83" s="29"/>
      <c r="EH83" s="1330"/>
    </row>
    <row r="84" spans="1:138">
      <c r="A84" s="320"/>
      <c r="B84" s="208"/>
      <c r="C84" s="52" t="s">
        <v>790</v>
      </c>
      <c r="D84" s="196"/>
      <c r="E84" s="197"/>
      <c r="F84" s="845"/>
      <c r="G84" s="780"/>
      <c r="H84" s="780"/>
      <c r="I84" s="846"/>
      <c r="J84" s="845">
        <v>0</v>
      </c>
      <c r="K84" s="780">
        <v>9</v>
      </c>
      <c r="L84" s="780">
        <v>9</v>
      </c>
      <c r="M84" s="521">
        <v>9.9120000000000008</v>
      </c>
      <c r="N84" s="832"/>
      <c r="O84" s="457"/>
      <c r="P84" s="457"/>
      <c r="Q84" s="521">
        <v>0</v>
      </c>
      <c r="R84" s="832"/>
      <c r="S84" s="457"/>
      <c r="T84" s="457"/>
      <c r="U84" s="521">
        <v>0</v>
      </c>
      <c r="V84" s="457"/>
      <c r="W84" s="457"/>
      <c r="X84" s="457">
        <v>0</v>
      </c>
      <c r="Y84" s="521">
        <v>0</v>
      </c>
      <c r="Z84" s="832">
        <v>0</v>
      </c>
      <c r="AA84" s="457">
        <v>0</v>
      </c>
      <c r="AB84" s="457">
        <v>0</v>
      </c>
      <c r="AC84" s="521">
        <v>0</v>
      </c>
      <c r="AD84" s="832">
        <v>0</v>
      </c>
      <c r="AE84" s="457">
        <v>0</v>
      </c>
      <c r="AF84" s="457">
        <v>0</v>
      </c>
      <c r="AG84" s="521">
        <v>0</v>
      </c>
      <c r="AH84" s="832">
        <v>0</v>
      </c>
      <c r="AI84" s="527">
        <v>0</v>
      </c>
      <c r="AJ84" s="527">
        <v>0</v>
      </c>
      <c r="AK84" s="534">
        <v>0</v>
      </c>
      <c r="AL84" s="527">
        <v>0</v>
      </c>
      <c r="AM84" s="527">
        <v>0</v>
      </c>
      <c r="AN84" s="527">
        <v>0</v>
      </c>
      <c r="AO84" s="534">
        <v>0</v>
      </c>
      <c r="AP84" s="527">
        <v>0</v>
      </c>
      <c r="AQ84" s="527">
        <v>0</v>
      </c>
      <c r="AR84" s="527">
        <v>0</v>
      </c>
      <c r="AS84" s="527">
        <v>0</v>
      </c>
      <c r="AT84" s="1161">
        <v>0</v>
      </c>
      <c r="AU84" s="527">
        <v>0</v>
      </c>
      <c r="AV84" s="527">
        <v>0</v>
      </c>
      <c r="AW84" s="534">
        <v>0</v>
      </c>
      <c r="AX84" s="527">
        <v>0</v>
      </c>
      <c r="AY84" s="527">
        <v>0</v>
      </c>
      <c r="AZ84" s="527">
        <v>0</v>
      </c>
      <c r="BA84" s="884">
        <v>0</v>
      </c>
      <c r="BB84" s="527">
        <v>-9</v>
      </c>
      <c r="BC84" s="526">
        <v>0</v>
      </c>
      <c r="BD84" s="527">
        <v>0</v>
      </c>
      <c r="BE84" s="534">
        <v>0</v>
      </c>
      <c r="BF84" s="527">
        <v>0</v>
      </c>
      <c r="BG84" s="1374">
        <v>0</v>
      </c>
      <c r="BH84" s="1397">
        <v>0</v>
      </c>
      <c r="BI84" s="1451">
        <v>0</v>
      </c>
      <c r="BJ84" s="1397">
        <v>-12</v>
      </c>
      <c r="BK84" s="1374">
        <v>16</v>
      </c>
      <c r="BL84" s="1397">
        <v>665</v>
      </c>
      <c r="BM84" s="1451">
        <v>-2</v>
      </c>
      <c r="BN84" s="1397">
        <v>-10</v>
      </c>
      <c r="BO84" s="1374">
        <v>-12</v>
      </c>
      <c r="BP84" s="1397">
        <v>907</v>
      </c>
      <c r="BQ84" s="1451">
        <f>-76</f>
        <v>-76</v>
      </c>
      <c r="BR84" s="1397">
        <f>+-1</f>
        <v>-1</v>
      </c>
      <c r="BS84" s="1374">
        <f>-12</f>
        <v>-12</v>
      </c>
      <c r="BT84" s="1437">
        <f>-21</f>
        <v>-21</v>
      </c>
      <c r="BU84" s="1451">
        <v>-32</v>
      </c>
      <c r="BV84" s="1397">
        <v>23</v>
      </c>
      <c r="BW84" s="1397">
        <v>7</v>
      </c>
      <c r="BX84" s="662">
        <f t="shared" si="315"/>
        <v>7</v>
      </c>
      <c r="BY84" s="663">
        <f t="shared" si="316"/>
        <v>7</v>
      </c>
      <c r="BZ84" s="662">
        <f t="shared" si="317"/>
        <v>0</v>
      </c>
      <c r="CA84" s="662">
        <f t="shared" si="318"/>
        <v>0</v>
      </c>
      <c r="CB84" s="662">
        <f t="shared" si="319"/>
        <v>0</v>
      </c>
      <c r="CC84" s="663">
        <f t="shared" si="320"/>
        <v>0</v>
      </c>
      <c r="CD84" s="115"/>
      <c r="CE84" s="847">
        <f t="shared" si="321"/>
        <v>0</v>
      </c>
      <c r="CF84" s="35">
        <f t="shared" si="322"/>
        <v>9.9120000000000008</v>
      </c>
      <c r="CG84" s="35">
        <f t="shared" si="323"/>
        <v>0</v>
      </c>
      <c r="CH84" s="35">
        <f t="shared" si="324"/>
        <v>0</v>
      </c>
      <c r="CI84" s="35">
        <f t="shared" si="325"/>
        <v>0</v>
      </c>
      <c r="CJ84" s="35">
        <f t="shared" si="326"/>
        <v>0</v>
      </c>
      <c r="CK84" s="35">
        <f t="shared" si="327"/>
        <v>0</v>
      </c>
      <c r="CL84" s="35">
        <f t="shared" si="328"/>
        <v>0</v>
      </c>
      <c r="CM84" s="35">
        <f t="shared" si="329"/>
        <v>0</v>
      </c>
      <c r="CN84" s="35">
        <f t="shared" si="330"/>
        <v>0</v>
      </c>
      <c r="CO84" s="35">
        <f t="shared" si="331"/>
        <v>0</v>
      </c>
      <c r="CP84" s="35">
        <f t="shared" si="332"/>
        <v>0</v>
      </c>
      <c r="CQ84" s="35">
        <f t="shared" si="333"/>
        <v>0</v>
      </c>
      <c r="CR84" s="35">
        <f t="shared" si="334"/>
        <v>0</v>
      </c>
      <c r="CS84" s="638">
        <f t="shared" si="335"/>
        <v>-2</v>
      </c>
      <c r="CT84" s="35">
        <f t="shared" si="336"/>
        <v>-76</v>
      </c>
      <c r="CU84" s="662">
        <f t="shared" si="337"/>
        <v>-32</v>
      </c>
      <c r="CV84" s="662">
        <f t="shared" si="338"/>
        <v>7</v>
      </c>
      <c r="CW84" s="662">
        <f t="shared" si="339"/>
        <v>0</v>
      </c>
      <c r="CX84" s="662">
        <f t="shared" si="340"/>
        <v>0</v>
      </c>
      <c r="CY84" s="662">
        <f t="shared" si="340"/>
        <v>0</v>
      </c>
      <c r="CZ84" s="662">
        <f t="shared" si="340"/>
        <v>0</v>
      </c>
      <c r="DA84" s="662">
        <f t="shared" si="340"/>
        <v>0</v>
      </c>
      <c r="DB84" s="662">
        <f t="shared" si="341"/>
        <v>0</v>
      </c>
      <c r="DC84" s="662">
        <f t="shared" si="341"/>
        <v>0</v>
      </c>
      <c r="DD84" s="663"/>
      <c r="DE84" s="174"/>
      <c r="DF84" s="91"/>
      <c r="DG84" s="29"/>
      <c r="DH84" s="29"/>
      <c r="DI84" s="39"/>
      <c r="DJ84" s="29"/>
      <c r="DK84" s="29"/>
      <c r="DL84" s="29"/>
      <c r="DM84" s="91"/>
      <c r="DN84" s="29"/>
      <c r="DO84" s="29"/>
      <c r="DP84" s="29"/>
      <c r="DQ84" s="29"/>
      <c r="DR84" s="29"/>
      <c r="DS84" s="29"/>
      <c r="DT84" s="29"/>
      <c r="DU84" s="29"/>
      <c r="DV84" s="29"/>
      <c r="DW84" s="29"/>
      <c r="EH84" s="1330"/>
    </row>
    <row r="85" spans="1:138" collapsed="1">
      <c r="A85" s="320"/>
      <c r="B85" s="209" t="s">
        <v>269</v>
      </c>
      <c r="C85" s="188"/>
      <c r="D85" s="188"/>
      <c r="E85" s="198"/>
      <c r="F85" s="505">
        <f t="shared" ref="F85:BA85" si="342">SUM(F79:F84)</f>
        <v>4.3919999999999995</v>
      </c>
      <c r="G85" s="505">
        <f t="shared" si="342"/>
        <v>-11.870000000000001</v>
      </c>
      <c r="H85" s="505">
        <f t="shared" si="342"/>
        <v>-24.914000000000001</v>
      </c>
      <c r="I85" s="506">
        <f t="shared" si="342"/>
        <v>-35.704000000000001</v>
      </c>
      <c r="J85" s="505">
        <f t="shared" si="342"/>
        <v>-12.013</v>
      </c>
      <c r="K85" s="505">
        <f t="shared" si="342"/>
        <v>-17.038</v>
      </c>
      <c r="L85" s="505">
        <f t="shared" si="342"/>
        <v>-29.572000000000003</v>
      </c>
      <c r="M85" s="506">
        <f t="shared" si="342"/>
        <v>-37.831000000000003</v>
      </c>
      <c r="N85" s="505">
        <f t="shared" si="342"/>
        <v>-12.362</v>
      </c>
      <c r="O85" s="505">
        <f t="shared" si="342"/>
        <v>-27.786999999999999</v>
      </c>
      <c r="P85" s="505">
        <f t="shared" si="342"/>
        <v>-43.572000000000003</v>
      </c>
      <c r="Q85" s="506">
        <f t="shared" si="342"/>
        <v>-58.5</v>
      </c>
      <c r="R85" s="505">
        <f t="shared" si="342"/>
        <v>-114.69999999999999</v>
      </c>
      <c r="S85" s="505">
        <f t="shared" si="342"/>
        <v>-158.89999999999998</v>
      </c>
      <c r="T85" s="505">
        <f t="shared" si="342"/>
        <v>-185.3</v>
      </c>
      <c r="U85" s="506">
        <f t="shared" si="342"/>
        <v>-258.8</v>
      </c>
      <c r="V85" s="505">
        <f t="shared" si="342"/>
        <v>-50.7</v>
      </c>
      <c r="W85" s="505">
        <f t="shared" si="342"/>
        <v>-105.5</v>
      </c>
      <c r="X85" s="505">
        <f t="shared" si="342"/>
        <v>-233.9</v>
      </c>
      <c r="Y85" s="506">
        <f t="shared" si="342"/>
        <v>-314.3</v>
      </c>
      <c r="Z85" s="505">
        <f t="shared" si="342"/>
        <v>-12.200000000000003</v>
      </c>
      <c r="AA85" s="505">
        <f t="shared" si="342"/>
        <v>-83.499999999999986</v>
      </c>
      <c r="AB85" s="505">
        <f t="shared" si="342"/>
        <v>-223.60000000000002</v>
      </c>
      <c r="AC85" s="506">
        <f t="shared" si="342"/>
        <v>-336.7</v>
      </c>
      <c r="AD85" s="505">
        <f t="shared" si="342"/>
        <v>-72</v>
      </c>
      <c r="AE85" s="505">
        <f t="shared" si="342"/>
        <v>-175</v>
      </c>
      <c r="AF85" s="505">
        <f t="shared" si="342"/>
        <v>-261</v>
      </c>
      <c r="AG85" s="506">
        <f t="shared" si="342"/>
        <v>-383</v>
      </c>
      <c r="AH85" s="507">
        <f t="shared" si="342"/>
        <v>-1009</v>
      </c>
      <c r="AI85" s="505">
        <f t="shared" si="342"/>
        <v>-1040</v>
      </c>
      <c r="AJ85" s="505">
        <f>SUM(AJ79:AJ84)</f>
        <v>-1172</v>
      </c>
      <c r="AK85" s="506">
        <f t="shared" si="342"/>
        <v>-1321</v>
      </c>
      <c r="AL85" s="505">
        <f t="shared" si="342"/>
        <v>-161</v>
      </c>
      <c r="AM85" s="505">
        <f t="shared" si="342"/>
        <v>-301</v>
      </c>
      <c r="AN85" s="505">
        <f t="shared" si="342"/>
        <v>-451</v>
      </c>
      <c r="AO85" s="506">
        <f t="shared" si="342"/>
        <v>-551</v>
      </c>
      <c r="AP85" s="505">
        <f t="shared" si="342"/>
        <v>-176</v>
      </c>
      <c r="AQ85" s="505">
        <f t="shared" si="342"/>
        <v>-372</v>
      </c>
      <c r="AR85" s="505">
        <f t="shared" si="342"/>
        <v>-548</v>
      </c>
      <c r="AS85" s="505">
        <f t="shared" si="342"/>
        <v>-986</v>
      </c>
      <c r="AT85" s="507">
        <f t="shared" si="342"/>
        <v>-200</v>
      </c>
      <c r="AU85" s="505">
        <f t="shared" si="342"/>
        <v>-450</v>
      </c>
      <c r="AV85" s="505">
        <f t="shared" si="342"/>
        <v>-625</v>
      </c>
      <c r="AW85" s="505">
        <f t="shared" si="342"/>
        <v>-793</v>
      </c>
      <c r="AX85" s="507">
        <f t="shared" si="342"/>
        <v>-134</v>
      </c>
      <c r="AY85" s="505">
        <f t="shared" si="342"/>
        <v>-253</v>
      </c>
      <c r="AZ85" s="505">
        <f t="shared" si="342"/>
        <v>-3934</v>
      </c>
      <c r="BA85" s="506">
        <f t="shared" si="342"/>
        <v>-4167</v>
      </c>
      <c r="BB85" s="507">
        <f>SUM(BB79:BB84)</f>
        <v>-391</v>
      </c>
      <c r="BC85" s="505">
        <f t="shared" ref="BC85:BL85" si="343">SUM(BC79:BC84)</f>
        <v>-670</v>
      </c>
      <c r="BD85" s="505">
        <f t="shared" si="343"/>
        <v>-834</v>
      </c>
      <c r="BE85" s="506">
        <f t="shared" si="343"/>
        <v>-970</v>
      </c>
      <c r="BF85" s="507">
        <f>SUM(BF79:BF84)</f>
        <v>-360</v>
      </c>
      <c r="BG85" s="505">
        <f t="shared" si="343"/>
        <v>-1125</v>
      </c>
      <c r="BH85" s="505">
        <f t="shared" si="343"/>
        <v>-1756</v>
      </c>
      <c r="BI85" s="506">
        <f t="shared" si="343"/>
        <v>-1936</v>
      </c>
      <c r="BJ85" s="507">
        <f t="shared" si="343"/>
        <v>-126</v>
      </c>
      <c r="BK85" s="505">
        <f>SUM(BK79:BK84)</f>
        <v>-254</v>
      </c>
      <c r="BL85" s="505">
        <f t="shared" si="343"/>
        <v>-712</v>
      </c>
      <c r="BM85" s="506">
        <f t="shared" ref="BM85:BU85" si="344">SUM(BM79:BM84)</f>
        <v>-953</v>
      </c>
      <c r="BN85" s="507">
        <f t="shared" si="344"/>
        <v>-273</v>
      </c>
      <c r="BO85" s="505">
        <f t="shared" si="344"/>
        <v>-454</v>
      </c>
      <c r="BP85" s="505">
        <f t="shared" si="344"/>
        <v>-11</v>
      </c>
      <c r="BQ85" s="506">
        <f>SUM(BQ79:BQ84)</f>
        <v>-9608</v>
      </c>
      <c r="BR85" s="507">
        <f>SUM(BR79:BR84)</f>
        <v>-202</v>
      </c>
      <c r="BS85" s="505">
        <f t="shared" si="344"/>
        <v>-316</v>
      </c>
      <c r="BT85" s="505">
        <f>SUM(BT79:BT84)</f>
        <v>-446</v>
      </c>
      <c r="BU85" s="506">
        <f t="shared" si="344"/>
        <v>-636</v>
      </c>
      <c r="BV85" s="507">
        <f t="shared" ref="BV85:CC85" si="345">SUM(BV79:BV84)</f>
        <v>-378</v>
      </c>
      <c r="BW85" s="505">
        <f t="shared" ref="BW85" si="346">SUM(BW79:BW84)</f>
        <v>-1007</v>
      </c>
      <c r="BX85" s="505">
        <f t="shared" si="345"/>
        <v>-1350.6369055</v>
      </c>
      <c r="BY85" s="506">
        <f t="shared" si="345"/>
        <v>-1694.6183950482</v>
      </c>
      <c r="BZ85" s="507">
        <f t="shared" si="345"/>
        <v>-329.583237155821</v>
      </c>
      <c r="CA85" s="505">
        <f t="shared" si="345"/>
        <v>-653.94022392458805</v>
      </c>
      <c r="CB85" s="505">
        <f t="shared" si="345"/>
        <v>-931.97389623327763</v>
      </c>
      <c r="CC85" s="506">
        <f t="shared" si="345"/>
        <v>-1195.1419993050658</v>
      </c>
      <c r="CD85" s="285"/>
      <c r="CE85" s="847">
        <f t="shared" si="321"/>
        <v>-35.704000000000001</v>
      </c>
      <c r="CF85" s="505">
        <f t="shared" ref="CF85:CP85" si="347">SUM(CF79:CF84)</f>
        <v>-37.831000000000003</v>
      </c>
      <c r="CG85" s="505">
        <f t="shared" si="347"/>
        <v>-58.5</v>
      </c>
      <c r="CH85" s="505">
        <f t="shared" si="347"/>
        <v>-258.8</v>
      </c>
      <c r="CI85" s="505">
        <f t="shared" si="347"/>
        <v>-314.3</v>
      </c>
      <c r="CJ85" s="505">
        <f t="shared" si="347"/>
        <v>-336.7</v>
      </c>
      <c r="CK85" s="505">
        <f t="shared" si="347"/>
        <v>-383</v>
      </c>
      <c r="CL85" s="505">
        <f t="shared" si="347"/>
        <v>-1321</v>
      </c>
      <c r="CM85" s="505">
        <f t="shared" si="347"/>
        <v>-551</v>
      </c>
      <c r="CN85" s="505">
        <f t="shared" si="347"/>
        <v>-986</v>
      </c>
      <c r="CO85" s="505">
        <f t="shared" si="347"/>
        <v>-793</v>
      </c>
      <c r="CP85" s="505">
        <f t="shared" si="347"/>
        <v>-4167</v>
      </c>
      <c r="CQ85" s="505">
        <f t="shared" ref="CQ85:CV85" si="348">SUM(CQ79:CQ84)</f>
        <v>-970</v>
      </c>
      <c r="CR85" s="505">
        <f t="shared" si="348"/>
        <v>-1936</v>
      </c>
      <c r="CS85" s="505">
        <f t="shared" si="348"/>
        <v>-953</v>
      </c>
      <c r="CT85" s="505">
        <f t="shared" si="348"/>
        <v>-9608</v>
      </c>
      <c r="CU85" s="505">
        <f t="shared" si="348"/>
        <v>-636</v>
      </c>
      <c r="CV85" s="505">
        <f t="shared" si="348"/>
        <v>-1694.6183950482</v>
      </c>
      <c r="CW85" s="505">
        <f t="shared" ref="CW85:DC85" si="349">SUM(CW79:CW84)</f>
        <v>-1195.1419993050658</v>
      </c>
      <c r="CX85" s="505">
        <f t="shared" si="349"/>
        <v>-1330.6856128148449</v>
      </c>
      <c r="CY85" s="505">
        <f t="shared" si="349"/>
        <v>-1378.9259815649145</v>
      </c>
      <c r="CZ85" s="505">
        <f t="shared" si="349"/>
        <v>-1541.521642237298</v>
      </c>
      <c r="DA85" s="505">
        <f t="shared" si="349"/>
        <v>-1612.9672825233101</v>
      </c>
      <c r="DB85" s="505">
        <f t="shared" si="349"/>
        <v>-1693.9398753041544</v>
      </c>
      <c r="DC85" s="505">
        <f t="shared" si="349"/>
        <v>-1785.6450452278245</v>
      </c>
      <c r="DD85" s="506"/>
      <c r="DE85" s="174"/>
      <c r="DF85" s="1692"/>
      <c r="DG85" s="29"/>
      <c r="DH85" s="29"/>
      <c r="DI85" s="39"/>
      <c r="DJ85" s="29"/>
      <c r="DK85" s="29"/>
      <c r="DL85" s="29"/>
      <c r="DM85" s="91"/>
      <c r="DN85" s="29"/>
      <c r="DO85" s="29"/>
      <c r="DP85" s="29"/>
      <c r="DQ85" s="29"/>
      <c r="DR85" s="29"/>
      <c r="DS85" s="29"/>
      <c r="DT85" s="29"/>
      <c r="DU85" s="29"/>
      <c r="DV85" s="29"/>
      <c r="DW85" s="29"/>
      <c r="EH85" s="1330"/>
    </row>
    <row r="86" spans="1:138" ht="3" customHeight="1">
      <c r="A86" s="320"/>
      <c r="B86" s="270"/>
      <c r="C86" s="264"/>
      <c r="D86" s="264"/>
      <c r="E86" s="265"/>
      <c r="F86" s="503"/>
      <c r="G86" s="503"/>
      <c r="H86" s="503"/>
      <c r="I86" s="504"/>
      <c r="J86" s="503"/>
      <c r="K86" s="503"/>
      <c r="L86" s="503"/>
      <c r="M86" s="658"/>
      <c r="N86" s="657"/>
      <c r="O86" s="657"/>
      <c r="P86" s="657"/>
      <c r="Q86" s="658"/>
      <c r="R86" s="657"/>
      <c r="S86" s="657"/>
      <c r="T86" s="657"/>
      <c r="U86" s="658"/>
      <c r="V86" s="657"/>
      <c r="W86" s="657"/>
      <c r="X86" s="657"/>
      <c r="Y86" s="658"/>
      <c r="Z86" s="657"/>
      <c r="AA86" s="657"/>
      <c r="AB86" s="657"/>
      <c r="AC86" s="658"/>
      <c r="AD86" s="657"/>
      <c r="AE86" s="657"/>
      <c r="AF86" s="657"/>
      <c r="AG86" s="658"/>
      <c r="AH86" s="657"/>
      <c r="AI86" s="657"/>
      <c r="AJ86" s="657"/>
      <c r="AK86" s="658"/>
      <c r="AL86" s="657"/>
      <c r="AM86" s="657"/>
      <c r="AN86" s="657"/>
      <c r="AO86" s="658"/>
      <c r="AP86" s="657"/>
      <c r="AQ86" s="657"/>
      <c r="AR86" s="657"/>
      <c r="AS86" s="657"/>
      <c r="AT86" s="952"/>
      <c r="AU86" s="657"/>
      <c r="AV86" s="657"/>
      <c r="AW86" s="657"/>
      <c r="AX86" s="952"/>
      <c r="AY86" s="657"/>
      <c r="AZ86" s="657"/>
      <c r="BA86" s="658"/>
      <c r="BB86" s="952"/>
      <c r="BC86" s="657"/>
      <c r="BD86" s="657"/>
      <c r="BE86" s="658"/>
      <c r="BF86" s="952"/>
      <c r="BG86" s="657"/>
      <c r="BH86" s="657"/>
      <c r="BI86" s="658"/>
      <c r="BJ86" s="952"/>
      <c r="BK86" s="657"/>
      <c r="BL86" s="657"/>
      <c r="BM86" s="658"/>
      <c r="BN86" s="952"/>
      <c r="BO86" s="657"/>
      <c r="BP86" s="657"/>
      <c r="BQ86" s="658"/>
      <c r="BR86" s="952"/>
      <c r="BT86" s="657"/>
      <c r="BU86" s="658"/>
      <c r="BV86" s="952"/>
      <c r="BW86" s="657"/>
      <c r="BX86" s="657"/>
      <c r="BY86" s="658"/>
      <c r="BZ86" s="952"/>
      <c r="CA86" s="657"/>
      <c r="CB86" s="657"/>
      <c r="CC86" s="658"/>
      <c r="CD86" s="115"/>
      <c r="CE86" s="847"/>
      <c r="CF86" s="35"/>
      <c r="CG86" s="35"/>
      <c r="CH86" s="35"/>
      <c r="CI86" s="173"/>
      <c r="CJ86" s="35"/>
      <c r="CK86" s="35"/>
      <c r="CL86" s="35">
        <f>AK86</f>
        <v>0</v>
      </c>
      <c r="CM86" s="35">
        <f>AO86</f>
        <v>0</v>
      </c>
      <c r="CN86" s="35">
        <f>AS86</f>
        <v>0</v>
      </c>
      <c r="CO86" s="35"/>
      <c r="CP86" s="35"/>
      <c r="CQ86" s="35"/>
      <c r="CR86" s="35"/>
      <c r="CS86" s="35">
        <f>BM86</f>
        <v>0</v>
      </c>
      <c r="CT86" s="35">
        <f>BN86</f>
        <v>0</v>
      </c>
      <c r="CU86" s="657">
        <f>BR86</f>
        <v>0</v>
      </c>
      <c r="CV86" s="657"/>
      <c r="CW86" s="657"/>
      <c r="CX86" s="657"/>
      <c r="CY86" s="657"/>
      <c r="CZ86" s="657"/>
      <c r="DA86" s="657"/>
      <c r="DB86" s="657"/>
      <c r="DC86" s="657"/>
      <c r="DD86" s="658"/>
      <c r="DE86" s="174"/>
      <c r="DF86" s="91"/>
      <c r="DG86" s="29"/>
      <c r="DH86" s="29"/>
      <c r="DI86" s="39"/>
      <c r="DJ86" s="91"/>
      <c r="DK86" s="91"/>
      <c r="DL86" s="91"/>
      <c r="DM86" s="91"/>
      <c r="DN86" s="29"/>
      <c r="DO86" s="29"/>
      <c r="DP86" s="29"/>
      <c r="DQ86" s="29"/>
      <c r="DR86" s="29"/>
      <c r="DS86" s="29"/>
      <c r="DT86" s="29"/>
      <c r="DU86" s="29"/>
      <c r="DV86" s="29"/>
      <c r="DW86" s="29"/>
    </row>
    <row r="87" spans="1:138" collapsed="1">
      <c r="A87" s="320"/>
      <c r="B87" s="208" t="s">
        <v>289</v>
      </c>
      <c r="C87" s="187"/>
      <c r="D87" s="187"/>
      <c r="E87" s="195"/>
      <c r="F87" s="44"/>
      <c r="G87" s="44"/>
      <c r="H87" s="44"/>
      <c r="I87" s="65"/>
      <c r="J87" s="44"/>
      <c r="K87" s="44"/>
      <c r="L87" s="44"/>
      <c r="M87" s="660"/>
      <c r="N87" s="659"/>
      <c r="O87" s="659"/>
      <c r="P87" s="659"/>
      <c r="Q87" s="660"/>
      <c r="R87" s="659"/>
      <c r="S87" s="659"/>
      <c r="T87" s="659"/>
      <c r="U87" s="660"/>
      <c r="V87" s="659"/>
      <c r="W87" s="659"/>
      <c r="X87" s="659"/>
      <c r="Y87" s="660"/>
      <c r="Z87" s="659"/>
      <c r="AA87" s="659"/>
      <c r="AB87" s="659"/>
      <c r="AC87" s="660"/>
      <c r="AD87" s="659"/>
      <c r="AE87" s="659"/>
      <c r="AF87" s="659"/>
      <c r="AG87" s="660"/>
      <c r="AH87" s="659"/>
      <c r="AI87" s="659"/>
      <c r="AJ87" s="659"/>
      <c r="AK87" s="660"/>
      <c r="AL87" s="659"/>
      <c r="AM87" s="659"/>
      <c r="AN87" s="659"/>
      <c r="AO87" s="660"/>
      <c r="AP87" s="659"/>
      <c r="AQ87" s="659"/>
      <c r="AR87" s="659"/>
      <c r="AS87" s="659"/>
      <c r="AT87" s="953"/>
      <c r="AU87" s="659"/>
      <c r="AV87" s="659"/>
      <c r="AW87" s="659"/>
      <c r="AX87" s="953"/>
      <c r="AY87" s="659"/>
      <c r="AZ87" s="659"/>
      <c r="BA87" s="660"/>
      <c r="BB87" s="953"/>
      <c r="BC87" s="659"/>
      <c r="BD87" s="659"/>
      <c r="BE87" s="660"/>
      <c r="BF87" s="953"/>
      <c r="BG87" s="659"/>
      <c r="BH87" s="659"/>
      <c r="BI87" s="660"/>
      <c r="BJ87" s="953"/>
      <c r="BK87" s="659"/>
      <c r="BL87" s="659"/>
      <c r="BM87" s="660"/>
      <c r="BN87" s="953"/>
      <c r="BO87" s="659"/>
      <c r="BP87" s="659"/>
      <c r="BQ87" s="660"/>
      <c r="BR87" s="953"/>
      <c r="BT87" s="659"/>
      <c r="BU87" s="660"/>
      <c r="BV87" s="953"/>
      <c r="BW87" s="659"/>
      <c r="BX87" s="659"/>
      <c r="BY87" s="660"/>
      <c r="BZ87" s="953"/>
      <c r="CA87" s="659"/>
      <c r="CB87" s="659"/>
      <c r="CC87" s="660"/>
      <c r="CD87" s="285"/>
      <c r="CE87" s="847"/>
      <c r="CF87" s="49"/>
      <c r="CG87" s="49"/>
      <c r="CH87" s="49"/>
      <c r="CI87" s="49"/>
      <c r="CJ87" s="49"/>
      <c r="CK87" s="49"/>
      <c r="CL87" s="35"/>
      <c r="CM87" s="35"/>
      <c r="CN87" s="35"/>
      <c r="CO87" s="35"/>
      <c r="CP87" s="35"/>
      <c r="CQ87" s="35"/>
      <c r="CR87" s="35"/>
      <c r="CS87" s="35"/>
      <c r="CT87" s="35"/>
      <c r="CU87" s="1654"/>
      <c r="CV87" s="1654"/>
      <c r="CW87" s="1654"/>
      <c r="CX87" s="1654"/>
      <c r="CY87" s="659"/>
      <c r="CZ87" s="659"/>
      <c r="DA87" s="659"/>
      <c r="DB87" s="659"/>
      <c r="DC87" s="659"/>
      <c r="DD87" s="660"/>
      <c r="DE87" s="174"/>
      <c r="DF87" s="1692"/>
      <c r="DG87" s="29"/>
      <c r="DH87" s="29"/>
      <c r="DI87" s="39"/>
      <c r="DJ87" s="29"/>
      <c r="DK87" s="29"/>
      <c r="DL87" s="29"/>
      <c r="DM87" s="91"/>
      <c r="DN87" s="29"/>
      <c r="DO87" s="29"/>
      <c r="DP87" s="29"/>
      <c r="DQ87" s="29"/>
      <c r="DR87" s="29"/>
      <c r="DS87" s="29"/>
      <c r="DT87" s="29"/>
      <c r="DU87" s="29"/>
      <c r="DV87" s="29"/>
      <c r="DW87" s="29"/>
    </row>
    <row r="88" spans="1:138">
      <c r="A88" s="320"/>
      <c r="B88" s="208"/>
      <c r="C88" s="52" t="s">
        <v>793</v>
      </c>
      <c r="D88" s="196"/>
      <c r="E88" s="197"/>
      <c r="F88" s="845"/>
      <c r="G88" s="780"/>
      <c r="H88" s="780"/>
      <c r="I88" s="846"/>
      <c r="J88" s="845"/>
      <c r="K88" s="780">
        <v>-6.2629999999999999</v>
      </c>
      <c r="L88" s="780">
        <v>-13.217000000000001</v>
      </c>
      <c r="M88" s="521">
        <v>-17.613</v>
      </c>
      <c r="N88" s="832"/>
      <c r="O88" s="457"/>
      <c r="P88" s="457"/>
      <c r="Q88" s="521">
        <v>0</v>
      </c>
      <c r="R88" s="832">
        <v>13.8</v>
      </c>
      <c r="S88" s="457">
        <v>13.8</v>
      </c>
      <c r="T88" s="457">
        <v>13.8</v>
      </c>
      <c r="U88" s="457">
        <v>13.8</v>
      </c>
      <c r="V88" s="832">
        <v>-4.7</v>
      </c>
      <c r="W88" s="457">
        <v>-9.6999999999999993</v>
      </c>
      <c r="X88" s="457">
        <v>-14.6</v>
      </c>
      <c r="Y88" s="521">
        <v>-19.5</v>
      </c>
      <c r="Z88" s="832">
        <v>-5</v>
      </c>
      <c r="AA88" s="457">
        <v>-10.6</v>
      </c>
      <c r="AB88" s="457">
        <v>-17.100000000000001</v>
      </c>
      <c r="AC88" s="521">
        <v>-23.4</v>
      </c>
      <c r="AD88" s="832">
        <v>0</v>
      </c>
      <c r="AE88" s="457">
        <v>0</v>
      </c>
      <c r="AF88" s="457">
        <v>0</v>
      </c>
      <c r="AG88" s="521">
        <v>0</v>
      </c>
      <c r="AH88" s="832">
        <v>0</v>
      </c>
      <c r="AI88" s="527">
        <v>0</v>
      </c>
      <c r="AJ88" s="527">
        <v>0</v>
      </c>
      <c r="AK88" s="534">
        <v>0</v>
      </c>
      <c r="AL88" s="527">
        <v>0</v>
      </c>
      <c r="AM88" s="527">
        <v>0</v>
      </c>
      <c r="AN88" s="527">
        <v>0</v>
      </c>
      <c r="AO88" s="534">
        <v>0</v>
      </c>
      <c r="AP88" s="527">
        <v>0</v>
      </c>
      <c r="AQ88" s="527">
        <v>0</v>
      </c>
      <c r="AR88" s="527">
        <v>0</v>
      </c>
      <c r="AS88" s="527">
        <v>0</v>
      </c>
      <c r="AT88" s="1161">
        <v>0</v>
      </c>
      <c r="AU88" s="527">
        <v>0</v>
      </c>
      <c r="AV88" s="527">
        <v>0</v>
      </c>
      <c r="AW88" s="527">
        <v>0</v>
      </c>
      <c r="AX88" s="1161">
        <v>0</v>
      </c>
      <c r="AY88" s="527">
        <v>0</v>
      </c>
      <c r="AZ88" s="527">
        <v>2775</v>
      </c>
      <c r="BA88" s="526">
        <v>2775</v>
      </c>
      <c r="BB88" s="1161">
        <v>0</v>
      </c>
      <c r="BC88" s="526">
        <v>0</v>
      </c>
      <c r="BD88" s="527">
        <v>0</v>
      </c>
      <c r="BE88" s="534">
        <v>0</v>
      </c>
      <c r="BF88" s="1161">
        <v>0</v>
      </c>
      <c r="BG88" s="1374">
        <v>0</v>
      </c>
      <c r="BH88" s="1397">
        <v>2992</v>
      </c>
      <c r="BI88" s="1451">
        <v>2992</v>
      </c>
      <c r="BJ88" s="1454">
        <v>0</v>
      </c>
      <c r="BK88" s="1374">
        <v>0</v>
      </c>
      <c r="BL88" s="1397">
        <v>0</v>
      </c>
      <c r="BM88" s="1451">
        <v>255</v>
      </c>
      <c r="BN88" s="1454">
        <v>0</v>
      </c>
      <c r="BO88" s="1374">
        <v>0</v>
      </c>
      <c r="BP88" s="1397">
        <v>0</v>
      </c>
      <c r="BQ88" s="1451">
        <v>16709</v>
      </c>
      <c r="BR88" s="674">
        <f>3992-7</f>
        <v>3985</v>
      </c>
      <c r="BS88" s="1374">
        <f>3992-7</f>
        <v>3985</v>
      </c>
      <c r="BT88" s="1374">
        <v>7898</v>
      </c>
      <c r="BU88" s="1451">
        <v>7898</v>
      </c>
      <c r="BV88" s="674">
        <v>0</v>
      </c>
      <c r="BW88" s="674">
        <v>0</v>
      </c>
      <c r="BX88" s="662">
        <f t="shared" ref="BX88:BX95" si="350">BW88+BX41</f>
        <v>0</v>
      </c>
      <c r="BY88" s="663">
        <f t="shared" ref="BY88:BY95" si="351">BX88+BY41</f>
        <v>0</v>
      </c>
      <c r="BZ88" s="661">
        <f t="shared" ref="BZ88:BZ97" si="352">BZ41</f>
        <v>0</v>
      </c>
      <c r="CA88" s="662">
        <f t="shared" ref="CA88:CA95" si="353">BZ88+CA41</f>
        <v>0</v>
      </c>
      <c r="CB88" s="662">
        <f t="shared" ref="CB88:CB95" si="354">CA88+CB41</f>
        <v>0</v>
      </c>
      <c r="CC88" s="663">
        <f t="shared" ref="CC88:CC95" si="355">CB88+CC41</f>
        <v>0</v>
      </c>
      <c r="CD88" s="115"/>
      <c r="CE88" s="847">
        <f t="shared" ref="CE88:CE93" si="356">I88</f>
        <v>0</v>
      </c>
      <c r="CF88" s="35">
        <f t="shared" ref="CF88:CF93" si="357">M88</f>
        <v>-17.613</v>
      </c>
      <c r="CG88" s="35">
        <f t="shared" ref="CG88:CG93" si="358">Q88</f>
        <v>0</v>
      </c>
      <c r="CH88" s="35">
        <f t="shared" ref="CH88:CH93" si="359">U88</f>
        <v>13.8</v>
      </c>
      <c r="CI88" s="35">
        <f t="shared" ref="CI88:CI93" si="360">Y88</f>
        <v>-19.5</v>
      </c>
      <c r="CJ88" s="35">
        <f t="shared" ref="CJ88:CJ93" si="361">AC88</f>
        <v>-23.4</v>
      </c>
      <c r="CK88" s="35">
        <f t="shared" ref="CK88:CK93" si="362">AG88</f>
        <v>0</v>
      </c>
      <c r="CL88" s="35">
        <f t="shared" ref="CL88:CL93" si="363">AK88</f>
        <v>0</v>
      </c>
      <c r="CM88" s="35">
        <f t="shared" ref="CM88:CM93" si="364">AO88</f>
        <v>0</v>
      </c>
      <c r="CN88" s="35">
        <f t="shared" ref="CN88:CN93" si="365">AS88</f>
        <v>0</v>
      </c>
      <c r="CO88" s="35">
        <f t="shared" ref="CO88:CO93" si="366">AW88</f>
        <v>0</v>
      </c>
      <c r="CP88" s="35">
        <f t="shared" ref="CP88:CP93" si="367">BA88</f>
        <v>2775</v>
      </c>
      <c r="CQ88" s="35">
        <f t="shared" ref="CQ88:CQ95" si="368">BE88</f>
        <v>0</v>
      </c>
      <c r="CR88" s="35">
        <f t="shared" ref="CR88:CR95" si="369">BI88</f>
        <v>2992</v>
      </c>
      <c r="CS88" s="35">
        <f t="shared" ref="CS88:CS95" si="370">BM88</f>
        <v>255</v>
      </c>
      <c r="CT88" s="35">
        <f t="shared" ref="CT88:CT95" si="371">BQ88</f>
        <v>16709</v>
      </c>
      <c r="CU88" s="662">
        <f t="shared" ref="CU88:CU95" si="372">BU88</f>
        <v>7898</v>
      </c>
      <c r="CV88" s="662">
        <f>BY88</f>
        <v>0</v>
      </c>
      <c r="CW88" s="662">
        <f t="shared" ref="CW88:CW95" si="373">CC88</f>
        <v>0</v>
      </c>
      <c r="CX88" s="662">
        <f t="shared" ref="CX88:DA97" si="374">CX41</f>
        <v>0</v>
      </c>
      <c r="CY88" s="662">
        <f t="shared" si="374"/>
        <v>0</v>
      </c>
      <c r="CZ88" s="662">
        <f t="shared" si="374"/>
        <v>0</v>
      </c>
      <c r="DA88" s="662">
        <f t="shared" si="374"/>
        <v>0</v>
      </c>
      <c r="DB88" s="662">
        <f t="shared" ref="DB88:DC97" si="375">DB41</f>
        <v>0</v>
      </c>
      <c r="DC88" s="662">
        <f t="shared" si="375"/>
        <v>0</v>
      </c>
      <c r="DD88" s="663"/>
      <c r="DE88" s="174"/>
      <c r="DF88" s="91"/>
      <c r="DG88" s="29"/>
      <c r="DH88" s="29"/>
      <c r="DI88" s="39"/>
      <c r="DJ88" s="29"/>
      <c r="DK88" s="29"/>
      <c r="DL88" s="29"/>
      <c r="DM88" s="91"/>
      <c r="DN88" s="29"/>
      <c r="DO88" s="29"/>
      <c r="DP88" s="29"/>
      <c r="DQ88" s="29"/>
      <c r="DR88" s="29"/>
      <c r="DS88" s="29"/>
      <c r="DT88" s="29"/>
      <c r="DU88" s="29"/>
      <c r="DV88" s="29"/>
      <c r="DW88" s="29"/>
      <c r="EH88" s="1330"/>
    </row>
    <row r="89" spans="1:138">
      <c r="A89" s="320"/>
      <c r="B89" s="208"/>
      <c r="C89" s="52" t="s">
        <v>377</v>
      </c>
      <c r="D89" s="196"/>
      <c r="E89" s="197"/>
      <c r="F89" s="845"/>
      <c r="G89" s="780"/>
      <c r="H89" s="780"/>
      <c r="I89" s="846"/>
      <c r="J89" s="845"/>
      <c r="K89" s="780"/>
      <c r="L89" s="780"/>
      <c r="M89" s="521"/>
      <c r="N89" s="832"/>
      <c r="O89" s="457"/>
      <c r="P89" s="457"/>
      <c r="Q89" s="521"/>
      <c r="R89" s="832"/>
      <c r="S89" s="457"/>
      <c r="T89" s="457"/>
      <c r="U89" s="457"/>
      <c r="V89" s="832"/>
      <c r="W89" s="457"/>
      <c r="X89" s="457"/>
      <c r="Y89" s="521"/>
      <c r="Z89" s="832"/>
      <c r="AA89" s="457"/>
      <c r="AB89" s="457"/>
      <c r="AC89" s="521"/>
      <c r="AD89" s="832">
        <v>0</v>
      </c>
      <c r="AE89" s="457">
        <v>0</v>
      </c>
      <c r="AF89" s="457">
        <v>0</v>
      </c>
      <c r="AG89" s="521">
        <v>0</v>
      </c>
      <c r="AH89" s="832">
        <v>750</v>
      </c>
      <c r="AI89" s="527">
        <v>760</v>
      </c>
      <c r="AJ89" s="527">
        <v>1510</v>
      </c>
      <c r="AK89" s="534">
        <v>1510</v>
      </c>
      <c r="AL89" s="527">
        <v>0</v>
      </c>
      <c r="AM89" s="527">
        <v>0</v>
      </c>
      <c r="AN89" s="527">
        <v>0</v>
      </c>
      <c r="AO89" s="534">
        <v>0</v>
      </c>
      <c r="AP89" s="527">
        <v>0</v>
      </c>
      <c r="AQ89" s="527">
        <v>0</v>
      </c>
      <c r="AR89" s="527">
        <v>0</v>
      </c>
      <c r="AS89" s="527">
        <v>0</v>
      </c>
      <c r="AT89" s="1161">
        <v>0</v>
      </c>
      <c r="AU89" s="527">
        <v>0</v>
      </c>
      <c r="AV89" s="527">
        <v>0</v>
      </c>
      <c r="AW89" s="527">
        <v>0</v>
      </c>
      <c r="AX89" s="1161">
        <v>0</v>
      </c>
      <c r="AY89" s="527">
        <v>0</v>
      </c>
      <c r="AZ89" s="527">
        <v>0</v>
      </c>
      <c r="BA89" s="526"/>
      <c r="BB89" s="1161">
        <v>0</v>
      </c>
      <c r="BC89" s="526">
        <v>0</v>
      </c>
      <c r="BD89" s="527">
        <v>0</v>
      </c>
      <c r="BE89" s="534">
        <v>0</v>
      </c>
      <c r="BF89" s="1161">
        <v>500</v>
      </c>
      <c r="BG89" s="1374">
        <v>500</v>
      </c>
      <c r="BH89" s="1397">
        <v>0</v>
      </c>
      <c r="BI89" s="1451">
        <v>0</v>
      </c>
      <c r="BJ89" s="1454">
        <v>0</v>
      </c>
      <c r="BK89" s="1374">
        <v>0</v>
      </c>
      <c r="BL89" s="1397">
        <v>0</v>
      </c>
      <c r="BM89" s="1451">
        <v>0</v>
      </c>
      <c r="BN89" s="1454">
        <v>0</v>
      </c>
      <c r="BO89" s="1374">
        <v>0</v>
      </c>
      <c r="BP89" s="1397">
        <v>0</v>
      </c>
      <c r="BQ89" s="1451">
        <v>0</v>
      </c>
      <c r="BR89" s="674">
        <v>0</v>
      </c>
      <c r="BS89" s="1374">
        <v>0</v>
      </c>
      <c r="BT89" s="1374">
        <v>0</v>
      </c>
      <c r="BU89" s="1451">
        <v>0</v>
      </c>
      <c r="BV89" s="674">
        <v>0</v>
      </c>
      <c r="BW89" s="674">
        <v>0</v>
      </c>
      <c r="BX89" s="662">
        <f t="shared" si="350"/>
        <v>0</v>
      </c>
      <c r="BY89" s="663">
        <f t="shared" si="351"/>
        <v>0</v>
      </c>
      <c r="BZ89" s="661">
        <f t="shared" si="352"/>
        <v>0</v>
      </c>
      <c r="CA89" s="662">
        <f t="shared" si="353"/>
        <v>0</v>
      </c>
      <c r="CB89" s="662">
        <f t="shared" si="354"/>
        <v>0</v>
      </c>
      <c r="CC89" s="663">
        <f t="shared" si="355"/>
        <v>0</v>
      </c>
      <c r="CD89" s="115"/>
      <c r="CE89" s="847">
        <f t="shared" si="356"/>
        <v>0</v>
      </c>
      <c r="CF89" s="35">
        <f t="shared" si="357"/>
        <v>0</v>
      </c>
      <c r="CG89" s="35">
        <f t="shared" si="358"/>
        <v>0</v>
      </c>
      <c r="CH89" s="35">
        <f t="shared" si="359"/>
        <v>0</v>
      </c>
      <c r="CI89" s="35">
        <f t="shared" si="360"/>
        <v>0</v>
      </c>
      <c r="CJ89" s="35">
        <f t="shared" si="361"/>
        <v>0</v>
      </c>
      <c r="CK89" s="35">
        <f t="shared" si="362"/>
        <v>0</v>
      </c>
      <c r="CL89" s="35">
        <f t="shared" si="363"/>
        <v>1510</v>
      </c>
      <c r="CM89" s="35">
        <f t="shared" si="364"/>
        <v>0</v>
      </c>
      <c r="CN89" s="35">
        <f t="shared" si="365"/>
        <v>0</v>
      </c>
      <c r="CO89" s="35">
        <f t="shared" si="366"/>
        <v>0</v>
      </c>
      <c r="CP89" s="35">
        <f t="shared" si="367"/>
        <v>0</v>
      </c>
      <c r="CQ89" s="35">
        <f t="shared" si="368"/>
        <v>0</v>
      </c>
      <c r="CR89" s="35">
        <f t="shared" si="369"/>
        <v>0</v>
      </c>
      <c r="CS89" s="35">
        <f t="shared" si="370"/>
        <v>0</v>
      </c>
      <c r="CT89" s="35">
        <f t="shared" si="371"/>
        <v>0</v>
      </c>
      <c r="CU89" s="662">
        <f t="shared" si="372"/>
        <v>0</v>
      </c>
      <c r="CV89" s="662">
        <f t="shared" ref="CV89:CV95" si="376">BY89</f>
        <v>0</v>
      </c>
      <c r="CW89" s="662">
        <f t="shared" si="373"/>
        <v>0</v>
      </c>
      <c r="CX89" s="662">
        <f t="shared" si="374"/>
        <v>0</v>
      </c>
      <c r="CY89" s="662">
        <f t="shared" si="374"/>
        <v>0</v>
      </c>
      <c r="CZ89" s="662">
        <f t="shared" si="374"/>
        <v>0</v>
      </c>
      <c r="DA89" s="662">
        <f t="shared" si="374"/>
        <v>0</v>
      </c>
      <c r="DB89" s="662">
        <f t="shared" si="375"/>
        <v>0</v>
      </c>
      <c r="DC89" s="662">
        <f t="shared" si="375"/>
        <v>0</v>
      </c>
      <c r="DD89" s="663"/>
      <c r="DE89" s="174"/>
      <c r="DF89" s="91"/>
      <c r="DG89" s="29"/>
      <c r="DH89" s="29"/>
      <c r="DI89" s="39"/>
      <c r="DJ89" s="29"/>
      <c r="DK89" s="29"/>
      <c r="DL89" s="29"/>
      <c r="DM89" s="91"/>
      <c r="DN89" s="29"/>
      <c r="DO89" s="29"/>
      <c r="DP89" s="29"/>
      <c r="DQ89" s="29"/>
      <c r="DR89" s="29"/>
      <c r="DS89" s="29"/>
      <c r="DT89" s="29"/>
      <c r="DU89" s="29"/>
      <c r="DV89" s="29"/>
      <c r="DW89" s="29"/>
      <c r="EH89" s="1330"/>
    </row>
    <row r="90" spans="1:138">
      <c r="A90" s="320"/>
      <c r="B90" s="270"/>
      <c r="C90" s="52" t="s">
        <v>365</v>
      </c>
      <c r="D90" s="196"/>
      <c r="E90" s="265"/>
      <c r="F90" s="845">
        <v>42.081000000000003</v>
      </c>
      <c r="G90" s="780">
        <v>72.674000000000007</v>
      </c>
      <c r="H90" s="780">
        <v>72.674000000000007</v>
      </c>
      <c r="I90" s="846">
        <v>110.474</v>
      </c>
      <c r="J90" s="845">
        <v>0</v>
      </c>
      <c r="K90" s="780"/>
      <c r="L90" s="780"/>
      <c r="M90" s="521"/>
      <c r="N90" s="832">
        <v>3.367</v>
      </c>
      <c r="O90" s="457">
        <v>10.035</v>
      </c>
      <c r="P90" s="457">
        <v>20.966000000000001</v>
      </c>
      <c r="Q90" s="521">
        <v>44.3</v>
      </c>
      <c r="R90" s="832">
        <v>11.5</v>
      </c>
      <c r="S90" s="457">
        <v>15</v>
      </c>
      <c r="T90" s="457">
        <v>21.2</v>
      </c>
      <c r="U90" s="457">
        <v>23.9</v>
      </c>
      <c r="V90" s="832">
        <v>4.7</v>
      </c>
      <c r="W90" s="457">
        <v>17.100000000000001</v>
      </c>
      <c r="X90" s="457">
        <v>39.799999999999997</v>
      </c>
      <c r="Y90" s="521">
        <v>57.8</v>
      </c>
      <c r="Z90" s="832">
        <v>12.6</v>
      </c>
      <c r="AA90" s="457">
        <v>29.2</v>
      </c>
      <c r="AB90" s="457">
        <v>67.5</v>
      </c>
      <c r="AC90" s="521">
        <v>77.599999999999994</v>
      </c>
      <c r="AD90" s="832">
        <v>2</v>
      </c>
      <c r="AE90" s="457">
        <v>16</v>
      </c>
      <c r="AF90" s="457">
        <v>17</v>
      </c>
      <c r="AG90" s="521">
        <v>30</v>
      </c>
      <c r="AH90" s="832">
        <v>10</v>
      </c>
      <c r="AI90" s="527">
        <v>32</v>
      </c>
      <c r="AJ90" s="527">
        <v>38</v>
      </c>
      <c r="AK90" s="534">
        <v>60</v>
      </c>
      <c r="AL90" s="527">
        <v>-1</v>
      </c>
      <c r="AM90" s="527">
        <v>9</v>
      </c>
      <c r="AN90" s="527">
        <v>8</v>
      </c>
      <c r="AO90" s="527">
        <v>23</v>
      </c>
      <c r="AP90" s="1161">
        <v>14</v>
      </c>
      <c r="AQ90" s="527">
        <v>40</v>
      </c>
      <c r="AR90" s="527">
        <v>38</v>
      </c>
      <c r="AS90" s="527">
        <v>62</v>
      </c>
      <c r="AT90" s="1161">
        <v>-2</v>
      </c>
      <c r="AU90" s="527">
        <v>0</v>
      </c>
      <c r="AV90" s="527">
        <v>0</v>
      </c>
      <c r="AW90" s="527">
        <v>0</v>
      </c>
      <c r="AX90" s="1161">
        <v>-2</v>
      </c>
      <c r="AY90" s="527">
        <v>20</v>
      </c>
      <c r="AZ90" s="527">
        <v>49</v>
      </c>
      <c r="BA90" s="526"/>
      <c r="BB90" s="1161">
        <f>35-7+32</f>
        <v>60</v>
      </c>
      <c r="BC90" s="526">
        <v>113</v>
      </c>
      <c r="BD90" s="527">
        <v>152</v>
      </c>
      <c r="BE90" s="534">
        <v>205</v>
      </c>
      <c r="BF90" s="1161">
        <v>7</v>
      </c>
      <c r="BG90" s="1374">
        <f>98</f>
        <v>98</v>
      </c>
      <c r="BH90" s="1397">
        <v>139</v>
      </c>
      <c r="BI90" s="1451">
        <v>215</v>
      </c>
      <c r="BJ90" s="1454">
        <v>0</v>
      </c>
      <c r="BK90" s="1374">
        <f>112-59+11</f>
        <v>64</v>
      </c>
      <c r="BL90" s="1397">
        <v>112</v>
      </c>
      <c r="BM90" s="1451">
        <v>167</v>
      </c>
      <c r="BN90" s="1454">
        <v>0</v>
      </c>
      <c r="BO90" s="1374">
        <v>4</v>
      </c>
      <c r="BP90" s="1397">
        <v>17</v>
      </c>
      <c r="BQ90" s="1451">
        <v>74</v>
      </c>
      <c r="BR90" s="674">
        <f>24-26+28</f>
        <v>26</v>
      </c>
      <c r="BS90" s="1374">
        <f>90-40+56</f>
        <v>106</v>
      </c>
      <c r="BT90" s="1374">
        <v>102</v>
      </c>
      <c r="BU90" s="1451">
        <v>230</v>
      </c>
      <c r="BV90" s="674">
        <v>-41</v>
      </c>
      <c r="BW90" s="674">
        <v>32</v>
      </c>
      <c r="BX90" s="662">
        <f t="shared" si="350"/>
        <v>32</v>
      </c>
      <c r="BY90" s="663">
        <f t="shared" si="351"/>
        <v>32</v>
      </c>
      <c r="BZ90" s="661">
        <f t="shared" si="352"/>
        <v>0</v>
      </c>
      <c r="CA90" s="662">
        <f t="shared" si="353"/>
        <v>0</v>
      </c>
      <c r="CB90" s="662">
        <f t="shared" si="354"/>
        <v>0</v>
      </c>
      <c r="CC90" s="663">
        <f t="shared" si="355"/>
        <v>0</v>
      </c>
      <c r="CD90" s="115"/>
      <c r="CE90" s="847">
        <f t="shared" si="356"/>
        <v>110.474</v>
      </c>
      <c r="CF90" s="35">
        <f t="shared" si="357"/>
        <v>0</v>
      </c>
      <c r="CG90" s="35">
        <f t="shared" si="358"/>
        <v>44.3</v>
      </c>
      <c r="CH90" s="35">
        <f t="shared" si="359"/>
        <v>23.9</v>
      </c>
      <c r="CI90" s="35">
        <f t="shared" si="360"/>
        <v>57.8</v>
      </c>
      <c r="CJ90" s="35">
        <f t="shared" si="361"/>
        <v>77.599999999999994</v>
      </c>
      <c r="CK90" s="35">
        <f t="shared" si="362"/>
        <v>30</v>
      </c>
      <c r="CL90" s="35">
        <f t="shared" si="363"/>
        <v>60</v>
      </c>
      <c r="CM90" s="35">
        <f t="shared" si="364"/>
        <v>23</v>
      </c>
      <c r="CN90" s="35">
        <f t="shared" si="365"/>
        <v>62</v>
      </c>
      <c r="CO90" s="35">
        <f t="shared" si="366"/>
        <v>0</v>
      </c>
      <c r="CP90" s="35">
        <f t="shared" si="367"/>
        <v>0</v>
      </c>
      <c r="CQ90" s="35">
        <f t="shared" si="368"/>
        <v>205</v>
      </c>
      <c r="CR90" s="35">
        <f t="shared" si="369"/>
        <v>215</v>
      </c>
      <c r="CS90" s="35">
        <f t="shared" si="370"/>
        <v>167</v>
      </c>
      <c r="CT90" s="35">
        <f t="shared" si="371"/>
        <v>74</v>
      </c>
      <c r="CU90" s="662">
        <f t="shared" si="372"/>
        <v>230</v>
      </c>
      <c r="CV90" s="662">
        <f t="shared" si="376"/>
        <v>32</v>
      </c>
      <c r="CW90" s="662">
        <f t="shared" si="373"/>
        <v>0</v>
      </c>
      <c r="CX90" s="662">
        <f t="shared" si="374"/>
        <v>0</v>
      </c>
      <c r="CY90" s="662">
        <f t="shared" si="374"/>
        <v>0</v>
      </c>
      <c r="CZ90" s="662">
        <f t="shared" si="374"/>
        <v>0</v>
      </c>
      <c r="DA90" s="662">
        <f t="shared" si="374"/>
        <v>0</v>
      </c>
      <c r="DB90" s="662">
        <f t="shared" si="375"/>
        <v>0</v>
      </c>
      <c r="DC90" s="662">
        <f t="shared" si="375"/>
        <v>0</v>
      </c>
      <c r="DD90" s="663"/>
      <c r="DE90" s="174"/>
      <c r="DF90" s="91"/>
      <c r="DG90" s="29"/>
      <c r="DH90" s="29"/>
      <c r="DI90" s="39"/>
      <c r="DJ90" s="29"/>
      <c r="DK90" s="29"/>
      <c r="DL90" s="29"/>
      <c r="DM90" s="91"/>
      <c r="DN90" s="29"/>
      <c r="DO90" s="29"/>
      <c r="DP90" s="29"/>
      <c r="DQ90" s="29"/>
      <c r="DR90" s="29"/>
      <c r="DS90" s="29"/>
      <c r="DT90" s="29"/>
      <c r="DU90" s="29"/>
      <c r="DV90" s="29"/>
      <c r="DW90" s="29"/>
      <c r="EH90" s="1330"/>
    </row>
    <row r="91" spans="1:138">
      <c r="A91" s="320"/>
      <c r="B91" s="270"/>
      <c r="C91" s="52" t="s">
        <v>378</v>
      </c>
      <c r="D91" s="196"/>
      <c r="E91" s="265"/>
      <c r="F91" s="845"/>
      <c r="G91" s="780"/>
      <c r="H91" s="780"/>
      <c r="I91" s="846"/>
      <c r="J91" s="845"/>
      <c r="K91" s="780"/>
      <c r="L91" s="780"/>
      <c r="M91" s="521"/>
      <c r="N91" s="832"/>
      <c r="O91" s="457"/>
      <c r="P91" s="457"/>
      <c r="Q91" s="457"/>
      <c r="R91" s="832"/>
      <c r="S91" s="457"/>
      <c r="T91" s="457"/>
      <c r="U91" s="457"/>
      <c r="V91" s="832"/>
      <c r="W91" s="457"/>
      <c r="X91" s="457"/>
      <c r="Y91" s="521"/>
      <c r="Z91" s="457"/>
      <c r="AA91" s="457"/>
      <c r="AB91" s="457"/>
      <c r="AC91" s="521"/>
      <c r="AD91" s="832">
        <v>0</v>
      </c>
      <c r="AE91" s="457">
        <v>0</v>
      </c>
      <c r="AF91" s="457">
        <v>0</v>
      </c>
      <c r="AG91" s="521">
        <v>0</v>
      </c>
      <c r="AH91" s="832">
        <v>0</v>
      </c>
      <c r="AI91" s="527">
        <v>-250</v>
      </c>
      <c r="AJ91" s="527">
        <v>-250</v>
      </c>
      <c r="AK91" s="534">
        <v>-250</v>
      </c>
      <c r="AL91" s="527">
        <v>0</v>
      </c>
      <c r="AM91" s="527">
        <v>0</v>
      </c>
      <c r="AN91" s="527">
        <v>0</v>
      </c>
      <c r="AO91" s="527">
        <v>0</v>
      </c>
      <c r="AP91" s="1161">
        <v>0</v>
      </c>
      <c r="AQ91" s="527">
        <v>0</v>
      </c>
      <c r="AR91" s="527">
        <v>0</v>
      </c>
      <c r="AS91" s="527">
        <v>0</v>
      </c>
      <c r="AT91" s="1161">
        <v>0</v>
      </c>
      <c r="AU91" s="527">
        <v>0</v>
      </c>
      <c r="AV91" s="527">
        <v>0</v>
      </c>
      <c r="AW91" s="527">
        <v>0</v>
      </c>
      <c r="AX91" s="1161">
        <v>0</v>
      </c>
      <c r="AY91" s="527">
        <v>0</v>
      </c>
      <c r="AZ91" s="527">
        <v>0</v>
      </c>
      <c r="BA91" s="526"/>
      <c r="BB91" s="1161">
        <v>0</v>
      </c>
      <c r="BC91" s="526">
        <v>0</v>
      </c>
      <c r="BD91" s="527">
        <v>0</v>
      </c>
      <c r="BE91" s="534">
        <v>0</v>
      </c>
      <c r="BF91" s="1161">
        <v>0</v>
      </c>
      <c r="BG91" s="1374">
        <v>0</v>
      </c>
      <c r="BH91" s="1397">
        <v>0</v>
      </c>
      <c r="BI91" s="1451">
        <v>0</v>
      </c>
      <c r="BJ91" s="1454">
        <v>0</v>
      </c>
      <c r="BK91" s="1374">
        <v>0</v>
      </c>
      <c r="BL91" s="1397">
        <v>0</v>
      </c>
      <c r="BM91" s="1451">
        <v>0</v>
      </c>
      <c r="BN91" s="1454">
        <v>0</v>
      </c>
      <c r="BO91" s="1374">
        <v>0</v>
      </c>
      <c r="BP91" s="1397">
        <v>0</v>
      </c>
      <c r="BQ91" s="1451">
        <v>0</v>
      </c>
      <c r="BR91" s="674">
        <v>0</v>
      </c>
      <c r="BS91" s="1374">
        <v>0</v>
      </c>
      <c r="BT91" s="1374">
        <v>0</v>
      </c>
      <c r="BU91" s="1451">
        <v>0</v>
      </c>
      <c r="BV91" s="674">
        <v>0</v>
      </c>
      <c r="BW91" s="674">
        <v>0</v>
      </c>
      <c r="BX91" s="662">
        <f t="shared" si="350"/>
        <v>0</v>
      </c>
      <c r="BY91" s="663">
        <f t="shared" si="351"/>
        <v>0</v>
      </c>
      <c r="BZ91" s="661">
        <f t="shared" si="352"/>
        <v>0</v>
      </c>
      <c r="CA91" s="662">
        <f t="shared" si="353"/>
        <v>0</v>
      </c>
      <c r="CB91" s="662">
        <f t="shared" si="354"/>
        <v>0</v>
      </c>
      <c r="CC91" s="663">
        <f t="shared" si="355"/>
        <v>0</v>
      </c>
      <c r="CD91" s="115"/>
      <c r="CE91" s="847">
        <f t="shared" si="356"/>
        <v>0</v>
      </c>
      <c r="CF91" s="35">
        <f t="shared" si="357"/>
        <v>0</v>
      </c>
      <c r="CG91" s="35">
        <f t="shared" si="358"/>
        <v>0</v>
      </c>
      <c r="CH91" s="35">
        <f t="shared" si="359"/>
        <v>0</v>
      </c>
      <c r="CI91" s="35">
        <f t="shared" si="360"/>
        <v>0</v>
      </c>
      <c r="CJ91" s="35">
        <f t="shared" si="361"/>
        <v>0</v>
      </c>
      <c r="CK91" s="35">
        <f t="shared" si="362"/>
        <v>0</v>
      </c>
      <c r="CL91" s="35">
        <f t="shared" si="363"/>
        <v>-250</v>
      </c>
      <c r="CM91" s="35">
        <f t="shared" si="364"/>
        <v>0</v>
      </c>
      <c r="CN91" s="35">
        <f t="shared" si="365"/>
        <v>0</v>
      </c>
      <c r="CO91" s="35">
        <f t="shared" si="366"/>
        <v>0</v>
      </c>
      <c r="CP91" s="35">
        <f t="shared" si="367"/>
        <v>0</v>
      </c>
      <c r="CQ91" s="35">
        <f t="shared" si="368"/>
        <v>0</v>
      </c>
      <c r="CR91" s="35">
        <f t="shared" si="369"/>
        <v>0</v>
      </c>
      <c r="CS91" s="35">
        <f t="shared" si="370"/>
        <v>0</v>
      </c>
      <c r="CT91" s="35">
        <f t="shared" si="371"/>
        <v>0</v>
      </c>
      <c r="CU91" s="662">
        <f t="shared" si="372"/>
        <v>0</v>
      </c>
      <c r="CV91" s="662">
        <f t="shared" si="376"/>
        <v>0</v>
      </c>
      <c r="CW91" s="662">
        <f t="shared" si="373"/>
        <v>0</v>
      </c>
      <c r="CX91" s="662">
        <f t="shared" si="374"/>
        <v>0</v>
      </c>
      <c r="CY91" s="662">
        <f t="shared" si="374"/>
        <v>0</v>
      </c>
      <c r="CZ91" s="662">
        <f t="shared" si="374"/>
        <v>0</v>
      </c>
      <c r="DA91" s="662">
        <f t="shared" si="374"/>
        <v>0</v>
      </c>
      <c r="DB91" s="662">
        <f t="shared" si="375"/>
        <v>0</v>
      </c>
      <c r="DC91" s="662">
        <f t="shared" si="375"/>
        <v>0</v>
      </c>
      <c r="DD91" s="663"/>
      <c r="DE91" s="174"/>
      <c r="DF91" s="91"/>
      <c r="DG91" s="29"/>
      <c r="DH91" s="29"/>
      <c r="DI91" s="39"/>
      <c r="DJ91" s="29"/>
      <c r="DK91" s="29"/>
      <c r="DL91" s="29"/>
      <c r="DM91" s="91"/>
      <c r="DN91" s="29"/>
      <c r="DO91" s="29"/>
      <c r="DP91" s="29"/>
      <c r="DQ91" s="29"/>
      <c r="DR91" s="29"/>
      <c r="DS91" s="29"/>
      <c r="DT91" s="29"/>
      <c r="DU91" s="29"/>
      <c r="DV91" s="29"/>
      <c r="DW91" s="29"/>
      <c r="EH91" s="1330"/>
    </row>
    <row r="92" spans="1:138">
      <c r="A92" s="320"/>
      <c r="B92" s="270"/>
      <c r="C92" s="51" t="s">
        <v>366</v>
      </c>
      <c r="D92" s="196"/>
      <c r="E92" s="265"/>
      <c r="F92" s="845">
        <v>2.97</v>
      </c>
      <c r="G92" s="780">
        <v>3.5219999999999998</v>
      </c>
      <c r="H92" s="780">
        <v>6.4269999999999996</v>
      </c>
      <c r="I92" s="846">
        <v>7.1130000000000004</v>
      </c>
      <c r="J92" s="845">
        <v>1.5620000000000001</v>
      </c>
      <c r="K92" s="780">
        <v>2.6360000000000001</v>
      </c>
      <c r="L92" s="780">
        <v>8.81</v>
      </c>
      <c r="M92" s="521">
        <v>10.159000000000001</v>
      </c>
      <c r="N92" s="832"/>
      <c r="O92" s="457"/>
      <c r="P92" s="457"/>
      <c r="Q92" s="457">
        <v>0</v>
      </c>
      <c r="R92" s="832"/>
      <c r="S92" s="457"/>
      <c r="T92" s="457"/>
      <c r="U92" s="457">
        <v>-16</v>
      </c>
      <c r="V92" s="832">
        <v>-15</v>
      </c>
      <c r="W92" s="457">
        <v>-23.3</v>
      </c>
      <c r="X92" s="457">
        <v>-23.3</v>
      </c>
      <c r="Y92" s="521">
        <v>-45</v>
      </c>
      <c r="Z92" s="459">
        <v>-14.2</v>
      </c>
      <c r="AA92" s="459">
        <v>-26.3</v>
      </c>
      <c r="AB92" s="459">
        <v>-43.8</v>
      </c>
      <c r="AC92" s="522">
        <v>-53.5</v>
      </c>
      <c r="AD92" s="619">
        <v>0</v>
      </c>
      <c r="AE92" s="459">
        <v>0</v>
      </c>
      <c r="AF92" s="459">
        <v>-29</v>
      </c>
      <c r="AG92" s="522">
        <v>-73</v>
      </c>
      <c r="AH92" s="619">
        <v>-16</v>
      </c>
      <c r="AI92" s="527">
        <v>-16</v>
      </c>
      <c r="AJ92" s="527">
        <v>-60</v>
      </c>
      <c r="AK92" s="534">
        <v>-60</v>
      </c>
      <c r="AL92" s="527">
        <v>-36</v>
      </c>
      <c r="AM92" s="527">
        <v>-36</v>
      </c>
      <c r="AN92" s="527">
        <v>-36</v>
      </c>
      <c r="AO92" s="527">
        <v>-36</v>
      </c>
      <c r="AP92" s="1161">
        <v>0</v>
      </c>
      <c r="AQ92" s="527">
        <v>0</v>
      </c>
      <c r="AR92" s="527">
        <v>0</v>
      </c>
      <c r="AS92" s="527">
        <v>0</v>
      </c>
      <c r="AT92" s="1161">
        <v>-50</v>
      </c>
      <c r="AU92" s="527">
        <v>-50</v>
      </c>
      <c r="AV92" s="527">
        <v>-50</v>
      </c>
      <c r="AW92" s="527">
        <v>-50</v>
      </c>
      <c r="AX92" s="1161">
        <v>0</v>
      </c>
      <c r="AY92" s="527">
        <v>0</v>
      </c>
      <c r="AZ92" s="527">
        <v>0</v>
      </c>
      <c r="BA92" s="526">
        <v>-604</v>
      </c>
      <c r="BB92" s="1161">
        <v>-218</v>
      </c>
      <c r="BC92" s="526">
        <v>-364</v>
      </c>
      <c r="BD92" s="527">
        <v>-607</v>
      </c>
      <c r="BE92" s="534">
        <v>-842</v>
      </c>
      <c r="BF92" s="1161">
        <v>-150</v>
      </c>
      <c r="BG92" s="1374">
        <v>-300</v>
      </c>
      <c r="BH92" s="1397">
        <v>-544</v>
      </c>
      <c r="BI92" s="1451">
        <v>-816</v>
      </c>
      <c r="BJ92" s="1454">
        <v>-223</v>
      </c>
      <c r="BK92" s="1374">
        <v>-532</v>
      </c>
      <c r="BL92" s="1397">
        <v>-772</v>
      </c>
      <c r="BM92" s="1451">
        <v>-970</v>
      </c>
      <c r="BN92" s="1454">
        <v>-60</v>
      </c>
      <c r="BO92" s="1374">
        <v>-60</v>
      </c>
      <c r="BP92" s="1397">
        <v>-60</v>
      </c>
      <c r="BQ92" s="1451">
        <v>-60</v>
      </c>
      <c r="BR92" s="674">
        <v>0</v>
      </c>
      <c r="BS92" s="1374">
        <v>0</v>
      </c>
      <c r="BT92" s="1374">
        <v>0</v>
      </c>
      <c r="BU92" s="1451">
        <v>0</v>
      </c>
      <c r="BV92" s="674">
        <v>0</v>
      </c>
      <c r="BW92" s="674">
        <v>0</v>
      </c>
      <c r="BX92" s="662">
        <f t="shared" si="350"/>
        <v>0</v>
      </c>
      <c r="BY92" s="663">
        <f t="shared" si="351"/>
        <v>0</v>
      </c>
      <c r="BZ92" s="661">
        <f t="shared" si="352"/>
        <v>0</v>
      </c>
      <c r="CA92" s="662">
        <f t="shared" si="353"/>
        <v>0</v>
      </c>
      <c r="CB92" s="662">
        <f t="shared" si="354"/>
        <v>0</v>
      </c>
      <c r="CC92" s="663">
        <f t="shared" si="355"/>
        <v>0</v>
      </c>
      <c r="CD92" s="115"/>
      <c r="CE92" s="847">
        <f t="shared" si="356"/>
        <v>7.1130000000000004</v>
      </c>
      <c r="CF92" s="35">
        <f t="shared" si="357"/>
        <v>10.159000000000001</v>
      </c>
      <c r="CG92" s="35">
        <f t="shared" si="358"/>
        <v>0</v>
      </c>
      <c r="CH92" s="35">
        <f t="shared" si="359"/>
        <v>-16</v>
      </c>
      <c r="CI92" s="35">
        <f t="shared" si="360"/>
        <v>-45</v>
      </c>
      <c r="CJ92" s="35">
        <f t="shared" si="361"/>
        <v>-53.5</v>
      </c>
      <c r="CK92" s="35">
        <f t="shared" si="362"/>
        <v>-73</v>
      </c>
      <c r="CL92" s="35">
        <f t="shared" si="363"/>
        <v>-60</v>
      </c>
      <c r="CM92" s="35">
        <f t="shared" si="364"/>
        <v>-36</v>
      </c>
      <c r="CN92" s="35">
        <f t="shared" si="365"/>
        <v>0</v>
      </c>
      <c r="CO92" s="35">
        <f t="shared" si="366"/>
        <v>-50</v>
      </c>
      <c r="CP92" s="35">
        <f t="shared" si="367"/>
        <v>-604</v>
      </c>
      <c r="CQ92" s="35">
        <f t="shared" si="368"/>
        <v>-842</v>
      </c>
      <c r="CR92" s="35">
        <f t="shared" si="369"/>
        <v>-816</v>
      </c>
      <c r="CS92" s="35">
        <f t="shared" si="370"/>
        <v>-970</v>
      </c>
      <c r="CT92" s="35">
        <f t="shared" si="371"/>
        <v>-60</v>
      </c>
      <c r="CU92" s="662">
        <f t="shared" si="372"/>
        <v>0</v>
      </c>
      <c r="CV92" s="662">
        <f t="shared" si="376"/>
        <v>0</v>
      </c>
      <c r="CW92" s="662">
        <f t="shared" si="373"/>
        <v>0</v>
      </c>
      <c r="CX92" s="662">
        <f t="shared" si="374"/>
        <v>0</v>
      </c>
      <c r="CY92" s="662">
        <f t="shared" si="374"/>
        <v>0</v>
      </c>
      <c r="CZ92" s="662">
        <f t="shared" si="374"/>
        <v>0</v>
      </c>
      <c r="DA92" s="662">
        <f t="shared" si="374"/>
        <v>0</v>
      </c>
      <c r="DB92" s="662">
        <f t="shared" si="375"/>
        <v>0</v>
      </c>
      <c r="DC92" s="662">
        <f t="shared" si="375"/>
        <v>0</v>
      </c>
      <c r="DD92" s="663"/>
      <c r="DE92" s="174"/>
      <c r="DF92" s="91"/>
      <c r="DG92" s="29"/>
      <c r="DH92" s="29"/>
      <c r="DI92" s="39"/>
      <c r="DJ92" s="29"/>
      <c r="DK92" s="29"/>
      <c r="DL92" s="29"/>
      <c r="DM92" s="91"/>
      <c r="DN92" s="29"/>
      <c r="DO92" s="29"/>
      <c r="DP92" s="29"/>
      <c r="DQ92" s="29"/>
      <c r="DR92" s="29"/>
      <c r="DS92" s="29"/>
      <c r="DT92" s="29"/>
      <c r="DU92" s="29"/>
      <c r="DV92" s="29"/>
      <c r="DW92" s="29"/>
      <c r="EH92" s="1330"/>
    </row>
    <row r="93" spans="1:138">
      <c r="A93" s="320"/>
      <c r="B93" s="270"/>
      <c r="C93" s="52" t="s">
        <v>371</v>
      </c>
      <c r="D93" s="196"/>
      <c r="E93" s="265"/>
      <c r="F93" s="845">
        <v>0</v>
      </c>
      <c r="G93" s="780">
        <v>0</v>
      </c>
      <c r="H93" s="780">
        <v>0</v>
      </c>
      <c r="I93" s="846">
        <v>0</v>
      </c>
      <c r="J93" s="845"/>
      <c r="K93" s="780">
        <v>0</v>
      </c>
      <c r="L93" s="780">
        <v>0</v>
      </c>
      <c r="M93" s="521">
        <v>0</v>
      </c>
      <c r="N93" s="832">
        <v>-14.345000000000001</v>
      </c>
      <c r="O93" s="457">
        <v>-14.345000000000001</v>
      </c>
      <c r="P93" s="457">
        <v>-88.045000000000002</v>
      </c>
      <c r="Q93" s="521">
        <v>-88.3</v>
      </c>
      <c r="R93" s="832"/>
      <c r="S93" s="457"/>
      <c r="T93" s="457"/>
      <c r="U93" s="521">
        <v>0</v>
      </c>
      <c r="V93" s="832"/>
      <c r="W93" s="457"/>
      <c r="X93" s="457"/>
      <c r="Y93" s="521"/>
      <c r="Z93" s="832"/>
      <c r="AA93" s="457">
        <v>0</v>
      </c>
      <c r="AB93" s="457">
        <v>0</v>
      </c>
      <c r="AC93" s="521">
        <v>0</v>
      </c>
      <c r="AD93" s="832">
        <v>-6</v>
      </c>
      <c r="AE93" s="457">
        <v>-16</v>
      </c>
      <c r="AF93" s="457">
        <v>-38</v>
      </c>
      <c r="AG93" s="521">
        <v>-43</v>
      </c>
      <c r="AH93" s="832">
        <v>-3</v>
      </c>
      <c r="AI93" s="527">
        <v>-7</v>
      </c>
      <c r="AJ93" s="527">
        <v>-1018</v>
      </c>
      <c r="AK93" s="534">
        <v>-1023</v>
      </c>
      <c r="AL93" s="527">
        <v>-2</v>
      </c>
      <c r="AM93" s="527">
        <v>-5</v>
      </c>
      <c r="AN93" s="527">
        <v>-7</v>
      </c>
      <c r="AO93" s="534">
        <v>-27</v>
      </c>
      <c r="AP93" s="527">
        <v>-19</v>
      </c>
      <c r="AQ93" s="527">
        <v>-38</v>
      </c>
      <c r="AR93" s="527">
        <v>-57</v>
      </c>
      <c r="AS93" s="527">
        <v>-82</v>
      </c>
      <c r="AT93" s="1161">
        <v>-25</v>
      </c>
      <c r="AU93" s="527">
        <v>-50</v>
      </c>
      <c r="AV93" s="527">
        <v>-75</v>
      </c>
      <c r="AW93" s="527">
        <v>-106</v>
      </c>
      <c r="AX93" s="1161">
        <v>-31</v>
      </c>
      <c r="AY93" s="527">
        <v>-63</v>
      </c>
      <c r="AZ93" s="527">
        <f>-585-350</f>
        <v>-935</v>
      </c>
      <c r="BA93" s="526">
        <f>-585-908</f>
        <v>-1493</v>
      </c>
      <c r="BB93" s="1161">
        <v>-58</v>
      </c>
      <c r="BC93" s="526">
        <v>-58</v>
      </c>
      <c r="BD93" s="527">
        <v>-173</v>
      </c>
      <c r="BE93" s="534">
        <v>-230</v>
      </c>
      <c r="BF93" s="1161">
        <v>-58</v>
      </c>
      <c r="BG93" s="1374">
        <v>-115</v>
      </c>
      <c r="BH93" s="1397">
        <v>-2486</v>
      </c>
      <c r="BI93" s="1451">
        <v>-2517</v>
      </c>
      <c r="BJ93" s="1454">
        <v>-31</v>
      </c>
      <c r="BK93" s="1374">
        <v>-63</v>
      </c>
      <c r="BL93" s="1397">
        <v>-94</v>
      </c>
      <c r="BM93" s="1451">
        <v>-125</v>
      </c>
      <c r="BN93" s="1454">
        <v>-31</v>
      </c>
      <c r="BO93" s="1374">
        <v>-63</v>
      </c>
      <c r="BP93" s="1397">
        <v>-364</v>
      </c>
      <c r="BQ93" s="1451">
        <v>-2693</v>
      </c>
      <c r="BR93" s="674">
        <v>-8242</v>
      </c>
      <c r="BS93" s="1374">
        <v>-8254</v>
      </c>
      <c r="BT93" s="1374">
        <v>-12179</v>
      </c>
      <c r="BU93" s="1451">
        <v>-11697</v>
      </c>
      <c r="BV93" s="674">
        <v>-62</v>
      </c>
      <c r="BW93" s="674">
        <f>2958-4114</f>
        <v>-1156</v>
      </c>
      <c r="BX93" s="662">
        <f t="shared" si="350"/>
        <v>-1406</v>
      </c>
      <c r="BY93" s="663">
        <f t="shared" si="351"/>
        <v>-1656</v>
      </c>
      <c r="BZ93" s="661">
        <f>BZ46</f>
        <v>-250</v>
      </c>
      <c r="CA93" s="662">
        <f t="shared" si="353"/>
        <v>-500</v>
      </c>
      <c r="CB93" s="662">
        <f t="shared" si="354"/>
        <v>-750</v>
      </c>
      <c r="CC93" s="663">
        <f t="shared" si="355"/>
        <v>-1000</v>
      </c>
      <c r="CD93" s="115"/>
      <c r="CE93" s="847">
        <f t="shared" si="356"/>
        <v>0</v>
      </c>
      <c r="CF93" s="35">
        <f t="shared" si="357"/>
        <v>0</v>
      </c>
      <c r="CG93" s="35">
        <f t="shared" si="358"/>
        <v>-88.3</v>
      </c>
      <c r="CH93" s="35">
        <f t="shared" si="359"/>
        <v>0</v>
      </c>
      <c r="CI93" s="35">
        <f t="shared" si="360"/>
        <v>0</v>
      </c>
      <c r="CJ93" s="35">
        <f t="shared" si="361"/>
        <v>0</v>
      </c>
      <c r="CK93" s="35">
        <f t="shared" si="362"/>
        <v>-43</v>
      </c>
      <c r="CL93" s="35">
        <f t="shared" si="363"/>
        <v>-1023</v>
      </c>
      <c r="CM93" s="35">
        <f t="shared" si="364"/>
        <v>-27</v>
      </c>
      <c r="CN93" s="35">
        <f t="shared" si="365"/>
        <v>-82</v>
      </c>
      <c r="CO93" s="35">
        <f t="shared" si="366"/>
        <v>-106</v>
      </c>
      <c r="CP93" s="35">
        <f t="shared" si="367"/>
        <v>-1493</v>
      </c>
      <c r="CQ93" s="35">
        <f t="shared" si="368"/>
        <v>-230</v>
      </c>
      <c r="CR93" s="35">
        <f t="shared" si="369"/>
        <v>-2517</v>
      </c>
      <c r="CS93" s="35">
        <f t="shared" si="370"/>
        <v>-125</v>
      </c>
      <c r="CT93" s="35">
        <f t="shared" si="371"/>
        <v>-2693</v>
      </c>
      <c r="CU93" s="662">
        <f t="shared" si="372"/>
        <v>-11697</v>
      </c>
      <c r="CV93" s="662">
        <f t="shared" si="376"/>
        <v>-1656</v>
      </c>
      <c r="CW93" s="662">
        <f t="shared" si="373"/>
        <v>-1000</v>
      </c>
      <c r="CX93" s="662">
        <f t="shared" si="374"/>
        <v>-1000</v>
      </c>
      <c r="CY93" s="662">
        <f t="shared" si="374"/>
        <v>-1000</v>
      </c>
      <c r="CZ93" s="662">
        <f t="shared" si="374"/>
        <v>-1000</v>
      </c>
      <c r="DA93" s="662">
        <f t="shared" si="374"/>
        <v>-1000</v>
      </c>
      <c r="DB93" s="662">
        <f t="shared" si="375"/>
        <v>-1000</v>
      </c>
      <c r="DC93" s="662">
        <f t="shared" si="375"/>
        <v>-1000</v>
      </c>
      <c r="DD93" s="663"/>
      <c r="DE93" s="174"/>
      <c r="DF93" s="91"/>
      <c r="DG93" s="29"/>
      <c r="DH93" s="29"/>
      <c r="DI93" s="39"/>
      <c r="DJ93" s="29"/>
      <c r="DK93" s="29"/>
      <c r="DL93" s="29"/>
      <c r="DM93" s="91"/>
      <c r="DN93" s="29"/>
      <c r="DO93" s="29"/>
      <c r="DP93" s="29"/>
      <c r="DQ93" s="29"/>
      <c r="DR93" s="29"/>
      <c r="DS93" s="29"/>
      <c r="DT93" s="29"/>
      <c r="DU93" s="29"/>
      <c r="DV93" s="29"/>
      <c r="DW93" s="29"/>
      <c r="EH93" s="1330"/>
    </row>
    <row r="94" spans="1:138">
      <c r="A94" s="320"/>
      <c r="B94" s="270"/>
      <c r="C94" s="52" t="s">
        <v>816</v>
      </c>
      <c r="D94" s="196"/>
      <c r="E94" s="265"/>
      <c r="F94" s="845"/>
      <c r="G94" s="780"/>
      <c r="H94" s="780"/>
      <c r="I94" s="846"/>
      <c r="J94" s="845"/>
      <c r="K94" s="780"/>
      <c r="L94" s="780"/>
      <c r="M94" s="521"/>
      <c r="N94" s="832"/>
      <c r="O94" s="457"/>
      <c r="P94" s="457"/>
      <c r="Q94" s="521"/>
      <c r="R94" s="832"/>
      <c r="S94" s="457"/>
      <c r="T94" s="457"/>
      <c r="U94" s="521"/>
      <c r="V94" s="832"/>
      <c r="W94" s="457"/>
      <c r="X94" s="457"/>
      <c r="Y94" s="521"/>
      <c r="Z94" s="832"/>
      <c r="AA94" s="457"/>
      <c r="AB94" s="457"/>
      <c r="AC94" s="521"/>
      <c r="AD94" s="832"/>
      <c r="AE94" s="457"/>
      <c r="AF94" s="457"/>
      <c r="AG94" s="521"/>
      <c r="AH94" s="832"/>
      <c r="AI94" s="527"/>
      <c r="AJ94" s="527"/>
      <c r="AK94" s="534"/>
      <c r="AL94" s="527"/>
      <c r="AM94" s="527"/>
      <c r="AN94" s="527"/>
      <c r="AO94" s="534"/>
      <c r="AP94" s="527"/>
      <c r="AQ94" s="527"/>
      <c r="AR94" s="527"/>
      <c r="AS94" s="527"/>
      <c r="AT94" s="1161"/>
      <c r="AU94" s="527"/>
      <c r="AV94" s="527"/>
      <c r="AW94" s="527"/>
      <c r="AX94" s="1161"/>
      <c r="AY94" s="527"/>
      <c r="AZ94" s="527"/>
      <c r="BA94" s="526"/>
      <c r="BB94" s="1161"/>
      <c r="BC94" s="526">
        <v>-121</v>
      </c>
      <c r="BD94" s="527">
        <v>-121</v>
      </c>
      <c r="BE94" s="534">
        <v>-181</v>
      </c>
      <c r="BF94" s="1161">
        <v>-59</v>
      </c>
      <c r="BG94" s="1374">
        <v>-118</v>
      </c>
      <c r="BH94" s="1397">
        <v>-189</v>
      </c>
      <c r="BI94" s="1451">
        <v>-259</v>
      </c>
      <c r="BJ94" s="1454">
        <v>-94</v>
      </c>
      <c r="BK94" s="1374">
        <v>-187</v>
      </c>
      <c r="BL94" s="1397">
        <v>-280</v>
      </c>
      <c r="BM94" s="1451">
        <v>-396</v>
      </c>
      <c r="BN94" s="1454">
        <v>-115</v>
      </c>
      <c r="BO94" s="1374">
        <v>-231</v>
      </c>
      <c r="BP94" s="1397">
        <v>-347</v>
      </c>
      <c r="BQ94" s="1451">
        <v>-464</v>
      </c>
      <c r="BR94" s="674">
        <v>-142</v>
      </c>
      <c r="BS94" s="1374">
        <v>-284</v>
      </c>
      <c r="BT94" s="1374">
        <v>-428</v>
      </c>
      <c r="BU94" s="1451">
        <v>-574</v>
      </c>
      <c r="BV94" s="674">
        <v>-147</v>
      </c>
      <c r="BW94" s="674">
        <v>-295</v>
      </c>
      <c r="BX94" s="662">
        <f t="shared" si="350"/>
        <v>-445.36343350000004</v>
      </c>
      <c r="BY94" s="663">
        <f t="shared" si="351"/>
        <v>-596.08575033400007</v>
      </c>
      <c r="BZ94" s="661">
        <f t="shared" si="352"/>
        <v>-150.72231683400003</v>
      </c>
      <c r="CA94" s="662">
        <f t="shared" si="353"/>
        <v>-301.69463366800005</v>
      </c>
      <c r="CB94" s="662">
        <f t="shared" si="354"/>
        <v>-452.91695050200008</v>
      </c>
      <c r="CC94" s="663">
        <f t="shared" si="355"/>
        <v>-606.0641683106071</v>
      </c>
      <c r="CD94" s="115"/>
      <c r="CE94" s="847"/>
      <c r="CF94" s="35"/>
      <c r="CG94" s="35"/>
      <c r="CH94" s="35"/>
      <c r="CI94" s="35"/>
      <c r="CJ94" s="35"/>
      <c r="CK94" s="35"/>
      <c r="CL94" s="35"/>
      <c r="CM94" s="35"/>
      <c r="CN94" s="35"/>
      <c r="CO94" s="35"/>
      <c r="CP94" s="35"/>
      <c r="CQ94" s="35">
        <f t="shared" si="368"/>
        <v>-181</v>
      </c>
      <c r="CR94" s="35">
        <f t="shared" si="369"/>
        <v>-259</v>
      </c>
      <c r="CS94" s="35">
        <f t="shared" si="370"/>
        <v>-396</v>
      </c>
      <c r="CT94" s="35">
        <f t="shared" si="371"/>
        <v>-464</v>
      </c>
      <c r="CU94" s="662">
        <f t="shared" si="372"/>
        <v>-574</v>
      </c>
      <c r="CV94" s="662">
        <f t="shared" si="376"/>
        <v>-596.08575033400007</v>
      </c>
      <c r="CW94" s="662">
        <f t="shared" si="373"/>
        <v>-606.0641683106071</v>
      </c>
      <c r="CX94" s="662">
        <f t="shared" si="374"/>
        <v>-625.03104737316812</v>
      </c>
      <c r="CY94" s="662">
        <f t="shared" si="374"/>
        <v>-638.8014068918045</v>
      </c>
      <c r="CZ94" s="662">
        <f t="shared" si="374"/>
        <v>-653.67244876268137</v>
      </c>
      <c r="DA94" s="662">
        <f t="shared" si="374"/>
        <v>-669.47362873780276</v>
      </c>
      <c r="DB94" s="662">
        <f t="shared" si="375"/>
        <v>-685.22787166857188</v>
      </c>
      <c r="DC94" s="662">
        <f t="shared" si="375"/>
        <v>-701.00712830664918</v>
      </c>
      <c r="DD94" s="663"/>
      <c r="DE94" s="174"/>
      <c r="DF94" s="91"/>
      <c r="DG94" s="29"/>
      <c r="DH94" s="29"/>
      <c r="DI94" s="39"/>
      <c r="DJ94" s="29"/>
      <c r="DK94" s="29"/>
      <c r="DL94" s="29"/>
      <c r="DM94" s="91"/>
      <c r="DN94" s="29"/>
      <c r="DO94" s="29"/>
      <c r="DP94" s="29"/>
      <c r="DQ94" s="29"/>
      <c r="DR94" s="29"/>
      <c r="DS94" s="29"/>
      <c r="DT94" s="29"/>
      <c r="DU94" s="29"/>
      <c r="DV94" s="29"/>
      <c r="DW94" s="29"/>
      <c r="EH94" s="1330"/>
    </row>
    <row r="95" spans="1:138">
      <c r="A95" s="320"/>
      <c r="B95" s="270"/>
      <c r="C95" s="52" t="s">
        <v>790</v>
      </c>
      <c r="D95" s="196"/>
      <c r="E95" s="265"/>
      <c r="F95" s="845"/>
      <c r="G95" s="780">
        <v>5</v>
      </c>
      <c r="H95" s="780">
        <v>5</v>
      </c>
      <c r="I95" s="846">
        <v>0</v>
      </c>
      <c r="J95" s="845">
        <v>1</v>
      </c>
      <c r="K95" s="780">
        <v>2.95</v>
      </c>
      <c r="L95" s="780">
        <v>2.95</v>
      </c>
      <c r="M95" s="521">
        <v>0.45</v>
      </c>
      <c r="N95" s="832"/>
      <c r="O95" s="457"/>
      <c r="P95" s="457"/>
      <c r="Q95" s="521">
        <v>-5.9</v>
      </c>
      <c r="R95" s="832"/>
      <c r="S95" s="457"/>
      <c r="T95" s="457"/>
      <c r="U95" s="521">
        <v>-0.6</v>
      </c>
      <c r="V95" s="832"/>
      <c r="W95" s="457"/>
      <c r="X95" s="457"/>
      <c r="Y95" s="521"/>
      <c r="Z95" s="832"/>
      <c r="AA95" s="457">
        <v>0</v>
      </c>
      <c r="AB95" s="457">
        <v>0</v>
      </c>
      <c r="AC95" s="521">
        <v>0</v>
      </c>
      <c r="AD95" s="832">
        <v>0</v>
      </c>
      <c r="AE95" s="457">
        <v>0</v>
      </c>
      <c r="AF95" s="457">
        <v>0</v>
      </c>
      <c r="AG95" s="521">
        <v>0</v>
      </c>
      <c r="AH95" s="832">
        <v>0</v>
      </c>
      <c r="AI95" s="527">
        <v>0</v>
      </c>
      <c r="AJ95" s="527">
        <v>0</v>
      </c>
      <c r="AK95" s="534">
        <f>89</f>
        <v>89</v>
      </c>
      <c r="AL95" s="527">
        <f>8</f>
        <v>8</v>
      </c>
      <c r="AM95" s="527">
        <f>4</f>
        <v>4</v>
      </c>
      <c r="AN95" s="527">
        <v>5</v>
      </c>
      <c r="AO95" s="534">
        <f>-24</f>
        <v>-24</v>
      </c>
      <c r="AP95" s="527">
        <f>9</f>
        <v>9</v>
      </c>
      <c r="AQ95" s="527">
        <v>20</v>
      </c>
      <c r="AR95" s="527">
        <f>20</f>
        <v>20</v>
      </c>
      <c r="AS95" s="527">
        <v>4</v>
      </c>
      <c r="AT95" s="1161">
        <f>11</f>
        <v>11</v>
      </c>
      <c r="AU95" s="527">
        <v>31</v>
      </c>
      <c r="AV95" s="527">
        <v>38</v>
      </c>
      <c r="AW95" s="527">
        <v>50</v>
      </c>
      <c r="AX95" s="1161">
        <v>0</v>
      </c>
      <c r="AY95" s="527">
        <v>0</v>
      </c>
      <c r="AZ95" s="527">
        <v>0</v>
      </c>
      <c r="BA95" s="526">
        <v>141</v>
      </c>
      <c r="BB95" s="1161">
        <v>0</v>
      </c>
      <c r="BC95" s="526">
        <v>0</v>
      </c>
      <c r="BD95" s="527">
        <v>0</v>
      </c>
      <c r="BE95" s="534">
        <v>0</v>
      </c>
      <c r="BF95" s="1161">
        <v>0</v>
      </c>
      <c r="BG95" s="1374">
        <v>0</v>
      </c>
      <c r="BH95" s="1397">
        <v>0</v>
      </c>
      <c r="BI95" s="1451">
        <v>0</v>
      </c>
      <c r="BJ95" s="1454">
        <f>2</f>
        <v>2</v>
      </c>
      <c r="BK95" s="1374">
        <v>0</v>
      </c>
      <c r="BL95" s="1397">
        <v>0</v>
      </c>
      <c r="BM95" s="1451">
        <v>0</v>
      </c>
      <c r="BN95" s="1454">
        <v>-9</v>
      </c>
      <c r="BO95" s="1374">
        <v>0</v>
      </c>
      <c r="BP95" s="1397">
        <v>0</v>
      </c>
      <c r="BQ95" s="1451">
        <f>+-613-2202</f>
        <v>-2815</v>
      </c>
      <c r="BR95" s="674">
        <v>61</v>
      </c>
      <c r="BS95" s="1374">
        <v>61</v>
      </c>
      <c r="BT95" s="1374">
        <v>61</v>
      </c>
      <c r="BU95" s="1451">
        <f>-492+61-21</f>
        <v>-452</v>
      </c>
      <c r="BV95" s="674">
        <v>26</v>
      </c>
      <c r="BW95" s="674">
        <v>28</v>
      </c>
      <c r="BX95" s="662">
        <f t="shared" si="350"/>
        <v>28</v>
      </c>
      <c r="BY95" s="663">
        <f t="shared" si="351"/>
        <v>28</v>
      </c>
      <c r="BZ95" s="661">
        <f t="shared" si="352"/>
        <v>0</v>
      </c>
      <c r="CA95" s="662">
        <f t="shared" si="353"/>
        <v>0</v>
      </c>
      <c r="CB95" s="662">
        <f t="shared" si="354"/>
        <v>0</v>
      </c>
      <c r="CC95" s="663">
        <f t="shared" si="355"/>
        <v>0</v>
      </c>
      <c r="CD95" s="115"/>
      <c r="CE95" s="847">
        <f>I95</f>
        <v>0</v>
      </c>
      <c r="CF95" s="35">
        <f>M95</f>
        <v>0.45</v>
      </c>
      <c r="CG95" s="35">
        <f>Q95</f>
        <v>-5.9</v>
      </c>
      <c r="CH95" s="35">
        <f>U95</f>
        <v>-0.6</v>
      </c>
      <c r="CI95" s="35">
        <f>Y95</f>
        <v>0</v>
      </c>
      <c r="CJ95" s="35">
        <f>AC95</f>
        <v>0</v>
      </c>
      <c r="CK95" s="35">
        <f>AG95</f>
        <v>0</v>
      </c>
      <c r="CL95" s="35">
        <f>AK95</f>
        <v>89</v>
      </c>
      <c r="CM95" s="35">
        <f>AO95</f>
        <v>-24</v>
      </c>
      <c r="CN95" s="35">
        <f>AS95</f>
        <v>4</v>
      </c>
      <c r="CO95" s="35">
        <f>AW95</f>
        <v>50</v>
      </c>
      <c r="CP95" s="35">
        <f>BA95</f>
        <v>141</v>
      </c>
      <c r="CQ95" s="35">
        <f t="shared" si="368"/>
        <v>0</v>
      </c>
      <c r="CR95" s="35">
        <f t="shared" si="369"/>
        <v>0</v>
      </c>
      <c r="CS95" s="35">
        <f t="shared" si="370"/>
        <v>0</v>
      </c>
      <c r="CT95" s="35">
        <f t="shared" si="371"/>
        <v>-2815</v>
      </c>
      <c r="CU95" s="662">
        <f t="shared" si="372"/>
        <v>-452</v>
      </c>
      <c r="CV95" s="662">
        <f t="shared" si="376"/>
        <v>28</v>
      </c>
      <c r="CW95" s="662">
        <f t="shared" si="373"/>
        <v>0</v>
      </c>
      <c r="CX95" s="662">
        <f t="shared" si="374"/>
        <v>0</v>
      </c>
      <c r="CY95" s="662">
        <f t="shared" si="374"/>
        <v>0</v>
      </c>
      <c r="CZ95" s="662">
        <f t="shared" si="374"/>
        <v>0</v>
      </c>
      <c r="DA95" s="662">
        <f t="shared" si="374"/>
        <v>0</v>
      </c>
      <c r="DB95" s="662">
        <f t="shared" si="375"/>
        <v>0</v>
      </c>
      <c r="DC95" s="662">
        <f t="shared" si="375"/>
        <v>0</v>
      </c>
      <c r="DD95" s="663"/>
      <c r="DE95" s="174"/>
      <c r="DF95" s="91"/>
      <c r="DG95" s="29"/>
      <c r="DH95" s="29"/>
      <c r="DI95" s="39"/>
      <c r="DJ95" s="29"/>
      <c r="DK95" s="29"/>
      <c r="DL95" s="29"/>
      <c r="DM95" s="91"/>
      <c r="DN95" s="29"/>
      <c r="DO95" s="29"/>
      <c r="DP95" s="29"/>
      <c r="DQ95" s="29"/>
      <c r="DR95" s="29"/>
      <c r="DS95" s="29"/>
      <c r="DT95" s="29"/>
      <c r="DU95" s="29"/>
      <c r="DV95" s="29"/>
      <c r="DW95" s="29"/>
      <c r="EH95" s="1330"/>
    </row>
    <row r="96" spans="1:138" collapsed="1">
      <c r="A96" s="320"/>
      <c r="B96" s="209" t="s">
        <v>603</v>
      </c>
      <c r="C96" s="188"/>
      <c r="D96" s="188"/>
      <c r="E96" s="198"/>
      <c r="F96" s="505">
        <f t="shared" ref="F96:M96" si="377">SUM(F88:F95)</f>
        <v>45.051000000000002</v>
      </c>
      <c r="G96" s="505">
        <f t="shared" si="377"/>
        <v>81.196000000000012</v>
      </c>
      <c r="H96" s="505">
        <f t="shared" si="377"/>
        <v>84.100999999999999</v>
      </c>
      <c r="I96" s="506">
        <f t="shared" si="377"/>
        <v>117.587</v>
      </c>
      <c r="J96" s="505">
        <f t="shared" si="377"/>
        <v>2.5620000000000003</v>
      </c>
      <c r="K96" s="505">
        <f t="shared" si="377"/>
        <v>-0.6769999999999996</v>
      </c>
      <c r="L96" s="505">
        <f t="shared" si="377"/>
        <v>-1.4569999999999999</v>
      </c>
      <c r="M96" s="506">
        <f t="shared" si="377"/>
        <v>-7.0039999999999987</v>
      </c>
      <c r="N96" s="505">
        <f t="shared" ref="N96:U96" si="378">SUM(N88:N95)</f>
        <v>-10.978000000000002</v>
      </c>
      <c r="O96" s="505">
        <f t="shared" si="378"/>
        <v>-4.3100000000000005</v>
      </c>
      <c r="P96" s="505">
        <f t="shared" si="378"/>
        <v>-67.079000000000008</v>
      </c>
      <c r="Q96" s="506">
        <f t="shared" si="378"/>
        <v>-49.9</v>
      </c>
      <c r="R96" s="505">
        <f t="shared" si="378"/>
        <v>25.3</v>
      </c>
      <c r="S96" s="505">
        <f t="shared" si="378"/>
        <v>28.8</v>
      </c>
      <c r="T96" s="505">
        <f t="shared" si="378"/>
        <v>35</v>
      </c>
      <c r="U96" s="506">
        <f t="shared" si="378"/>
        <v>21.1</v>
      </c>
      <c r="V96" s="505">
        <f t="shared" ref="V96:AI96" si="379">SUM(V88:V95)</f>
        <v>-15</v>
      </c>
      <c r="W96" s="505">
        <f t="shared" si="379"/>
        <v>-15.899999999999999</v>
      </c>
      <c r="X96" s="505">
        <f t="shared" si="379"/>
        <v>1.899999999999995</v>
      </c>
      <c r="Y96" s="506">
        <f t="shared" si="379"/>
        <v>-6.7000000000000028</v>
      </c>
      <c r="Z96" s="505">
        <f t="shared" si="379"/>
        <v>-6.6</v>
      </c>
      <c r="AA96" s="505">
        <f t="shared" si="379"/>
        <v>-7.6999999999999993</v>
      </c>
      <c r="AB96" s="505">
        <f t="shared" si="379"/>
        <v>6.6000000000000014</v>
      </c>
      <c r="AC96" s="506">
        <f t="shared" si="379"/>
        <v>0.69999999999999574</v>
      </c>
      <c r="AD96" s="505">
        <f t="shared" si="379"/>
        <v>-4</v>
      </c>
      <c r="AE96" s="505">
        <f t="shared" si="379"/>
        <v>0</v>
      </c>
      <c r="AF96" s="505">
        <f t="shared" si="379"/>
        <v>-50</v>
      </c>
      <c r="AG96" s="506">
        <f t="shared" si="379"/>
        <v>-86</v>
      </c>
      <c r="AH96" s="505">
        <f t="shared" si="379"/>
        <v>741</v>
      </c>
      <c r="AI96" s="505">
        <f t="shared" si="379"/>
        <v>519</v>
      </c>
      <c r="AJ96" s="505">
        <f t="shared" ref="AJ96:AS96" si="380">SUM(AJ88:AJ95)</f>
        <v>220</v>
      </c>
      <c r="AK96" s="506">
        <f t="shared" si="380"/>
        <v>326</v>
      </c>
      <c r="AL96" s="505">
        <f t="shared" si="380"/>
        <v>-31</v>
      </c>
      <c r="AM96" s="505">
        <f t="shared" si="380"/>
        <v>-28</v>
      </c>
      <c r="AN96" s="505">
        <f t="shared" si="380"/>
        <v>-30</v>
      </c>
      <c r="AO96" s="506">
        <f t="shared" si="380"/>
        <v>-64</v>
      </c>
      <c r="AP96" s="505">
        <f t="shared" si="380"/>
        <v>4</v>
      </c>
      <c r="AQ96" s="505">
        <f t="shared" si="380"/>
        <v>22</v>
      </c>
      <c r="AR96" s="505">
        <f t="shared" si="380"/>
        <v>1</v>
      </c>
      <c r="AS96" s="505">
        <f t="shared" si="380"/>
        <v>-16</v>
      </c>
      <c r="AT96" s="507">
        <f t="shared" ref="AT96:BA96" si="381">SUM(AT88:AT95)</f>
        <v>-66</v>
      </c>
      <c r="AU96" s="505">
        <f t="shared" si="381"/>
        <v>-69</v>
      </c>
      <c r="AV96" s="505">
        <f t="shared" si="381"/>
        <v>-87</v>
      </c>
      <c r="AW96" s="505">
        <f t="shared" si="381"/>
        <v>-106</v>
      </c>
      <c r="AX96" s="507">
        <f t="shared" si="381"/>
        <v>-33</v>
      </c>
      <c r="AY96" s="505">
        <f t="shared" si="381"/>
        <v>-43</v>
      </c>
      <c r="AZ96" s="505">
        <f>SUM(AZ88:AZ95)</f>
        <v>1889</v>
      </c>
      <c r="BA96" s="603">
        <f t="shared" si="381"/>
        <v>819</v>
      </c>
      <c r="BB96" s="507">
        <f t="shared" ref="BB96:BH96" si="382">SUM(BB88:BB95)</f>
        <v>-216</v>
      </c>
      <c r="BC96" s="505">
        <f t="shared" si="382"/>
        <v>-430</v>
      </c>
      <c r="BD96" s="505">
        <f t="shared" si="382"/>
        <v>-749</v>
      </c>
      <c r="BE96" s="506">
        <f t="shared" si="382"/>
        <v>-1048</v>
      </c>
      <c r="BF96" s="507">
        <f t="shared" si="382"/>
        <v>240</v>
      </c>
      <c r="BG96" s="505">
        <f t="shared" si="382"/>
        <v>65</v>
      </c>
      <c r="BH96" s="505">
        <f t="shared" si="382"/>
        <v>-88</v>
      </c>
      <c r="BI96" s="506">
        <f t="shared" ref="BI96:BR96" si="383">SUM(BI88:BI95)</f>
        <v>-385</v>
      </c>
      <c r="BJ96" s="507">
        <f t="shared" si="383"/>
        <v>-346</v>
      </c>
      <c r="BK96" s="505">
        <f t="shared" si="383"/>
        <v>-718</v>
      </c>
      <c r="BL96" s="505">
        <f t="shared" si="383"/>
        <v>-1034</v>
      </c>
      <c r="BM96" s="506">
        <f t="shared" si="383"/>
        <v>-1069</v>
      </c>
      <c r="BN96" s="507">
        <f t="shared" si="383"/>
        <v>-215</v>
      </c>
      <c r="BO96" s="505">
        <f t="shared" si="383"/>
        <v>-350</v>
      </c>
      <c r="BP96" s="505">
        <f t="shared" si="383"/>
        <v>-754</v>
      </c>
      <c r="BQ96" s="506">
        <f t="shared" si="383"/>
        <v>10751</v>
      </c>
      <c r="BR96" s="507">
        <f t="shared" si="383"/>
        <v>-4312</v>
      </c>
      <c r="BS96" s="505">
        <f t="shared" ref="BS96:BY96" si="384">SUM(BS88:BS95)</f>
        <v>-4386</v>
      </c>
      <c r="BT96" s="505">
        <f t="shared" si="384"/>
        <v>-4546</v>
      </c>
      <c r="BU96" s="506">
        <f t="shared" si="384"/>
        <v>-4595</v>
      </c>
      <c r="BV96" s="507">
        <f t="shared" si="384"/>
        <v>-224</v>
      </c>
      <c r="BW96" s="505">
        <f t="shared" ref="BW96" si="385">SUM(BW88:BW95)</f>
        <v>-1391</v>
      </c>
      <c r="BX96" s="505">
        <f t="shared" si="384"/>
        <v>-1791.3634335000002</v>
      </c>
      <c r="BY96" s="506">
        <f t="shared" si="384"/>
        <v>-2192.0857503340003</v>
      </c>
      <c r="BZ96" s="507">
        <f>SUM(BZ88:BZ95)</f>
        <v>-400.72231683400003</v>
      </c>
      <c r="CA96" s="505">
        <f>SUM(CA88:CA95)</f>
        <v>-801.69463366800005</v>
      </c>
      <c r="CB96" s="505">
        <f>SUM(CB88:CB95)</f>
        <v>-1202.916950502</v>
      </c>
      <c r="CC96" s="506">
        <f>SUM(CC88:CC95)</f>
        <v>-1606.0641683106071</v>
      </c>
      <c r="CD96" s="285"/>
      <c r="CE96" s="847">
        <f>I96</f>
        <v>117.587</v>
      </c>
      <c r="CF96" s="49">
        <f t="shared" ref="CF96:CM96" si="386">SUM(CF88:CF95)</f>
        <v>-7.0039999999999987</v>
      </c>
      <c r="CG96" s="49">
        <f t="shared" si="386"/>
        <v>-49.9</v>
      </c>
      <c r="CH96" s="49">
        <f t="shared" si="386"/>
        <v>21.1</v>
      </c>
      <c r="CI96" s="49">
        <f t="shared" si="386"/>
        <v>-6.7000000000000028</v>
      </c>
      <c r="CJ96" s="49">
        <f t="shared" si="386"/>
        <v>0.69999999999999574</v>
      </c>
      <c r="CK96" s="49">
        <f t="shared" si="386"/>
        <v>-86</v>
      </c>
      <c r="CL96" s="49">
        <f t="shared" si="386"/>
        <v>326</v>
      </c>
      <c r="CM96" s="49">
        <f t="shared" si="386"/>
        <v>-64</v>
      </c>
      <c r="CN96" s="49">
        <f t="shared" ref="CN96:CT96" si="387">SUM(CN88:CN95)</f>
        <v>-16</v>
      </c>
      <c r="CO96" s="49">
        <f t="shared" si="387"/>
        <v>-106</v>
      </c>
      <c r="CP96" s="49">
        <f t="shared" si="387"/>
        <v>819</v>
      </c>
      <c r="CQ96" s="49">
        <f t="shared" si="387"/>
        <v>-1048</v>
      </c>
      <c r="CR96" s="49">
        <f t="shared" si="387"/>
        <v>-385</v>
      </c>
      <c r="CS96" s="49">
        <f t="shared" si="387"/>
        <v>-1069</v>
      </c>
      <c r="CT96" s="49">
        <f t="shared" si="387"/>
        <v>10751</v>
      </c>
      <c r="CU96" s="505">
        <f t="shared" ref="CU96:DA96" si="388">SUM(CU88:CU95)</f>
        <v>-4595</v>
      </c>
      <c r="CV96" s="505">
        <f t="shared" si="388"/>
        <v>-2192.0857503340003</v>
      </c>
      <c r="CW96" s="505">
        <f>SUM(CW88:CW95)</f>
        <v>-1606.0641683106071</v>
      </c>
      <c r="CX96" s="505">
        <f t="shared" si="388"/>
        <v>-1625.0310473731681</v>
      </c>
      <c r="CY96" s="505">
        <f t="shared" si="388"/>
        <v>-1638.8014068918046</v>
      </c>
      <c r="CZ96" s="505">
        <f t="shared" si="388"/>
        <v>-1653.6724487626814</v>
      </c>
      <c r="DA96" s="505">
        <f t="shared" si="388"/>
        <v>-1669.4736287378028</v>
      </c>
      <c r="DB96" s="505">
        <f>SUM(DB88:DB95)</f>
        <v>-1685.2278716685719</v>
      </c>
      <c r="DC96" s="505">
        <f>SUM(DC88:DC95)</f>
        <v>-1701.0071283066491</v>
      </c>
      <c r="DD96" s="506"/>
      <c r="DE96" s="174"/>
      <c r="DF96" s="1692"/>
      <c r="DG96" s="29"/>
      <c r="DH96" s="29"/>
      <c r="DI96" s="39"/>
      <c r="DJ96" s="29"/>
      <c r="DK96" s="29"/>
      <c r="DL96" s="29"/>
      <c r="DM96" s="91"/>
      <c r="DN96" s="29"/>
      <c r="DO96" s="29"/>
      <c r="DP96" s="29"/>
      <c r="DQ96" s="29"/>
      <c r="DR96" s="29"/>
      <c r="DS96" s="29"/>
      <c r="DT96" s="29"/>
      <c r="DU96" s="29"/>
      <c r="DV96" s="29"/>
      <c r="DW96" s="29"/>
      <c r="EH96" s="1330"/>
    </row>
    <row r="97" spans="1:138" ht="11.25" customHeight="1">
      <c r="A97" s="320"/>
      <c r="B97" s="270"/>
      <c r="C97" s="274" t="s">
        <v>942</v>
      </c>
      <c r="D97" s="264"/>
      <c r="E97" s="265"/>
      <c r="F97" s="44"/>
      <c r="G97" s="44">
        <v>-16.547999999999998</v>
      </c>
      <c r="H97" s="44">
        <v>-23.016999999999999</v>
      </c>
      <c r="I97" s="65">
        <v>-39.473999999999997</v>
      </c>
      <c r="J97" s="44">
        <v>34.47</v>
      </c>
      <c r="K97" s="44">
        <v>29.225000000000001</v>
      </c>
      <c r="L97" s="44">
        <v>26.97</v>
      </c>
      <c r="M97" s="65">
        <v>18.23</v>
      </c>
      <c r="N97" s="44">
        <v>-0.96599999999999997</v>
      </c>
      <c r="O97" s="44">
        <v>-2.1589999999999998</v>
      </c>
      <c r="P97" s="44">
        <v>-2.5529999999999999</v>
      </c>
      <c r="Q97" s="65">
        <f>-2.9-0.028</f>
        <v>-2.9279999999999999</v>
      </c>
      <c r="R97" s="44"/>
      <c r="S97" s="44"/>
      <c r="T97" s="44"/>
      <c r="U97" s="65"/>
      <c r="V97" s="44"/>
      <c r="W97" s="44"/>
      <c r="X97" s="44"/>
      <c r="Y97" s="65"/>
      <c r="Z97" s="44"/>
      <c r="AA97" s="44"/>
      <c r="AB97" s="44"/>
      <c r="AC97" s="65"/>
      <c r="AD97" s="44"/>
      <c r="AE97" s="44"/>
      <c r="AF97" s="44"/>
      <c r="AG97" s="65"/>
      <c r="AH97" s="44"/>
      <c r="AI97" s="44"/>
      <c r="AJ97" s="44"/>
      <c r="AK97" s="65"/>
      <c r="AL97" s="44"/>
      <c r="AM97" s="44"/>
      <c r="AN97" s="44"/>
      <c r="AO97" s="65"/>
      <c r="AP97" s="44"/>
      <c r="AQ97" s="44"/>
      <c r="AR97" s="44"/>
      <c r="AS97" s="44"/>
      <c r="AT97" s="40"/>
      <c r="AU97" s="44"/>
      <c r="AV97" s="44"/>
      <c r="AW97" s="44"/>
      <c r="AX97" s="40"/>
      <c r="AY97" s="44"/>
      <c r="AZ97" s="44">
        <v>-6</v>
      </c>
      <c r="BA97" s="526">
        <v>-1</v>
      </c>
      <c r="BB97" s="40"/>
      <c r="BC97" s="44"/>
      <c r="BD97" s="44"/>
      <c r="BE97" s="65"/>
      <c r="BF97" s="40"/>
      <c r="BG97" s="44"/>
      <c r="BH97" s="44"/>
      <c r="BI97" s="65"/>
      <c r="BJ97" s="40"/>
      <c r="BK97" s="44"/>
      <c r="BL97" s="44"/>
      <c r="BM97" s="65"/>
      <c r="BN97" s="40"/>
      <c r="BO97" s="44"/>
      <c r="BP97" s="44"/>
      <c r="BQ97" s="65">
        <v>1</v>
      </c>
      <c r="BR97" s="40"/>
      <c r="BS97" s="1374">
        <v>-9</v>
      </c>
      <c r="BT97" s="1374">
        <v>-5</v>
      </c>
      <c r="BU97" s="65">
        <v>-3</v>
      </c>
      <c r="BV97" s="40">
        <v>1</v>
      </c>
      <c r="BW97" s="44">
        <v>1</v>
      </c>
      <c r="BX97" s="662">
        <f>BW97+BX50</f>
        <v>1</v>
      </c>
      <c r="BY97" s="663">
        <f>BX97+BY50</f>
        <v>1</v>
      </c>
      <c r="BZ97" s="661">
        <f t="shared" si="352"/>
        <v>0</v>
      </c>
      <c r="CA97" s="662">
        <f>BZ97+CA50</f>
        <v>0</v>
      </c>
      <c r="CB97" s="662">
        <f>CA97+CB50</f>
        <v>0</v>
      </c>
      <c r="CC97" s="663">
        <f>CB97+CC50</f>
        <v>0</v>
      </c>
      <c r="CD97" s="115"/>
      <c r="CE97" s="847">
        <f>I97</f>
        <v>-39.473999999999997</v>
      </c>
      <c r="CF97" s="35">
        <f>M97</f>
        <v>18.23</v>
      </c>
      <c r="CG97" s="35">
        <f>Q97</f>
        <v>-2.9279999999999999</v>
      </c>
      <c r="CH97" s="35">
        <f>U97</f>
        <v>0</v>
      </c>
      <c r="CI97" s="35">
        <f>Y97</f>
        <v>0</v>
      </c>
      <c r="CJ97" s="35">
        <f>AC97</f>
        <v>0</v>
      </c>
      <c r="CK97" s="35">
        <f>AG97</f>
        <v>0</v>
      </c>
      <c r="CL97" s="35">
        <f>AK97</f>
        <v>0</v>
      </c>
      <c r="CM97" s="35">
        <f>AO97</f>
        <v>0</v>
      </c>
      <c r="CN97" s="35">
        <f>AS97</f>
        <v>0</v>
      </c>
      <c r="CO97" s="35">
        <f>AW97</f>
        <v>0</v>
      </c>
      <c r="CP97" s="35">
        <f>BA97</f>
        <v>-1</v>
      </c>
      <c r="CQ97" s="35">
        <f>BE97</f>
        <v>0</v>
      </c>
      <c r="CR97" s="35">
        <f>BI97</f>
        <v>0</v>
      </c>
      <c r="CS97" s="35">
        <f>BM97</f>
        <v>0</v>
      </c>
      <c r="CT97" s="35">
        <f>BQ97</f>
        <v>1</v>
      </c>
      <c r="CU97" s="44">
        <f>BU97</f>
        <v>-3</v>
      </c>
      <c r="CV97" s="662">
        <f>BY97</f>
        <v>1</v>
      </c>
      <c r="CW97" s="662">
        <f>CC97</f>
        <v>0</v>
      </c>
      <c r="CX97" s="662">
        <f t="shared" si="374"/>
        <v>0</v>
      </c>
      <c r="CY97" s="662">
        <f t="shared" si="374"/>
        <v>0</v>
      </c>
      <c r="CZ97" s="662">
        <f t="shared" si="374"/>
        <v>0</v>
      </c>
      <c r="DA97" s="662">
        <f t="shared" si="374"/>
        <v>0</v>
      </c>
      <c r="DB97" s="662">
        <f t="shared" si="375"/>
        <v>0</v>
      </c>
      <c r="DC97" s="662">
        <f t="shared" si="375"/>
        <v>0</v>
      </c>
      <c r="DD97" s="65"/>
      <c r="DE97" s="174"/>
      <c r="DF97" s="91"/>
      <c r="DG97" s="29"/>
      <c r="DH97" s="29"/>
      <c r="DI97" s="39"/>
      <c r="DJ97" s="91"/>
      <c r="DK97" s="91"/>
      <c r="DL97" s="91"/>
      <c r="DM97" s="91"/>
      <c r="DN97" s="29"/>
      <c r="DO97" s="29"/>
      <c r="DP97" s="29"/>
      <c r="DQ97" s="29"/>
      <c r="DR97" s="29"/>
      <c r="DS97" s="29"/>
      <c r="DT97" s="29"/>
      <c r="DU97" s="29"/>
      <c r="DV97" s="29"/>
      <c r="DW97" s="29"/>
    </row>
    <row r="98" spans="1:138">
      <c r="A98" s="178"/>
      <c r="B98" s="209" t="s">
        <v>604</v>
      </c>
      <c r="C98" s="188"/>
      <c r="D98" s="188"/>
      <c r="E98" s="198"/>
      <c r="F98" s="505">
        <f>F96+F85+F76+F97</f>
        <v>-17.072000000000003</v>
      </c>
      <c r="G98" s="505">
        <f>G96+G85+G76+G97</f>
        <v>-4.6379999999999946</v>
      </c>
      <c r="H98" s="505">
        <f t="shared" ref="H98:CP98" si="389">H96+H85+H76+H97</f>
        <v>-23.152000000000012</v>
      </c>
      <c r="I98" s="506">
        <f t="shared" si="389"/>
        <v>-16.438999999999972</v>
      </c>
      <c r="J98" s="505">
        <f t="shared" si="389"/>
        <v>32.999999999999993</v>
      </c>
      <c r="K98" s="505">
        <f t="shared" si="389"/>
        <v>25.735000000000021</v>
      </c>
      <c r="L98" s="505">
        <f t="shared" si="389"/>
        <v>58.905000000000001</v>
      </c>
      <c r="M98" s="506">
        <f t="shared" si="389"/>
        <v>56.146000000000001</v>
      </c>
      <c r="N98" s="505">
        <f t="shared" si="389"/>
        <v>20.719999999999992</v>
      </c>
      <c r="O98" s="505">
        <f t="shared" si="389"/>
        <v>103.21599999999999</v>
      </c>
      <c r="P98" s="505">
        <f t="shared" si="389"/>
        <v>123.33199999999999</v>
      </c>
      <c r="Q98" s="506">
        <f t="shared" si="389"/>
        <v>169.47200000000001</v>
      </c>
      <c r="R98" s="505">
        <f t="shared" si="389"/>
        <v>-107.39999999999999</v>
      </c>
      <c r="S98" s="505">
        <f t="shared" si="389"/>
        <v>-74.799999999999983</v>
      </c>
      <c r="T98" s="505">
        <f t="shared" si="389"/>
        <v>-33.300000000000026</v>
      </c>
      <c r="U98" s="506">
        <f t="shared" si="389"/>
        <v>-47.700000000000017</v>
      </c>
      <c r="V98" s="505">
        <f t="shared" si="389"/>
        <v>27.400000000000006</v>
      </c>
      <c r="W98" s="505">
        <f t="shared" si="389"/>
        <v>114.69999999999996</v>
      </c>
      <c r="X98" s="505">
        <f t="shared" si="389"/>
        <v>115.59999999999997</v>
      </c>
      <c r="Y98" s="506">
        <f t="shared" si="389"/>
        <v>139.70000000000005</v>
      </c>
      <c r="Z98" s="505">
        <f t="shared" si="389"/>
        <v>20.800000000000004</v>
      </c>
      <c r="AA98" s="505">
        <f t="shared" si="389"/>
        <v>65</v>
      </c>
      <c r="AB98" s="505">
        <f t="shared" si="389"/>
        <v>58.199999999999903</v>
      </c>
      <c r="AC98" s="506">
        <f t="shared" si="389"/>
        <v>65.500000000000171</v>
      </c>
      <c r="AD98" s="505">
        <f t="shared" si="389"/>
        <v>52</v>
      </c>
      <c r="AE98" s="505">
        <f t="shared" si="389"/>
        <v>125</v>
      </c>
      <c r="AF98" s="505">
        <f t="shared" si="389"/>
        <v>153</v>
      </c>
      <c r="AG98" s="506">
        <f t="shared" si="389"/>
        <v>149</v>
      </c>
      <c r="AH98" s="505">
        <f t="shared" si="389"/>
        <v>-49</v>
      </c>
      <c r="AI98" s="505">
        <f t="shared" si="389"/>
        <v>217</v>
      </c>
      <c r="AJ98" s="505">
        <f t="shared" si="389"/>
        <v>217</v>
      </c>
      <c r="AK98" s="506">
        <f t="shared" si="389"/>
        <v>404</v>
      </c>
      <c r="AL98" s="505">
        <f t="shared" si="389"/>
        <v>109</v>
      </c>
      <c r="AM98" s="505">
        <f t="shared" si="389"/>
        <v>272</v>
      </c>
      <c r="AN98" s="505">
        <f t="shared" si="389"/>
        <v>475</v>
      </c>
      <c r="AO98" s="506">
        <f t="shared" si="389"/>
        <v>690</v>
      </c>
      <c r="AP98" s="505">
        <f t="shared" si="389"/>
        <v>262</v>
      </c>
      <c r="AQ98" s="505">
        <f t="shared" si="389"/>
        <v>641</v>
      </c>
      <c r="AR98" s="505">
        <f t="shared" si="389"/>
        <v>1032</v>
      </c>
      <c r="AS98" s="505">
        <f t="shared" si="389"/>
        <v>940</v>
      </c>
      <c r="AT98" s="507">
        <f t="shared" si="389"/>
        <v>124</v>
      </c>
      <c r="AU98" s="505">
        <f t="shared" si="389"/>
        <v>376</v>
      </c>
      <c r="AV98" s="505">
        <f t="shared" si="389"/>
        <v>496</v>
      </c>
      <c r="AW98" s="505">
        <f t="shared" si="389"/>
        <v>756</v>
      </c>
      <c r="AX98" s="507">
        <f t="shared" si="389"/>
        <v>185</v>
      </c>
      <c r="AY98" s="505">
        <f t="shared" si="389"/>
        <v>434</v>
      </c>
      <c r="AZ98" s="505">
        <f t="shared" si="389"/>
        <v>-113</v>
      </c>
      <c r="BA98" s="506">
        <f t="shared" si="389"/>
        <v>-282</v>
      </c>
      <c r="BB98" s="507">
        <f t="shared" ref="BB98:BH98" si="390">BB96+BB85+BB76+BB97</f>
        <v>329</v>
      </c>
      <c r="BC98" s="505">
        <f t="shared" si="390"/>
        <v>608</v>
      </c>
      <c r="BD98" s="505">
        <f t="shared" si="390"/>
        <v>852</v>
      </c>
      <c r="BE98" s="506">
        <f>BE96+BE85+BE76+BE97</f>
        <v>1101</v>
      </c>
      <c r="BF98" s="507">
        <f>BF96+BF85+BF76+BF97</f>
        <v>560</v>
      </c>
      <c r="BG98" s="505">
        <f t="shared" si="390"/>
        <v>346</v>
      </c>
      <c r="BH98" s="505">
        <f t="shared" si="390"/>
        <v>260</v>
      </c>
      <c r="BI98" s="506">
        <f t="shared" ref="BI98:BQ98" si="391">BI96+BI85+BI76+BI97</f>
        <v>495</v>
      </c>
      <c r="BJ98" s="507">
        <f t="shared" si="391"/>
        <v>355</v>
      </c>
      <c r="BK98" s="505">
        <f t="shared" si="391"/>
        <v>98</v>
      </c>
      <c r="BL98" s="505">
        <f t="shared" si="391"/>
        <v>8</v>
      </c>
      <c r="BM98" s="506">
        <f t="shared" si="391"/>
        <v>220</v>
      </c>
      <c r="BN98" s="507">
        <f t="shared" si="391"/>
        <v>57</v>
      </c>
      <c r="BO98" s="505">
        <f t="shared" si="391"/>
        <v>339</v>
      </c>
      <c r="BP98" s="505">
        <f t="shared" si="391"/>
        <v>863</v>
      </c>
      <c r="BQ98" s="506">
        <f t="shared" si="391"/>
        <v>3127</v>
      </c>
      <c r="BR98" s="507">
        <f t="shared" ref="BR98:BY98" si="392">BR96+BR85+BR76+BR97</f>
        <v>-4074</v>
      </c>
      <c r="BS98" s="505">
        <f t="shared" si="392"/>
        <v>-3211</v>
      </c>
      <c r="BT98" s="505">
        <f t="shared" si="392"/>
        <v>-2499</v>
      </c>
      <c r="BU98" s="506">
        <f t="shared" si="392"/>
        <v>-1797</v>
      </c>
      <c r="BV98" s="507">
        <f t="shared" si="392"/>
        <v>532</v>
      </c>
      <c r="BW98" s="505">
        <f t="shared" ref="BW98" si="393">BW96+BW85+BW76+BW97</f>
        <v>-82</v>
      </c>
      <c r="BX98" s="505">
        <f t="shared" si="392"/>
        <v>-741.57155921786989</v>
      </c>
      <c r="BY98" s="506">
        <f t="shared" si="392"/>
        <v>-385.16183192096514</v>
      </c>
      <c r="BZ98" s="507">
        <f>BZ96+BZ85+BZ76+BZ97</f>
        <v>436.977287761355</v>
      </c>
      <c r="CA98" s="505">
        <f>CA96+CA85+CA76+CA97</f>
        <v>1027.9455567583877</v>
      </c>
      <c r="CB98" s="505">
        <f>CB96+CB85+CB76+CB97</f>
        <v>1022.5601985686453</v>
      </c>
      <c r="CC98" s="506">
        <f>CC96+CC85+CC76+CC97</f>
        <v>939.69323938448861</v>
      </c>
      <c r="CD98" s="285"/>
      <c r="CE98" s="847">
        <f t="shared" si="389"/>
        <v>-16.438999999999972</v>
      </c>
      <c r="CF98" s="505">
        <f t="shared" si="389"/>
        <v>56.146000000000001</v>
      </c>
      <c r="CG98" s="505">
        <f t="shared" si="389"/>
        <v>169.47200000000001</v>
      </c>
      <c r="CH98" s="505">
        <f t="shared" si="389"/>
        <v>-47.700000000000017</v>
      </c>
      <c r="CI98" s="505">
        <f t="shared" si="389"/>
        <v>139.70000000000005</v>
      </c>
      <c r="CJ98" s="505">
        <f t="shared" si="389"/>
        <v>65.500000000000171</v>
      </c>
      <c r="CK98" s="505">
        <f>CK96+CK85+CK76+CK97</f>
        <v>149</v>
      </c>
      <c r="CL98" s="505">
        <f t="shared" si="389"/>
        <v>404</v>
      </c>
      <c r="CM98" s="505">
        <f t="shared" si="389"/>
        <v>690</v>
      </c>
      <c r="CN98" s="505">
        <f t="shared" si="389"/>
        <v>940</v>
      </c>
      <c r="CO98" s="505">
        <f t="shared" si="389"/>
        <v>756</v>
      </c>
      <c r="CP98" s="505">
        <f t="shared" si="389"/>
        <v>-282</v>
      </c>
      <c r="CQ98" s="505">
        <f t="shared" ref="CQ98:CV98" si="394">CQ96+CQ85+CQ76+CQ97</f>
        <v>1101</v>
      </c>
      <c r="CR98" s="505">
        <f t="shared" si="394"/>
        <v>495</v>
      </c>
      <c r="CS98" s="505">
        <f t="shared" si="394"/>
        <v>220</v>
      </c>
      <c r="CT98" s="505">
        <f t="shared" si="394"/>
        <v>3127</v>
      </c>
      <c r="CU98" s="505">
        <f t="shared" si="394"/>
        <v>-1797</v>
      </c>
      <c r="CV98" s="505">
        <f t="shared" si="394"/>
        <v>-385.16183192096514</v>
      </c>
      <c r="CW98" s="505">
        <f t="shared" ref="CW98:DC98" si="395">CW96+CW85+CW76+CW97</f>
        <v>939.69323938448861</v>
      </c>
      <c r="CX98" s="505">
        <f t="shared" si="395"/>
        <v>1364.42384665289</v>
      </c>
      <c r="CY98" s="505">
        <f t="shared" si="395"/>
        <v>1245.5183473249517</v>
      </c>
      <c r="CZ98" s="505">
        <f t="shared" si="395"/>
        <v>1439.3181672422124</v>
      </c>
      <c r="DA98" s="505">
        <f t="shared" si="395"/>
        <v>1279.8986218273349</v>
      </c>
      <c r="DB98" s="505">
        <f t="shared" si="395"/>
        <v>1561.7682760100943</v>
      </c>
      <c r="DC98" s="505">
        <f t="shared" si="395"/>
        <v>1864.5771393638047</v>
      </c>
      <c r="DD98" s="506"/>
      <c r="DE98" s="174"/>
      <c r="DF98" s="11"/>
      <c r="DG98" s="29"/>
      <c r="DH98" s="29"/>
      <c r="DI98" s="39"/>
      <c r="DJ98" s="30"/>
      <c r="DK98" s="30"/>
      <c r="DL98" s="30"/>
      <c r="DM98" s="30"/>
      <c r="DN98" s="30"/>
      <c r="DO98" s="30"/>
      <c r="DP98" s="30"/>
      <c r="DQ98" s="30"/>
      <c r="DR98" s="30"/>
      <c r="DS98" s="30"/>
      <c r="DT98" s="30"/>
      <c r="DU98" s="30"/>
      <c r="DV98" s="30"/>
      <c r="DW98" s="30"/>
      <c r="EH98" s="1330"/>
    </row>
    <row r="99" spans="1:138" ht="3" customHeight="1">
      <c r="A99" s="320"/>
      <c r="B99" s="270"/>
      <c r="C99" s="264"/>
      <c r="D99" s="264"/>
      <c r="E99" s="265"/>
      <c r="F99" s="44"/>
      <c r="G99" s="44"/>
      <c r="H99" s="44"/>
      <c r="I99" s="65"/>
      <c r="J99" s="44"/>
      <c r="K99" s="44"/>
      <c r="L99" s="44"/>
      <c r="M99" s="65"/>
      <c r="N99" s="44"/>
      <c r="O99" s="44"/>
      <c r="P99" s="44"/>
      <c r="Q99" s="65"/>
      <c r="R99" s="44"/>
      <c r="S99" s="44"/>
      <c r="T99" s="44"/>
      <c r="U99" s="65"/>
      <c r="V99" s="44"/>
      <c r="W99" s="44"/>
      <c r="X99" s="44"/>
      <c r="Y99" s="65"/>
      <c r="Z99" s="44"/>
      <c r="AA99" s="44"/>
      <c r="AB99" s="44"/>
      <c r="AC99" s="65"/>
      <c r="AD99" s="44"/>
      <c r="AE99" s="44"/>
      <c r="AF99" s="44"/>
      <c r="AG99" s="65"/>
      <c r="AH99" s="44"/>
      <c r="AI99" s="44"/>
      <c r="AJ99" s="44"/>
      <c r="AK99" s="65"/>
      <c r="AL99" s="44"/>
      <c r="AM99" s="44"/>
      <c r="AN99" s="44"/>
      <c r="AO99" s="65"/>
      <c r="AP99" s="44"/>
      <c r="AQ99" s="44"/>
      <c r="AR99" s="44"/>
      <c r="AS99" s="44"/>
      <c r="AT99" s="40"/>
      <c r="AU99" s="44"/>
      <c r="AV99" s="44"/>
      <c r="AW99" s="44"/>
      <c r="AX99" s="40"/>
      <c r="AY99" s="44"/>
      <c r="AZ99" s="44"/>
      <c r="BA99" s="65"/>
      <c r="BB99" s="40"/>
      <c r="BC99" s="44"/>
      <c r="BD99" s="44"/>
      <c r="BE99" s="65"/>
      <c r="BF99" s="40"/>
      <c r="BG99" s="44"/>
      <c r="BH99" s="44"/>
      <c r="BI99" s="65"/>
      <c r="BJ99" s="40"/>
      <c r="BK99" s="44"/>
      <c r="BL99" s="44"/>
      <c r="BM99" s="65"/>
      <c r="BN99" s="40"/>
      <c r="BO99" s="44"/>
      <c r="BP99" s="44"/>
      <c r="BQ99" s="65"/>
      <c r="BR99" s="40"/>
      <c r="BS99" s="44"/>
      <c r="BT99" s="44"/>
      <c r="BU99" s="65"/>
      <c r="BV99" s="40"/>
      <c r="BW99" s="44"/>
      <c r="BX99" s="44"/>
      <c r="BY99" s="65"/>
      <c r="BZ99" s="40"/>
      <c r="CA99" s="44"/>
      <c r="CB99" s="44"/>
      <c r="CC99" s="65"/>
      <c r="CD99" s="115"/>
      <c r="CE99" s="35"/>
      <c r="CF99" s="35"/>
      <c r="CG99" s="35"/>
      <c r="CH99" s="35"/>
      <c r="CI99" s="173"/>
      <c r="CJ99" s="35"/>
      <c r="CK99" s="35"/>
      <c r="CL99" s="35"/>
      <c r="CM99" s="35"/>
      <c r="CN99" s="35"/>
      <c r="CO99" s="35"/>
      <c r="CP99" s="35"/>
      <c r="CQ99" s="35"/>
      <c r="CR99" s="35"/>
      <c r="CS99" s="35"/>
      <c r="CT99" s="35"/>
      <c r="CU99" s="44"/>
      <c r="CV99" s="44"/>
      <c r="CW99" s="44"/>
      <c r="CX99" s="44"/>
      <c r="CY99" s="44"/>
      <c r="CZ99" s="44"/>
      <c r="DA99" s="44"/>
      <c r="DB99" s="44"/>
      <c r="DC99" s="44"/>
      <c r="DD99" s="65"/>
      <c r="DE99" s="174"/>
      <c r="DF99" s="91"/>
      <c r="DG99" s="29"/>
      <c r="DH99" s="29"/>
      <c r="DI99" s="39"/>
      <c r="DJ99" s="91"/>
      <c r="DK99" s="91"/>
      <c r="DL99" s="91"/>
      <c r="DM99" s="91"/>
      <c r="DN99" s="29"/>
      <c r="DO99" s="29"/>
      <c r="DP99" s="29"/>
      <c r="DQ99" s="29"/>
      <c r="DR99" s="29"/>
      <c r="DS99" s="29"/>
      <c r="DT99" s="29"/>
      <c r="DU99" s="29"/>
      <c r="DV99" s="29"/>
      <c r="DW99" s="29"/>
      <c r="EH99" s="1330"/>
    </row>
    <row r="100" spans="1:138">
      <c r="A100" s="320"/>
      <c r="B100" s="270" t="s">
        <v>600</v>
      </c>
      <c r="C100" s="264"/>
      <c r="D100" s="264"/>
      <c r="E100" s="265"/>
      <c r="F100" s="459">
        <v>184.02099999999999</v>
      </c>
      <c r="G100" s="136">
        <f>F100</f>
        <v>184.02099999999999</v>
      </c>
      <c r="H100" s="136">
        <f>G100</f>
        <v>184.02099999999999</v>
      </c>
      <c r="I100" s="137">
        <f>H100</f>
        <v>184.02099999999999</v>
      </c>
      <c r="J100" s="136">
        <f>I102</f>
        <v>167.58200000000002</v>
      </c>
      <c r="K100" s="136">
        <f>J100</f>
        <v>167.58200000000002</v>
      </c>
      <c r="L100" s="136">
        <f>K100</f>
        <v>167.58200000000002</v>
      </c>
      <c r="M100" s="137">
        <f>L100</f>
        <v>167.58200000000002</v>
      </c>
      <c r="N100" s="136">
        <f>M102</f>
        <v>223.72800000000001</v>
      </c>
      <c r="O100" s="136">
        <f t="shared" ref="O100:AB100" si="396">N100</f>
        <v>223.72800000000001</v>
      </c>
      <c r="P100" s="136">
        <f t="shared" si="396"/>
        <v>223.72800000000001</v>
      </c>
      <c r="Q100" s="137">
        <f>P100</f>
        <v>223.72800000000001</v>
      </c>
      <c r="R100" s="136">
        <f>Q102</f>
        <v>393.20000000000005</v>
      </c>
      <c r="S100" s="136">
        <f t="shared" si="396"/>
        <v>393.20000000000005</v>
      </c>
      <c r="T100" s="136">
        <f t="shared" si="396"/>
        <v>393.20000000000005</v>
      </c>
      <c r="U100" s="137">
        <f t="shared" si="396"/>
        <v>393.20000000000005</v>
      </c>
      <c r="V100" s="136">
        <f>U102</f>
        <v>345.5</v>
      </c>
      <c r="W100" s="136">
        <f t="shared" si="396"/>
        <v>345.5</v>
      </c>
      <c r="X100" s="136">
        <f t="shared" si="396"/>
        <v>345.5</v>
      </c>
      <c r="Y100" s="137">
        <f t="shared" si="396"/>
        <v>345.5</v>
      </c>
      <c r="Z100" s="136">
        <f>Y102</f>
        <v>485.20000000000005</v>
      </c>
      <c r="AA100" s="136">
        <f t="shared" si="396"/>
        <v>485.20000000000005</v>
      </c>
      <c r="AB100" s="136">
        <f t="shared" si="396"/>
        <v>485.20000000000005</v>
      </c>
      <c r="AC100" s="137">
        <f>AB100</f>
        <v>485.20000000000005</v>
      </c>
      <c r="AD100" s="44">
        <v>551</v>
      </c>
      <c r="AE100" s="136">
        <f>AD100</f>
        <v>551</v>
      </c>
      <c r="AF100" s="136">
        <f>AD100</f>
        <v>551</v>
      </c>
      <c r="AG100" s="137">
        <f>AD100</f>
        <v>551</v>
      </c>
      <c r="AH100" s="44">
        <v>700</v>
      </c>
      <c r="AI100" s="136">
        <f>AH100</f>
        <v>700</v>
      </c>
      <c r="AJ100" s="136">
        <f>AI100</f>
        <v>700</v>
      </c>
      <c r="AK100" s="136">
        <f>AJ100</f>
        <v>700</v>
      </c>
      <c r="AL100" s="655">
        <f>AK102</f>
        <v>1104</v>
      </c>
      <c r="AM100" s="136">
        <f>AL100</f>
        <v>1104</v>
      </c>
      <c r="AN100" s="136">
        <f>AM100</f>
        <v>1104</v>
      </c>
      <c r="AO100" s="137">
        <f>AN100</f>
        <v>1104</v>
      </c>
      <c r="AP100" s="136">
        <f>AO102</f>
        <v>1794</v>
      </c>
      <c r="AQ100" s="136">
        <f>AP100</f>
        <v>1794</v>
      </c>
      <c r="AR100" s="136">
        <f>AQ100</f>
        <v>1794</v>
      </c>
      <c r="AS100" s="136">
        <f>AR100</f>
        <v>1794</v>
      </c>
      <c r="AT100" s="655">
        <f>AS102</f>
        <v>2734</v>
      </c>
      <c r="AU100" s="136">
        <f>AT100</f>
        <v>2734</v>
      </c>
      <c r="AV100" s="136">
        <f>AU100</f>
        <v>2734</v>
      </c>
      <c r="AW100" s="136">
        <f>AV100</f>
        <v>2734</v>
      </c>
      <c r="AX100" s="655">
        <f>AW102</f>
        <v>3490</v>
      </c>
      <c r="AY100" s="136">
        <f>AX100</f>
        <v>3490</v>
      </c>
      <c r="AZ100" s="136">
        <f>AY100</f>
        <v>3490</v>
      </c>
      <c r="BA100" s="137">
        <f>AZ100</f>
        <v>3490</v>
      </c>
      <c r="BB100" s="655">
        <f>BA102</f>
        <v>3208</v>
      </c>
      <c r="BC100" s="136">
        <f>BB100</f>
        <v>3208</v>
      </c>
      <c r="BD100" s="136">
        <f>BC100</f>
        <v>3208</v>
      </c>
      <c r="BE100" s="137">
        <f>BD100</f>
        <v>3208</v>
      </c>
      <c r="BF100" s="655">
        <f>BE102</f>
        <v>4309</v>
      </c>
      <c r="BG100" s="136">
        <f>BF100</f>
        <v>4309</v>
      </c>
      <c r="BH100" s="136">
        <f>BG100</f>
        <v>4309</v>
      </c>
      <c r="BI100" s="137">
        <f>BH100</f>
        <v>4309</v>
      </c>
      <c r="BJ100" s="655">
        <f>BI102</f>
        <v>4804</v>
      </c>
      <c r="BK100" s="136">
        <f>BJ100</f>
        <v>4804</v>
      </c>
      <c r="BL100" s="136">
        <f>BK100</f>
        <v>4804</v>
      </c>
      <c r="BM100" s="137">
        <f>BL100</f>
        <v>4804</v>
      </c>
      <c r="BN100" s="655">
        <f>BM102</f>
        <v>5024</v>
      </c>
      <c r="BO100" s="136">
        <f>BN100</f>
        <v>5024</v>
      </c>
      <c r="BP100" s="136">
        <f>BO100</f>
        <v>5024</v>
      </c>
      <c r="BQ100" s="137">
        <f>BP100</f>
        <v>5024</v>
      </c>
      <c r="BR100" s="655">
        <f>BQ102</f>
        <v>8151</v>
      </c>
      <c r="BS100" s="136">
        <f>BR100</f>
        <v>8151</v>
      </c>
      <c r="BT100" s="136">
        <f>BS100</f>
        <v>8151</v>
      </c>
      <c r="BU100" s="137">
        <f>BT100</f>
        <v>8151</v>
      </c>
      <c r="BV100" s="655">
        <f>BU102</f>
        <v>6354</v>
      </c>
      <c r="BW100" s="136">
        <f>BV100</f>
        <v>6354</v>
      </c>
      <c r="BX100" s="136">
        <f>BW100</f>
        <v>6354</v>
      </c>
      <c r="BY100" s="137">
        <f>BX100</f>
        <v>6354</v>
      </c>
      <c r="BZ100" s="655">
        <f>BY102</f>
        <v>5968.8381680790353</v>
      </c>
      <c r="CA100" s="136">
        <f>BZ100</f>
        <v>5968.8381680790353</v>
      </c>
      <c r="CB100" s="136">
        <f>CA100</f>
        <v>5968.8381680790353</v>
      </c>
      <c r="CC100" s="137">
        <f>CB100</f>
        <v>5968.8381680790353</v>
      </c>
      <c r="CD100" s="115"/>
      <c r="CE100" s="847">
        <f>I100</f>
        <v>184.02099999999999</v>
      </c>
      <c r="CF100" s="35">
        <f>M100</f>
        <v>167.58200000000002</v>
      </c>
      <c r="CG100" s="35">
        <f t="shared" ref="CG100:CP100" si="397">CF102</f>
        <v>223.72800000000001</v>
      </c>
      <c r="CH100" s="35">
        <f t="shared" si="397"/>
        <v>393.20000000000005</v>
      </c>
      <c r="CI100" s="35">
        <f t="shared" si="397"/>
        <v>345.5</v>
      </c>
      <c r="CJ100" s="35">
        <f t="shared" si="397"/>
        <v>485.20000000000005</v>
      </c>
      <c r="CK100" s="35">
        <v>551</v>
      </c>
      <c r="CL100" s="35">
        <f>CK102</f>
        <v>700</v>
      </c>
      <c r="CM100" s="35">
        <f t="shared" si="397"/>
        <v>1104</v>
      </c>
      <c r="CN100" s="35">
        <f>CM102</f>
        <v>1794</v>
      </c>
      <c r="CO100" s="35">
        <f>CN102</f>
        <v>2734</v>
      </c>
      <c r="CP100" s="35">
        <f t="shared" si="397"/>
        <v>3490</v>
      </c>
      <c r="CQ100" s="35">
        <f t="shared" ref="CQ100:DC100" si="398">CP102</f>
        <v>3208</v>
      </c>
      <c r="CR100" s="35">
        <f t="shared" si="398"/>
        <v>4309</v>
      </c>
      <c r="CS100" s="35">
        <f t="shared" si="398"/>
        <v>4804</v>
      </c>
      <c r="CT100" s="35">
        <f t="shared" si="398"/>
        <v>5024</v>
      </c>
      <c r="CU100" s="136">
        <f t="shared" si="398"/>
        <v>8151</v>
      </c>
      <c r="CV100" s="136">
        <f t="shared" si="398"/>
        <v>6354</v>
      </c>
      <c r="CW100" s="136">
        <f t="shared" si="398"/>
        <v>5968.8381680790353</v>
      </c>
      <c r="CX100" s="136">
        <f t="shared" si="398"/>
        <v>6908.5314074635244</v>
      </c>
      <c r="CY100" s="136">
        <f t="shared" si="398"/>
        <v>8272.9552541164139</v>
      </c>
      <c r="CZ100" s="136">
        <f t="shared" si="398"/>
        <v>9518.4736014413647</v>
      </c>
      <c r="DA100" s="136">
        <f t="shared" si="398"/>
        <v>10957.791768683577</v>
      </c>
      <c r="DB100" s="136">
        <f t="shared" si="398"/>
        <v>12237.690390510912</v>
      </c>
      <c r="DC100" s="136">
        <f t="shared" si="398"/>
        <v>13799.458666521006</v>
      </c>
      <c r="DD100" s="137"/>
      <c r="DE100" s="174"/>
      <c r="DF100" s="91"/>
      <c r="DG100" s="29"/>
      <c r="DH100" s="29"/>
      <c r="DI100" s="39"/>
      <c r="DJ100" s="29"/>
      <c r="DK100" s="29"/>
      <c r="DL100" s="29"/>
      <c r="DM100" s="91"/>
      <c r="DN100" s="29"/>
      <c r="DO100" s="29"/>
      <c r="DP100" s="29"/>
      <c r="DQ100" s="29"/>
      <c r="DR100" s="29"/>
      <c r="DS100" s="29"/>
      <c r="DT100" s="29"/>
      <c r="DU100" s="29"/>
      <c r="DV100" s="29"/>
      <c r="DW100" s="29"/>
      <c r="EH100" s="1330"/>
    </row>
    <row r="101" spans="1:138" ht="3" customHeight="1">
      <c r="A101" s="320"/>
      <c r="B101" s="270"/>
      <c r="C101" s="264"/>
      <c r="D101" s="264"/>
      <c r="E101" s="265"/>
      <c r="F101" s="562"/>
      <c r="G101" s="562"/>
      <c r="H101" s="562"/>
      <c r="I101" s="568"/>
      <c r="J101" s="562"/>
      <c r="K101" s="562"/>
      <c r="L101" s="562"/>
      <c r="M101" s="568"/>
      <c r="N101" s="562"/>
      <c r="O101" s="562"/>
      <c r="P101" s="562"/>
      <c r="Q101" s="568"/>
      <c r="R101" s="562"/>
      <c r="S101" s="562"/>
      <c r="T101" s="562"/>
      <c r="U101" s="568"/>
      <c r="V101" s="562"/>
      <c r="W101" s="562"/>
      <c r="X101" s="562"/>
      <c r="Y101" s="568"/>
      <c r="Z101" s="264"/>
      <c r="AA101" s="264"/>
      <c r="AB101" s="264"/>
      <c r="AC101" s="265"/>
      <c r="AD101" s="264"/>
      <c r="AE101" s="264"/>
      <c r="AF101" s="264"/>
      <c r="AG101" s="265"/>
      <c r="AH101" s="264"/>
      <c r="AI101" s="657"/>
      <c r="AJ101" s="657"/>
      <c r="AK101" s="658"/>
      <c r="AL101" s="657"/>
      <c r="AM101" s="657"/>
      <c r="AN101" s="657"/>
      <c r="AO101" s="658"/>
      <c r="AP101" s="40"/>
      <c r="AQ101" s="44"/>
      <c r="AR101" s="44"/>
      <c r="AS101" s="44"/>
      <c r="AT101" s="40"/>
      <c r="AU101" s="44"/>
      <c r="AV101" s="44"/>
      <c r="AW101" s="44"/>
      <c r="AX101" s="40"/>
      <c r="AY101" s="44"/>
      <c r="AZ101" s="44"/>
      <c r="BA101" s="65"/>
      <c r="BB101" s="40"/>
      <c r="BC101" s="44"/>
      <c r="BD101" s="44"/>
      <c r="BE101" s="65"/>
      <c r="BF101" s="40"/>
      <c r="BG101" s="44"/>
      <c r="BH101" s="44"/>
      <c r="BI101" s="65"/>
      <c r="BJ101" s="40"/>
      <c r="BK101" s="44"/>
      <c r="BL101" s="44"/>
      <c r="BM101" s="65"/>
      <c r="BN101" s="40"/>
      <c r="BO101" s="44"/>
      <c r="BP101" s="44"/>
      <c r="BQ101" s="65"/>
      <c r="BR101" s="40"/>
      <c r="BS101" s="44"/>
      <c r="BT101" s="44"/>
      <c r="BU101" s="65"/>
      <c r="BV101" s="40"/>
      <c r="BW101" s="44"/>
      <c r="BX101" s="44"/>
      <c r="BY101" s="65"/>
      <c r="BZ101" s="40"/>
      <c r="CA101" s="44"/>
      <c r="CB101" s="44"/>
      <c r="CC101" s="65"/>
      <c r="CD101" s="115"/>
      <c r="CE101" s="35"/>
      <c r="CF101" s="35"/>
      <c r="CG101" s="35"/>
      <c r="CH101" s="35"/>
      <c r="CI101" s="35"/>
      <c r="CJ101" s="35"/>
      <c r="CK101" s="35"/>
      <c r="CL101" s="35"/>
      <c r="CM101" s="35"/>
      <c r="CN101" s="35"/>
      <c r="CO101" s="35"/>
      <c r="CP101" s="35"/>
      <c r="CQ101" s="35"/>
      <c r="CR101" s="35"/>
      <c r="CS101" s="35"/>
      <c r="CT101" s="35"/>
      <c r="CU101" s="44"/>
      <c r="CV101" s="44"/>
      <c r="CW101" s="44"/>
      <c r="CX101" s="44"/>
      <c r="CY101" s="44"/>
      <c r="CZ101" s="44"/>
      <c r="DA101" s="44"/>
      <c r="DB101" s="44"/>
      <c r="DC101" s="44"/>
      <c r="DD101" s="65"/>
      <c r="DE101" s="174"/>
      <c r="DF101" s="91"/>
      <c r="DG101" s="29"/>
      <c r="DH101" s="29"/>
      <c r="DI101" s="39"/>
      <c r="DJ101" s="91"/>
      <c r="DK101" s="91"/>
      <c r="DL101" s="91"/>
      <c r="DM101" s="91"/>
      <c r="DN101" s="29"/>
      <c r="DO101" s="29"/>
      <c r="DP101" s="29"/>
      <c r="DQ101" s="29"/>
      <c r="DR101" s="29"/>
      <c r="DS101" s="29"/>
      <c r="DT101" s="29"/>
      <c r="DU101" s="29"/>
      <c r="DV101" s="29"/>
      <c r="DW101" s="29"/>
      <c r="EH101" s="1330"/>
    </row>
    <row r="102" spans="1:138">
      <c r="A102" s="178"/>
      <c r="B102" s="209" t="s">
        <v>605</v>
      </c>
      <c r="C102" s="188"/>
      <c r="D102" s="188"/>
      <c r="E102" s="188"/>
      <c r="F102" s="505">
        <f>F98+F100</f>
        <v>166.94899999999998</v>
      </c>
      <c r="G102" s="505">
        <f t="shared" ref="G102:M102" si="399">G98+G100</f>
        <v>179.38299999999998</v>
      </c>
      <c r="H102" s="505">
        <f t="shared" si="399"/>
        <v>160.86899999999997</v>
      </c>
      <c r="I102" s="506">
        <f t="shared" si="399"/>
        <v>167.58200000000002</v>
      </c>
      <c r="J102" s="505">
        <f t="shared" si="399"/>
        <v>200.58200000000002</v>
      </c>
      <c r="K102" s="505">
        <f t="shared" si="399"/>
        <v>193.31700000000004</v>
      </c>
      <c r="L102" s="505">
        <f t="shared" si="399"/>
        <v>226.48700000000002</v>
      </c>
      <c r="M102" s="506">
        <f t="shared" si="399"/>
        <v>223.72800000000001</v>
      </c>
      <c r="N102" s="505">
        <f t="shared" ref="N102:AS102" si="400">N98+N100</f>
        <v>244.44800000000001</v>
      </c>
      <c r="O102" s="505">
        <f t="shared" si="400"/>
        <v>326.94400000000002</v>
      </c>
      <c r="P102" s="505">
        <f t="shared" si="400"/>
        <v>347.06</v>
      </c>
      <c r="Q102" s="506">
        <f>Q98+Q100</f>
        <v>393.20000000000005</v>
      </c>
      <c r="R102" s="505">
        <f t="shared" si="400"/>
        <v>285.80000000000007</v>
      </c>
      <c r="S102" s="505">
        <f t="shared" si="400"/>
        <v>318.40000000000009</v>
      </c>
      <c r="T102" s="505">
        <f t="shared" si="400"/>
        <v>359.90000000000003</v>
      </c>
      <c r="U102" s="506">
        <f t="shared" si="400"/>
        <v>345.5</v>
      </c>
      <c r="V102" s="505">
        <f t="shared" si="400"/>
        <v>372.9</v>
      </c>
      <c r="W102" s="505">
        <f t="shared" si="400"/>
        <v>460.19999999999993</v>
      </c>
      <c r="X102" s="505">
        <f t="shared" si="400"/>
        <v>461.09999999999997</v>
      </c>
      <c r="Y102" s="506">
        <f t="shared" si="400"/>
        <v>485.20000000000005</v>
      </c>
      <c r="Z102" s="505">
        <f t="shared" si="400"/>
        <v>506.00000000000006</v>
      </c>
      <c r="AA102" s="505">
        <f t="shared" si="400"/>
        <v>550.20000000000005</v>
      </c>
      <c r="AB102" s="505">
        <f t="shared" si="400"/>
        <v>543.4</v>
      </c>
      <c r="AC102" s="506">
        <f t="shared" si="400"/>
        <v>550.70000000000027</v>
      </c>
      <c r="AD102" s="505">
        <f t="shared" si="400"/>
        <v>603</v>
      </c>
      <c r="AE102" s="505">
        <f t="shared" si="400"/>
        <v>676</v>
      </c>
      <c r="AF102" s="505">
        <f t="shared" si="400"/>
        <v>704</v>
      </c>
      <c r="AG102" s="506">
        <f t="shared" si="400"/>
        <v>700</v>
      </c>
      <c r="AH102" s="505">
        <f t="shared" si="400"/>
        <v>651</v>
      </c>
      <c r="AI102" s="505">
        <f t="shared" si="400"/>
        <v>917</v>
      </c>
      <c r="AJ102" s="505">
        <f t="shared" si="400"/>
        <v>917</v>
      </c>
      <c r="AK102" s="506">
        <f t="shared" si="400"/>
        <v>1104</v>
      </c>
      <c r="AL102" s="505">
        <f t="shared" si="400"/>
        <v>1213</v>
      </c>
      <c r="AM102" s="505">
        <f t="shared" si="400"/>
        <v>1376</v>
      </c>
      <c r="AN102" s="505">
        <f t="shared" si="400"/>
        <v>1579</v>
      </c>
      <c r="AO102" s="506">
        <f t="shared" si="400"/>
        <v>1794</v>
      </c>
      <c r="AP102" s="505">
        <f t="shared" si="400"/>
        <v>2056</v>
      </c>
      <c r="AQ102" s="505">
        <f t="shared" si="400"/>
        <v>2435</v>
      </c>
      <c r="AR102" s="505">
        <f t="shared" si="400"/>
        <v>2826</v>
      </c>
      <c r="AS102" s="505">
        <f t="shared" si="400"/>
        <v>2734</v>
      </c>
      <c r="AT102" s="507">
        <f t="shared" ref="AT102:BA102" si="401">AT98+AT100</f>
        <v>2858</v>
      </c>
      <c r="AU102" s="505">
        <f t="shared" si="401"/>
        <v>3110</v>
      </c>
      <c r="AV102" s="505">
        <f t="shared" si="401"/>
        <v>3230</v>
      </c>
      <c r="AW102" s="505">
        <f t="shared" si="401"/>
        <v>3490</v>
      </c>
      <c r="AX102" s="507">
        <f t="shared" si="401"/>
        <v>3675</v>
      </c>
      <c r="AY102" s="505">
        <f t="shared" si="401"/>
        <v>3924</v>
      </c>
      <c r="AZ102" s="505">
        <f t="shared" si="401"/>
        <v>3377</v>
      </c>
      <c r="BA102" s="506">
        <f t="shared" si="401"/>
        <v>3208</v>
      </c>
      <c r="BB102" s="507">
        <f t="shared" ref="BB102:BH102" si="402">BB98+BB100</f>
        <v>3537</v>
      </c>
      <c r="BC102" s="505">
        <f t="shared" si="402"/>
        <v>3816</v>
      </c>
      <c r="BD102" s="505">
        <f t="shared" si="402"/>
        <v>4060</v>
      </c>
      <c r="BE102" s="506">
        <f>BE98+BE100</f>
        <v>4309</v>
      </c>
      <c r="BF102" s="507">
        <f>BF98+BF100</f>
        <v>4869</v>
      </c>
      <c r="BG102" s="505">
        <f>BG98+BG100</f>
        <v>4655</v>
      </c>
      <c r="BH102" s="505">
        <f t="shared" si="402"/>
        <v>4569</v>
      </c>
      <c r="BI102" s="506">
        <f t="shared" ref="BI102:BU102" si="403">BI98+BI100</f>
        <v>4804</v>
      </c>
      <c r="BJ102" s="507">
        <f t="shared" si="403"/>
        <v>5159</v>
      </c>
      <c r="BK102" s="505">
        <f t="shared" si="403"/>
        <v>4902</v>
      </c>
      <c r="BL102" s="505">
        <f t="shared" si="403"/>
        <v>4812</v>
      </c>
      <c r="BM102" s="506">
        <f t="shared" si="403"/>
        <v>5024</v>
      </c>
      <c r="BN102" s="507">
        <f t="shared" si="403"/>
        <v>5081</v>
      </c>
      <c r="BO102" s="505">
        <f t="shared" si="403"/>
        <v>5363</v>
      </c>
      <c r="BP102" s="505">
        <f>BP98+BP100</f>
        <v>5887</v>
      </c>
      <c r="BQ102" s="506">
        <f>BQ98+BQ100</f>
        <v>8151</v>
      </c>
      <c r="BR102" s="507">
        <f t="shared" si="403"/>
        <v>4077</v>
      </c>
      <c r="BS102" s="505">
        <f t="shared" si="403"/>
        <v>4940</v>
      </c>
      <c r="BT102" s="505">
        <f t="shared" si="403"/>
        <v>5652</v>
      </c>
      <c r="BU102" s="506">
        <f t="shared" si="403"/>
        <v>6354</v>
      </c>
      <c r="BV102" s="507">
        <f t="shared" ref="BV102:CC102" si="404">BV98+BV100</f>
        <v>6886</v>
      </c>
      <c r="BW102" s="505">
        <f t="shared" ref="BW102" si="405">BW98+BW100</f>
        <v>6272</v>
      </c>
      <c r="BX102" s="505">
        <f t="shared" si="404"/>
        <v>5612.4284407821306</v>
      </c>
      <c r="BY102" s="506">
        <f t="shared" si="404"/>
        <v>5968.8381680790353</v>
      </c>
      <c r="BZ102" s="507">
        <f t="shared" si="404"/>
        <v>6405.8154558403903</v>
      </c>
      <c r="CA102" s="505">
        <f t="shared" si="404"/>
        <v>6996.7837248374235</v>
      </c>
      <c r="CB102" s="505">
        <f t="shared" si="404"/>
        <v>6991.3983666476806</v>
      </c>
      <c r="CC102" s="506">
        <f t="shared" si="404"/>
        <v>6908.5314074635244</v>
      </c>
      <c r="CD102" s="285"/>
      <c r="CE102" s="847">
        <f>I102</f>
        <v>167.58200000000002</v>
      </c>
      <c r="CF102" s="505">
        <f t="shared" ref="CF102:CP102" si="406">CF98+CF100</f>
        <v>223.72800000000001</v>
      </c>
      <c r="CG102" s="505">
        <f t="shared" si="406"/>
        <v>393.20000000000005</v>
      </c>
      <c r="CH102" s="505">
        <f t="shared" si="406"/>
        <v>345.5</v>
      </c>
      <c r="CI102" s="505">
        <f t="shared" si="406"/>
        <v>485.20000000000005</v>
      </c>
      <c r="CJ102" s="505">
        <f>CJ98+CJ100</f>
        <v>550.70000000000027</v>
      </c>
      <c r="CK102" s="505">
        <f t="shared" si="406"/>
        <v>700</v>
      </c>
      <c r="CL102" s="505">
        <f t="shared" si="406"/>
        <v>1104</v>
      </c>
      <c r="CM102" s="505">
        <f t="shared" si="406"/>
        <v>1794</v>
      </c>
      <c r="CN102" s="505">
        <f>CN98+CN100</f>
        <v>2734</v>
      </c>
      <c r="CO102" s="505">
        <f>CO98+CO100</f>
        <v>3490</v>
      </c>
      <c r="CP102" s="505">
        <f t="shared" si="406"/>
        <v>3208</v>
      </c>
      <c r="CQ102" s="505">
        <f t="shared" ref="CQ102:CV102" si="407">CQ98+CQ100</f>
        <v>4309</v>
      </c>
      <c r="CR102" s="505">
        <f t="shared" si="407"/>
        <v>4804</v>
      </c>
      <c r="CS102" s="505">
        <f t="shared" si="407"/>
        <v>5024</v>
      </c>
      <c r="CT102" s="505">
        <f t="shared" si="407"/>
        <v>8151</v>
      </c>
      <c r="CU102" s="505">
        <f t="shared" si="407"/>
        <v>6354</v>
      </c>
      <c r="CV102" s="505">
        <f t="shared" si="407"/>
        <v>5968.8381680790353</v>
      </c>
      <c r="CW102" s="505">
        <f t="shared" ref="CW102:DC102" si="408">CW98+CW100</f>
        <v>6908.5314074635244</v>
      </c>
      <c r="CX102" s="505">
        <f t="shared" si="408"/>
        <v>8272.9552541164139</v>
      </c>
      <c r="CY102" s="505">
        <f t="shared" si="408"/>
        <v>9518.4736014413647</v>
      </c>
      <c r="CZ102" s="505">
        <f t="shared" si="408"/>
        <v>10957.791768683577</v>
      </c>
      <c r="DA102" s="505">
        <f t="shared" si="408"/>
        <v>12237.690390510912</v>
      </c>
      <c r="DB102" s="505">
        <f t="shared" si="408"/>
        <v>13799.458666521006</v>
      </c>
      <c r="DC102" s="505">
        <f t="shared" si="408"/>
        <v>15664.035805884811</v>
      </c>
      <c r="DD102" s="506"/>
      <c r="DE102" s="174"/>
      <c r="DF102" s="11"/>
      <c r="DG102" s="29"/>
      <c r="DH102" s="29"/>
      <c r="DI102" s="39"/>
      <c r="DJ102" s="30"/>
      <c r="DK102" s="30"/>
      <c r="DL102" s="30"/>
      <c r="DM102" s="30"/>
      <c r="DN102" s="30"/>
      <c r="DO102" s="30"/>
      <c r="DP102" s="30"/>
      <c r="DQ102" s="30"/>
      <c r="DR102" s="30"/>
      <c r="DS102" s="30"/>
      <c r="DT102" s="30"/>
      <c r="DU102" s="30"/>
      <c r="DV102" s="30"/>
      <c r="DW102" s="30"/>
      <c r="EH102" s="1330"/>
    </row>
    <row r="103" spans="1:138">
      <c r="A103" s="533"/>
      <c r="B103" s="509"/>
      <c r="C103" s="509"/>
      <c r="D103" s="509"/>
      <c r="E103" s="704"/>
      <c r="F103" s="511">
        <f>F102-F55</f>
        <v>0</v>
      </c>
      <c r="G103" s="511">
        <f t="shared" ref="G103:BA103" si="409">G102-G55</f>
        <v>0</v>
      </c>
      <c r="H103" s="511">
        <f t="shared" si="409"/>
        <v>0</v>
      </c>
      <c r="I103" s="512">
        <f t="shared" si="409"/>
        <v>0</v>
      </c>
      <c r="J103" s="511">
        <f t="shared" si="409"/>
        <v>0</v>
      </c>
      <c r="K103" s="511">
        <f t="shared" si="409"/>
        <v>0</v>
      </c>
      <c r="L103" s="511">
        <f t="shared" si="409"/>
        <v>0</v>
      </c>
      <c r="M103" s="512">
        <f t="shared" si="409"/>
        <v>0</v>
      </c>
      <c r="N103" s="511">
        <f t="shared" si="409"/>
        <v>0</v>
      </c>
      <c r="O103" s="511">
        <f t="shared" si="409"/>
        <v>0</v>
      </c>
      <c r="P103" s="511">
        <f t="shared" si="409"/>
        <v>0</v>
      </c>
      <c r="Q103" s="512">
        <f t="shared" si="409"/>
        <v>0</v>
      </c>
      <c r="R103" s="511">
        <f t="shared" si="409"/>
        <v>0</v>
      </c>
      <c r="S103" s="511">
        <f t="shared" si="409"/>
        <v>0</v>
      </c>
      <c r="T103" s="511">
        <f t="shared" si="409"/>
        <v>0</v>
      </c>
      <c r="U103" s="512">
        <f t="shared" si="409"/>
        <v>0</v>
      </c>
      <c r="V103" s="511">
        <f t="shared" si="409"/>
        <v>0</v>
      </c>
      <c r="W103" s="511">
        <f t="shared" si="409"/>
        <v>0</v>
      </c>
      <c r="X103" s="511">
        <f t="shared" si="409"/>
        <v>0</v>
      </c>
      <c r="Y103" s="512">
        <f t="shared" si="409"/>
        <v>0</v>
      </c>
      <c r="Z103" s="511">
        <f t="shared" si="409"/>
        <v>0</v>
      </c>
      <c r="AA103" s="511">
        <f t="shared" si="409"/>
        <v>0</v>
      </c>
      <c r="AB103" s="511">
        <f t="shared" si="409"/>
        <v>0</v>
      </c>
      <c r="AC103" s="512">
        <f t="shared" si="409"/>
        <v>0</v>
      </c>
      <c r="AD103" s="511">
        <f t="shared" si="409"/>
        <v>0</v>
      </c>
      <c r="AE103" s="511">
        <f t="shared" si="409"/>
        <v>0</v>
      </c>
      <c r="AF103" s="511">
        <f>AF102-AF55</f>
        <v>0</v>
      </c>
      <c r="AG103" s="512">
        <f t="shared" si="409"/>
        <v>0</v>
      </c>
      <c r="AH103" s="511">
        <f t="shared" si="409"/>
        <v>0</v>
      </c>
      <c r="AI103" s="511">
        <f t="shared" si="409"/>
        <v>0</v>
      </c>
      <c r="AJ103" s="519">
        <f>AJ102-AJ55</f>
        <v>0</v>
      </c>
      <c r="AK103" s="512">
        <f t="shared" si="409"/>
        <v>0</v>
      </c>
      <c r="AL103" s="511">
        <f t="shared" si="409"/>
        <v>0</v>
      </c>
      <c r="AM103" s="511">
        <f t="shared" si="409"/>
        <v>0</v>
      </c>
      <c r="AN103" s="511">
        <f t="shared" si="409"/>
        <v>0</v>
      </c>
      <c r="AO103" s="512">
        <f t="shared" si="409"/>
        <v>0</v>
      </c>
      <c r="AP103" s="511">
        <f t="shared" si="409"/>
        <v>0</v>
      </c>
      <c r="AQ103" s="511">
        <f t="shared" si="409"/>
        <v>0</v>
      </c>
      <c r="AR103" s="511">
        <f t="shared" si="409"/>
        <v>0</v>
      </c>
      <c r="AS103" s="511">
        <f t="shared" si="409"/>
        <v>0</v>
      </c>
      <c r="AT103" s="954">
        <f t="shared" si="409"/>
        <v>0</v>
      </c>
      <c r="AU103" s="511">
        <f t="shared" si="409"/>
        <v>0</v>
      </c>
      <c r="AV103" s="511">
        <f t="shared" si="409"/>
        <v>0</v>
      </c>
      <c r="AW103" s="511">
        <f t="shared" si="409"/>
        <v>0</v>
      </c>
      <c r="AX103" s="954">
        <f t="shared" si="409"/>
        <v>0</v>
      </c>
      <c r="AY103" s="511">
        <f t="shared" si="409"/>
        <v>0</v>
      </c>
      <c r="AZ103" s="511">
        <f t="shared" si="409"/>
        <v>0</v>
      </c>
      <c r="BA103" s="512">
        <f t="shared" si="409"/>
        <v>0</v>
      </c>
      <c r="BB103" s="954">
        <f>BB102-BB55</f>
        <v>0</v>
      </c>
      <c r="BC103" s="511">
        <f t="shared" ref="BC103:BI103" si="410">BC102-BC55</f>
        <v>0</v>
      </c>
      <c r="BD103" s="511">
        <f t="shared" si="410"/>
        <v>0</v>
      </c>
      <c r="BE103" s="512">
        <f t="shared" si="410"/>
        <v>0</v>
      </c>
      <c r="BF103" s="954">
        <f>BF102-BF55</f>
        <v>0</v>
      </c>
      <c r="BG103" s="511">
        <f t="shared" si="410"/>
        <v>0</v>
      </c>
      <c r="BH103" s="511">
        <f t="shared" si="410"/>
        <v>0</v>
      </c>
      <c r="BI103" s="512">
        <f t="shared" si="410"/>
        <v>0</v>
      </c>
      <c r="BJ103" s="954">
        <f t="shared" ref="BJ103:BQ103" si="411">BJ102-BJ55</f>
        <v>0</v>
      </c>
      <c r="BK103" s="511">
        <f t="shared" si="411"/>
        <v>0</v>
      </c>
      <c r="BL103" s="511">
        <f t="shared" si="411"/>
        <v>0</v>
      </c>
      <c r="BM103" s="512">
        <f t="shared" si="411"/>
        <v>0</v>
      </c>
      <c r="BN103" s="954">
        <f t="shared" si="411"/>
        <v>0</v>
      </c>
      <c r="BO103" s="511">
        <f t="shared" si="411"/>
        <v>0</v>
      </c>
      <c r="BP103" s="511">
        <f t="shared" si="411"/>
        <v>0</v>
      </c>
      <c r="BQ103" s="512">
        <f t="shared" si="411"/>
        <v>0</v>
      </c>
      <c r="BR103" s="954">
        <f t="shared" ref="BR103:BY103" si="412">BR102-BR55</f>
        <v>0</v>
      </c>
      <c r="BS103" s="511">
        <f t="shared" si="412"/>
        <v>0</v>
      </c>
      <c r="BT103" s="511">
        <f t="shared" si="412"/>
        <v>0</v>
      </c>
      <c r="BU103" s="512">
        <f t="shared" si="412"/>
        <v>0</v>
      </c>
      <c r="BV103" s="954">
        <f t="shared" si="412"/>
        <v>0</v>
      </c>
      <c r="BW103" s="511">
        <f t="shared" si="412"/>
        <v>0</v>
      </c>
      <c r="BX103" s="511">
        <f t="shared" si="412"/>
        <v>0</v>
      </c>
      <c r="BY103" s="512">
        <f t="shared" si="412"/>
        <v>0</v>
      </c>
      <c r="BZ103" s="954">
        <f>BZ102-BZ55</f>
        <v>0</v>
      </c>
      <c r="CA103" s="511">
        <f>CA102-CA55</f>
        <v>0</v>
      </c>
      <c r="CB103" s="511">
        <f>CB102-CB55</f>
        <v>0</v>
      </c>
      <c r="CC103" s="512">
        <f>CC102-CC55</f>
        <v>0</v>
      </c>
      <c r="CD103" s="809"/>
      <c r="CE103" s="510"/>
      <c r="CF103" s="510">
        <f t="shared" ref="CF103:CT103" si="413">CF55-CF102</f>
        <v>0</v>
      </c>
      <c r="CG103" s="510">
        <f t="shared" si="413"/>
        <v>0</v>
      </c>
      <c r="CH103" s="510">
        <f t="shared" si="413"/>
        <v>0</v>
      </c>
      <c r="CI103" s="510">
        <f t="shared" si="413"/>
        <v>0</v>
      </c>
      <c r="CJ103" s="510">
        <f t="shared" si="413"/>
        <v>0</v>
      </c>
      <c r="CK103" s="510">
        <f>CK55-CK102</f>
        <v>0</v>
      </c>
      <c r="CL103" s="510">
        <f>CL55-CL102</f>
        <v>0</v>
      </c>
      <c r="CM103" s="510">
        <f>CM55-CM102</f>
        <v>0</v>
      </c>
      <c r="CN103" s="510">
        <f t="shared" si="413"/>
        <v>0</v>
      </c>
      <c r="CO103" s="510">
        <f t="shared" si="413"/>
        <v>0</v>
      </c>
      <c r="CP103" s="510">
        <f t="shared" si="413"/>
        <v>0</v>
      </c>
      <c r="CQ103" s="510">
        <f>CQ55-CQ102</f>
        <v>0</v>
      </c>
      <c r="CR103" s="510">
        <f t="shared" si="413"/>
        <v>0</v>
      </c>
      <c r="CS103" s="510">
        <f t="shared" si="413"/>
        <v>0</v>
      </c>
      <c r="CT103" s="510">
        <f t="shared" si="413"/>
        <v>0</v>
      </c>
      <c r="CU103" s="511">
        <f>CU55-CU102</f>
        <v>0</v>
      </c>
      <c r="CV103" s="511">
        <f t="shared" ref="CV103:DA103" si="414">CV102-CV55</f>
        <v>0</v>
      </c>
      <c r="CW103" s="511">
        <f>CW102-CW55</f>
        <v>0</v>
      </c>
      <c r="CX103" s="511">
        <f t="shared" si="414"/>
        <v>0</v>
      </c>
      <c r="CY103" s="511">
        <f t="shared" si="414"/>
        <v>0</v>
      </c>
      <c r="CZ103" s="511">
        <f t="shared" si="414"/>
        <v>0</v>
      </c>
      <c r="DA103" s="511">
        <f t="shared" si="414"/>
        <v>0</v>
      </c>
      <c r="DB103" s="511">
        <f>DB102-DB55</f>
        <v>0</v>
      </c>
      <c r="DC103" s="511">
        <f>DC102-DC55</f>
        <v>0</v>
      </c>
      <c r="DD103" s="512"/>
      <c r="DE103" s="174"/>
      <c r="DF103" s="133"/>
      <c r="DG103" s="133"/>
      <c r="DH103" s="133"/>
      <c r="DI103" s="133"/>
      <c r="DJ103" s="133"/>
      <c r="DK103" s="133"/>
      <c r="DL103" s="133"/>
      <c r="DM103" s="133"/>
      <c r="DN103" s="133"/>
      <c r="DO103" s="133"/>
      <c r="DP103" s="133"/>
      <c r="DQ103" s="133"/>
      <c r="DR103" s="133"/>
      <c r="DS103" s="133"/>
      <c r="DT103" s="133"/>
      <c r="DU103" s="133"/>
      <c r="DV103" s="133"/>
      <c r="DW103" s="133"/>
      <c r="EH103" s="1330"/>
    </row>
    <row r="104" spans="1:138">
      <c r="A104" s="320"/>
      <c r="B104" s="261"/>
      <c r="C104" s="261"/>
      <c r="D104" s="261"/>
      <c r="E104" s="261"/>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951"/>
      <c r="AT104" s="955"/>
      <c r="AU104" s="170"/>
      <c r="AV104" s="170"/>
      <c r="AW104" s="613"/>
      <c r="AX104" s="170"/>
      <c r="AY104" s="170"/>
      <c r="AZ104" s="170"/>
      <c r="BA104" s="613"/>
      <c r="BB104" s="170"/>
      <c r="BC104" s="170"/>
      <c r="BD104" s="170"/>
      <c r="BE104" s="613"/>
      <c r="BF104" s="170"/>
      <c r="BG104" s="170"/>
      <c r="BH104" s="170"/>
      <c r="BI104" s="613"/>
      <c r="BJ104" s="170"/>
      <c r="BK104" s="170"/>
      <c r="BL104" s="170"/>
      <c r="BM104" s="613"/>
      <c r="BN104" s="170"/>
      <c r="BO104" s="170"/>
      <c r="BP104" s="170"/>
      <c r="BQ104" s="613"/>
      <c r="BR104" s="170"/>
      <c r="BS104" s="170"/>
      <c r="BT104" s="170"/>
      <c r="BU104" s="613"/>
      <c r="BV104" s="170"/>
      <c r="BW104" s="170"/>
      <c r="BX104" s="170"/>
      <c r="BY104" s="613"/>
      <c r="BZ104" s="170"/>
      <c r="CA104" s="170"/>
      <c r="CB104" s="170"/>
      <c r="CC104" s="613"/>
      <c r="CD104" s="621"/>
      <c r="CE104" s="170"/>
      <c r="CF104" s="170"/>
      <c r="CG104" s="170"/>
      <c r="CH104" s="170"/>
      <c r="CI104" s="170"/>
      <c r="CJ104" s="170"/>
      <c r="CK104" s="170"/>
      <c r="CL104" s="170"/>
      <c r="CM104" s="170"/>
      <c r="CN104" s="170"/>
      <c r="CO104" s="170"/>
      <c r="CP104" s="170"/>
      <c r="CQ104" s="170"/>
      <c r="CR104" s="170"/>
      <c r="CS104" s="170"/>
      <c r="CT104" s="170"/>
      <c r="CU104" s="1547"/>
      <c r="CV104" s="1547"/>
      <c r="CW104" s="1547"/>
      <c r="CX104" s="1547"/>
      <c r="CY104" s="1547"/>
      <c r="CZ104" s="1547"/>
      <c r="DA104" s="1547"/>
      <c r="DB104" s="1547"/>
      <c r="DC104" s="1547"/>
      <c r="DD104" s="1691"/>
      <c r="DE104" s="174"/>
      <c r="DF104" s="91"/>
      <c r="DG104" s="29"/>
      <c r="DH104" s="29"/>
      <c r="DI104" s="39"/>
      <c r="DJ104" s="91"/>
      <c r="DK104" s="91"/>
      <c r="DL104" s="91"/>
      <c r="DM104" s="91"/>
      <c r="DN104" s="29"/>
      <c r="DO104" s="29"/>
      <c r="DP104" s="29"/>
      <c r="DQ104" s="29"/>
      <c r="DR104" s="29"/>
      <c r="DS104" s="29"/>
      <c r="DT104" s="29"/>
      <c r="DU104" s="29"/>
      <c r="DV104" s="29"/>
      <c r="DW104" s="29"/>
    </row>
    <row r="105" spans="1:138">
      <c r="A105" s="320" t="s">
        <v>25</v>
      </c>
      <c r="B105" s="234" t="s">
        <v>594</v>
      </c>
      <c r="C105" s="235"/>
      <c r="D105" s="235"/>
      <c r="E105" s="311"/>
      <c r="F105" s="528"/>
      <c r="G105" s="528"/>
      <c r="H105" s="528"/>
      <c r="I105" s="528"/>
      <c r="J105" s="528"/>
      <c r="K105" s="528"/>
      <c r="L105" s="528"/>
      <c r="M105" s="528"/>
      <c r="N105" s="528"/>
      <c r="O105" s="528"/>
      <c r="P105" s="528"/>
      <c r="Q105" s="528"/>
      <c r="R105" s="528"/>
      <c r="S105" s="528"/>
      <c r="T105" s="528"/>
      <c r="U105" s="528"/>
      <c r="V105" s="529"/>
      <c r="W105" s="528"/>
      <c r="X105" s="528"/>
      <c r="Y105" s="530"/>
      <c r="Z105" s="531"/>
      <c r="AA105" s="532"/>
      <c r="AB105" s="532"/>
      <c r="AC105" s="530"/>
      <c r="AD105" s="531"/>
      <c r="AE105" s="309"/>
      <c r="AF105" s="309"/>
      <c r="AG105" s="391"/>
      <c r="AH105" s="531"/>
      <c r="AI105" s="309"/>
      <c r="AJ105" s="309"/>
      <c r="AK105" s="391"/>
      <c r="AL105" s="393"/>
      <c r="AM105" s="309"/>
      <c r="AN105" s="309"/>
      <c r="AO105" s="391"/>
      <c r="AP105" s="393"/>
      <c r="AQ105" s="309"/>
      <c r="AR105" s="309"/>
      <c r="AS105" s="309"/>
      <c r="AT105" s="393"/>
      <c r="AU105" s="309"/>
      <c r="AV105" s="309"/>
      <c r="AW105" s="391"/>
      <c r="AX105" s="393"/>
      <c r="AY105" s="309"/>
      <c r="AZ105" s="309"/>
      <c r="BA105" s="391"/>
      <c r="BB105" s="393"/>
      <c r="BC105" s="309"/>
      <c r="BD105" s="309"/>
      <c r="BE105" s="391"/>
      <c r="BF105" s="393"/>
      <c r="BG105" s="309"/>
      <c r="BH105" s="309"/>
      <c r="BI105" s="391"/>
      <c r="BJ105" s="393"/>
      <c r="BK105" s="309"/>
      <c r="BL105" s="309"/>
      <c r="BM105" s="391"/>
      <c r="BN105" s="393"/>
      <c r="BO105" s="309"/>
      <c r="BP105" s="309"/>
      <c r="BQ105" s="391"/>
      <c r="BR105" s="393"/>
      <c r="BS105" s="309"/>
      <c r="BT105" s="309"/>
      <c r="BU105" s="391"/>
      <c r="BV105" s="393"/>
      <c r="BW105" s="309"/>
      <c r="BX105" s="309"/>
      <c r="BY105" s="391"/>
      <c r="BZ105" s="393"/>
      <c r="CA105" s="309"/>
      <c r="CB105" s="309"/>
      <c r="CC105" s="391"/>
      <c r="CD105" s="310"/>
      <c r="CE105" s="308"/>
      <c r="CF105" s="308"/>
      <c r="CG105" s="308"/>
      <c r="CH105" s="308"/>
      <c r="CI105" s="308"/>
      <c r="CJ105" s="308"/>
      <c r="CK105" s="308"/>
      <c r="CL105" s="308"/>
      <c r="CM105" s="308"/>
      <c r="CN105" s="540"/>
      <c r="CO105" s="540"/>
      <c r="CP105" s="540"/>
      <c r="CQ105" s="540"/>
      <c r="CR105" s="540"/>
      <c r="CS105" s="540"/>
      <c r="CT105" s="540"/>
      <c r="CU105" s="1541"/>
      <c r="CV105" s="1541"/>
      <c r="CW105" s="1541"/>
      <c r="CX105" s="1541"/>
      <c r="CY105" s="1541"/>
      <c r="CZ105" s="1541"/>
      <c r="DA105" s="540"/>
      <c r="DB105" s="540"/>
      <c r="DC105" s="540"/>
      <c r="DD105" s="1541"/>
      <c r="DE105" s="174"/>
      <c r="DF105" s="29"/>
      <c r="DG105" s="29"/>
      <c r="DH105" s="29"/>
      <c r="DI105" s="29"/>
      <c r="DJ105" s="29"/>
      <c r="DK105" s="29"/>
      <c r="DL105" s="29"/>
      <c r="DM105" s="29"/>
      <c r="DN105" s="29"/>
      <c r="DO105" s="29"/>
      <c r="DP105" s="29"/>
      <c r="DQ105" s="29"/>
      <c r="DR105" s="29"/>
      <c r="DS105" s="29"/>
      <c r="DT105" s="29"/>
      <c r="DU105" s="29"/>
      <c r="DV105" s="29"/>
      <c r="DW105" s="29"/>
    </row>
    <row r="106" spans="1:138">
      <c r="A106" s="320"/>
      <c r="B106" s="270" t="s">
        <v>907</v>
      </c>
      <c r="C106" s="264"/>
      <c r="D106" s="264"/>
      <c r="E106" s="12"/>
      <c r="F106" s="845">
        <v>3.2000000000000001E-2</v>
      </c>
      <c r="G106" s="780">
        <v>8.4000000000000005E-2</v>
      </c>
      <c r="H106" s="780">
        <v>0.13200000000000001</v>
      </c>
      <c r="I106" s="846">
        <v>0</v>
      </c>
      <c r="J106" s="845">
        <v>0.22900000000000001</v>
      </c>
      <c r="K106" s="780">
        <v>0</v>
      </c>
      <c r="L106" s="780">
        <v>0</v>
      </c>
      <c r="M106" s="523">
        <v>0</v>
      </c>
      <c r="N106" s="739">
        <v>0.23400000000000001</v>
      </c>
      <c r="O106" s="739">
        <v>0.23400000000000001</v>
      </c>
      <c r="P106" s="458">
        <v>0.23400000000000001</v>
      </c>
      <c r="Q106" s="523">
        <v>0.23400000000000001</v>
      </c>
      <c r="R106" s="739">
        <v>0</v>
      </c>
      <c r="S106" s="739"/>
      <c r="T106" s="458"/>
      <c r="U106" s="523">
        <v>1.3</v>
      </c>
      <c r="V106" s="458">
        <v>0.5</v>
      </c>
      <c r="W106" s="458">
        <v>1</v>
      </c>
      <c r="X106" s="458"/>
      <c r="Y106" s="523">
        <v>2.9</v>
      </c>
      <c r="Z106" s="458">
        <v>0.7</v>
      </c>
      <c r="AA106" s="459">
        <v>1.5</v>
      </c>
      <c r="AB106" s="459">
        <v>2.2000000000000002</v>
      </c>
      <c r="AC106" s="522">
        <v>1.7</v>
      </c>
      <c r="AD106" s="458">
        <v>5</v>
      </c>
      <c r="AE106" s="458">
        <v>1</v>
      </c>
      <c r="AF106" s="458">
        <v>3</v>
      </c>
      <c r="AG106" s="523">
        <v>3</v>
      </c>
      <c r="AH106" s="458">
        <v>0</v>
      </c>
      <c r="AI106" s="987">
        <v>15</v>
      </c>
      <c r="AJ106" s="987">
        <v>26</v>
      </c>
      <c r="AK106" s="1038">
        <v>33</v>
      </c>
      <c r="AL106" s="1039">
        <v>2</v>
      </c>
      <c r="AM106" s="987">
        <v>4</v>
      </c>
      <c r="AN106" s="987">
        <v>12</v>
      </c>
      <c r="AO106" s="1038">
        <v>14</v>
      </c>
      <c r="AP106" s="1039">
        <v>2</v>
      </c>
      <c r="AQ106" s="987">
        <v>2</v>
      </c>
      <c r="AR106" s="987">
        <v>6</v>
      </c>
      <c r="AS106" s="1038">
        <v>8</v>
      </c>
      <c r="AT106" s="1039">
        <v>1</v>
      </c>
      <c r="AU106" s="987">
        <v>3</v>
      </c>
      <c r="AV106" s="987">
        <v>10</v>
      </c>
      <c r="AW106" s="1038">
        <v>10</v>
      </c>
      <c r="AX106" s="1039">
        <v>1</v>
      </c>
      <c r="AY106" s="457">
        <v>1</v>
      </c>
      <c r="AZ106" s="457">
        <v>7</v>
      </c>
      <c r="BA106" s="1000">
        <v>16</v>
      </c>
      <c r="BB106" s="832">
        <v>13</v>
      </c>
      <c r="BC106" s="457">
        <v>21</v>
      </c>
      <c r="BD106" s="457">
        <v>16</v>
      </c>
      <c r="BE106" s="521">
        <v>49</v>
      </c>
      <c r="BF106" s="832">
        <v>11</v>
      </c>
      <c r="BG106" s="1384">
        <v>24</v>
      </c>
      <c r="BH106" s="1438">
        <v>35</v>
      </c>
      <c r="BI106" s="521">
        <v>46</v>
      </c>
      <c r="BJ106" s="832">
        <v>12</v>
      </c>
      <c r="BK106" s="1384">
        <v>23</v>
      </c>
      <c r="BL106" s="1384">
        <v>33</v>
      </c>
      <c r="BM106" s="521">
        <v>45</v>
      </c>
      <c r="BN106" s="832">
        <v>11</v>
      </c>
      <c r="BO106" s="1384">
        <v>22</v>
      </c>
      <c r="BP106" s="1384">
        <v>33</v>
      </c>
      <c r="BQ106" s="521">
        <v>113</v>
      </c>
      <c r="BR106" s="832">
        <v>93</v>
      </c>
      <c r="BS106" s="1384">
        <v>299</v>
      </c>
      <c r="BT106" s="1384">
        <v>454</v>
      </c>
      <c r="BU106" s="521">
        <v>777</v>
      </c>
      <c r="BV106" s="390"/>
      <c r="BW106" s="131"/>
      <c r="BX106" s="131"/>
      <c r="BY106" s="166"/>
      <c r="BZ106" s="390"/>
      <c r="CA106" s="131"/>
      <c r="CB106" s="131"/>
      <c r="CC106" s="166"/>
      <c r="CD106" s="285"/>
      <c r="CE106" s="847">
        <f>I106</f>
        <v>0</v>
      </c>
      <c r="CF106" s="53">
        <f>M106</f>
        <v>0</v>
      </c>
      <c r="CG106" s="53">
        <f>Q106</f>
        <v>0.23400000000000001</v>
      </c>
      <c r="CH106" s="53">
        <f>U106</f>
        <v>1.3</v>
      </c>
      <c r="CI106" s="138">
        <f>Y106</f>
        <v>2.9</v>
      </c>
      <c r="CJ106" s="138">
        <f>AC106</f>
        <v>1.7</v>
      </c>
      <c r="CK106" s="53">
        <f>AG106</f>
        <v>3</v>
      </c>
      <c r="CL106" s="35">
        <f>AK106</f>
        <v>33</v>
      </c>
      <c r="CM106" s="35"/>
      <c r="CN106" s="35"/>
      <c r="CO106" s="35"/>
      <c r="CP106" s="35"/>
      <c r="CQ106" s="35"/>
      <c r="CR106" s="35"/>
      <c r="CS106" s="35"/>
      <c r="CT106" s="35"/>
      <c r="CU106" s="35"/>
      <c r="CV106" s="35"/>
      <c r="CW106" s="35"/>
      <c r="CX106" s="35"/>
      <c r="CY106" s="35"/>
      <c r="CZ106" s="35"/>
      <c r="DA106" s="35"/>
      <c r="DB106" s="35"/>
      <c r="DC106" s="35"/>
      <c r="DD106" s="66"/>
      <c r="DE106" s="174"/>
      <c r="DF106" s="29"/>
      <c r="DG106" s="29"/>
      <c r="DH106" s="29"/>
      <c r="DI106" s="29"/>
      <c r="DJ106" s="29"/>
      <c r="DK106" s="29"/>
      <c r="DL106" s="29"/>
      <c r="DM106" s="29"/>
      <c r="DN106" s="29"/>
      <c r="DO106" s="29"/>
      <c r="DP106" s="29"/>
      <c r="DQ106" s="29"/>
      <c r="DR106" s="29"/>
      <c r="DS106" s="29"/>
      <c r="DT106" s="29"/>
      <c r="DU106" s="29"/>
      <c r="DV106" s="29"/>
      <c r="DW106" s="29"/>
    </row>
    <row r="107" spans="1:138">
      <c r="A107" s="320"/>
      <c r="B107" s="270" t="s">
        <v>688</v>
      </c>
      <c r="C107" s="264"/>
      <c r="D107" s="264"/>
      <c r="E107" s="12"/>
      <c r="F107" s="845">
        <v>0.16200000000000001</v>
      </c>
      <c r="G107" s="780">
        <v>1.089</v>
      </c>
      <c r="H107" s="780">
        <v>1.5189999999999999</v>
      </c>
      <c r="I107" s="846">
        <v>1.5</v>
      </c>
      <c r="J107" s="845">
        <v>0.68899999999999995</v>
      </c>
      <c r="K107" s="780">
        <v>1.0149999999999999</v>
      </c>
      <c r="L107" s="780">
        <v>1.843</v>
      </c>
      <c r="M107" s="523">
        <v>2</v>
      </c>
      <c r="N107" s="739">
        <v>0.95299999999999996</v>
      </c>
      <c r="O107" s="739">
        <v>1.6879999999999999</v>
      </c>
      <c r="P107" s="458">
        <v>2.6459999999999999</v>
      </c>
      <c r="Q107" s="523">
        <v>3.5</v>
      </c>
      <c r="R107" s="739">
        <v>0.4</v>
      </c>
      <c r="S107" s="739"/>
      <c r="T107" s="458"/>
      <c r="U107" s="523">
        <v>3.1</v>
      </c>
      <c r="V107" s="458">
        <v>0.6</v>
      </c>
      <c r="W107" s="458">
        <v>1.1000000000000001</v>
      </c>
      <c r="X107" s="458"/>
      <c r="Y107" s="523">
        <v>4.9000000000000004</v>
      </c>
      <c r="Z107" s="458">
        <v>1.7</v>
      </c>
      <c r="AA107" s="459">
        <v>2.8</v>
      </c>
      <c r="AB107" s="459">
        <v>4.5</v>
      </c>
      <c r="AC107" s="522">
        <v>4.9000000000000004</v>
      </c>
      <c r="AD107" s="458">
        <v>2</v>
      </c>
      <c r="AE107" s="458">
        <v>5</v>
      </c>
      <c r="AF107" s="458">
        <v>8</v>
      </c>
      <c r="AG107" s="523">
        <v>8</v>
      </c>
      <c r="AH107" s="458">
        <v>2</v>
      </c>
      <c r="AI107" s="987">
        <v>7</v>
      </c>
      <c r="AJ107" s="987">
        <v>10</v>
      </c>
      <c r="AK107" s="1038">
        <v>11</v>
      </c>
      <c r="AL107" s="1039">
        <v>5</v>
      </c>
      <c r="AM107" s="987">
        <v>7</v>
      </c>
      <c r="AN107" s="987">
        <v>10</v>
      </c>
      <c r="AO107" s="1038">
        <v>11</v>
      </c>
      <c r="AP107" s="1039">
        <v>0</v>
      </c>
      <c r="AQ107" s="987">
        <v>2</v>
      </c>
      <c r="AR107" s="987">
        <v>6</v>
      </c>
      <c r="AS107" s="1038">
        <v>7</v>
      </c>
      <c r="AT107" s="1039">
        <v>2</v>
      </c>
      <c r="AU107" s="987">
        <v>6</v>
      </c>
      <c r="AV107" s="987">
        <v>4</v>
      </c>
      <c r="AW107" s="1038">
        <v>6</v>
      </c>
      <c r="AX107" s="1039">
        <v>2</v>
      </c>
      <c r="AY107" s="457">
        <v>8</v>
      </c>
      <c r="AZ107" s="457">
        <v>10</v>
      </c>
      <c r="BA107" s="1000">
        <v>22</v>
      </c>
      <c r="BB107" s="832">
        <v>37</v>
      </c>
      <c r="BC107" s="457">
        <v>95</v>
      </c>
      <c r="BD107" s="457">
        <v>122</v>
      </c>
      <c r="BE107" s="521">
        <v>146</v>
      </c>
      <c r="BF107" s="832">
        <v>63</v>
      </c>
      <c r="BG107" s="1384">
        <v>122</v>
      </c>
      <c r="BH107" s="1438">
        <v>138</v>
      </c>
      <c r="BI107" s="521">
        <v>141</v>
      </c>
      <c r="BJ107" s="832">
        <v>10</v>
      </c>
      <c r="BK107" s="1384">
        <v>-45</v>
      </c>
      <c r="BL107" s="1384">
        <v>39</v>
      </c>
      <c r="BM107" s="521">
        <v>47</v>
      </c>
      <c r="BN107" s="832">
        <v>8</v>
      </c>
      <c r="BO107" s="1384">
        <v>21</v>
      </c>
      <c r="BP107" s="1384">
        <v>38</v>
      </c>
      <c r="BQ107" s="521">
        <v>26</v>
      </c>
      <c r="BR107" s="832">
        <v>18</v>
      </c>
      <c r="BS107" s="1384">
        <v>43</v>
      </c>
      <c r="BT107" s="1384">
        <v>117</v>
      </c>
      <c r="BU107" s="521">
        <v>184</v>
      </c>
      <c r="BV107" s="390"/>
      <c r="BW107" s="131"/>
      <c r="BX107" s="131"/>
      <c r="BY107" s="166"/>
      <c r="BZ107" s="390"/>
      <c r="CA107" s="131"/>
      <c r="CB107" s="131"/>
      <c r="CC107" s="166"/>
      <c r="CD107" s="285"/>
      <c r="CE107" s="847">
        <f>I107</f>
        <v>1.5</v>
      </c>
      <c r="CF107" s="53">
        <f>M107</f>
        <v>2</v>
      </c>
      <c r="CG107" s="53">
        <f>Q107</f>
        <v>3.5</v>
      </c>
      <c r="CH107" s="53">
        <f>U107</f>
        <v>3.1</v>
      </c>
      <c r="CI107" s="138">
        <f>Y107</f>
        <v>4.9000000000000004</v>
      </c>
      <c r="CJ107" s="138">
        <f>AC107</f>
        <v>4.9000000000000004</v>
      </c>
      <c r="CK107" s="53">
        <f>AG107</f>
        <v>8</v>
      </c>
      <c r="CL107" s="35">
        <f>AK107</f>
        <v>11</v>
      </c>
      <c r="CM107" s="35"/>
      <c r="CN107" s="35"/>
      <c r="CO107" s="35"/>
      <c r="CP107" s="35"/>
      <c r="CQ107" s="35"/>
      <c r="CR107" s="35"/>
      <c r="CS107" s="35"/>
      <c r="CT107" s="35"/>
      <c r="CU107" s="35"/>
      <c r="CV107" s="35"/>
      <c r="CW107" s="35"/>
      <c r="CX107" s="35"/>
      <c r="CY107" s="35"/>
      <c r="CZ107" s="35"/>
      <c r="DA107" s="35"/>
      <c r="DB107" s="35"/>
      <c r="DC107" s="35"/>
      <c r="DD107" s="66"/>
      <c r="DE107" s="174"/>
      <c r="DF107" s="29"/>
      <c r="DG107" s="29"/>
      <c r="DH107" s="29"/>
      <c r="DI107" s="29"/>
      <c r="DJ107" s="29"/>
      <c r="DK107" s="29"/>
      <c r="DL107" s="29"/>
      <c r="DM107" s="29"/>
      <c r="DN107" s="29"/>
      <c r="DO107" s="29"/>
      <c r="DP107" s="29"/>
      <c r="DQ107" s="29"/>
      <c r="DR107" s="29"/>
      <c r="DS107" s="29"/>
      <c r="DT107" s="29"/>
      <c r="DU107" s="29"/>
      <c r="DV107" s="29"/>
      <c r="DW107" s="29"/>
    </row>
    <row r="108" spans="1:138" ht="3.75" customHeight="1">
      <c r="A108" s="320"/>
      <c r="B108" s="282"/>
      <c r="C108" s="283"/>
      <c r="D108" s="283"/>
      <c r="E108" s="129"/>
      <c r="F108" s="45"/>
      <c r="G108" s="45"/>
      <c r="H108" s="45"/>
      <c r="I108" s="129"/>
      <c r="J108" s="45"/>
      <c r="K108" s="45"/>
      <c r="L108" s="45"/>
      <c r="M108" s="129"/>
      <c r="N108" s="45"/>
      <c r="O108" s="45"/>
      <c r="P108" s="45"/>
      <c r="Q108" s="129"/>
      <c r="R108" s="45"/>
      <c r="S108" s="45"/>
      <c r="T108" s="45"/>
      <c r="U108" s="129"/>
      <c r="V108" s="45"/>
      <c r="W108" s="45"/>
      <c r="X108" s="45"/>
      <c r="Y108" s="129"/>
      <c r="Z108" s="394"/>
      <c r="AA108" s="284"/>
      <c r="AB108" s="284"/>
      <c r="AC108" s="392"/>
      <c r="AD108" s="394"/>
      <c r="AE108" s="284"/>
      <c r="AF108" s="284"/>
      <c r="AG108" s="392"/>
      <c r="AH108" s="394"/>
      <c r="AI108" s="284"/>
      <c r="AJ108" s="284"/>
      <c r="AK108" s="392"/>
      <c r="AL108" s="394"/>
      <c r="AM108" s="284"/>
      <c r="AN108" s="284"/>
      <c r="AO108" s="392"/>
      <c r="AP108" s="394"/>
      <c r="AQ108" s="284"/>
      <c r="AR108" s="284"/>
      <c r="AS108" s="392"/>
      <c r="AT108" s="394"/>
      <c r="AU108" s="284"/>
      <c r="AV108" s="284"/>
      <c r="AW108" s="392"/>
      <c r="AX108" s="394"/>
      <c r="AY108" s="284"/>
      <c r="AZ108" s="284"/>
      <c r="BA108" s="392"/>
      <c r="BB108" s="394"/>
      <c r="BC108" s="284"/>
      <c r="BD108" s="284"/>
      <c r="BE108" s="392"/>
      <c r="BF108" s="394"/>
      <c r="BG108" s="284"/>
      <c r="BH108" s="284"/>
      <c r="BI108" s="392"/>
      <c r="BJ108" s="394"/>
      <c r="BK108" s="284"/>
      <c r="BL108" s="284"/>
      <c r="BM108" s="392"/>
      <c r="BN108" s="394"/>
      <c r="BO108" s="284"/>
      <c r="BP108" s="284"/>
      <c r="BQ108" s="392"/>
      <c r="BR108" s="394"/>
      <c r="BS108" s="284"/>
      <c r="BT108" s="284"/>
      <c r="BU108" s="392"/>
      <c r="BV108" s="394"/>
      <c r="BW108" s="284"/>
      <c r="BX108" s="284"/>
      <c r="BY108" s="392"/>
      <c r="BZ108" s="394"/>
      <c r="CA108" s="284"/>
      <c r="CB108" s="284"/>
      <c r="CC108" s="392"/>
      <c r="CD108" s="285"/>
      <c r="CE108" s="99"/>
      <c r="CF108" s="99"/>
      <c r="CG108" s="99"/>
      <c r="CH108" s="99"/>
      <c r="CI108" s="99"/>
      <c r="CJ108" s="99"/>
      <c r="CK108" s="99"/>
      <c r="CL108" s="99"/>
      <c r="CM108" s="99"/>
      <c r="CN108" s="99"/>
      <c r="CO108" s="99"/>
      <c r="CP108" s="99"/>
      <c r="CQ108" s="99"/>
      <c r="CR108" s="99"/>
      <c r="CS108" s="99"/>
      <c r="CT108" s="99"/>
      <c r="CU108" s="99"/>
      <c r="CV108" s="99"/>
      <c r="CW108" s="99"/>
      <c r="CX108" s="99"/>
      <c r="CY108" s="99"/>
      <c r="CZ108" s="99"/>
      <c r="DA108" s="99"/>
      <c r="DB108" s="99"/>
      <c r="DC108" s="99"/>
      <c r="DD108" s="100"/>
      <c r="DE108" s="174"/>
      <c r="DF108" s="29"/>
      <c r="DG108" s="29"/>
      <c r="DH108" s="29"/>
      <c r="DI108" s="29"/>
      <c r="DJ108" s="29"/>
      <c r="DK108" s="29"/>
      <c r="DL108" s="29"/>
      <c r="DM108" s="29"/>
      <c r="DN108" s="29"/>
      <c r="DO108" s="29"/>
      <c r="DP108" s="29"/>
      <c r="DQ108" s="29"/>
      <c r="DR108" s="29"/>
      <c r="DS108" s="29"/>
      <c r="DT108" s="29"/>
      <c r="DU108" s="29"/>
      <c r="DV108" s="29"/>
      <c r="DW108" s="29"/>
    </row>
    <row r="109" spans="1:138">
      <c r="A109" s="320"/>
      <c r="B109" s="264"/>
      <c r="C109" s="264"/>
      <c r="D109" s="264"/>
      <c r="E109" s="11"/>
      <c r="F109" s="11"/>
      <c r="G109" s="11"/>
      <c r="H109" s="11"/>
      <c r="I109" s="11"/>
      <c r="J109" s="11"/>
      <c r="K109" s="11"/>
      <c r="L109" s="11"/>
      <c r="M109" s="11"/>
      <c r="N109" s="11"/>
      <c r="O109" s="11"/>
      <c r="P109" s="11"/>
      <c r="Q109" s="11"/>
      <c r="R109" s="11"/>
      <c r="S109" s="11"/>
      <c r="T109" s="11"/>
      <c r="U109" s="11"/>
      <c r="V109" s="35"/>
      <c r="W109" s="35"/>
      <c r="X109" s="35"/>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1"/>
      <c r="BF109" s="131"/>
      <c r="BG109" s="131"/>
      <c r="BH109" s="131"/>
      <c r="BI109" s="131"/>
      <c r="BJ109" s="131"/>
      <c r="BK109" s="131"/>
      <c r="BL109" s="131"/>
      <c r="BM109" s="131"/>
      <c r="BN109" s="131"/>
      <c r="BO109" s="131"/>
      <c r="BP109" s="131"/>
      <c r="BQ109" s="131"/>
      <c r="BR109" s="131"/>
      <c r="BS109" s="131"/>
      <c r="BT109" s="131"/>
      <c r="BU109" s="131"/>
      <c r="BV109" s="131"/>
      <c r="BW109" s="131"/>
      <c r="BX109" s="131"/>
      <c r="BY109" s="131"/>
      <c r="BZ109" s="131"/>
      <c r="CA109" s="131"/>
      <c r="CB109" s="131"/>
      <c r="CC109" s="131"/>
      <c r="CD109" s="179"/>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29"/>
      <c r="DG109" s="29"/>
      <c r="DH109" s="29"/>
      <c r="DI109" s="29"/>
      <c r="DJ109" s="29"/>
      <c r="DK109" s="29"/>
      <c r="DL109" s="29"/>
      <c r="DM109" s="29"/>
      <c r="DN109" s="29"/>
      <c r="DO109" s="29"/>
      <c r="DP109" s="29"/>
      <c r="DQ109" s="29"/>
      <c r="DR109" s="29"/>
      <c r="DS109" s="29"/>
      <c r="DT109" s="29"/>
      <c r="DU109" s="29"/>
      <c r="DV109" s="29"/>
      <c r="DW109" s="29"/>
    </row>
    <row r="110" spans="1:138">
      <c r="A110" s="320"/>
      <c r="B110" s="271"/>
      <c r="C110" s="271"/>
      <c r="D110" s="271"/>
      <c r="E110" s="11"/>
      <c r="F110" s="11"/>
      <c r="G110" s="11"/>
      <c r="H110" s="11"/>
      <c r="I110" s="11"/>
      <c r="J110" s="11"/>
      <c r="K110" s="11"/>
      <c r="L110" s="11"/>
      <c r="M110" s="11"/>
      <c r="N110" s="11"/>
      <c r="O110" s="11"/>
      <c r="P110" s="11"/>
      <c r="Q110" s="11"/>
      <c r="R110" s="11"/>
      <c r="S110" s="11"/>
      <c r="T110" s="11"/>
      <c r="U110" s="11"/>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3"/>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29"/>
      <c r="DG110" s="29"/>
      <c r="DH110" s="29"/>
      <c r="DI110" s="29"/>
      <c r="DJ110" s="29"/>
      <c r="DK110" s="29"/>
      <c r="DL110" s="29"/>
      <c r="DM110" s="29"/>
      <c r="DN110" s="29"/>
      <c r="DO110" s="29"/>
      <c r="DP110" s="29"/>
      <c r="DQ110" s="29"/>
      <c r="DR110" s="29"/>
      <c r="DS110" s="29"/>
      <c r="DT110" s="29"/>
      <c r="DU110" s="29"/>
      <c r="DV110" s="29"/>
      <c r="DW110" s="29"/>
    </row>
    <row r="111" spans="1:138">
      <c r="A111" s="321" t="s">
        <v>25</v>
      </c>
      <c r="B111" s="234" t="s">
        <v>75</v>
      </c>
      <c r="C111" s="235"/>
      <c r="D111" s="236"/>
      <c r="E111" s="236"/>
      <c r="F111" s="235"/>
      <c r="G111" s="235"/>
      <c r="H111" s="235"/>
      <c r="I111" s="236"/>
      <c r="J111" s="235"/>
      <c r="K111" s="235"/>
      <c r="L111" s="235"/>
      <c r="M111" s="236"/>
      <c r="N111" s="235"/>
      <c r="O111" s="235"/>
      <c r="P111" s="235"/>
      <c r="Q111" s="236"/>
      <c r="R111" s="235"/>
      <c r="S111" s="235"/>
      <c r="T111" s="235"/>
      <c r="U111" s="236"/>
      <c r="V111" s="279"/>
      <c r="W111" s="280"/>
      <c r="X111" s="280"/>
      <c r="Y111" s="236"/>
      <c r="Z111" s="279"/>
      <c r="AA111" s="280"/>
      <c r="AB111" s="280"/>
      <c r="AC111" s="236"/>
      <c r="AD111" s="279"/>
      <c r="AE111" s="280"/>
      <c r="AF111" s="280"/>
      <c r="AG111" s="236"/>
      <c r="AH111" s="279"/>
      <c r="AI111" s="280"/>
      <c r="AJ111" s="280"/>
      <c r="AK111" s="236"/>
      <c r="AL111" s="279"/>
      <c r="AM111" s="280"/>
      <c r="AN111" s="280"/>
      <c r="AO111" s="236"/>
      <c r="AP111" s="279"/>
      <c r="AQ111" s="280"/>
      <c r="AR111" s="280"/>
      <c r="AS111" s="281"/>
      <c r="AT111" s="279"/>
      <c r="AU111" s="280"/>
      <c r="AV111" s="280"/>
      <c r="AW111" s="281"/>
      <c r="AX111" s="279"/>
      <c r="AY111" s="280"/>
      <c r="AZ111" s="280"/>
      <c r="BA111" s="281"/>
      <c r="BB111" s="279"/>
      <c r="BC111" s="280"/>
      <c r="BD111" s="280"/>
      <c r="BE111" s="281"/>
      <c r="BF111" s="279"/>
      <c r="BG111" s="280"/>
      <c r="BH111" s="280"/>
      <c r="BI111" s="281"/>
      <c r="BJ111" s="279"/>
      <c r="BK111" s="280"/>
      <c r="BL111" s="280"/>
      <c r="BM111" s="281"/>
      <c r="BN111" s="279"/>
      <c r="BO111" s="280"/>
      <c r="BP111" s="280"/>
      <c r="BQ111" s="281"/>
      <c r="BR111" s="279"/>
      <c r="BS111" s="280"/>
      <c r="BT111" s="280"/>
      <c r="BU111" s="281"/>
      <c r="BV111" s="279"/>
      <c r="BW111" s="280"/>
      <c r="BX111" s="280"/>
      <c r="BY111" s="281"/>
      <c r="BZ111" s="279"/>
      <c r="CA111" s="280"/>
      <c r="CB111" s="280"/>
      <c r="CC111" s="281"/>
      <c r="CD111" s="115"/>
      <c r="CE111" s="554"/>
      <c r="CF111" s="554"/>
      <c r="CG111" s="554"/>
      <c r="CH111" s="554"/>
      <c r="CI111" s="288"/>
      <c r="CJ111" s="288"/>
      <c r="CK111" s="288"/>
      <c r="CL111" s="288"/>
      <c r="CM111" s="288"/>
      <c r="CN111" s="786"/>
      <c r="CO111" s="786"/>
      <c r="CP111" s="786"/>
      <c r="CQ111" s="786"/>
      <c r="CR111" s="786"/>
      <c r="CS111" s="1277"/>
      <c r="CT111" s="1277"/>
      <c r="CU111" s="1542"/>
      <c r="CV111" s="1542"/>
      <c r="CW111" s="1542"/>
      <c r="CX111" s="1542"/>
      <c r="CY111" s="1542"/>
      <c r="CZ111" s="1542"/>
      <c r="DA111" s="1277"/>
      <c r="DB111" s="1277"/>
      <c r="DC111" s="1277"/>
      <c r="DD111" s="1542"/>
      <c r="DE111" s="35"/>
      <c r="DF111" s="91"/>
      <c r="DG111" s="29"/>
      <c r="DH111" s="24"/>
      <c r="DI111" s="727"/>
      <c r="DJ111" s="727"/>
      <c r="DK111" s="727"/>
      <c r="DL111" s="727"/>
      <c r="DM111" s="727"/>
      <c r="DN111" s="108"/>
      <c r="DO111" s="108"/>
      <c r="DP111" s="108"/>
      <c r="DQ111" s="108"/>
      <c r="DR111" s="108"/>
      <c r="DS111" s="108"/>
      <c r="DT111" s="108"/>
      <c r="DU111" s="108"/>
      <c r="DV111" s="108"/>
      <c r="DW111" s="108"/>
    </row>
    <row r="112" spans="1:138" ht="3" customHeight="1">
      <c r="A112" s="320"/>
      <c r="B112" s="356"/>
      <c r="C112" s="357"/>
      <c r="D112" s="357"/>
      <c r="E112" s="395"/>
      <c r="F112" s="357"/>
      <c r="G112" s="357"/>
      <c r="H112" s="357"/>
      <c r="I112" s="395"/>
      <c r="J112" s="357"/>
      <c r="K112" s="357"/>
      <c r="L112" s="357"/>
      <c r="M112" s="395"/>
      <c r="N112" s="357"/>
      <c r="O112" s="357"/>
      <c r="P112" s="357"/>
      <c r="Q112" s="395"/>
      <c r="R112" s="357"/>
      <c r="S112" s="357"/>
      <c r="T112" s="357"/>
      <c r="U112" s="395"/>
      <c r="V112" s="396"/>
      <c r="W112" s="358"/>
      <c r="X112" s="358"/>
      <c r="Y112" s="395"/>
      <c r="Z112" s="88"/>
      <c r="AA112" s="89"/>
      <c r="AB112" s="89"/>
      <c r="AC112" s="395"/>
      <c r="AD112" s="88"/>
      <c r="AE112" s="89"/>
      <c r="AF112" s="89"/>
      <c r="AG112" s="395"/>
      <c r="AH112" s="88"/>
      <c r="AI112" s="89"/>
      <c r="AJ112" s="89"/>
      <c r="AK112" s="395"/>
      <c r="AL112" s="88"/>
      <c r="AM112" s="89"/>
      <c r="AN112" s="89"/>
      <c r="AO112" s="395"/>
      <c r="AP112" s="88"/>
      <c r="AQ112" s="89"/>
      <c r="AR112" s="89"/>
      <c r="AS112" s="90"/>
      <c r="AT112" s="88"/>
      <c r="AU112" s="89"/>
      <c r="AV112" s="89"/>
      <c r="AW112" s="90"/>
      <c r="AX112" s="88"/>
      <c r="AY112" s="89"/>
      <c r="AZ112" s="89"/>
      <c r="BA112" s="90"/>
      <c r="BB112" s="88"/>
      <c r="BC112" s="89"/>
      <c r="BD112" s="89"/>
      <c r="BE112" s="90"/>
      <c r="BF112" s="88"/>
      <c r="BG112" s="89"/>
      <c r="BH112" s="89"/>
      <c r="BI112" s="90"/>
      <c r="BJ112" s="88"/>
      <c r="BK112" s="89"/>
      <c r="BL112" s="89"/>
      <c r="BM112" s="90"/>
      <c r="BN112" s="88"/>
      <c r="BO112" s="89"/>
      <c r="BP112" s="89"/>
      <c r="BQ112" s="90"/>
      <c r="BR112" s="88"/>
      <c r="BS112" s="89"/>
      <c r="BT112" s="89"/>
      <c r="BU112" s="90"/>
      <c r="BV112" s="88"/>
      <c r="BW112" s="89"/>
      <c r="BX112" s="89"/>
      <c r="BY112" s="90"/>
      <c r="BZ112" s="88"/>
      <c r="CA112" s="89"/>
      <c r="CB112" s="89"/>
      <c r="CC112" s="90"/>
      <c r="CD112" s="117"/>
      <c r="CE112" s="89"/>
      <c r="CF112" s="89"/>
      <c r="CG112" s="89"/>
      <c r="CH112" s="89"/>
      <c r="CI112" s="89"/>
      <c r="CJ112" s="89"/>
      <c r="CK112" s="89"/>
      <c r="CL112" s="89"/>
      <c r="CM112" s="89"/>
      <c r="CN112" s="89"/>
      <c r="CO112" s="89"/>
      <c r="CP112" s="89"/>
      <c r="CQ112" s="89"/>
      <c r="CR112" s="89"/>
      <c r="CS112" s="89"/>
      <c r="CT112" s="89"/>
      <c r="CU112" s="89"/>
      <c r="CV112" s="89"/>
      <c r="CW112" s="89"/>
      <c r="CX112" s="89"/>
      <c r="CY112" s="89"/>
      <c r="CZ112" s="89"/>
      <c r="DA112" s="89"/>
      <c r="DB112" s="89"/>
      <c r="DC112" s="89"/>
      <c r="DD112" s="90"/>
      <c r="DE112" s="35"/>
      <c r="DF112" s="89"/>
      <c r="DG112" s="29"/>
      <c r="DH112" s="91"/>
      <c r="DI112" s="91"/>
      <c r="DJ112" s="91"/>
      <c r="DK112" s="91"/>
      <c r="DL112" s="91"/>
      <c r="DM112" s="91"/>
      <c r="DN112" s="29"/>
      <c r="DO112" s="29"/>
      <c r="DP112" s="29"/>
      <c r="DQ112" s="29"/>
      <c r="DR112" s="29"/>
      <c r="DS112" s="29"/>
      <c r="DT112" s="29"/>
      <c r="DU112" s="29"/>
      <c r="DV112" s="29"/>
      <c r="DW112" s="29"/>
    </row>
    <row r="113" spans="1:133">
      <c r="A113" s="320"/>
      <c r="B113" s="232" t="s">
        <v>609</v>
      </c>
      <c r="C113" s="193"/>
      <c r="D113" s="193"/>
      <c r="E113" s="194"/>
      <c r="F113" s="193"/>
      <c r="G113" s="193"/>
      <c r="H113" s="193"/>
      <c r="I113" s="194"/>
      <c r="J113" s="193"/>
      <c r="K113" s="193"/>
      <c r="L113" s="193"/>
      <c r="M113" s="194"/>
      <c r="N113" s="193"/>
      <c r="O113" s="193"/>
      <c r="P113" s="193"/>
      <c r="Q113" s="194"/>
      <c r="R113" s="193"/>
      <c r="S113" s="193"/>
      <c r="T113" s="193"/>
      <c r="U113" s="194"/>
      <c r="V113" s="317"/>
      <c r="W113" s="318"/>
      <c r="X113" s="318"/>
      <c r="Y113" s="194"/>
      <c r="Z113" s="317"/>
      <c r="AA113" s="318"/>
      <c r="AB113" s="318"/>
      <c r="AC113" s="194"/>
      <c r="AD113" s="317"/>
      <c r="AE113" s="318"/>
      <c r="AF113" s="318"/>
      <c r="AG113" s="194"/>
      <c r="AH113" s="317"/>
      <c r="AI113" s="318"/>
      <c r="AJ113" s="318"/>
      <c r="AK113" s="194"/>
      <c r="AL113" s="317"/>
      <c r="AM113" s="318"/>
      <c r="AN113" s="318"/>
      <c r="AO113" s="194"/>
      <c r="AP113" s="317"/>
      <c r="AQ113" s="318"/>
      <c r="AR113" s="318"/>
      <c r="AS113" s="359"/>
      <c r="AT113" s="317"/>
      <c r="AU113" s="318"/>
      <c r="AV113" s="318"/>
      <c r="AW113" s="359"/>
      <c r="AX113" s="317"/>
      <c r="AY113" s="318"/>
      <c r="AZ113" s="318"/>
      <c r="BA113" s="359"/>
      <c r="BB113" s="317"/>
      <c r="BC113" s="318"/>
      <c r="BD113" s="318"/>
      <c r="BE113" s="359"/>
      <c r="BF113" s="317"/>
      <c r="BG113" s="318"/>
      <c r="BH113" s="318"/>
      <c r="BI113" s="359"/>
      <c r="BJ113" s="317"/>
      <c r="BK113" s="318"/>
      <c r="BL113" s="318"/>
      <c r="BM113" s="359"/>
      <c r="BN113" s="317"/>
      <c r="BO113" s="318"/>
      <c r="BP113" s="318"/>
      <c r="BQ113" s="359"/>
      <c r="BR113" s="317"/>
      <c r="BS113" s="318"/>
      <c r="BT113" s="318"/>
      <c r="BU113" s="359"/>
      <c r="BV113" s="317"/>
      <c r="BW113" s="318"/>
      <c r="BX113" s="318"/>
      <c r="BY113" s="359"/>
      <c r="BZ113" s="317"/>
      <c r="CA113" s="318"/>
      <c r="CB113" s="318"/>
      <c r="CC113" s="359"/>
      <c r="CD113" s="115"/>
      <c r="CE113" s="318"/>
      <c r="CF113" s="318"/>
      <c r="CG113" s="318"/>
      <c r="CH113" s="318"/>
      <c r="CI113" s="318"/>
      <c r="CJ113" s="318"/>
      <c r="CK113" s="318"/>
      <c r="CL113" s="318"/>
      <c r="CM113" s="318"/>
      <c r="CN113" s="318"/>
      <c r="CO113" s="318"/>
      <c r="CP113" s="318"/>
      <c r="CQ113" s="318"/>
      <c r="CR113" s="318"/>
      <c r="CS113" s="318"/>
      <c r="CT113" s="318"/>
      <c r="CU113" s="318"/>
      <c r="CV113" s="318"/>
      <c r="CW113" s="318"/>
      <c r="CX113" s="318"/>
      <c r="CY113" s="318"/>
      <c r="CZ113" s="318"/>
      <c r="DA113" s="318"/>
      <c r="DB113" s="318"/>
      <c r="DC113" s="318"/>
      <c r="DD113" s="359"/>
      <c r="DE113" s="35"/>
      <c r="DF113" s="29"/>
      <c r="DG113" s="29"/>
      <c r="DH113" s="91"/>
      <c r="DI113" s="29"/>
      <c r="DJ113" s="29"/>
      <c r="DK113" s="29"/>
      <c r="DL113" s="29"/>
      <c r="DM113" s="91"/>
      <c r="DN113" s="29"/>
      <c r="DO113" s="29"/>
      <c r="DP113" s="29"/>
      <c r="DQ113" s="29"/>
      <c r="DR113" s="29"/>
      <c r="DS113" s="29"/>
      <c r="DT113" s="29"/>
      <c r="DU113" s="29"/>
      <c r="DV113" s="29"/>
      <c r="DW113" s="29"/>
    </row>
    <row r="114" spans="1:133">
      <c r="A114" s="320"/>
      <c r="B114" s="208"/>
      <c r="C114" s="196" t="s">
        <v>272</v>
      </c>
      <c r="D114" s="196"/>
      <c r="E114" s="197"/>
      <c r="F114" s="845"/>
      <c r="G114" s="780"/>
      <c r="H114" s="780"/>
      <c r="I114" s="846"/>
      <c r="J114" s="491">
        <f>IS!J71</f>
        <v>-0.20599999999998886</v>
      </c>
      <c r="K114" s="487">
        <f>IS!K71</f>
        <v>12.851999999999933</v>
      </c>
      <c r="L114" s="487">
        <f>IS!L71</f>
        <v>18.051714340718149</v>
      </c>
      <c r="M114" s="488">
        <f>IS!M71</f>
        <v>17.228999999999971</v>
      </c>
      <c r="N114" s="491">
        <f>IS!N71</f>
        <v>25.285278737041608</v>
      </c>
      <c r="O114" s="487">
        <f>IS!O71</f>
        <v>76.041401891764636</v>
      </c>
      <c r="P114" s="487">
        <f>IS!P71</f>
        <v>57.088534776115623</v>
      </c>
      <c r="Q114" s="488">
        <f>IS!Q71</f>
        <v>46.904365616533511</v>
      </c>
      <c r="R114" s="491">
        <f>IS!R71</f>
        <v>4.9248834503210333</v>
      </c>
      <c r="S114" s="487">
        <f>IS!S71</f>
        <v>71.300000000000068</v>
      </c>
      <c r="T114" s="487">
        <f>IS!T71</f>
        <v>48.89097677325644</v>
      </c>
      <c r="U114" s="488">
        <f>IS!U71</f>
        <v>29.800184742957555</v>
      </c>
      <c r="V114" s="491">
        <f>IS!V71</f>
        <v>31.200000000000017</v>
      </c>
      <c r="W114" s="487">
        <f>IS!W71</f>
        <v>56.625081087970926</v>
      </c>
      <c r="X114" s="487">
        <f>IS!X71</f>
        <v>70.695537108473843</v>
      </c>
      <c r="Y114" s="488">
        <f>IS!Y71</f>
        <v>57.367057114279788</v>
      </c>
      <c r="Z114" s="491">
        <f>IS!Z71</f>
        <v>67.904952461412194</v>
      </c>
      <c r="AA114" s="487">
        <f>IS!AA71</f>
        <v>104.26742626372697</v>
      </c>
      <c r="AB114" s="487">
        <f>IS!AB71</f>
        <v>100.66998165864213</v>
      </c>
      <c r="AC114" s="488">
        <f>IS!AC71</f>
        <v>81.020633982265949</v>
      </c>
      <c r="AD114" s="491">
        <f>IS!AD71</f>
        <v>98.998833436121458</v>
      </c>
      <c r="AE114" s="487">
        <f>IS!AE71</f>
        <v>121.97001149535686</v>
      </c>
      <c r="AF114" s="487">
        <f>IS!AF71</f>
        <v>115.02977342464601</v>
      </c>
      <c r="AG114" s="488">
        <f>IS!AG71</f>
        <v>78.707774312504625</v>
      </c>
      <c r="AH114" s="491">
        <f>IS!AH71</f>
        <v>183.98857251304298</v>
      </c>
      <c r="AI114" s="487">
        <f>IS!AI71</f>
        <v>332.30360848767646</v>
      </c>
      <c r="AJ114" s="487">
        <f>IS!AJ71</f>
        <v>297.60684184863976</v>
      </c>
      <c r="AK114" s="488">
        <f>IS!AK71</f>
        <v>241.0649197251787</v>
      </c>
      <c r="AL114" s="491">
        <f>IS!AL71</f>
        <v>233.98976037078137</v>
      </c>
      <c r="AM114" s="487">
        <f>IS!AM71</f>
        <v>106.78772525634986</v>
      </c>
      <c r="AN114" s="487">
        <f>IS!AN71</f>
        <v>78.892006935091558</v>
      </c>
      <c r="AO114" s="488">
        <f>IS!AO71</f>
        <v>186.18657194384241</v>
      </c>
      <c r="AP114" s="491">
        <f>IS!AP71</f>
        <v>319.94885115999978</v>
      </c>
      <c r="AQ114" s="487">
        <f>IS!AQ71</f>
        <v>473.94007525000006</v>
      </c>
      <c r="AR114" s="487">
        <f>IS!AR71</f>
        <v>441.83925150000005</v>
      </c>
      <c r="AS114" s="488">
        <f>IS!AS71</f>
        <v>321.56533969848874</v>
      </c>
      <c r="AT114" s="491">
        <f>IS!AT71</f>
        <v>220.97132884299981</v>
      </c>
      <c r="AU114" s="487">
        <f>IS!AU71</f>
        <v>240.58216772499964</v>
      </c>
      <c r="AV114" s="487">
        <f>IS!AV71</f>
        <v>168.05312178269969</v>
      </c>
      <c r="AW114" s="488">
        <f>IS!AW71</f>
        <v>207.31393374718755</v>
      </c>
      <c r="AX114" s="491">
        <f>IS!AX71</f>
        <v>280.43461406480401</v>
      </c>
      <c r="AY114" s="487">
        <f>IS!AY71</f>
        <v>375.37867133650047</v>
      </c>
      <c r="AZ114" s="487">
        <f>IS!AZ71</f>
        <v>694.17196134369033</v>
      </c>
      <c r="BA114" s="488">
        <f>IS!BA71</f>
        <v>939.10029102005683</v>
      </c>
      <c r="BB114" s="491">
        <f>IS!BB71</f>
        <v>666.90000000000009</v>
      </c>
      <c r="BC114" s="487">
        <f>IS!BC71</f>
        <v>568.05549999999994</v>
      </c>
      <c r="BD114" s="487">
        <f>IS!BD71</f>
        <v>539.72000000000025</v>
      </c>
      <c r="BE114" s="488">
        <f>IS!BE71</f>
        <v>521.23799999999983</v>
      </c>
      <c r="BF114" s="491">
        <f>IS!BF71</f>
        <v>561.07020000000011</v>
      </c>
      <c r="BG114" s="487">
        <f>IS!BG71</f>
        <v>579.82400000000007</v>
      </c>
      <c r="BH114" s="487">
        <f>IS!BH71</f>
        <v>514.00799999999981</v>
      </c>
      <c r="BI114" s="488">
        <f>IS!BI71</f>
        <v>480.30999999999995</v>
      </c>
      <c r="BJ114" s="491">
        <f>IS!BJ71</f>
        <v>593.19399999999996</v>
      </c>
      <c r="BK114" s="487">
        <f>IS!BK71</f>
        <v>615.904</v>
      </c>
      <c r="BL114" s="487">
        <f>IS!BL71</f>
        <v>505.89599999999996</v>
      </c>
      <c r="BM114" s="488">
        <f>IS!BM71</f>
        <v>425.98249999999985</v>
      </c>
      <c r="BN114" s="491">
        <f>IS!BN71</f>
        <v>446.22499999999991</v>
      </c>
      <c r="BO114" s="487">
        <f>IS!BO71</f>
        <v>427.21249999999998</v>
      </c>
      <c r="BP114" s="487">
        <f>IS!BP71</f>
        <v>347.25999999999988</v>
      </c>
      <c r="BQ114" s="488">
        <f>IS!BQ71</f>
        <v>450.73</v>
      </c>
      <c r="BR114" s="491">
        <f>IS!BR71</f>
        <v>735.55600000000004</v>
      </c>
      <c r="BS114" s="487">
        <f>IS!BS71</f>
        <v>994.85299999999984</v>
      </c>
      <c r="BT114" s="487">
        <f>IS!BT71</f>
        <v>1015.076</v>
      </c>
      <c r="BU114" s="488">
        <f>IS!BU71</f>
        <v>1186.0769999999998</v>
      </c>
      <c r="BV114" s="491">
        <f>IS!BV71</f>
        <v>1372.8649999999998</v>
      </c>
      <c r="BW114" s="487">
        <f>IS!BW71</f>
        <v>1441.3600000000001</v>
      </c>
      <c r="BX114" s="487">
        <f>IS!BX71</f>
        <v>1241.8385741999996</v>
      </c>
      <c r="BY114" s="488">
        <f>IS!BY71</f>
        <v>1127.6717944291802</v>
      </c>
      <c r="BZ114" s="491">
        <f>IS!BZ71</f>
        <v>1154.2926429942599</v>
      </c>
      <c r="CA114" s="487">
        <f>IS!CA71</f>
        <v>1065.9026384629315</v>
      </c>
      <c r="CB114" s="487">
        <f>IS!CB71</f>
        <v>888.27209659314985</v>
      </c>
      <c r="CC114" s="488">
        <f>IS!CC71</f>
        <v>834.03242263642107</v>
      </c>
      <c r="CD114" s="115"/>
      <c r="CE114" s="913" t="s">
        <v>687</v>
      </c>
      <c r="CF114" s="487">
        <f>IS!CF71</f>
        <v>47.926714340718235</v>
      </c>
      <c r="CG114" s="487">
        <f>IS!CG71</f>
        <v>205.31958102145597</v>
      </c>
      <c r="CH114" s="487">
        <f>IS!CH71</f>
        <v>154.91604496653451</v>
      </c>
      <c r="CI114" s="487">
        <f>IS!CI71</f>
        <v>215.88767531072438</v>
      </c>
      <c r="CJ114" s="487">
        <f>IS!CJ71</f>
        <v>353.86299436604759</v>
      </c>
      <c r="CK114" s="487">
        <f>IS!CK71</f>
        <v>414.70639266862872</v>
      </c>
      <c r="CL114" s="487">
        <f>IS!CL71</f>
        <v>1054.9639425745381</v>
      </c>
      <c r="CM114" s="487">
        <f>IS!CM71</f>
        <v>605.8560645060661</v>
      </c>
      <c r="CN114" s="487">
        <f>IS!CN71</f>
        <v>1557.2935176084884</v>
      </c>
      <c r="CO114" s="487">
        <f>IS!CO71</f>
        <v>836.92055209788668</v>
      </c>
      <c r="CP114" s="487">
        <f>IS!CP71</f>
        <v>2289.0855377650514</v>
      </c>
      <c r="CQ114" s="487">
        <f>IS!CQ71</f>
        <v>2295.9135000000006</v>
      </c>
      <c r="CR114" s="487">
        <f>IS!CR71</f>
        <v>2135.2121999999999</v>
      </c>
      <c r="CS114" s="487">
        <f>IS!CS71</f>
        <v>2140.9764999999998</v>
      </c>
      <c r="CT114" s="487">
        <f>IS!CT71</f>
        <v>1671.4274999999998</v>
      </c>
      <c r="CU114" s="487">
        <f>IS!CU71</f>
        <v>3931.5619999999999</v>
      </c>
      <c r="CV114" s="487">
        <f>IS!CV71</f>
        <v>5183.7353686291799</v>
      </c>
      <c r="CW114" s="487">
        <f>IS!CW71</f>
        <v>3942.4998006867604</v>
      </c>
      <c r="CX114" s="487">
        <f>IS!CX71</f>
        <v>4225.3042234016048</v>
      </c>
      <c r="CY114" s="487">
        <f>IS!CY71</f>
        <v>4307.3882741246325</v>
      </c>
      <c r="CZ114" s="487">
        <f>IS!CZ71</f>
        <v>4494.8184559702095</v>
      </c>
      <c r="DA114" s="487">
        <f>IS!DA71</f>
        <v>4672.4136184105491</v>
      </c>
      <c r="DB114" s="487">
        <f>IS!DB71</f>
        <v>4853.6351466556334</v>
      </c>
      <c r="DC114" s="487">
        <f>IS!DC71</f>
        <v>5062.4233545065854</v>
      </c>
      <c r="DD114" s="488"/>
      <c r="DE114" s="35"/>
      <c r="DF114" s="29"/>
      <c r="DG114" s="29"/>
      <c r="DH114" s="91"/>
      <c r="DI114" s="29"/>
      <c r="DJ114" s="29"/>
      <c r="DK114" s="29"/>
      <c r="DL114" s="29"/>
      <c r="DM114" s="91"/>
      <c r="DN114" s="29"/>
      <c r="DO114" s="29"/>
      <c r="DP114" s="29"/>
      <c r="DQ114" s="29"/>
      <c r="DR114" s="29"/>
      <c r="DS114" s="29"/>
      <c r="DT114" s="29"/>
      <c r="DU114" s="29"/>
      <c r="DV114" s="29"/>
      <c r="DW114" s="29"/>
    </row>
    <row r="115" spans="1:133">
      <c r="A115" s="320"/>
      <c r="B115" s="208"/>
      <c r="C115" s="196" t="s">
        <v>13</v>
      </c>
      <c r="D115" s="196"/>
      <c r="E115" s="197"/>
      <c r="F115" s="845"/>
      <c r="G115" s="780"/>
      <c r="H115" s="780"/>
      <c r="I115" s="846"/>
      <c r="J115" s="491">
        <f t="shared" ref="J115:Q115" si="415">J15</f>
        <v>11.26</v>
      </c>
      <c r="K115" s="487">
        <f t="shared" si="415"/>
        <v>11.349000000000002</v>
      </c>
      <c r="L115" s="487">
        <f t="shared" si="415"/>
        <v>11.714999999999996</v>
      </c>
      <c r="M115" s="488">
        <f t="shared" si="415"/>
        <v>11.469999999999999</v>
      </c>
      <c r="N115" s="491">
        <f t="shared" si="415"/>
        <v>11.634</v>
      </c>
      <c r="O115" s="487">
        <f t="shared" si="415"/>
        <v>11.802</v>
      </c>
      <c r="P115" s="487">
        <f t="shared" si="415"/>
        <v>12.862000000000002</v>
      </c>
      <c r="Q115" s="488">
        <f t="shared" si="415"/>
        <v>14.101999999999997</v>
      </c>
      <c r="R115" s="491">
        <f t="shared" ref="R115:AS115" si="416">R15</f>
        <v>21.4</v>
      </c>
      <c r="S115" s="487">
        <f t="shared" si="416"/>
        <v>25.800000000000004</v>
      </c>
      <c r="T115" s="487">
        <f t="shared" si="416"/>
        <v>26.799999999999997</v>
      </c>
      <c r="U115" s="488">
        <f t="shared" si="416"/>
        <v>27.700000000000003</v>
      </c>
      <c r="V115" s="491">
        <f t="shared" si="416"/>
        <v>29</v>
      </c>
      <c r="W115" s="487">
        <f t="shared" si="416"/>
        <v>32.5</v>
      </c>
      <c r="X115" s="487">
        <f t="shared" si="416"/>
        <v>35.700000000000003</v>
      </c>
      <c r="Y115" s="488">
        <f t="shared" si="416"/>
        <v>37.600000000000009</v>
      </c>
      <c r="Z115" s="491">
        <f t="shared" si="416"/>
        <v>35.6</v>
      </c>
      <c r="AA115" s="487">
        <f t="shared" si="416"/>
        <v>38.6</v>
      </c>
      <c r="AB115" s="487">
        <f t="shared" si="416"/>
        <v>41.899999999999991</v>
      </c>
      <c r="AC115" s="488">
        <f t="shared" si="416"/>
        <v>43.700000000000017</v>
      </c>
      <c r="AD115" s="491">
        <f t="shared" si="416"/>
        <v>45</v>
      </c>
      <c r="AE115" s="487">
        <f t="shared" si="416"/>
        <v>49</v>
      </c>
      <c r="AF115" s="487">
        <f t="shared" si="416"/>
        <v>55</v>
      </c>
      <c r="AG115" s="488">
        <f t="shared" si="416"/>
        <v>61</v>
      </c>
      <c r="AH115" s="491">
        <f>AH15</f>
        <v>78</v>
      </c>
      <c r="AI115" s="487">
        <f>AI15</f>
        <v>111</v>
      </c>
      <c r="AJ115" s="487">
        <f t="shared" si="416"/>
        <v>111</v>
      </c>
      <c r="AK115" s="488">
        <f t="shared" si="416"/>
        <v>113</v>
      </c>
      <c r="AL115" s="491">
        <f t="shared" si="416"/>
        <v>117</v>
      </c>
      <c r="AM115" s="487">
        <f t="shared" si="416"/>
        <v>122</v>
      </c>
      <c r="AN115" s="487">
        <f t="shared" si="416"/>
        <v>119</v>
      </c>
      <c r="AO115" s="488">
        <f t="shared" si="416"/>
        <v>121</v>
      </c>
      <c r="AP115" s="491">
        <f t="shared" si="416"/>
        <v>121</v>
      </c>
      <c r="AQ115" s="487">
        <f t="shared" si="416"/>
        <v>126</v>
      </c>
      <c r="AR115" s="487">
        <f t="shared" si="416"/>
        <v>129</v>
      </c>
      <c r="AS115" s="488">
        <f t="shared" si="416"/>
        <v>134</v>
      </c>
      <c r="AT115" s="491">
        <f t="shared" ref="AT115:BA115" si="417">AT15</f>
        <v>150</v>
      </c>
      <c r="AU115" s="487">
        <f t="shared" si="417"/>
        <v>151</v>
      </c>
      <c r="AV115" s="487">
        <f t="shared" si="417"/>
        <v>151</v>
      </c>
      <c r="AW115" s="488">
        <f t="shared" si="417"/>
        <v>150</v>
      </c>
      <c r="AX115" s="491">
        <f t="shared" si="417"/>
        <v>158</v>
      </c>
      <c r="AY115" s="487">
        <f t="shared" si="417"/>
        <v>140</v>
      </c>
      <c r="AZ115" s="487">
        <f t="shared" si="417"/>
        <v>188</v>
      </c>
      <c r="BA115" s="488">
        <f t="shared" si="417"/>
        <v>339</v>
      </c>
      <c r="BB115" s="491">
        <f t="shared" ref="BB115:BH115" si="418">BB15</f>
        <v>313</v>
      </c>
      <c r="BC115" s="487">
        <f t="shared" si="418"/>
        <v>309</v>
      </c>
      <c r="BD115" s="487">
        <f t="shared" si="418"/>
        <v>309</v>
      </c>
      <c r="BE115" s="488">
        <f t="shared" si="418"/>
        <v>302</v>
      </c>
      <c r="BF115" s="491">
        <f t="shared" si="418"/>
        <v>312</v>
      </c>
      <c r="BG115" s="487">
        <f t="shared" si="418"/>
        <v>317</v>
      </c>
      <c r="BH115" s="487">
        <f t="shared" si="418"/>
        <v>307</v>
      </c>
      <c r="BI115" s="488">
        <f t="shared" ref="BI115:BQ115" si="419">BI15</f>
        <v>308</v>
      </c>
      <c r="BJ115" s="491">
        <f t="shared" si="419"/>
        <v>289</v>
      </c>
      <c r="BK115" s="487">
        <f t="shared" si="419"/>
        <v>290</v>
      </c>
      <c r="BL115" s="487">
        <f t="shared" si="419"/>
        <v>285</v>
      </c>
      <c r="BM115" s="488">
        <f t="shared" si="419"/>
        <v>250</v>
      </c>
      <c r="BN115" s="491">
        <f>BN15</f>
        <v>236</v>
      </c>
      <c r="BO115" s="487">
        <f t="shared" si="419"/>
        <v>252</v>
      </c>
      <c r="BP115" s="487">
        <f t="shared" si="419"/>
        <v>246</v>
      </c>
      <c r="BQ115" s="488">
        <f t="shared" si="419"/>
        <v>420</v>
      </c>
      <c r="BR115" s="491">
        <f t="shared" ref="BR115:BY115" si="420">BR15</f>
        <v>508</v>
      </c>
      <c r="BS115" s="487">
        <f t="shared" si="420"/>
        <v>514</v>
      </c>
      <c r="BT115" s="487">
        <f t="shared" si="420"/>
        <v>560</v>
      </c>
      <c r="BU115" s="488">
        <f t="shared" si="420"/>
        <v>546</v>
      </c>
      <c r="BV115" s="491">
        <f t="shared" si="420"/>
        <v>533</v>
      </c>
      <c r="BW115" s="487">
        <f t="shared" si="420"/>
        <v>535</v>
      </c>
      <c r="BX115" s="487">
        <f t="shared" si="420"/>
        <v>375.71537575892859</v>
      </c>
      <c r="BY115" s="488">
        <f t="shared" si="420"/>
        <v>384.68042097407499</v>
      </c>
      <c r="BZ115" s="491">
        <f>BZ15</f>
        <v>396.70836252236114</v>
      </c>
      <c r="CA115" s="487">
        <f>CA15</f>
        <v>408.38586652101446</v>
      </c>
      <c r="CB115" s="487">
        <f>CB15</f>
        <v>419.14284257596904</v>
      </c>
      <c r="CC115" s="488">
        <f>CC15</f>
        <v>433.76446820149471</v>
      </c>
      <c r="CD115" s="115"/>
      <c r="CE115" s="913" t="s">
        <v>687</v>
      </c>
      <c r="CF115" s="487">
        <f t="shared" ref="CF115:CK115" si="421">CF15</f>
        <v>45.793999999999997</v>
      </c>
      <c r="CG115" s="487">
        <f t="shared" si="421"/>
        <v>50.4</v>
      </c>
      <c r="CH115" s="487">
        <f t="shared" si="421"/>
        <v>101.7</v>
      </c>
      <c r="CI115" s="487">
        <f t="shared" si="421"/>
        <v>134.80000000000001</v>
      </c>
      <c r="CJ115" s="487">
        <f t="shared" si="421"/>
        <v>159.80000000000001</v>
      </c>
      <c r="CK115" s="487">
        <f t="shared" si="421"/>
        <v>210</v>
      </c>
      <c r="CL115" s="487">
        <f t="shared" ref="CL115:CT115" si="422">CL15</f>
        <v>413</v>
      </c>
      <c r="CM115" s="487">
        <f t="shared" si="422"/>
        <v>479</v>
      </c>
      <c r="CN115" s="487">
        <f>CN15</f>
        <v>510</v>
      </c>
      <c r="CO115" s="487">
        <f>CO15</f>
        <v>602</v>
      </c>
      <c r="CP115" s="487">
        <f t="shared" si="422"/>
        <v>825</v>
      </c>
      <c r="CQ115" s="487">
        <f>CQ15</f>
        <v>1233</v>
      </c>
      <c r="CR115" s="487">
        <f>CR15</f>
        <v>1244</v>
      </c>
      <c r="CS115" s="487">
        <f t="shared" si="422"/>
        <v>1114</v>
      </c>
      <c r="CT115" s="487">
        <f t="shared" si="422"/>
        <v>1154</v>
      </c>
      <c r="CU115" s="487">
        <f t="shared" ref="CU115:DA115" si="423">CU15</f>
        <v>2128</v>
      </c>
      <c r="CV115" s="487">
        <f t="shared" si="423"/>
        <v>1828.3957967330034</v>
      </c>
      <c r="CW115" s="487">
        <f t="shared" si="423"/>
        <v>1658.0015398208395</v>
      </c>
      <c r="CX115" s="487">
        <f t="shared" si="423"/>
        <v>1829.0753339658129</v>
      </c>
      <c r="CY115" s="487">
        <f t="shared" si="423"/>
        <v>1415.8333134950572</v>
      </c>
      <c r="CZ115" s="487">
        <f t="shared" si="423"/>
        <v>1561.8556946851677</v>
      </c>
      <c r="DA115" s="487">
        <f t="shared" si="423"/>
        <v>1432.9834507693315</v>
      </c>
      <c r="DB115" s="487">
        <f>DB15</f>
        <v>1570.7712490121428</v>
      </c>
      <c r="DC115" s="487">
        <f>DC15</f>
        <v>1715.7539540343084</v>
      </c>
      <c r="DD115" s="488"/>
      <c r="DE115" s="35"/>
      <c r="DF115" s="29"/>
      <c r="DG115" s="29"/>
      <c r="DH115" s="91"/>
      <c r="DI115" s="29"/>
      <c r="DJ115" s="29"/>
      <c r="DK115" s="29"/>
      <c r="DL115" s="29"/>
      <c r="DM115" s="91"/>
      <c r="DN115" s="29"/>
      <c r="DO115" s="29"/>
      <c r="DP115" s="29"/>
      <c r="DQ115" s="29"/>
      <c r="DR115" s="29"/>
      <c r="DS115" s="29"/>
      <c r="DT115" s="29"/>
      <c r="DU115" s="29"/>
      <c r="DV115" s="29"/>
      <c r="DW115" s="29"/>
    </row>
    <row r="116" spans="1:133">
      <c r="A116" s="320"/>
      <c r="B116" s="208"/>
      <c r="C116" s="196" t="s">
        <v>633</v>
      </c>
      <c r="D116" s="196"/>
      <c r="E116" s="197"/>
      <c r="F116" s="845"/>
      <c r="G116" s="780"/>
      <c r="H116" s="780"/>
      <c r="I116" s="846"/>
      <c r="J116" s="491">
        <f>IS!J75</f>
        <v>0</v>
      </c>
      <c r="K116" s="487">
        <f>IS!K75</f>
        <v>0</v>
      </c>
      <c r="L116" s="487">
        <f>IS!L75</f>
        <v>0</v>
      </c>
      <c r="M116" s="488">
        <f>IS!M75</f>
        <v>0</v>
      </c>
      <c r="N116" s="491">
        <f>IS!N75</f>
        <v>0</v>
      </c>
      <c r="O116" s="487">
        <f>IS!O75</f>
        <v>0</v>
      </c>
      <c r="P116" s="487">
        <f>IS!P75</f>
        <v>0</v>
      </c>
      <c r="Q116" s="488">
        <f>IS!Q75</f>
        <v>0</v>
      </c>
      <c r="R116" s="491">
        <f>IS!R75</f>
        <v>0</v>
      </c>
      <c r="S116" s="487">
        <f>IS!S75</f>
        <v>0</v>
      </c>
      <c r="T116" s="487">
        <f>IS!T75</f>
        <v>0</v>
      </c>
      <c r="U116" s="488">
        <f>IS!U75</f>
        <v>0</v>
      </c>
      <c r="V116" s="491">
        <f>IS!V75</f>
        <v>0</v>
      </c>
      <c r="W116" s="487">
        <f>IS!W75</f>
        <v>0</v>
      </c>
      <c r="X116" s="487">
        <f>IS!X75</f>
        <v>0</v>
      </c>
      <c r="Y116" s="488">
        <f>IS!Y75</f>
        <v>0</v>
      </c>
      <c r="Z116" s="491">
        <f>IS!Z75</f>
        <v>0</v>
      </c>
      <c r="AA116" s="487">
        <f>IS!AA75</f>
        <v>0</v>
      </c>
      <c r="AB116" s="487">
        <f>IS!AB75</f>
        <v>0</v>
      </c>
      <c r="AC116" s="488">
        <f>IS!AC75</f>
        <v>0</v>
      </c>
      <c r="AD116" s="491">
        <f>IS!AD75</f>
        <v>7</v>
      </c>
      <c r="AE116" s="487">
        <f>IS!AE75</f>
        <v>8</v>
      </c>
      <c r="AF116" s="487">
        <f>IS!AF75</f>
        <v>8</v>
      </c>
      <c r="AG116" s="488">
        <f>IS!AG75</f>
        <v>9</v>
      </c>
      <c r="AH116" s="491">
        <f>IS!AH75</f>
        <v>9</v>
      </c>
      <c r="AI116" s="487">
        <f>IS!AI75</f>
        <v>8</v>
      </c>
      <c r="AJ116" s="487">
        <f>IS!AJ75</f>
        <v>6</v>
      </c>
      <c r="AK116" s="488">
        <f>IS!AK75</f>
        <v>4</v>
      </c>
      <c r="AL116" s="491">
        <f>IS!AL75</f>
        <v>4</v>
      </c>
      <c r="AM116" s="487">
        <f>IS!AM75</f>
        <v>2</v>
      </c>
      <c r="AN116" s="487">
        <f>IS!AN75</f>
        <v>1</v>
      </c>
      <c r="AO116" s="488">
        <f>IS!AO75</f>
        <v>2</v>
      </c>
      <c r="AP116" s="491">
        <f>IS!AP75</f>
        <v>1</v>
      </c>
      <c r="AQ116" s="487">
        <f>IS!AQ75</f>
        <v>1</v>
      </c>
      <c r="AR116" s="487">
        <f>IS!AR75</f>
        <v>1</v>
      </c>
      <c r="AS116" s="488">
        <f>IS!AS75</f>
        <v>0.6</v>
      </c>
      <c r="AT116" s="491">
        <f>IS!AT75</f>
        <v>2</v>
      </c>
      <c r="AU116" s="487">
        <f>IS!AU75</f>
        <v>2</v>
      </c>
      <c r="AV116" s="487">
        <f>IS!AV75</f>
        <v>2</v>
      </c>
      <c r="AW116" s="488">
        <f>IS!AW75</f>
        <v>3</v>
      </c>
      <c r="AX116" s="491">
        <f>IS!AX75</f>
        <v>3</v>
      </c>
      <c r="AY116" s="487">
        <f>IS!AY75</f>
        <v>3</v>
      </c>
      <c r="AZ116" s="487">
        <f>IS!AZ75</f>
        <v>3</v>
      </c>
      <c r="BA116" s="488">
        <f>IS!BA75</f>
        <v>3</v>
      </c>
      <c r="BB116" s="491">
        <f>IS!BB75</f>
        <v>2</v>
      </c>
      <c r="BC116" s="487">
        <f>IS!BC75</f>
        <v>3</v>
      </c>
      <c r="BD116" s="487">
        <f>IS!BD75</f>
        <v>3</v>
      </c>
      <c r="BE116" s="488">
        <f>IS!BE75</f>
        <v>3</v>
      </c>
      <c r="BF116" s="491">
        <f>IS!BF75</f>
        <v>3</v>
      </c>
      <c r="BG116" s="487">
        <f>IS!BG75</f>
        <v>3</v>
      </c>
      <c r="BH116" s="487">
        <f>IS!BH75</f>
        <v>4</v>
      </c>
      <c r="BI116" s="488">
        <f>IS!BI75</f>
        <v>7</v>
      </c>
      <c r="BJ116" s="491">
        <f>IS!BJ75</f>
        <v>3</v>
      </c>
      <c r="BK116" s="487">
        <f>IS!BK75</f>
        <v>4</v>
      </c>
      <c r="BL116" s="487">
        <f>IS!BL75</f>
        <v>3</v>
      </c>
      <c r="BM116" s="488">
        <f>IS!BM75</f>
        <v>5</v>
      </c>
      <c r="BN116" s="491">
        <f>IS!BN75</f>
        <v>5</v>
      </c>
      <c r="BO116" s="487">
        <f>IS!BO75</f>
        <v>6</v>
      </c>
      <c r="BP116" s="487">
        <f>IS!BP75</f>
        <v>6</v>
      </c>
      <c r="BQ116" s="488">
        <f>IS!BQ75</f>
        <v>9</v>
      </c>
      <c r="BR116" s="491">
        <f>IS!BR75</f>
        <v>5</v>
      </c>
      <c r="BS116" s="487">
        <f>IS!BS75</f>
        <v>5</v>
      </c>
      <c r="BT116" s="487">
        <f>IS!BT75</f>
        <v>7</v>
      </c>
      <c r="BU116" s="488">
        <f>IS!BU75</f>
        <v>9</v>
      </c>
      <c r="BV116" s="491">
        <f>IS!BV75</f>
        <v>5</v>
      </c>
      <c r="BW116" s="487">
        <f>IS!BW75</f>
        <v>3</v>
      </c>
      <c r="BX116" s="487">
        <f>IS!BX75</f>
        <v>3.1475</v>
      </c>
      <c r="BY116" s="488">
        <f>IS!BY75</f>
        <v>2.8177142203910654</v>
      </c>
      <c r="BZ116" s="491">
        <f>IS!BZ75</f>
        <v>2.9959190840395178</v>
      </c>
      <c r="CA116" s="487">
        <f>IS!CA75</f>
        <v>3.2144077279201952</v>
      </c>
      <c r="CB116" s="487">
        <f>IS!CB75</f>
        <v>3.5098918624187116</v>
      </c>
      <c r="CC116" s="488">
        <f>IS!CC75</f>
        <v>3.5071991833238405</v>
      </c>
      <c r="CD116" s="115"/>
      <c r="CE116" s="913" t="s">
        <v>687</v>
      </c>
      <c r="CF116" s="487" t="e">
        <f>IS!CF75-IS!#REF!</f>
        <v>#REF!</v>
      </c>
      <c r="CG116" s="487" t="e">
        <f>IS!CG75-IS!#REF!</f>
        <v>#REF!</v>
      </c>
      <c r="CH116" s="487" t="e">
        <f>IS!CH75-IS!#REF!</f>
        <v>#REF!</v>
      </c>
      <c r="CI116" s="487" t="e">
        <f>IS!CI75-IS!#REF!</f>
        <v>#REF!</v>
      </c>
      <c r="CJ116" s="487" t="e">
        <f>IS!CJ75-IS!#REF!</f>
        <v>#REF!</v>
      </c>
      <c r="CK116" s="487" t="e">
        <f>IS!CK75-IS!#REF!</f>
        <v>#REF!</v>
      </c>
      <c r="CL116" s="487" t="e">
        <f>IS!CL75-IS!#REF!</f>
        <v>#REF!</v>
      </c>
      <c r="CM116" s="487" t="e">
        <f>IS!CM75-IS!#REF!</f>
        <v>#REF!</v>
      </c>
      <c r="CN116" s="487" t="e">
        <f>IS!CN75-IS!#REF!</f>
        <v>#REF!</v>
      </c>
      <c r="CO116" s="487" t="e">
        <f>IS!CO75-IS!#REF!</f>
        <v>#REF!</v>
      </c>
      <c r="CP116" s="487" t="e">
        <f>IS!CP75-IS!#REF!</f>
        <v>#REF!</v>
      </c>
      <c r="CQ116" s="487">
        <f>IS!CQ75</f>
        <v>11</v>
      </c>
      <c r="CR116" s="487">
        <f>IS!CR75</f>
        <v>17</v>
      </c>
      <c r="CS116" s="487">
        <f>IS!CS75</f>
        <v>15</v>
      </c>
      <c r="CT116" s="487">
        <f>IS!CT75</f>
        <v>26</v>
      </c>
      <c r="CU116" s="487">
        <f>IS!CU75</f>
        <v>26</v>
      </c>
      <c r="CV116" s="487">
        <f>IS!CV75</f>
        <v>13.965214220391067</v>
      </c>
      <c r="CW116" s="487">
        <f>IS!CW75</f>
        <v>13.227417857702264</v>
      </c>
      <c r="CX116" s="487">
        <f>IS!CX75</f>
        <v>17.32882851865881</v>
      </c>
      <c r="CY116" s="487">
        <f>IS!CY75</f>
        <v>20.739888135291036</v>
      </c>
      <c r="CZ116" s="487">
        <f>IS!CZ75</f>
        <v>23.853684003603412</v>
      </c>
      <c r="DA116" s="487">
        <f>IS!DA75</f>
        <v>27.451979421708945</v>
      </c>
      <c r="DB116" s="487">
        <f>IS!DB75</f>
        <v>30.65172597627728</v>
      </c>
      <c r="DC116" s="487">
        <f>IS!DC75</f>
        <v>34.556146666302517</v>
      </c>
      <c r="DD116" s="488"/>
      <c r="DE116" s="35"/>
      <c r="DF116" s="29"/>
      <c r="DG116" s="29"/>
      <c r="DH116" s="91"/>
      <c r="DI116" s="29"/>
      <c r="DJ116" s="29"/>
      <c r="DK116" s="29"/>
      <c r="DL116" s="29"/>
      <c r="DM116" s="91"/>
      <c r="DN116" s="29"/>
      <c r="DO116" s="29"/>
      <c r="DP116" s="29"/>
      <c r="DQ116" s="29"/>
      <c r="DR116" s="29"/>
      <c r="DS116" s="29"/>
      <c r="DT116" s="29"/>
      <c r="DU116" s="29"/>
      <c r="DV116" s="29"/>
      <c r="DW116" s="29"/>
    </row>
    <row r="117" spans="1:133">
      <c r="A117" s="320"/>
      <c r="B117" s="208"/>
      <c r="C117" s="196" t="s">
        <v>632</v>
      </c>
      <c r="D117" s="196"/>
      <c r="E117" s="197"/>
      <c r="F117" s="845"/>
      <c r="G117" s="780"/>
      <c r="H117" s="780"/>
      <c r="I117" s="846"/>
      <c r="J117" s="491">
        <f>-IS!J88</f>
        <v>21.074999999999999</v>
      </c>
      <c r="K117" s="487">
        <f>-IS!K88</f>
        <v>-2.851</v>
      </c>
      <c r="L117" s="487">
        <f>-IS!L88</f>
        <v>1.6380000000000001</v>
      </c>
      <c r="M117" s="488">
        <f>-IS!M88</f>
        <v>-3.09</v>
      </c>
      <c r="N117" s="491">
        <f>-IS!N88</f>
        <v>0</v>
      </c>
      <c r="O117" s="487">
        <f>-IS!O88</f>
        <v>1.32</v>
      </c>
      <c r="P117" s="487">
        <f>-IS!P88</f>
        <v>0</v>
      </c>
      <c r="Q117" s="488">
        <f>-IS!Q88</f>
        <v>-14.049999999999999</v>
      </c>
      <c r="R117" s="491">
        <f>-IS!R88</f>
        <v>0</v>
      </c>
      <c r="S117" s="487">
        <f>-IS!S88</f>
        <v>0</v>
      </c>
      <c r="T117" s="487">
        <f>-IS!T88</f>
        <v>0</v>
      </c>
      <c r="U117" s="488">
        <f>-IS!U88</f>
        <v>0</v>
      </c>
      <c r="V117" s="491">
        <f>-IS!V88</f>
        <v>0</v>
      </c>
      <c r="W117" s="487">
        <f>-IS!W88</f>
        <v>0</v>
      </c>
      <c r="X117" s="487">
        <f>-IS!X88</f>
        <v>0</v>
      </c>
      <c r="Y117" s="488">
        <f>-IS!Y88</f>
        <v>-19</v>
      </c>
      <c r="Z117" s="491">
        <f>-IS!Z88</f>
        <v>0</v>
      </c>
      <c r="AA117" s="487">
        <f>-IS!AA88</f>
        <v>0</v>
      </c>
      <c r="AB117" s="487">
        <f>-IS!AB88</f>
        <v>0</v>
      </c>
      <c r="AC117" s="488">
        <f>-IS!AC88</f>
        <v>35</v>
      </c>
      <c r="AD117" s="491">
        <f>-IS!AD88</f>
        <v>0</v>
      </c>
      <c r="AE117" s="487">
        <f>-IS!AE88</f>
        <v>0</v>
      </c>
      <c r="AF117" s="487">
        <f>-IS!AF88</f>
        <v>0</v>
      </c>
      <c r="AG117" s="488">
        <f>-IS!AG88</f>
        <v>146.86976434619334</v>
      </c>
      <c r="AH117" s="491">
        <f>-IS!AH88</f>
        <v>-108.65968832787155</v>
      </c>
      <c r="AI117" s="487">
        <f>-IS!AI88</f>
        <v>0</v>
      </c>
      <c r="AJ117" s="487">
        <f>-IS!AJ88</f>
        <v>0</v>
      </c>
      <c r="AK117" s="488">
        <f>-IS!AK88</f>
        <v>-15</v>
      </c>
      <c r="AL117" s="491">
        <f>-IS!AL88</f>
        <v>0</v>
      </c>
      <c r="AM117" s="487">
        <f>AM18</f>
        <v>80</v>
      </c>
      <c r="AN117" s="487">
        <f>AN18</f>
        <v>1</v>
      </c>
      <c r="AO117" s="488">
        <f t="shared" ref="AO117:BA117" si="424">AO18</f>
        <v>-18</v>
      </c>
      <c r="AP117" s="491">
        <f t="shared" si="424"/>
        <v>0</v>
      </c>
      <c r="AQ117" s="487">
        <f t="shared" si="424"/>
        <v>0</v>
      </c>
      <c r="AR117" s="487">
        <f t="shared" si="424"/>
        <v>0</v>
      </c>
      <c r="AS117" s="488">
        <f t="shared" si="424"/>
        <v>0</v>
      </c>
      <c r="AT117" s="491">
        <f t="shared" si="424"/>
        <v>0</v>
      </c>
      <c r="AU117" s="487">
        <f t="shared" si="424"/>
        <v>0</v>
      </c>
      <c r="AV117" s="487">
        <f t="shared" si="424"/>
        <v>0</v>
      </c>
      <c r="AW117" s="488">
        <f t="shared" si="424"/>
        <v>0</v>
      </c>
      <c r="AX117" s="491">
        <f t="shared" si="424"/>
        <v>0</v>
      </c>
      <c r="AY117" s="487">
        <f t="shared" si="424"/>
        <v>0</v>
      </c>
      <c r="AZ117" s="487">
        <f t="shared" si="424"/>
        <v>0</v>
      </c>
      <c r="BA117" s="488">
        <f t="shared" si="424"/>
        <v>61</v>
      </c>
      <c r="BB117" s="491">
        <f t="shared" ref="BB117:BH117" si="425">BB18</f>
        <v>0</v>
      </c>
      <c r="BC117" s="487">
        <f t="shared" si="425"/>
        <v>15</v>
      </c>
      <c r="BD117" s="487">
        <f t="shared" si="425"/>
        <v>-15</v>
      </c>
      <c r="BE117" s="488">
        <f t="shared" si="425"/>
        <v>0</v>
      </c>
      <c r="BF117" s="491">
        <f t="shared" si="425"/>
        <v>0</v>
      </c>
      <c r="BG117" s="487">
        <f t="shared" si="425"/>
        <v>0</v>
      </c>
      <c r="BH117" s="487">
        <f t="shared" si="425"/>
        <v>0</v>
      </c>
      <c r="BI117" s="488">
        <f t="shared" ref="BI117:BQ117" si="426">BI18</f>
        <v>62</v>
      </c>
      <c r="BJ117" s="491">
        <f t="shared" si="426"/>
        <v>0</v>
      </c>
      <c r="BK117" s="487">
        <f t="shared" si="426"/>
        <v>0</v>
      </c>
      <c r="BL117" s="487">
        <f t="shared" si="426"/>
        <v>0</v>
      </c>
      <c r="BM117" s="488">
        <f t="shared" si="426"/>
        <v>86</v>
      </c>
      <c r="BN117" s="491">
        <f>BN18</f>
        <v>0</v>
      </c>
      <c r="BO117" s="487">
        <f t="shared" si="426"/>
        <v>0</v>
      </c>
      <c r="BP117" s="487">
        <f t="shared" si="426"/>
        <v>0</v>
      </c>
      <c r="BQ117" s="488">
        <f t="shared" si="426"/>
        <v>41</v>
      </c>
      <c r="BR117" s="491">
        <f t="shared" ref="BR117:BY117" si="427">BR18</f>
        <v>0</v>
      </c>
      <c r="BS117" s="487">
        <f t="shared" si="427"/>
        <v>0</v>
      </c>
      <c r="BT117" s="487">
        <f t="shared" si="427"/>
        <v>0</v>
      </c>
      <c r="BU117" s="488">
        <f t="shared" si="427"/>
        <v>0</v>
      </c>
      <c r="BV117" s="491">
        <f t="shared" si="427"/>
        <v>0</v>
      </c>
      <c r="BW117" s="487">
        <f t="shared" si="427"/>
        <v>0</v>
      </c>
      <c r="BX117" s="487">
        <f t="shared" si="427"/>
        <v>0</v>
      </c>
      <c r="BY117" s="488">
        <f t="shared" si="427"/>
        <v>0</v>
      </c>
      <c r="BZ117" s="491">
        <f>BZ18</f>
        <v>0</v>
      </c>
      <c r="CA117" s="487">
        <f>CA18</f>
        <v>0</v>
      </c>
      <c r="CB117" s="487">
        <f>CB18</f>
        <v>0</v>
      </c>
      <c r="CC117" s="488">
        <f>CC18</f>
        <v>0</v>
      </c>
      <c r="CD117" s="115"/>
      <c r="CE117" s="913" t="s">
        <v>687</v>
      </c>
      <c r="CF117" s="487">
        <f>-IS!CF88</f>
        <v>16.771999999999998</v>
      </c>
      <c r="CG117" s="487">
        <f>-IS!CG88</f>
        <v>-12.729999999999999</v>
      </c>
      <c r="CH117" s="487">
        <f>-IS!CH88</f>
        <v>0</v>
      </c>
      <c r="CI117" s="487">
        <f>-IS!CI88</f>
        <v>-19</v>
      </c>
      <c r="CJ117" s="487">
        <f>-IS!CJ88</f>
        <v>35</v>
      </c>
      <c r="CK117" s="487">
        <f>-IS!CK88</f>
        <v>146.86976434619334</v>
      </c>
      <c r="CL117" s="487">
        <f>-IS!CL88</f>
        <v>-123.65968832787155</v>
      </c>
      <c r="CM117" s="487">
        <f>-IS!CM88</f>
        <v>-73</v>
      </c>
      <c r="CN117" s="487">
        <f>-IS!CN88</f>
        <v>-27</v>
      </c>
      <c r="CO117" s="487">
        <f>-IS!CO88</f>
        <v>-45</v>
      </c>
      <c r="CP117" s="487">
        <f>-IS!CP88</f>
        <v>-497</v>
      </c>
      <c r="CQ117" s="487">
        <f>-IS!CQ88</f>
        <v>-1118</v>
      </c>
      <c r="CR117" s="487">
        <f>-IS!CR88</f>
        <v>-344</v>
      </c>
      <c r="CS117" s="487">
        <f>-IS!CS88</f>
        <v>-540.5</v>
      </c>
      <c r="CT117" s="487">
        <f>-IS!CT88</f>
        <v>-1175.9000000000001</v>
      </c>
      <c r="CU117" s="487">
        <f>-IS!CU88</f>
        <v>-2323</v>
      </c>
      <c r="CV117" s="487">
        <f t="shared" ref="CV117:DA117" si="428">CV18</f>
        <v>0</v>
      </c>
      <c r="CW117" s="487">
        <f t="shared" si="428"/>
        <v>0</v>
      </c>
      <c r="CX117" s="487">
        <f t="shared" si="428"/>
        <v>0</v>
      </c>
      <c r="CY117" s="487">
        <f t="shared" si="428"/>
        <v>0</v>
      </c>
      <c r="CZ117" s="487">
        <f t="shared" si="428"/>
        <v>0</v>
      </c>
      <c r="DA117" s="487">
        <f t="shared" si="428"/>
        <v>0</v>
      </c>
      <c r="DB117" s="487">
        <f>DB18</f>
        <v>0</v>
      </c>
      <c r="DC117" s="487">
        <f>DC18</f>
        <v>0</v>
      </c>
      <c r="DD117" s="488"/>
      <c r="DE117" s="35"/>
      <c r="DF117" s="29"/>
      <c r="DG117" s="29"/>
      <c r="DH117" s="91"/>
      <c r="DI117" s="29"/>
      <c r="DJ117" s="29"/>
      <c r="DK117" s="29"/>
      <c r="DL117" s="29"/>
      <c r="DM117" s="91"/>
      <c r="DN117" s="29"/>
      <c r="DO117" s="29"/>
      <c r="DP117" s="29"/>
      <c r="DQ117" s="29"/>
      <c r="DR117" s="29"/>
      <c r="DS117" s="29"/>
      <c r="DT117" s="29"/>
      <c r="DU117" s="29"/>
      <c r="DV117" s="29"/>
      <c r="DW117" s="29"/>
    </row>
    <row r="118" spans="1:133">
      <c r="A118" s="320"/>
      <c r="B118" s="208"/>
      <c r="C118" s="196" t="s">
        <v>634</v>
      </c>
      <c r="D118" s="196"/>
      <c r="E118" s="197"/>
      <c r="F118" s="845"/>
      <c r="G118" s="780"/>
      <c r="H118" s="780"/>
      <c r="I118" s="846"/>
      <c r="J118" s="491">
        <f>-IS!J81</f>
        <v>0</v>
      </c>
      <c r="K118" s="487">
        <f>-IS!K81</f>
        <v>0</v>
      </c>
      <c r="L118" s="487">
        <f>-IS!L81</f>
        <v>0</v>
      </c>
      <c r="M118" s="488">
        <f>-IS!M81</f>
        <v>-0.48399999999999999</v>
      </c>
      <c r="N118" s="491">
        <f>-IS!N81</f>
        <v>-1.8009999999999999</v>
      </c>
      <c r="O118" s="487">
        <f>-IS!O81</f>
        <v>-2.2229999999999999</v>
      </c>
      <c r="P118" s="487">
        <f>-IS!P81</f>
        <v>-2.2709999999999999</v>
      </c>
      <c r="Q118" s="488">
        <f>-IS!Q81</f>
        <v>-2.0329999999999999</v>
      </c>
      <c r="R118" s="491">
        <f>-IS!R81</f>
        <v>-0.2</v>
      </c>
      <c r="S118" s="487">
        <f>-IS!S81</f>
        <v>-2.5</v>
      </c>
      <c r="T118" s="487">
        <f>-IS!T81</f>
        <v>-1.1000000000000001</v>
      </c>
      <c r="U118" s="488">
        <f>-IS!U81</f>
        <v>-0.1</v>
      </c>
      <c r="V118" s="491">
        <f>-IS!V81</f>
        <v>-0.8</v>
      </c>
      <c r="W118" s="487">
        <f>-IS!W81</f>
        <v>-1.4</v>
      </c>
      <c r="X118" s="487">
        <f>-IS!X81</f>
        <v>-1.8</v>
      </c>
      <c r="Y118" s="488">
        <f>-IS!Y81</f>
        <v>0</v>
      </c>
      <c r="Z118" s="491">
        <f>-IS!Z81</f>
        <v>-1.6</v>
      </c>
      <c r="AA118" s="487">
        <f>-IS!AA81</f>
        <v>-2.8</v>
      </c>
      <c r="AB118" s="487">
        <f>-IS!AB81</f>
        <v>-2.6</v>
      </c>
      <c r="AC118" s="488">
        <f>-IS!AC81</f>
        <v>-1.8000000000000007</v>
      </c>
      <c r="AD118" s="491">
        <f>-IS!AD81</f>
        <v>-3</v>
      </c>
      <c r="AE118" s="487">
        <f>-IS!AE81</f>
        <v>0</v>
      </c>
      <c r="AF118" s="487">
        <f>-IS!AF81</f>
        <v>-1</v>
      </c>
      <c r="AG118" s="488">
        <f>-IS!AG81</f>
        <v>-0.86976434619333531</v>
      </c>
      <c r="AH118" s="491">
        <f>-IS!AH81</f>
        <v>-9.3403116721284505</v>
      </c>
      <c r="AI118" s="487">
        <f>-IS!AI81</f>
        <v>-11</v>
      </c>
      <c r="AJ118" s="487">
        <f>-IS!AJ81</f>
        <v>-10</v>
      </c>
      <c r="AK118" s="488">
        <f>-IS!AK81</f>
        <v>-9</v>
      </c>
      <c r="AL118" s="491">
        <f>-IS!AL81</f>
        <v>-19</v>
      </c>
      <c r="AM118" s="487">
        <f>-IS!AM81</f>
        <v>-6</v>
      </c>
      <c r="AN118" s="487">
        <f>-IS!AN81</f>
        <v>-8</v>
      </c>
      <c r="AO118" s="488">
        <f>-IS!AO81</f>
        <v>-11</v>
      </c>
      <c r="AP118" s="491">
        <f>-IS!AP81</f>
        <v>-29</v>
      </c>
      <c r="AQ118" s="487">
        <f>-IS!AQ81</f>
        <v>-42</v>
      </c>
      <c r="AR118" s="487">
        <f>-IS!AR81</f>
        <v>-40</v>
      </c>
      <c r="AS118" s="488">
        <f>-IS!AS81</f>
        <v>-27</v>
      </c>
      <c r="AT118" s="491">
        <f>-IS!AT81</f>
        <v>-14</v>
      </c>
      <c r="AU118" s="487">
        <f>-IS!AU81</f>
        <v>-14</v>
      </c>
      <c r="AV118" s="487">
        <f>-IS!AV81</f>
        <v>-13</v>
      </c>
      <c r="AW118" s="488">
        <f>-IS!AW81</f>
        <v>-12</v>
      </c>
      <c r="AX118" s="491">
        <f>-IS!AX81</f>
        <v>-19</v>
      </c>
      <c r="AY118" s="487">
        <f>-IS!AY81</f>
        <v>-15</v>
      </c>
      <c r="AZ118" s="487">
        <f>-IS!AZ81</f>
        <v>-71</v>
      </c>
      <c r="BA118" s="488">
        <f>-IS!BA81</f>
        <v>-60</v>
      </c>
      <c r="BB118" s="491">
        <f>-IS!BB81</f>
        <v>-59</v>
      </c>
      <c r="BC118" s="487">
        <f>-IS!BC81</f>
        <v>-45</v>
      </c>
      <c r="BD118" s="487">
        <f>-IS!BD81</f>
        <v>-15</v>
      </c>
      <c r="BE118" s="488">
        <f>-IS!BE81</f>
        <v>-35</v>
      </c>
      <c r="BF118" s="491">
        <f>-IS!BF81</f>
        <v>-37</v>
      </c>
      <c r="BG118" s="487">
        <f>-IS!BG81</f>
        <v>-37</v>
      </c>
      <c r="BH118" s="487">
        <f>-IS!BH81</f>
        <v>-31</v>
      </c>
      <c r="BI118" s="488">
        <f>-IS!BI81</f>
        <v>-30</v>
      </c>
      <c r="BJ118" s="491">
        <f>-IS!BJ81</f>
        <v>-35</v>
      </c>
      <c r="BK118" s="487">
        <f>-IS!BK81</f>
        <v>-17</v>
      </c>
      <c r="BL118" s="487">
        <f>-IS!BL81</f>
        <v>-26</v>
      </c>
      <c r="BM118" s="488">
        <f>-IS!BM81</f>
        <v>-26</v>
      </c>
      <c r="BN118" s="491">
        <f>-IS!BN81</f>
        <v>-26</v>
      </c>
      <c r="BO118" s="487">
        <f>-IS!BO81</f>
        <v>-17</v>
      </c>
      <c r="BP118" s="487">
        <f>-IS!BP81</f>
        <v>-22</v>
      </c>
      <c r="BQ118" s="488">
        <f>-IS!BQ81</f>
        <v>27</v>
      </c>
      <c r="BR118" s="491">
        <f>-IS!BR81</f>
        <v>-61</v>
      </c>
      <c r="BS118" s="487">
        <f>-IS!BS81</f>
        <v>-99</v>
      </c>
      <c r="BT118" s="487">
        <f>-IS!BT81</f>
        <v>-93</v>
      </c>
      <c r="BU118" s="488">
        <f>-IS!BU81</f>
        <v>-108</v>
      </c>
      <c r="BV118" s="491">
        <f>-IS!BV81</f>
        <v>-84</v>
      </c>
      <c r="BW118" s="487">
        <f>-IS!BW81</f>
        <v>-53</v>
      </c>
      <c r="BX118" s="487">
        <f>-IS!BX81</f>
        <v>-58.366457830999984</v>
      </c>
      <c r="BY118" s="488">
        <f>-IS!BY81</f>
        <v>-52.441097975726422</v>
      </c>
      <c r="BZ118" s="491">
        <f>-IS!BZ81</f>
        <v>-55.709558414306471</v>
      </c>
      <c r="CA118" s="487">
        <f>-IS!CA81</f>
        <v>-51.03200004049684</v>
      </c>
      <c r="CB118" s="487">
        <f>-IS!CB81</f>
        <v>-41.450446865056271</v>
      </c>
      <c r="CC118" s="488">
        <f>-IS!CC81</f>
        <v>-38.638991700085974</v>
      </c>
      <c r="CD118" s="115"/>
      <c r="CE118" s="913" t="s">
        <v>687</v>
      </c>
      <c r="CF118" s="487">
        <f>-IS!CF81</f>
        <v>-0.48399999999999999</v>
      </c>
      <c r="CG118" s="487">
        <f>-IS!CG81</f>
        <v>-8.3279999999999994</v>
      </c>
      <c r="CH118" s="487">
        <f>-IS!CH81</f>
        <v>-3.9000000000000004</v>
      </c>
      <c r="CI118" s="487">
        <f>-IS!CI81</f>
        <v>-4</v>
      </c>
      <c r="CJ118" s="487">
        <f>-IS!CJ81</f>
        <v>-8.8000000000000007</v>
      </c>
      <c r="CK118" s="487">
        <f>-IS!CK81</f>
        <v>-4.8697643461933353</v>
      </c>
      <c r="CL118" s="487">
        <f>-IS!CL81</f>
        <v>-39.34031167212845</v>
      </c>
      <c r="CM118" s="487">
        <f>-IS!CM81</f>
        <v>-44</v>
      </c>
      <c r="CN118" s="487">
        <f>-IS!CN81</f>
        <v>-138</v>
      </c>
      <c r="CO118" s="487">
        <f>-IS!CO81</f>
        <v>-53</v>
      </c>
      <c r="CP118" s="487">
        <f>-IS!CP81</f>
        <v>-165</v>
      </c>
      <c r="CQ118" s="487">
        <f>-IS!CQ81</f>
        <v>-154</v>
      </c>
      <c r="CR118" s="487">
        <f>-IS!CR81</f>
        <v>-135</v>
      </c>
      <c r="CS118" s="487">
        <f>-IS!CS81</f>
        <v>-104</v>
      </c>
      <c r="CT118" s="487">
        <f>-IS!CT81</f>
        <v>-38</v>
      </c>
      <c r="CU118" s="487">
        <f>-IS!CU81</f>
        <v>-361</v>
      </c>
      <c r="CV118" s="487">
        <f>-IS!CV81</f>
        <v>-247.80755580672641</v>
      </c>
      <c r="CW118" s="487">
        <f>-IS!CW81</f>
        <v>-186.83099701994556</v>
      </c>
      <c r="CX118" s="487">
        <f>-IS!CX81</f>
        <v>-206.02895785561464</v>
      </c>
      <c r="CY118" s="487">
        <f>-IS!CY81</f>
        <v>-214.53179892429591</v>
      </c>
      <c r="CZ118" s="487">
        <f>-IS!CZ81</f>
        <v>-227.76171769855986</v>
      </c>
      <c r="DA118" s="487">
        <f>-IS!DA81</f>
        <v>-437.23155978322586</v>
      </c>
      <c r="DB118" s="487">
        <f>-IS!DB81</f>
        <v>-460.67368726319114</v>
      </c>
      <c r="DC118" s="487">
        <f>-IS!DC81</f>
        <v>-486.94295011728883</v>
      </c>
      <c r="DD118" s="488"/>
      <c r="DE118" s="35"/>
      <c r="DF118" s="29"/>
      <c r="DG118" s="29"/>
      <c r="DH118" s="91"/>
      <c r="DI118" s="29"/>
      <c r="DJ118" s="29"/>
      <c r="DK118" s="29"/>
      <c r="DL118" s="29"/>
      <c r="DM118" s="91"/>
      <c r="DN118" s="29"/>
      <c r="DO118" s="29"/>
      <c r="DP118" s="29"/>
      <c r="DQ118" s="29"/>
      <c r="DR118" s="29"/>
      <c r="DS118" s="29"/>
      <c r="DT118" s="29"/>
      <c r="DU118" s="29"/>
      <c r="DV118" s="29"/>
      <c r="DW118" s="29"/>
    </row>
    <row r="119" spans="1:133">
      <c r="A119" s="320"/>
      <c r="B119" s="208"/>
      <c r="C119" s="196" t="s">
        <v>611</v>
      </c>
      <c r="D119" s="196"/>
      <c r="E119" s="197"/>
      <c r="F119" s="845"/>
      <c r="G119" s="780"/>
      <c r="H119" s="780"/>
      <c r="I119" s="846"/>
      <c r="J119" s="491">
        <f>SUM(J23:J28)</f>
        <v>-2.8479999999999954</v>
      </c>
      <c r="K119" s="487">
        <f>SUM(K23:K28)</f>
        <v>-15.809999999999999</v>
      </c>
      <c r="L119" s="487">
        <f>SUM(L23:L28)</f>
        <v>17.378</v>
      </c>
      <c r="M119" s="488">
        <f>SUM(M23:M28)</f>
        <v>-18.256000000000007</v>
      </c>
      <c r="N119" s="491">
        <f t="shared" ref="N119:BA119" si="429">SUM(N23:N28)</f>
        <v>9.987999999999996</v>
      </c>
      <c r="O119" s="487">
        <f t="shared" si="429"/>
        <v>6.5470000000000015</v>
      </c>
      <c r="P119" s="487">
        <f t="shared" si="429"/>
        <v>30.955000000000005</v>
      </c>
      <c r="Q119" s="488">
        <f t="shared" si="429"/>
        <v>-15.990000000000006</v>
      </c>
      <c r="R119" s="491">
        <f t="shared" si="429"/>
        <v>-70.000000000000014</v>
      </c>
      <c r="S119" s="487">
        <f t="shared" si="429"/>
        <v>-21.300000000000008</v>
      </c>
      <c r="T119" s="487">
        <f t="shared" si="429"/>
        <v>-12.999999999999995</v>
      </c>
      <c r="U119" s="488">
        <f t="shared" si="429"/>
        <v>15.699999999999996</v>
      </c>
      <c r="V119" s="491">
        <f t="shared" si="429"/>
        <v>33.699999999999996</v>
      </c>
      <c r="W119" s="487">
        <f t="shared" si="429"/>
        <v>54.499999999999993</v>
      </c>
      <c r="X119" s="487">
        <f t="shared" si="429"/>
        <v>5.0000000000000053</v>
      </c>
      <c r="Y119" s="488">
        <f t="shared" si="429"/>
        <v>34.299999999999997</v>
      </c>
      <c r="Z119" s="491">
        <f t="shared" si="429"/>
        <v>-71.7</v>
      </c>
      <c r="AA119" s="487">
        <f t="shared" si="429"/>
        <v>-42.2</v>
      </c>
      <c r="AB119" s="487">
        <f t="shared" si="429"/>
        <v>-32.4</v>
      </c>
      <c r="AC119" s="488">
        <f t="shared" si="429"/>
        <v>-26.200000000000017</v>
      </c>
      <c r="AD119" s="491">
        <f t="shared" si="429"/>
        <v>-29</v>
      </c>
      <c r="AE119" s="487">
        <f t="shared" si="429"/>
        <v>-17</v>
      </c>
      <c r="AF119" s="487">
        <f t="shared" si="429"/>
        <v>-28</v>
      </c>
      <c r="AG119" s="488">
        <f t="shared" si="429"/>
        <v>-4</v>
      </c>
      <c r="AH119" s="491">
        <f t="shared" si="429"/>
        <v>-45</v>
      </c>
      <c r="AI119" s="487">
        <f t="shared" si="429"/>
        <v>84</v>
      </c>
      <c r="AJ119" s="487">
        <f t="shared" si="429"/>
        <v>12</v>
      </c>
      <c r="AK119" s="488">
        <f t="shared" si="429"/>
        <v>-29</v>
      </c>
      <c r="AL119" s="491">
        <f t="shared" si="429"/>
        <v>-40</v>
      </c>
      <c r="AM119" s="487">
        <f t="shared" si="429"/>
        <v>74</v>
      </c>
      <c r="AN119" s="487">
        <f t="shared" si="429"/>
        <v>159</v>
      </c>
      <c r="AO119" s="488">
        <f t="shared" si="429"/>
        <v>5</v>
      </c>
      <c r="AP119" s="491">
        <f t="shared" si="429"/>
        <v>12</v>
      </c>
      <c r="AQ119" s="487">
        <f t="shared" si="429"/>
        <v>-7</v>
      </c>
      <c r="AR119" s="487">
        <f t="shared" si="429"/>
        <v>39</v>
      </c>
      <c r="AS119" s="488">
        <f t="shared" si="429"/>
        <v>-81</v>
      </c>
      <c r="AT119" s="491">
        <f t="shared" si="429"/>
        <v>24</v>
      </c>
      <c r="AU119" s="487">
        <f t="shared" si="429"/>
        <v>110</v>
      </c>
      <c r="AV119" s="487">
        <f t="shared" si="429"/>
        <v>-4</v>
      </c>
      <c r="AW119" s="488">
        <f t="shared" si="429"/>
        <v>108</v>
      </c>
      <c r="AX119" s="491">
        <f t="shared" si="429"/>
        <v>-71</v>
      </c>
      <c r="AY119" s="487">
        <f t="shared" si="429"/>
        <v>-49</v>
      </c>
      <c r="AZ119" s="487">
        <f t="shared" si="429"/>
        <v>483</v>
      </c>
      <c r="BA119" s="488">
        <f t="shared" si="429"/>
        <v>-39</v>
      </c>
      <c r="BB119" s="491">
        <f t="shared" ref="BB119:BH119" si="430">SUM(BB23:BB28)</f>
        <v>77</v>
      </c>
      <c r="BC119" s="487">
        <f t="shared" si="430"/>
        <v>1</v>
      </c>
      <c r="BD119" s="487">
        <f t="shared" si="430"/>
        <v>-1</v>
      </c>
      <c r="BE119" s="488">
        <f>SUM(BE23:BE28)</f>
        <v>638</v>
      </c>
      <c r="BF119" s="491">
        <f>SUM(BF23:BF28)</f>
        <v>-94</v>
      </c>
      <c r="BG119" s="487">
        <f t="shared" si="430"/>
        <v>-63</v>
      </c>
      <c r="BH119" s="487">
        <f t="shared" si="430"/>
        <v>-23</v>
      </c>
      <c r="BI119" s="488">
        <f t="shared" ref="BI119:BQ119" si="431">SUM(BI23:BI28)</f>
        <v>-54</v>
      </c>
      <c r="BJ119" s="491">
        <f t="shared" si="431"/>
        <v>61</v>
      </c>
      <c r="BK119" s="487">
        <f t="shared" si="431"/>
        <v>-536</v>
      </c>
      <c r="BL119" s="487">
        <f t="shared" si="431"/>
        <v>5</v>
      </c>
      <c r="BM119" s="488">
        <f t="shared" si="431"/>
        <v>-123</v>
      </c>
      <c r="BN119" s="491">
        <f>SUM(BN23:BN28)</f>
        <v>-27</v>
      </c>
      <c r="BO119" s="487">
        <f t="shared" si="431"/>
        <v>30</v>
      </c>
      <c r="BP119" s="487">
        <f t="shared" si="431"/>
        <v>130</v>
      </c>
      <c r="BQ119" s="488">
        <f t="shared" si="431"/>
        <v>244</v>
      </c>
      <c r="BR119" s="491">
        <f t="shared" ref="BR119:BY119" si="432">SUM(BR23:BR28)</f>
        <v>-205</v>
      </c>
      <c r="BS119" s="487">
        <f t="shared" si="432"/>
        <v>168</v>
      </c>
      <c r="BT119" s="487">
        <f t="shared" si="432"/>
        <v>108</v>
      </c>
      <c r="BU119" s="488">
        <f t="shared" si="432"/>
        <v>20</v>
      </c>
      <c r="BV119" s="491">
        <f t="shared" si="432"/>
        <v>-236</v>
      </c>
      <c r="BW119" s="487">
        <f t="shared" si="432"/>
        <v>1213</v>
      </c>
      <c r="BX119" s="487">
        <f t="shared" si="432"/>
        <v>-953.20806623447845</v>
      </c>
      <c r="BY119" s="488">
        <f t="shared" si="432"/>
        <v>141.72876750218569</v>
      </c>
      <c r="BZ119" s="491">
        <f>SUM(BZ23:BZ28)</f>
        <v>38.308645964930804</v>
      </c>
      <c r="CA119" s="487">
        <f>SUM(CA23:CA28)</f>
        <v>253.5065809579884</v>
      </c>
      <c r="CB119" s="487">
        <f>SUM(CB23:CB28)</f>
        <v>-229.43993374376959</v>
      </c>
      <c r="CC119" s="488">
        <f>SUM(CC23:CC28)</f>
        <v>-278.83118004104142</v>
      </c>
      <c r="CD119" s="115"/>
      <c r="CE119" s="913" t="s">
        <v>687</v>
      </c>
      <c r="CF119" s="487">
        <f t="shared" ref="CF119:CT119" si="433">SUM(CF23:CF28)</f>
        <v>-19.536000000000008</v>
      </c>
      <c r="CG119" s="487">
        <f t="shared" si="433"/>
        <v>31.499999999999996</v>
      </c>
      <c r="CH119" s="487">
        <f t="shared" si="433"/>
        <v>-88.600000000000009</v>
      </c>
      <c r="CI119" s="487">
        <f t="shared" si="433"/>
        <v>127.5</v>
      </c>
      <c r="CJ119" s="487">
        <f t="shared" si="433"/>
        <v>-172.5</v>
      </c>
      <c r="CK119" s="487">
        <f t="shared" si="433"/>
        <v>-78</v>
      </c>
      <c r="CL119" s="487">
        <f t="shared" si="433"/>
        <v>22</v>
      </c>
      <c r="CM119" s="487">
        <f t="shared" si="433"/>
        <v>198</v>
      </c>
      <c r="CN119" s="487">
        <f t="shared" si="433"/>
        <v>-37</v>
      </c>
      <c r="CO119" s="487">
        <f t="shared" si="433"/>
        <v>238</v>
      </c>
      <c r="CP119" s="487">
        <f t="shared" si="433"/>
        <v>324</v>
      </c>
      <c r="CQ119" s="487">
        <f>SUM(CQ23:CQ28)</f>
        <v>715</v>
      </c>
      <c r="CR119" s="487">
        <f>SUM(CR23:CR28)</f>
        <v>-234</v>
      </c>
      <c r="CS119" s="487">
        <f>SUM(CS23:CS28)</f>
        <v>-593</v>
      </c>
      <c r="CT119" s="487">
        <f t="shared" si="433"/>
        <v>377</v>
      </c>
      <c r="CU119" s="487">
        <f t="shared" ref="CU119:DA119" si="434">SUM(CU23:CU28)</f>
        <v>91</v>
      </c>
      <c r="CV119" s="487">
        <f t="shared" si="434"/>
        <v>165.5207012677073</v>
      </c>
      <c r="CW119" s="487">
        <f t="shared" si="434"/>
        <v>-216.45588686189183</v>
      </c>
      <c r="CX119" s="487">
        <f t="shared" si="434"/>
        <v>-163.96011248430523</v>
      </c>
      <c r="CY119" s="487">
        <f t="shared" si="434"/>
        <v>32.523416306174141</v>
      </c>
      <c r="CZ119" s="487">
        <f t="shared" si="434"/>
        <v>15.471921476962422</v>
      </c>
      <c r="DA119" s="487">
        <f t="shared" si="434"/>
        <v>31.51143983174606</v>
      </c>
      <c r="DB119" s="487">
        <f>SUM(DB23:DB28)</f>
        <v>39.879518418001282</v>
      </c>
      <c r="DC119" s="487">
        <f>SUM(DC23:DC28)</f>
        <v>44.460644717894013</v>
      </c>
      <c r="DD119" s="488"/>
      <c r="DE119" s="35"/>
      <c r="DF119" s="29"/>
      <c r="DG119" s="29"/>
      <c r="DH119" s="91"/>
      <c r="DI119" s="29"/>
      <c r="DJ119" s="29"/>
      <c r="DK119" s="29"/>
      <c r="DL119" s="29"/>
      <c r="DM119" s="91"/>
      <c r="DN119" s="29"/>
      <c r="DO119" s="29"/>
      <c r="DP119" s="29"/>
      <c r="DQ119" s="29"/>
      <c r="DR119" s="29"/>
      <c r="DS119" s="29"/>
      <c r="DT119" s="29"/>
      <c r="DU119" s="29"/>
      <c r="DV119" s="29"/>
      <c r="DW119" s="29"/>
    </row>
    <row r="120" spans="1:133">
      <c r="A120" s="320"/>
      <c r="B120" s="208"/>
      <c r="C120" s="196" t="s">
        <v>73</v>
      </c>
      <c r="D120" s="196"/>
      <c r="E120" s="197"/>
      <c r="F120" s="845"/>
      <c r="G120" s="780"/>
      <c r="H120" s="780"/>
      <c r="I120" s="846"/>
      <c r="J120" s="491">
        <f>SUM(J16:J18,J20:J21)</f>
        <v>-20.949000000000002</v>
      </c>
      <c r="K120" s="487">
        <f>SUM(K16:K18,K20:K21)</f>
        <v>-1.889</v>
      </c>
      <c r="L120" s="487">
        <f>SUM(L16:L18,L20:L21)</f>
        <v>0.44799999999999796</v>
      </c>
      <c r="M120" s="488">
        <f>SUM(M16:M18,M20:M21)</f>
        <v>13.455000000000002</v>
      </c>
      <c r="N120" s="491">
        <f t="shared" ref="N120:BA120" si="435">SUM(N16:N18,N20:N21)</f>
        <v>1.1890000000000001</v>
      </c>
      <c r="O120" s="487">
        <f t="shared" si="435"/>
        <v>-0.26300000000000012</v>
      </c>
      <c r="P120" s="487">
        <f t="shared" si="435"/>
        <v>0.74500000000000011</v>
      </c>
      <c r="Q120" s="488">
        <f t="shared" si="435"/>
        <v>15.129</v>
      </c>
      <c r="R120" s="491">
        <f t="shared" si="435"/>
        <v>25.6</v>
      </c>
      <c r="S120" s="487">
        <f t="shared" si="435"/>
        <v>0</v>
      </c>
      <c r="T120" s="487">
        <f t="shared" si="435"/>
        <v>0</v>
      </c>
      <c r="U120" s="488">
        <f t="shared" si="435"/>
        <v>0</v>
      </c>
      <c r="V120" s="491">
        <f t="shared" si="435"/>
        <v>0</v>
      </c>
      <c r="W120" s="487">
        <f t="shared" si="435"/>
        <v>0</v>
      </c>
      <c r="X120" s="487">
        <f t="shared" si="435"/>
        <v>0</v>
      </c>
      <c r="Y120" s="488">
        <f t="shared" si="435"/>
        <v>0</v>
      </c>
      <c r="Z120" s="491">
        <f t="shared" si="435"/>
        <v>0</v>
      </c>
      <c r="AA120" s="487">
        <f t="shared" si="435"/>
        <v>7</v>
      </c>
      <c r="AB120" s="487">
        <f t="shared" si="435"/>
        <v>-2.0999999999999996</v>
      </c>
      <c r="AC120" s="488">
        <f t="shared" si="435"/>
        <v>-22.3</v>
      </c>
      <c r="AD120" s="491">
        <f t="shared" si="435"/>
        <v>0</v>
      </c>
      <c r="AE120" s="487">
        <f t="shared" si="435"/>
        <v>0</v>
      </c>
      <c r="AF120" s="487">
        <f t="shared" si="435"/>
        <v>3</v>
      </c>
      <c r="AG120" s="488">
        <f t="shared" si="435"/>
        <v>-129</v>
      </c>
      <c r="AH120" s="491">
        <f t="shared" si="435"/>
        <v>109</v>
      </c>
      <c r="AI120" s="487">
        <f t="shared" si="435"/>
        <v>10</v>
      </c>
      <c r="AJ120" s="487">
        <f t="shared" si="435"/>
        <v>18</v>
      </c>
      <c r="AK120" s="488">
        <f t="shared" si="435"/>
        <v>-77</v>
      </c>
      <c r="AL120" s="491">
        <f t="shared" si="435"/>
        <v>3</v>
      </c>
      <c r="AM120" s="487">
        <f t="shared" si="435"/>
        <v>79</v>
      </c>
      <c r="AN120" s="487">
        <f t="shared" si="435"/>
        <v>16</v>
      </c>
      <c r="AO120" s="488">
        <f t="shared" si="435"/>
        <v>13</v>
      </c>
      <c r="AP120" s="491">
        <f t="shared" si="435"/>
        <v>0</v>
      </c>
      <c r="AQ120" s="487">
        <f t="shared" si="435"/>
        <v>-5</v>
      </c>
      <c r="AR120" s="487">
        <f t="shared" si="435"/>
        <v>3</v>
      </c>
      <c r="AS120" s="487">
        <f t="shared" si="435"/>
        <v>29</v>
      </c>
      <c r="AT120" s="491">
        <f t="shared" si="435"/>
        <v>0</v>
      </c>
      <c r="AU120" s="487">
        <f t="shared" si="435"/>
        <v>1</v>
      </c>
      <c r="AV120" s="487">
        <f t="shared" si="435"/>
        <v>3</v>
      </c>
      <c r="AW120" s="488">
        <f t="shared" si="435"/>
        <v>16</v>
      </c>
      <c r="AX120" s="491">
        <f t="shared" si="435"/>
        <v>9</v>
      </c>
      <c r="AY120" s="487">
        <f t="shared" si="435"/>
        <v>118</v>
      </c>
      <c r="AZ120" s="487">
        <f t="shared" si="435"/>
        <v>34</v>
      </c>
      <c r="BA120" s="488">
        <f t="shared" si="435"/>
        <v>53</v>
      </c>
      <c r="BB120" s="491">
        <f t="shared" ref="BB120:BH120" si="436">SUM(BB16:BB18,BB20:BB21)</f>
        <v>-12</v>
      </c>
      <c r="BC120" s="487">
        <f t="shared" si="436"/>
        <v>95</v>
      </c>
      <c r="BD120" s="487">
        <f t="shared" si="436"/>
        <v>-8</v>
      </c>
      <c r="BE120" s="488">
        <f>SUM(BE16:BE18,BE20:BE21)</f>
        <v>-21</v>
      </c>
      <c r="BF120" s="491">
        <f>SUM(BF16:BF18,BF20:BF21)</f>
        <v>-75</v>
      </c>
      <c r="BG120" s="487">
        <f t="shared" si="436"/>
        <v>0</v>
      </c>
      <c r="BH120" s="487">
        <f t="shared" si="436"/>
        <v>-2</v>
      </c>
      <c r="BI120" s="488">
        <f t="shared" ref="BI120:BQ120" si="437">SUM(BI16:BI18,BI20:BI21)</f>
        <v>110</v>
      </c>
      <c r="BJ120" s="491">
        <f t="shared" si="437"/>
        <v>15</v>
      </c>
      <c r="BK120" s="487">
        <f t="shared" si="437"/>
        <v>10</v>
      </c>
      <c r="BL120" s="487">
        <f t="shared" si="437"/>
        <v>-27</v>
      </c>
      <c r="BM120" s="488">
        <f t="shared" si="437"/>
        <v>96</v>
      </c>
      <c r="BN120" s="491">
        <f>SUM(BN16:BN18,BN20:BN21)</f>
        <v>11</v>
      </c>
      <c r="BO120" s="487">
        <f t="shared" si="437"/>
        <v>28</v>
      </c>
      <c r="BP120" s="487">
        <f t="shared" si="437"/>
        <v>-7</v>
      </c>
      <c r="BQ120" s="488">
        <f t="shared" si="437"/>
        <v>-13</v>
      </c>
      <c r="BR120" s="491">
        <f t="shared" ref="BR120:BY120" si="438">SUM(BR16:BR18,BR20:BR21)</f>
        <v>404</v>
      </c>
      <c r="BS120" s="487">
        <f t="shared" si="438"/>
        <v>41</v>
      </c>
      <c r="BT120" s="487">
        <f t="shared" si="438"/>
        <v>-20</v>
      </c>
      <c r="BU120" s="488">
        <f t="shared" si="438"/>
        <v>2</v>
      </c>
      <c r="BV120" s="491">
        <f t="shared" si="438"/>
        <v>58</v>
      </c>
      <c r="BW120" s="487">
        <f t="shared" si="438"/>
        <v>158</v>
      </c>
      <c r="BX120" s="487">
        <f t="shared" si="438"/>
        <v>0</v>
      </c>
      <c r="BY120" s="488">
        <f t="shared" si="438"/>
        <v>0</v>
      </c>
      <c r="BZ120" s="491">
        <f>SUM(BZ16:BZ18,BZ20:BZ21)</f>
        <v>0</v>
      </c>
      <c r="CA120" s="487">
        <f>SUM(CA16:CA18,CA20:CA21)</f>
        <v>0</v>
      </c>
      <c r="CB120" s="487">
        <f>SUM(CB16:CB18,CB20:CB21)</f>
        <v>0</v>
      </c>
      <c r="CC120" s="488">
        <f>SUM(CC16:CC18,CC20:CC21)</f>
        <v>0</v>
      </c>
      <c r="CD120" s="115"/>
      <c r="CE120" s="913" t="s">
        <v>687</v>
      </c>
      <c r="CF120" s="487">
        <f t="shared" ref="CF120:CT120" si="439">SUM(CF16:CF18,CF20:CF21)</f>
        <v>-8.9349999999999987</v>
      </c>
      <c r="CG120" s="487">
        <f t="shared" si="439"/>
        <v>16.799999999999997</v>
      </c>
      <c r="CH120" s="487">
        <f t="shared" si="439"/>
        <v>25.6</v>
      </c>
      <c r="CI120" s="487">
        <f t="shared" si="439"/>
        <v>0</v>
      </c>
      <c r="CJ120" s="487">
        <f t="shared" si="439"/>
        <v>-17.399999999999999</v>
      </c>
      <c r="CK120" s="487">
        <f t="shared" si="439"/>
        <v>-126</v>
      </c>
      <c r="CL120" s="487">
        <f t="shared" si="439"/>
        <v>60</v>
      </c>
      <c r="CM120" s="487">
        <f t="shared" si="439"/>
        <v>111</v>
      </c>
      <c r="CN120" s="487">
        <f t="shared" si="439"/>
        <v>27</v>
      </c>
      <c r="CO120" s="487">
        <f t="shared" si="439"/>
        <v>20</v>
      </c>
      <c r="CP120" s="487">
        <f t="shared" si="439"/>
        <v>214</v>
      </c>
      <c r="CQ120" s="487">
        <f>SUM(CQ16:CQ18,CQ20:CQ21)</f>
        <v>54</v>
      </c>
      <c r="CR120" s="487">
        <f>SUM(CR16:CR18,CR20:CR21)</f>
        <v>33</v>
      </c>
      <c r="CS120" s="487">
        <f>SUM(CS16:CS18,CS20:CS21)</f>
        <v>94</v>
      </c>
      <c r="CT120" s="487">
        <f t="shared" si="439"/>
        <v>19</v>
      </c>
      <c r="CU120" s="487">
        <f t="shared" ref="CU120:DA120" si="440">SUM(CU16:CU18,CU20:CU21)</f>
        <v>427</v>
      </c>
      <c r="CV120" s="487">
        <f t="shared" si="440"/>
        <v>216</v>
      </c>
      <c r="CW120" s="487">
        <f t="shared" si="440"/>
        <v>0</v>
      </c>
      <c r="CX120" s="487">
        <f t="shared" si="440"/>
        <v>0</v>
      </c>
      <c r="CY120" s="487">
        <f t="shared" si="440"/>
        <v>0</v>
      </c>
      <c r="CZ120" s="487">
        <f t="shared" si="440"/>
        <v>0</v>
      </c>
      <c r="DA120" s="487">
        <f t="shared" si="440"/>
        <v>0</v>
      </c>
      <c r="DB120" s="487">
        <f>SUM(DB16:DB18,DB20:DB21)</f>
        <v>0</v>
      </c>
      <c r="DC120" s="487">
        <f>SUM(DC16:DC18,DC20:DC21)</f>
        <v>0</v>
      </c>
      <c r="DD120" s="488"/>
      <c r="DE120" s="35"/>
      <c r="DF120" s="29"/>
      <c r="DG120" s="29"/>
      <c r="DH120" s="91"/>
      <c r="DI120" s="29"/>
      <c r="DJ120" s="29"/>
      <c r="DK120" s="29"/>
      <c r="DL120" s="29"/>
      <c r="DM120" s="91"/>
      <c r="DN120" s="29"/>
      <c r="DO120" s="29"/>
      <c r="DP120" s="29"/>
      <c r="DQ120" s="29"/>
      <c r="DR120" s="29"/>
      <c r="DS120" s="29"/>
      <c r="DT120" s="29"/>
      <c r="DU120" s="29"/>
      <c r="DV120" s="29"/>
      <c r="DW120" s="29"/>
    </row>
    <row r="121" spans="1:133">
      <c r="A121" s="320"/>
      <c r="B121" s="208"/>
      <c r="C121" s="196" t="s">
        <v>631</v>
      </c>
      <c r="D121" s="196"/>
      <c r="E121" s="197"/>
      <c r="F121" s="845"/>
      <c r="G121" s="780"/>
      <c r="H121" s="780"/>
      <c r="I121" s="846"/>
      <c r="J121" s="491">
        <f>J32</f>
        <v>-12.013</v>
      </c>
      <c r="K121" s="487">
        <f>K32</f>
        <v>-14.025</v>
      </c>
      <c r="L121" s="487">
        <f>L32</f>
        <v>-13.446000000000002</v>
      </c>
      <c r="M121" s="488">
        <f>M32</f>
        <v>-8.2590000000000003</v>
      </c>
      <c r="N121" s="491">
        <f t="shared" ref="N121:AH121" si="441">N32</f>
        <v>-12.362</v>
      </c>
      <c r="O121" s="487">
        <f t="shared" si="441"/>
        <v>-15.424999999999999</v>
      </c>
      <c r="P121" s="487">
        <f t="shared" si="441"/>
        <v>-15.785000000000004</v>
      </c>
      <c r="Q121" s="488">
        <f t="shared" si="441"/>
        <v>-18.327999999999996</v>
      </c>
      <c r="R121" s="491">
        <f t="shared" si="441"/>
        <v>-19.899999999999999</v>
      </c>
      <c r="S121" s="487">
        <f t="shared" si="441"/>
        <v>-44.199999999999996</v>
      </c>
      <c r="T121" s="487">
        <f t="shared" si="441"/>
        <v>-26.400000000000006</v>
      </c>
      <c r="U121" s="488">
        <f t="shared" si="441"/>
        <v>-41.199999999999989</v>
      </c>
      <c r="V121" s="491">
        <f t="shared" si="441"/>
        <v>-50.7</v>
      </c>
      <c r="W121" s="487">
        <f t="shared" si="441"/>
        <v>-54.8</v>
      </c>
      <c r="X121" s="487">
        <f t="shared" si="441"/>
        <v>-47.5</v>
      </c>
      <c r="Y121" s="488">
        <f t="shared" si="441"/>
        <v>-80.400000000000006</v>
      </c>
      <c r="Z121" s="491">
        <f t="shared" si="441"/>
        <v>-50.2</v>
      </c>
      <c r="AA121" s="487">
        <f t="shared" si="441"/>
        <v>-52</v>
      </c>
      <c r="AB121" s="487">
        <f t="shared" si="441"/>
        <v>-103.89999999999999</v>
      </c>
      <c r="AC121" s="488">
        <f t="shared" si="441"/>
        <v>-95.799999999999983</v>
      </c>
      <c r="AD121" s="491">
        <f t="shared" si="441"/>
        <v>-72</v>
      </c>
      <c r="AE121" s="487">
        <f t="shared" si="441"/>
        <v>-97</v>
      </c>
      <c r="AF121" s="487">
        <f t="shared" si="441"/>
        <v>-69</v>
      </c>
      <c r="AG121" s="488">
        <f t="shared" si="441"/>
        <v>-86</v>
      </c>
      <c r="AH121" s="491">
        <f t="shared" si="441"/>
        <v>-163</v>
      </c>
      <c r="AI121" s="487">
        <f>AI32</f>
        <v>-169</v>
      </c>
      <c r="AJ121" s="487">
        <f t="shared" ref="AJ121:BA121" si="442">AJ32</f>
        <v>-137</v>
      </c>
      <c r="AK121" s="488">
        <f t="shared" si="442"/>
        <v>-146</v>
      </c>
      <c r="AL121" s="491">
        <f t="shared" si="442"/>
        <v>-162</v>
      </c>
      <c r="AM121" s="487">
        <f t="shared" si="442"/>
        <v>-140</v>
      </c>
      <c r="AN121" s="487">
        <f t="shared" si="442"/>
        <v>-106</v>
      </c>
      <c r="AO121" s="488">
        <f t="shared" si="442"/>
        <v>-111</v>
      </c>
      <c r="AP121" s="491">
        <f t="shared" si="442"/>
        <v>-176</v>
      </c>
      <c r="AQ121" s="487">
        <f t="shared" si="442"/>
        <v>-199</v>
      </c>
      <c r="AR121" s="487">
        <f t="shared" si="442"/>
        <v>-177</v>
      </c>
      <c r="AS121" s="487">
        <f t="shared" si="442"/>
        <v>-185</v>
      </c>
      <c r="AT121" s="491">
        <f t="shared" si="442"/>
        <v>-200</v>
      </c>
      <c r="AU121" s="487">
        <f t="shared" si="442"/>
        <v>-250</v>
      </c>
      <c r="AV121" s="487">
        <f t="shared" si="442"/>
        <v>-175</v>
      </c>
      <c r="AW121" s="487">
        <f t="shared" si="442"/>
        <v>-153</v>
      </c>
      <c r="AX121" s="491">
        <f t="shared" si="442"/>
        <v>-134</v>
      </c>
      <c r="AY121" s="487">
        <f t="shared" si="442"/>
        <v>-119</v>
      </c>
      <c r="AZ121" s="487">
        <f t="shared" si="442"/>
        <v>-140</v>
      </c>
      <c r="BA121" s="488">
        <f t="shared" si="442"/>
        <v>-324</v>
      </c>
      <c r="BB121" s="491">
        <f t="shared" ref="BB121:BH121" si="443">BB32</f>
        <v>-382</v>
      </c>
      <c r="BC121" s="487">
        <f t="shared" si="443"/>
        <v>-246</v>
      </c>
      <c r="BD121" s="487">
        <f t="shared" si="443"/>
        <v>-188</v>
      </c>
      <c r="BE121" s="488">
        <f>BE32</f>
        <v>-136</v>
      </c>
      <c r="BF121" s="491">
        <f>BF32</f>
        <v>-136</v>
      </c>
      <c r="BG121" s="487">
        <f t="shared" si="443"/>
        <v>-170</v>
      </c>
      <c r="BH121" s="487">
        <f t="shared" si="443"/>
        <v>-161</v>
      </c>
      <c r="BI121" s="488">
        <f t="shared" ref="BI121:BQ121" si="444">BI32</f>
        <v>-161</v>
      </c>
      <c r="BJ121" s="491">
        <f t="shared" si="444"/>
        <v>-160</v>
      </c>
      <c r="BK121" s="487">
        <f t="shared" si="444"/>
        <v>-146</v>
      </c>
      <c r="BL121" s="487">
        <f t="shared" si="444"/>
        <v>-150</v>
      </c>
      <c r="BM121" s="488">
        <f t="shared" si="444"/>
        <v>-156</v>
      </c>
      <c r="BN121" s="491">
        <f>BN32</f>
        <v>-151</v>
      </c>
      <c r="BO121" s="487">
        <f t="shared" si="444"/>
        <v>-149</v>
      </c>
      <c r="BP121" s="487">
        <f t="shared" si="444"/>
        <v>-133</v>
      </c>
      <c r="BQ121" s="488">
        <f t="shared" si="444"/>
        <v>-241</v>
      </c>
      <c r="BR121" s="491">
        <f t="shared" ref="BR121:BY121" si="445">BR32</f>
        <v>-211</v>
      </c>
      <c r="BS121" s="487">
        <f t="shared" si="445"/>
        <v>-189</v>
      </c>
      <c r="BT121" s="487">
        <f t="shared" si="445"/>
        <v>-277</v>
      </c>
      <c r="BU121" s="488">
        <f t="shared" si="445"/>
        <v>-178</v>
      </c>
      <c r="BV121" s="491">
        <f t="shared" si="445"/>
        <v>-286</v>
      </c>
      <c r="BW121" s="487">
        <f t="shared" si="445"/>
        <v>-629</v>
      </c>
      <c r="BX121" s="487">
        <f t="shared" si="445"/>
        <v>-343.63690549999995</v>
      </c>
      <c r="BY121" s="488">
        <f t="shared" si="445"/>
        <v>-343.98148954819999</v>
      </c>
      <c r="BZ121" s="491">
        <f>BZ32</f>
        <v>-329.583237155821</v>
      </c>
      <c r="CA121" s="487">
        <f>CA32</f>
        <v>-324.35698676876706</v>
      </c>
      <c r="CB121" s="487">
        <f>CB32</f>
        <v>-278.03367230868963</v>
      </c>
      <c r="CC121" s="488">
        <f>CC32</f>
        <v>-263.16810307178815</v>
      </c>
      <c r="CD121" s="115"/>
      <c r="CE121" s="913">
        <f t="shared" ref="CE121:CT121" si="446">CE32</f>
        <v>-50.683</v>
      </c>
      <c r="CF121" s="487">
        <f t="shared" si="446"/>
        <v>-47.743000000000002</v>
      </c>
      <c r="CG121" s="487">
        <f t="shared" si="446"/>
        <v>-61.9</v>
      </c>
      <c r="CH121" s="487">
        <f t="shared" si="446"/>
        <v>-131.69999999999999</v>
      </c>
      <c r="CI121" s="487">
        <f t="shared" si="446"/>
        <v>-233.4</v>
      </c>
      <c r="CJ121" s="487">
        <f t="shared" si="446"/>
        <v>-301.89999999999998</v>
      </c>
      <c r="CK121" s="487">
        <f t="shared" si="446"/>
        <v>-324</v>
      </c>
      <c r="CL121" s="487">
        <f t="shared" si="446"/>
        <v>-615</v>
      </c>
      <c r="CM121" s="487">
        <f t="shared" si="446"/>
        <v>-519</v>
      </c>
      <c r="CN121" s="487">
        <f t="shared" si="446"/>
        <v>-737</v>
      </c>
      <c r="CO121" s="487">
        <f t="shared" si="446"/>
        <v>-778</v>
      </c>
      <c r="CP121" s="487">
        <f t="shared" si="446"/>
        <v>-717</v>
      </c>
      <c r="CQ121" s="487">
        <f>CQ32</f>
        <v>-952</v>
      </c>
      <c r="CR121" s="487">
        <f>CR32</f>
        <v>-628</v>
      </c>
      <c r="CS121" s="487">
        <f t="shared" si="446"/>
        <v>-612</v>
      </c>
      <c r="CT121" s="487">
        <f t="shared" si="446"/>
        <v>-674</v>
      </c>
      <c r="CU121" s="487">
        <f t="shared" ref="CU121:DA121" si="447">CU32</f>
        <v>-855</v>
      </c>
      <c r="CV121" s="487">
        <f t="shared" si="447"/>
        <v>-1602.6183950482</v>
      </c>
      <c r="CW121" s="487">
        <f t="shared" si="447"/>
        <v>-1195.1419993050658</v>
      </c>
      <c r="CX121" s="487">
        <f t="shared" si="447"/>
        <v>-1330.6856128148449</v>
      </c>
      <c r="CY121" s="487">
        <f t="shared" si="447"/>
        <v>-1378.9259815649145</v>
      </c>
      <c r="CZ121" s="487">
        <f t="shared" si="447"/>
        <v>-1541.521642237298</v>
      </c>
      <c r="DA121" s="487">
        <f t="shared" si="447"/>
        <v>-1612.9672825233101</v>
      </c>
      <c r="DB121" s="487">
        <f>DB32</f>
        <v>-1693.9398753041544</v>
      </c>
      <c r="DC121" s="487">
        <f>DC32</f>
        <v>-1785.6450452278245</v>
      </c>
      <c r="DD121" s="488"/>
      <c r="DE121" s="35"/>
      <c r="DF121" s="29"/>
      <c r="DG121" s="29"/>
      <c r="DH121" s="91"/>
      <c r="DI121" s="29"/>
      <c r="DJ121" s="29"/>
      <c r="DK121" s="29"/>
      <c r="DL121" s="29"/>
      <c r="DM121" s="91"/>
      <c r="DN121" s="29"/>
      <c r="DO121" s="29"/>
      <c r="DP121" s="29"/>
      <c r="DQ121" s="29"/>
      <c r="DR121" s="29"/>
      <c r="DS121" s="29"/>
      <c r="DT121" s="29"/>
      <c r="DU121" s="29"/>
      <c r="DV121" s="29"/>
      <c r="DW121" s="29"/>
    </row>
    <row r="122" spans="1:133" s="52" customFormat="1">
      <c r="A122" s="320"/>
      <c r="B122" s="208"/>
      <c r="C122" s="196" t="s">
        <v>612</v>
      </c>
      <c r="D122" s="196"/>
      <c r="E122" s="197"/>
      <c r="F122" s="845"/>
      <c r="G122" s="780"/>
      <c r="H122" s="780"/>
      <c r="I122" s="846"/>
      <c r="J122" s="491">
        <f>SUM(J114:J121)</f>
        <v>-3.680999999999985</v>
      </c>
      <c r="K122" s="487">
        <f>SUM(K114:K121)</f>
        <v>-10.374000000000063</v>
      </c>
      <c r="L122" s="487">
        <f>SUM(L114:L121)</f>
        <v>35.784714340718139</v>
      </c>
      <c r="M122" s="488">
        <f>SUM(M114:M121)</f>
        <v>12.064999999999966</v>
      </c>
      <c r="N122" s="491">
        <f t="shared" ref="N122:AS122" si="448">SUM(N114:N121)</f>
        <v>33.933278737041604</v>
      </c>
      <c r="O122" s="487">
        <f t="shared" si="448"/>
        <v>77.799401891764632</v>
      </c>
      <c r="P122" s="487">
        <f t="shared" si="448"/>
        <v>83.594534776115637</v>
      </c>
      <c r="Q122" s="488">
        <f t="shared" si="448"/>
        <v>25.734365616533509</v>
      </c>
      <c r="R122" s="491">
        <f t="shared" si="448"/>
        <v>-38.175116549678975</v>
      </c>
      <c r="S122" s="487">
        <f t="shared" si="448"/>
        <v>29.100000000000072</v>
      </c>
      <c r="T122" s="487">
        <f t="shared" si="448"/>
        <v>35.190976773256445</v>
      </c>
      <c r="U122" s="488">
        <f t="shared" si="448"/>
        <v>31.900184742957563</v>
      </c>
      <c r="V122" s="491">
        <f t="shared" si="448"/>
        <v>42.40000000000002</v>
      </c>
      <c r="W122" s="487">
        <f t="shared" si="448"/>
        <v>87.425081087970923</v>
      </c>
      <c r="X122" s="487">
        <f t="shared" si="448"/>
        <v>62.095537108473849</v>
      </c>
      <c r="Y122" s="488">
        <f t="shared" si="448"/>
        <v>29.867057114279788</v>
      </c>
      <c r="Z122" s="491">
        <f t="shared" si="448"/>
        <v>-19.995047538587812</v>
      </c>
      <c r="AA122" s="487">
        <f t="shared" si="448"/>
        <v>52.867426263726955</v>
      </c>
      <c r="AB122" s="487">
        <f t="shared" si="448"/>
        <v>1.5699816586421349</v>
      </c>
      <c r="AC122" s="488">
        <f t="shared" si="448"/>
        <v>13.620633982265943</v>
      </c>
      <c r="AD122" s="491">
        <f t="shared" si="448"/>
        <v>46.998833436121458</v>
      </c>
      <c r="AE122" s="487">
        <f t="shared" si="448"/>
        <v>64.970011495356857</v>
      </c>
      <c r="AF122" s="487">
        <f t="shared" si="448"/>
        <v>83.02977342464601</v>
      </c>
      <c r="AG122" s="488">
        <f t="shared" si="448"/>
        <v>75.707774312504625</v>
      </c>
      <c r="AH122" s="491">
        <f t="shared" si="448"/>
        <v>53.988572513042982</v>
      </c>
      <c r="AI122" s="487">
        <f t="shared" si="448"/>
        <v>365.30360848767646</v>
      </c>
      <c r="AJ122" s="487">
        <f t="shared" si="448"/>
        <v>297.60684184863976</v>
      </c>
      <c r="AK122" s="488">
        <f t="shared" si="448"/>
        <v>82.064919725178697</v>
      </c>
      <c r="AL122" s="491">
        <f t="shared" si="448"/>
        <v>136.98976037078137</v>
      </c>
      <c r="AM122" s="487">
        <f t="shared" si="448"/>
        <v>317.78772525634986</v>
      </c>
      <c r="AN122" s="487">
        <f>SUM(AN114:AN121)</f>
        <v>260.89200693509156</v>
      </c>
      <c r="AO122" s="488">
        <f t="shared" si="448"/>
        <v>187.18657194384241</v>
      </c>
      <c r="AP122" s="491">
        <f t="shared" si="448"/>
        <v>248.94885115999978</v>
      </c>
      <c r="AQ122" s="487">
        <f t="shared" si="448"/>
        <v>347.94007525000006</v>
      </c>
      <c r="AR122" s="487">
        <f t="shared" si="448"/>
        <v>396.83925150000005</v>
      </c>
      <c r="AS122" s="487">
        <f t="shared" si="448"/>
        <v>192.16533969848876</v>
      </c>
      <c r="AT122" s="491">
        <f t="shared" ref="AT122:BA122" si="449">SUM(AT114:AT121)</f>
        <v>182.97132884299981</v>
      </c>
      <c r="AU122" s="487">
        <f t="shared" si="449"/>
        <v>240.58216772499964</v>
      </c>
      <c r="AV122" s="487">
        <f t="shared" si="449"/>
        <v>132.05312178269969</v>
      </c>
      <c r="AW122" s="487">
        <f t="shared" si="449"/>
        <v>319.31393374718755</v>
      </c>
      <c r="AX122" s="491">
        <f t="shared" si="449"/>
        <v>226.43461406480401</v>
      </c>
      <c r="AY122" s="487">
        <f t="shared" si="449"/>
        <v>453.37867133650047</v>
      </c>
      <c r="AZ122" s="487">
        <f t="shared" si="449"/>
        <v>1191.1719613436903</v>
      </c>
      <c r="BA122" s="488">
        <f t="shared" si="449"/>
        <v>972.10029102005683</v>
      </c>
      <c r="BB122" s="491">
        <f t="shared" ref="BB122:BH122" si="450">SUM(BB114:BB121)</f>
        <v>605.90000000000009</v>
      </c>
      <c r="BC122" s="487">
        <f t="shared" si="450"/>
        <v>700.05549999999994</v>
      </c>
      <c r="BD122" s="487">
        <f t="shared" si="450"/>
        <v>624.72000000000025</v>
      </c>
      <c r="BE122" s="488">
        <f>SUM(BE114:BE121)</f>
        <v>1272.2379999999998</v>
      </c>
      <c r="BF122" s="491">
        <f>SUM(BF114:BF121)</f>
        <v>534.07020000000011</v>
      </c>
      <c r="BG122" s="487">
        <f t="shared" si="450"/>
        <v>629.82400000000007</v>
      </c>
      <c r="BH122" s="487">
        <f t="shared" si="450"/>
        <v>608.00799999999981</v>
      </c>
      <c r="BI122" s="488">
        <f t="shared" ref="BI122:BQ122" si="451">SUM(BI114:BI121)</f>
        <v>722.31</v>
      </c>
      <c r="BJ122" s="491">
        <f t="shared" si="451"/>
        <v>766.19399999999996</v>
      </c>
      <c r="BK122" s="487">
        <f t="shared" si="451"/>
        <v>220.904</v>
      </c>
      <c r="BL122" s="487">
        <f t="shared" si="451"/>
        <v>595.89599999999996</v>
      </c>
      <c r="BM122" s="488">
        <f t="shared" si="451"/>
        <v>557.98249999999985</v>
      </c>
      <c r="BN122" s="491">
        <f>SUM(BN114:BN121)</f>
        <v>494.22499999999991</v>
      </c>
      <c r="BO122" s="487">
        <f t="shared" si="451"/>
        <v>577.21249999999998</v>
      </c>
      <c r="BP122" s="487">
        <f t="shared" si="451"/>
        <v>567.25999999999988</v>
      </c>
      <c r="BQ122" s="488">
        <f t="shared" si="451"/>
        <v>937.73</v>
      </c>
      <c r="BR122" s="491">
        <f t="shared" ref="BR122:BY122" si="452">SUM(BR114:BR121)</f>
        <v>1175.556</v>
      </c>
      <c r="BS122" s="487">
        <f t="shared" si="452"/>
        <v>1434.8529999999998</v>
      </c>
      <c r="BT122" s="487">
        <f t="shared" si="452"/>
        <v>1300.076</v>
      </c>
      <c r="BU122" s="488">
        <f t="shared" si="452"/>
        <v>1477.0769999999998</v>
      </c>
      <c r="BV122" s="491">
        <f t="shared" si="452"/>
        <v>1362.8649999999998</v>
      </c>
      <c r="BW122" s="487">
        <f t="shared" si="452"/>
        <v>2668.36</v>
      </c>
      <c r="BX122" s="487">
        <f t="shared" si="452"/>
        <v>265.49002039344981</v>
      </c>
      <c r="BY122" s="488">
        <f t="shared" si="452"/>
        <v>1260.4761096019056</v>
      </c>
      <c r="BZ122" s="491">
        <f>SUM(BZ114:BZ121)</f>
        <v>1207.0127749954638</v>
      </c>
      <c r="CA122" s="487">
        <f>SUM(CA114:CA121)</f>
        <v>1355.6205068605909</v>
      </c>
      <c r="CB122" s="487">
        <f>SUM(CB114:CB121)</f>
        <v>762.0007781140223</v>
      </c>
      <c r="CC122" s="488">
        <f>SUM(CC114:CC121)</f>
        <v>690.66581520832392</v>
      </c>
      <c r="CD122" s="117"/>
      <c r="CE122" s="913" t="s">
        <v>687</v>
      </c>
      <c r="CF122" s="487" t="e">
        <f t="shared" ref="CF122:CN122" si="453">SUM(CF114:CF121)</f>
        <v>#REF!</v>
      </c>
      <c r="CG122" s="487" t="e">
        <f t="shared" si="453"/>
        <v>#REF!</v>
      </c>
      <c r="CH122" s="487" t="e">
        <f t="shared" si="453"/>
        <v>#REF!</v>
      </c>
      <c r="CI122" s="487" t="e">
        <f t="shared" si="453"/>
        <v>#REF!</v>
      </c>
      <c r="CJ122" s="487" t="e">
        <f t="shared" si="453"/>
        <v>#REF!</v>
      </c>
      <c r="CK122" s="487" t="e">
        <f t="shared" si="453"/>
        <v>#REF!</v>
      </c>
      <c r="CL122" s="487" t="e">
        <f t="shared" si="453"/>
        <v>#REF!</v>
      </c>
      <c r="CM122" s="487" t="e">
        <f t="shared" si="453"/>
        <v>#REF!</v>
      </c>
      <c r="CN122" s="487" t="e">
        <f t="shared" si="453"/>
        <v>#REF!</v>
      </c>
      <c r="CO122" s="487" t="e">
        <f t="shared" ref="CO122:CT122" si="454">SUM(CO114:CO121)</f>
        <v>#REF!</v>
      </c>
      <c r="CP122" s="487" t="e">
        <f t="shared" si="454"/>
        <v>#REF!</v>
      </c>
      <c r="CQ122" s="487">
        <f>SUM(CQ114:CQ121)</f>
        <v>2084.9135000000006</v>
      </c>
      <c r="CR122" s="487">
        <f>SUM(CR114:CR121)</f>
        <v>2088.2121999999999</v>
      </c>
      <c r="CS122" s="487">
        <f t="shared" si="454"/>
        <v>1514.4764999999998</v>
      </c>
      <c r="CT122" s="487">
        <f t="shared" si="454"/>
        <v>1359.5274999999997</v>
      </c>
      <c r="CU122" s="487">
        <f t="shared" ref="CU122:DA122" si="455">SUM(CU114:CU121)</f>
        <v>3064.5619999999999</v>
      </c>
      <c r="CV122" s="487">
        <f t="shared" si="455"/>
        <v>5557.1911299953554</v>
      </c>
      <c r="CW122" s="487">
        <f t="shared" si="455"/>
        <v>4015.2998751783998</v>
      </c>
      <c r="CX122" s="487">
        <f t="shared" si="455"/>
        <v>4371.0337027313126</v>
      </c>
      <c r="CY122" s="487">
        <f t="shared" si="455"/>
        <v>4183.0271115719443</v>
      </c>
      <c r="CZ122" s="487">
        <f t="shared" si="455"/>
        <v>4326.716396200085</v>
      </c>
      <c r="DA122" s="487">
        <f t="shared" si="455"/>
        <v>4114.1616461267995</v>
      </c>
      <c r="DB122" s="487">
        <f>SUM(DB114:DB121)</f>
        <v>4340.3240774947108</v>
      </c>
      <c r="DC122" s="487">
        <f>SUM(DC114:DC121)</f>
        <v>4584.6061045799761</v>
      </c>
      <c r="DD122" s="488"/>
      <c r="DE122" s="35"/>
      <c r="DF122" s="35"/>
      <c r="DG122" s="29"/>
      <c r="DH122" s="91"/>
      <c r="DI122" s="29"/>
      <c r="DJ122" s="29"/>
      <c r="DK122" s="29"/>
      <c r="DL122" s="29"/>
      <c r="DM122" s="91"/>
      <c r="DN122" s="29"/>
      <c r="DO122" s="29"/>
      <c r="DP122" s="29"/>
      <c r="DQ122" s="29"/>
      <c r="DR122" s="29"/>
      <c r="DS122" s="29"/>
      <c r="DT122" s="29"/>
      <c r="DU122" s="29"/>
      <c r="DV122" s="29"/>
      <c r="DW122" s="29"/>
      <c r="DX122"/>
      <c r="DY122"/>
      <c r="DZ122"/>
      <c r="EA122"/>
      <c r="EB122"/>
      <c r="EC122"/>
    </row>
    <row r="123" spans="1:133" s="52" customFormat="1">
      <c r="A123" s="320"/>
      <c r="B123" s="208"/>
      <c r="C123" s="196" t="s">
        <v>613</v>
      </c>
      <c r="D123" s="196"/>
      <c r="E123" s="197"/>
      <c r="F123" s="845"/>
      <c r="G123" s="780"/>
      <c r="H123" s="780"/>
      <c r="I123" s="846"/>
      <c r="J123" s="1114">
        <f>J122/IS!J124</f>
        <v>-1.9722988721300856E-2</v>
      </c>
      <c r="K123" s="1114">
        <f>K122/IS!K124</f>
        <v>-5.4137268818102442E-2</v>
      </c>
      <c r="L123" s="1114">
        <f>L122/IS!L124</f>
        <v>0.1804074227557568</v>
      </c>
      <c r="M123" s="1168">
        <f>M122/IS!M124</f>
        <v>6.1022487026715186E-2</v>
      </c>
      <c r="N123" s="1114">
        <f>N122/IS!N124</f>
        <v>0.17240504787063302</v>
      </c>
      <c r="O123" s="1114">
        <f>O122/IS!O124</f>
        <v>0.38113981222970778</v>
      </c>
      <c r="P123" s="1114">
        <f>P122/IS!P124</f>
        <v>0.40243079651901387</v>
      </c>
      <c r="Q123" s="1168">
        <f>Q122/IS!Q124</f>
        <v>0.1206317236981836</v>
      </c>
      <c r="R123" s="1114">
        <f>R122/IS!R124</f>
        <v>-0.17681851111477062</v>
      </c>
      <c r="S123" s="1114">
        <f>S122/IS!S124</f>
        <v>0.13354749885268505</v>
      </c>
      <c r="T123" s="1114">
        <f>T122/IS!T124</f>
        <v>0.16179759435979973</v>
      </c>
      <c r="U123" s="1168">
        <f>U122/IS!U124</f>
        <v>0.14802869950328335</v>
      </c>
      <c r="V123" s="1114">
        <f>V122/IS!V124</f>
        <v>0.19943555973659463</v>
      </c>
      <c r="W123" s="1114">
        <f>W122/IS!W124</f>
        <v>0.40929345078638074</v>
      </c>
      <c r="X123" s="1114">
        <f>X122/IS!X124</f>
        <v>0.28393021082978442</v>
      </c>
      <c r="Y123" s="1168">
        <f>Y122/IS!Y124</f>
        <v>0.13417366178921739</v>
      </c>
      <c r="Z123" s="1114">
        <f>Z122/IS!Z124</f>
        <v>-9.0434407682441487E-2</v>
      </c>
      <c r="AA123" s="1114">
        <f>AA122/IS!AA124</f>
        <v>0.23867912534413976</v>
      </c>
      <c r="AB123" s="1114">
        <f>AB122/IS!AB124</f>
        <v>6.9223177188806649E-3</v>
      </c>
      <c r="AC123" s="1168">
        <f>AC122/IS!AC124</f>
        <v>6.0509258028724762E-2</v>
      </c>
      <c r="AD123" s="1114">
        <f>AD122/IS!AD124</f>
        <v>0.20888370416053981</v>
      </c>
      <c r="AE123" s="1114">
        <f>AE122/IS!AE124</f>
        <v>0.28747792697060559</v>
      </c>
      <c r="AF123" s="1114">
        <f>AF122/IS!AF124</f>
        <v>0.36738837798515933</v>
      </c>
      <c r="AG123" s="1168">
        <f>AG122/IS!AG124</f>
        <v>0.33647899694446498</v>
      </c>
      <c r="AH123" s="1114">
        <f>AH122/IS!AH124</f>
        <v>0.24102041300465618</v>
      </c>
      <c r="AI123" s="1114">
        <f>AI122/IS!AI124</f>
        <v>1.6163876481755595</v>
      </c>
      <c r="AJ123" s="1114">
        <f>AJ122/IS!AJ124</f>
        <v>1.3110433561614085</v>
      </c>
      <c r="AK123" s="1168">
        <f>AK122/IS!AK124</f>
        <v>0.36151947015497221</v>
      </c>
      <c r="AL123" s="1114">
        <f>AL122/IS!AL124</f>
        <v>0.60614938217159897</v>
      </c>
      <c r="AM123" s="1114">
        <f>AM122/IS!AM124</f>
        <v>1.4186952020372761</v>
      </c>
      <c r="AN123" s="1114">
        <f>AN122/IS!AN124</f>
        <v>1.1543894112172193</v>
      </c>
      <c r="AO123" s="1168">
        <f>AO122/IS!AO124</f>
        <v>0.8246104490918168</v>
      </c>
      <c r="AP123" s="1114">
        <f>AP122/IS!AP124</f>
        <v>1.0823863093913033</v>
      </c>
      <c r="AQ123" s="1114">
        <f>AQ122/IS!AQ124</f>
        <v>1.4997417036637934</v>
      </c>
      <c r="AR123" s="1114">
        <f>AR122/IS!AR124</f>
        <v>1.6958942371794874</v>
      </c>
      <c r="AS123" s="1114">
        <f>AS122/IS!AS124</f>
        <v>0.81772484978080329</v>
      </c>
      <c r="AT123" s="2142">
        <f>AT122/IS!AT124</f>
        <v>0.78192875573931542</v>
      </c>
      <c r="AU123" s="1114">
        <f>AU122/IS!AU124</f>
        <v>1.0237539052127644</v>
      </c>
      <c r="AV123" s="1114">
        <f>AV122/IS!AV124</f>
        <v>0.55954712619788005</v>
      </c>
      <c r="AW123" s="1114">
        <f>AW122/IS!AW124</f>
        <v>1.3473161761484707</v>
      </c>
      <c r="AX123" s="2142">
        <f>AX122/IS!AX124</f>
        <v>0.95542031250972159</v>
      </c>
      <c r="AY123" s="1114">
        <f>AY122/IS!AY124</f>
        <v>1.9129901744156139</v>
      </c>
      <c r="AZ123" s="1114">
        <f>AZ122/IS!AZ124</f>
        <v>4.8421624444865463</v>
      </c>
      <c r="BA123" s="1114">
        <f>BA122/IS!BA124</f>
        <v>3.7388472731540645</v>
      </c>
      <c r="BB123" s="2142">
        <f>BB122/IS!BB124</f>
        <v>2.4043650793650797</v>
      </c>
      <c r="BC123" s="1114">
        <f>BC122/IS!BC124</f>
        <v>2.8457540650406501</v>
      </c>
      <c r="BD123" s="1114">
        <f>BD122/IS!BD124</f>
        <v>2.5498775510204092</v>
      </c>
      <c r="BE123" s="1168">
        <f>BE122/IS!BE124</f>
        <v>5.2355473251028801</v>
      </c>
      <c r="BF123" s="2142">
        <f>BF122/IS!BF124</f>
        <v>2.2069016528925625</v>
      </c>
      <c r="BG123" s="1114">
        <f>BG122/IS!BG124</f>
        <v>2.5918683127572018</v>
      </c>
      <c r="BH123" s="1114">
        <f>BH122/IS!BH124</f>
        <v>2.5124297520661147</v>
      </c>
      <c r="BI123" s="1168">
        <f>BI122/IS!BI124</f>
        <v>2.9971369294605807</v>
      </c>
      <c r="BJ123" s="2142">
        <f>BJ122/IS!BJ124</f>
        <v>3.192475</v>
      </c>
      <c r="BK123" s="1114">
        <f>BK122/IS!BK124</f>
        <v>0.92816806722689071</v>
      </c>
      <c r="BL123" s="1114">
        <f>BL122/IS!BL124</f>
        <v>2.5249830508474576</v>
      </c>
      <c r="BM123" s="1168">
        <f>BM122/IS!BM124</f>
        <v>2.3743936170212758</v>
      </c>
      <c r="BN123" s="2142">
        <f>BN122/IS!BN124</f>
        <v>2.1120726495726494</v>
      </c>
      <c r="BO123" s="1114">
        <f>BO122/IS!BO124</f>
        <v>2.4667200854700853</v>
      </c>
      <c r="BP123" s="1114">
        <f>BP122/IS!BP124</f>
        <v>2.4241880341880337</v>
      </c>
      <c r="BQ123" s="1168">
        <f>BQ122/IS!BQ124</f>
        <v>3.5655133079847912</v>
      </c>
      <c r="BR123" s="2142">
        <f>BR122/IS!BR124</f>
        <v>4.0536413793103447</v>
      </c>
      <c r="BS123" s="1114">
        <f>BS122/IS!BS124</f>
        <v>4.8804523809523808</v>
      </c>
      <c r="BT123" s="1114">
        <f>BT122/IS!BT124</f>
        <v>4.3480802675585286</v>
      </c>
      <c r="BU123" s="1168">
        <f>BU122/IS!BU124</f>
        <v>4.9072325581395342</v>
      </c>
      <c r="BV123" s="2142">
        <f>BV122/IS!BV124</f>
        <v>4.4538071895424833</v>
      </c>
      <c r="BW123" s="1114">
        <f>BW122/IS!BW124</f>
        <v>8.7201307189542483</v>
      </c>
      <c r="BX123" s="1114">
        <f>BX122/IS!BX124</f>
        <v>0.8612093747658538</v>
      </c>
      <c r="BY123" s="1168">
        <f>BY122/IS!BY124</f>
        <v>4.0988724122227094</v>
      </c>
      <c r="BZ123" s="2142">
        <f>BZ122/IS!BZ124</f>
        <v>3.9053745966180804</v>
      </c>
      <c r="CA123" s="1114">
        <f>CA122/IS!CA124</f>
        <v>4.3675920441470355</v>
      </c>
      <c r="CB123" s="1114">
        <f>CB122/IS!CB124</f>
        <v>2.440524223588644</v>
      </c>
      <c r="CC123" s="1168">
        <f>CC122/IS!CC124</f>
        <v>2.1952348629097456</v>
      </c>
      <c r="CD123" s="117"/>
      <c r="CE123" s="913" t="s">
        <v>687</v>
      </c>
      <c r="CF123" s="1114" t="e">
        <f>CF122/IS!CF124</f>
        <v>#REF!</v>
      </c>
      <c r="CG123" s="1114" t="e">
        <f>CG122/IS!CG124</f>
        <v>#REF!</v>
      </c>
      <c r="CH123" s="1114" t="e">
        <f>CH122/IS!CH124</f>
        <v>#REF!</v>
      </c>
      <c r="CI123" s="1114" t="e">
        <f>CI122/IS!CI124</f>
        <v>#REF!</v>
      </c>
      <c r="CJ123" s="1114" t="e">
        <f>CJ122/IS!CJ124</f>
        <v>#REF!</v>
      </c>
      <c r="CK123" s="1114" t="e">
        <f>CK122/IS!CK124</f>
        <v>#REF!</v>
      </c>
      <c r="CL123" s="1114" t="e">
        <f>CL122/IS!CL124</f>
        <v>#REF!</v>
      </c>
      <c r="CM123" s="1114" t="e">
        <f>CM122/IS!CM124</f>
        <v>#REF!</v>
      </c>
      <c r="CN123" s="1114" t="e">
        <f>CN122/IS!CN124</f>
        <v>#REF!</v>
      </c>
      <c r="CO123" s="1114" t="e">
        <f>CO122/IS!CO124</f>
        <v>#REF!</v>
      </c>
      <c r="CP123" s="1114" t="e">
        <f>CP122/IS!CP124</f>
        <v>#REF!</v>
      </c>
      <c r="CQ123" s="1114">
        <f>CQ122/IS!CQ124</f>
        <v>8.4752581300813024</v>
      </c>
      <c r="CR123" s="1114">
        <f>CR122/IS!CR124</f>
        <v>8.6289760330578513</v>
      </c>
      <c r="CS123" s="1114">
        <f>CS122/IS!CS124</f>
        <v>6.3901962025316443</v>
      </c>
      <c r="CT123" s="1114">
        <f>CT122/IS!CT124</f>
        <v>5.6969808079114959</v>
      </c>
      <c r="CU123" s="1114">
        <f>CU122/IS!CU124</f>
        <v>10.353249999999999</v>
      </c>
      <c r="CV123" s="1114">
        <f>CV122/IS!CV124</f>
        <v>18.120068775550088</v>
      </c>
      <c r="CW123" s="1114">
        <f>CW122/IS!CW124</f>
        <v>12.827720075527216</v>
      </c>
      <c r="CX123" s="1114">
        <f>CX122/IS!CX124</f>
        <v>13.619681399062957</v>
      </c>
      <c r="CY123" s="1114">
        <f>CY122/IS!CY124</f>
        <v>12.692461853606252</v>
      </c>
      <c r="CZ123" s="1114">
        <f>CZ122/IS!CZ124</f>
        <v>12.773973227574359</v>
      </c>
      <c r="DA123" s="1114">
        <f>DA122/IS!DA124</f>
        <v>11.852573079320591</v>
      </c>
      <c r="DB123" s="1114">
        <f>DB122/IS!DB124</f>
        <v>12.198659329062648</v>
      </c>
      <c r="DC123" s="1114">
        <f>DC122/IS!DC124</f>
        <v>12.575935362646565</v>
      </c>
      <c r="DD123" s="1168"/>
      <c r="DE123" s="1114"/>
      <c r="DF123" s="29"/>
      <c r="DG123" s="29"/>
      <c r="DH123" s="91"/>
      <c r="DI123" s="118"/>
      <c r="DJ123" s="118"/>
      <c r="DK123" s="118"/>
      <c r="DL123" s="118"/>
      <c r="DM123" s="91"/>
      <c r="DN123" s="29"/>
      <c r="DO123" s="29"/>
      <c r="DP123" s="29"/>
      <c r="DQ123" s="29"/>
      <c r="DR123" s="29"/>
      <c r="DS123" s="29"/>
      <c r="DT123" s="29"/>
      <c r="DU123" s="29"/>
      <c r="DV123" s="29"/>
      <c r="DW123" s="29"/>
      <c r="DX123"/>
      <c r="DY123"/>
      <c r="DZ123"/>
      <c r="EA123"/>
      <c r="EB123"/>
      <c r="EC123"/>
    </row>
    <row r="124" spans="1:133">
      <c r="A124" s="320"/>
      <c r="B124" s="224"/>
      <c r="C124" s="196" t="s">
        <v>614</v>
      </c>
      <c r="D124" s="196"/>
      <c r="E124" s="197"/>
      <c r="F124" s="845"/>
      <c r="G124" s="780"/>
      <c r="H124" s="780"/>
      <c r="I124" s="846"/>
      <c r="J124" s="578">
        <f>IS!J114/CF!J123</f>
        <v>0.15131757674544719</v>
      </c>
      <c r="K124" s="578">
        <f>IS!K114/CF!K123</f>
        <v>-1.4888181993444995</v>
      </c>
      <c r="L124" s="578">
        <f>IS!L114/CF!L123</f>
        <v>0.49070433184197815</v>
      </c>
      <c r="M124" s="352">
        <f>IS!M114/CF!M123</f>
        <v>1.3433899709904695</v>
      </c>
      <c r="N124" s="578">
        <f>IS!N114/CF!N123</f>
        <v>0.65467527936790226</v>
      </c>
      <c r="O124" s="578">
        <f>IS!O114/CF!O123</f>
        <v>0.93880415679000262</v>
      </c>
      <c r="P124" s="578">
        <f>IS!P114/CF!P123</f>
        <v>0.65197485603673255</v>
      </c>
      <c r="Q124" s="352">
        <f>IS!Q114/CF!Q123</f>
        <v>1.7514076813914774</v>
      </c>
      <c r="R124" s="578">
        <f>IS!R114/CF!R123</f>
        <v>-0.13162719343061935</v>
      </c>
      <c r="S124" s="578">
        <f>IS!S114/CF!S123</f>
        <v>2.3642611683848762</v>
      </c>
      <c r="T124" s="578">
        <f>IS!T114/CF!T123</f>
        <v>1.360887965168714</v>
      </c>
      <c r="U124" s="352">
        <f>IS!U114/CF!U123</f>
        <v>0.92790010407360524</v>
      </c>
      <c r="V124" s="578">
        <f>IS!V114/CF!V123</f>
        <v>0.71698113207547176</v>
      </c>
      <c r="W124" s="578">
        <f>IS!W114/CF!W123</f>
        <v>0.64083533456029673</v>
      </c>
      <c r="X124" s="578">
        <f>IS!X114/CF!X123</f>
        <v>1.1401066872938403</v>
      </c>
      <c r="Y124" s="352">
        <f>IS!Y114/CF!Y123</f>
        <v>2.0111474955314907</v>
      </c>
      <c r="Z124" s="578">
        <f>IS!Z114/CF!Z123</f>
        <v>-3.4410997187492396</v>
      </c>
      <c r="AA124" s="578">
        <f>IS!AA114/CF!AA123</f>
        <v>1.972243281592587</v>
      </c>
      <c r="AB124" s="578">
        <f>IS!AB114/CF!AB123</f>
        <v>65.523046777255729</v>
      </c>
      <c r="AC124" s="352">
        <f>IS!AC114/CF!AC123</f>
        <v>6.2347049405213122</v>
      </c>
      <c r="AD124" s="578">
        <f>IS!AD114/CF!AD123</f>
        <v>2.1915189358074705</v>
      </c>
      <c r="AE124" s="578">
        <f>IS!AE114/CF!AE123</f>
        <v>2.0312450076261448</v>
      </c>
      <c r="AF124" s="578">
        <f>IS!AF114/CF!AF123</f>
        <v>1.4817548976729675</v>
      </c>
      <c r="AG124" s="352">
        <f>IS!AG114/CF!AG123</f>
        <v>1.1602244388236245</v>
      </c>
      <c r="AH124" s="578">
        <f>IS!AH114/CF!AH123</f>
        <v>3.2904789397422367</v>
      </c>
      <c r="AI124" s="578">
        <f>IS!AI114/CF!AI123</f>
        <v>0.83575305963060564</v>
      </c>
      <c r="AJ124" s="578">
        <f>IS!AJ114/CF!AJ123</f>
        <v>0.93951751952949181</v>
      </c>
      <c r="AK124" s="352">
        <f>IS!AK114/CF!AK123</f>
        <v>2.779079300740547</v>
      </c>
      <c r="AL124" s="578">
        <f>IS!AL114/CF!AL123</f>
        <v>1.5401863599126602</v>
      </c>
      <c r="AM124" s="578">
        <f>IS!AM114/CF!AM123</f>
        <v>0.28883345063849603</v>
      </c>
      <c r="AN124" s="578">
        <f>IS!AN114/CF!AN123</f>
        <v>0.26023030652672585</v>
      </c>
      <c r="AO124" s="352">
        <f>IS!AO114/CF!AO123</f>
        <v>0.92520831032580619</v>
      </c>
      <c r="AP124" s="578">
        <f>IS!AP114/CF!AP123</f>
        <v>1.1606755757803917</v>
      </c>
      <c r="AQ124" s="578">
        <f>IS!AQ114/CF!AQ123</f>
        <v>1.2356727661827451</v>
      </c>
      <c r="AR124" s="578">
        <f>IS!AR114/CF!AR123</f>
        <v>1.0100796480813843</v>
      </c>
      <c r="AS124" s="578">
        <f>IS!AS114/CF!AS123</f>
        <v>1.5287113699037109</v>
      </c>
      <c r="AT124" s="353">
        <f>IS!AT114/CF!AT123</f>
        <v>1.1311680914805697</v>
      </c>
      <c r="AU124" s="578">
        <f>IS!AU114/CF!AU123</f>
        <v>0.93765123931734651</v>
      </c>
      <c r="AV124" s="578">
        <f>IS!AV114/CF!AV123</f>
        <v>1.1817450407533208</v>
      </c>
      <c r="AW124" s="578">
        <f>IS!AW114/CF!AW123</f>
        <v>0.60853571739538603</v>
      </c>
      <c r="AX124" s="353">
        <f>IS!AX114/CF!AX123</f>
        <v>1.1501537215960693</v>
      </c>
      <c r="AY124" s="578">
        <f>IS!AY114/CF!AY123</f>
        <v>0.79046213241581786</v>
      </c>
      <c r="AZ124" s="578">
        <f>IS!AZ114/CF!AZ123</f>
        <v>0.51980065132261777</v>
      </c>
      <c r="BA124" s="578">
        <f>IS!BA114/CF!BA123</f>
        <v>0.89712995570131282</v>
      </c>
      <c r="BB124" s="353">
        <f>IS!BB114/CF!BB123</f>
        <v>0.98019475160917646</v>
      </c>
      <c r="BC124" s="578">
        <f>IS!BC114/CF!BC123</f>
        <v>0.73287832179020085</v>
      </c>
      <c r="BD124" s="578">
        <f>IS!BD114/CF!BD123</f>
        <v>0.8223203995389935</v>
      </c>
      <c r="BE124" s="352">
        <f>IS!BE114/CF!BE123</f>
        <v>0.37511691994736823</v>
      </c>
      <c r="BF124" s="353">
        <f>IS!BF114/CF!BF123</f>
        <v>0.96255173945297823</v>
      </c>
      <c r="BG124" s="578">
        <f>IS!BG114/CF!BG123</f>
        <v>0.84440097551061899</v>
      </c>
      <c r="BH124" s="578">
        <f>IS!BH114/CF!BH123</f>
        <v>0.77302930224602306</v>
      </c>
      <c r="BI124" s="352">
        <f>IS!BI114/CF!BI123</f>
        <v>0.61650814747130722</v>
      </c>
      <c r="BJ124" s="353">
        <f>IS!BJ114/CF!BJ123</f>
        <v>0.71678191163073579</v>
      </c>
      <c r="BK124" s="578">
        <f>IS!BK114/CF!BK123</f>
        <v>2.674935718683229</v>
      </c>
      <c r="BL124" s="578">
        <f>IS!BL114/CF!BL123</f>
        <v>0.79023185253802675</v>
      </c>
      <c r="BM124" s="352">
        <f>IS!BM114/CF!BM123</f>
        <v>0.70249963036475149</v>
      </c>
      <c r="BN124" s="353">
        <f>IS!BN114/CF!BN123</f>
        <v>0.8340836663462996</v>
      </c>
      <c r="BO124" s="578">
        <f>IS!BO114/CF!BO123</f>
        <v>0.69855122680122139</v>
      </c>
      <c r="BP124" s="578">
        <f>IS!BP114/CF!BP123</f>
        <v>0.55928498395797333</v>
      </c>
      <c r="BQ124" s="352">
        <f>IS!BQ114/CF!BQ123</f>
        <v>0.28657502692672726</v>
      </c>
      <c r="BR124" s="353">
        <f>IS!BR114/CF!BR123</f>
        <v>0.38071857061679754</v>
      </c>
      <c r="BS124" s="578">
        <f>IS!BS114/CF!BS123</f>
        <v>0.47032901628250412</v>
      </c>
      <c r="BT124" s="578">
        <f>IS!BT114/CF!BT123</f>
        <v>0.55079549195585487</v>
      </c>
      <c r="BU124" s="352">
        <f>IS!BU114/CF!BU123</f>
        <v>0.59650038555877583</v>
      </c>
      <c r="BV124" s="353">
        <f>IS!BV114/CF!BV123</f>
        <v>0.79895294104698544</v>
      </c>
      <c r="BW124" s="578">
        <f>IS!BW114/CF!BW123</f>
        <v>0.45284744187440978</v>
      </c>
      <c r="BX124" s="578">
        <f>IS!BX114/CF!BX123</f>
        <v>3.7773241528356216</v>
      </c>
      <c r="BY124" s="352">
        <f>IS!BY114/CF!BY123</f>
        <v>0.7148357702379754</v>
      </c>
      <c r="BZ124" s="353">
        <f>IS!BZ114/CF!BZ123</f>
        <v>0.79302516385345656</v>
      </c>
      <c r="CA124" s="578">
        <f>IS!CA114/CF!CA123</f>
        <v>0.64680531292709731</v>
      </c>
      <c r="CB124" s="578">
        <f>IS!CB114/CF!CB123</f>
        <v>0.93463689545464324</v>
      </c>
      <c r="CC124" s="352">
        <f>IS!CC114/CF!CC123</f>
        <v>0.96122917263454233</v>
      </c>
      <c r="CD124" s="115"/>
      <c r="CE124" s="913" t="s">
        <v>687</v>
      </c>
      <c r="CF124" s="578" t="e">
        <f>IS!CF114/CF!CF123</f>
        <v>#REF!</v>
      </c>
      <c r="CG124" s="578" t="e">
        <f>IS!CG114/CF!CG123</f>
        <v>#REF!</v>
      </c>
      <c r="CH124" s="578" t="e">
        <f>IS!CH114/CF!CH123</f>
        <v>#REF!</v>
      </c>
      <c r="CI124" s="578" t="e">
        <f>IS!CI114/CF!CI123</f>
        <v>#REF!</v>
      </c>
      <c r="CJ124" s="578" t="e">
        <f>IS!CJ114/CF!CJ123</f>
        <v>#REF!</v>
      </c>
      <c r="CK124" s="578" t="e">
        <f>IS!CK114/CF!CK123</f>
        <v>#REF!</v>
      </c>
      <c r="CL124" s="578" t="e">
        <f>IS!CL114/CF!CL123</f>
        <v>#REF!</v>
      </c>
      <c r="CM124" s="578" t="e">
        <f>IS!CM114/CF!CM123</f>
        <v>#REF!</v>
      </c>
      <c r="CN124" s="578" t="e">
        <f>IS!CN114/CF!CN123</f>
        <v>#REF!</v>
      </c>
      <c r="CO124" s="578" t="e">
        <f>IS!CO114/CF!CO123</f>
        <v>#REF!</v>
      </c>
      <c r="CP124" s="578" t="e">
        <f>IS!CP114/CF!CP123</f>
        <v>#REF!</v>
      </c>
      <c r="CQ124" s="578">
        <f>IS!CQ114/CF!CQ123</f>
        <v>1.0062352706719007</v>
      </c>
      <c r="CR124" s="578">
        <f>IS!CR114/CF!CR123</f>
        <v>0.93918242600057589</v>
      </c>
      <c r="CS124" s="578">
        <f>IS!CS114/CF!CS123</f>
        <v>1.3225537008992878</v>
      </c>
      <c r="CT124" s="578">
        <f>IS!CT114/CF!CT123</f>
        <v>1.0308195310503099</v>
      </c>
      <c r="CU124" s="578">
        <f>IS!CU114/CF!CU123</f>
        <v>0.88742273773544145</v>
      </c>
      <c r="CV124" s="578">
        <f>IS!CV114/CF!CV123</f>
        <v>0.75597548811432635</v>
      </c>
      <c r="CW124" s="578">
        <f>IS!CW114/CF!CW123</f>
        <v>0.79946612241056902</v>
      </c>
      <c r="CX124" s="578">
        <f>IS!CX114/CF!CX123</f>
        <v>0.80986611744783643</v>
      </c>
      <c r="CY124" s="578">
        <f>IS!CY114/CF!CY123</f>
        <v>0.88119112427900192</v>
      </c>
      <c r="CZ124" s="578">
        <f>IS!CZ114/CF!CZ123</f>
        <v>0.90446427820232</v>
      </c>
      <c r="DA124" s="578">
        <f>IS!DA114/CF!DA123</f>
        <v>0.95647287990097418</v>
      </c>
      <c r="DB124" s="578">
        <f>IS!DB114/CF!DB123</f>
        <v>0.95524276789992124</v>
      </c>
      <c r="DC124" s="578">
        <f>IS!DC114/CF!DC123</f>
        <v>0.95591343096575709</v>
      </c>
      <c r="DD124" s="352"/>
      <c r="DE124" s="35"/>
      <c r="DF124" s="29"/>
      <c r="DG124" s="29"/>
      <c r="DH124" s="91"/>
      <c r="DI124" s="118"/>
      <c r="DJ124" s="118"/>
      <c r="DK124" s="118"/>
      <c r="DL124" s="118"/>
      <c r="DM124" s="91"/>
      <c r="DN124" s="29"/>
      <c r="DO124" s="29"/>
      <c r="DP124" s="29"/>
      <c r="DQ124" s="29"/>
      <c r="DR124" s="29"/>
      <c r="DS124" s="29"/>
      <c r="DT124" s="29"/>
      <c r="DU124" s="29"/>
      <c r="DV124" s="29"/>
      <c r="DW124" s="29"/>
    </row>
    <row r="125" spans="1:133">
      <c r="A125" s="320"/>
      <c r="B125" s="208"/>
      <c r="C125" s="196"/>
      <c r="D125" s="196"/>
      <c r="E125" s="197"/>
      <c r="F125" s="845"/>
      <c r="G125" s="780"/>
      <c r="H125" s="780"/>
      <c r="I125" s="846"/>
      <c r="J125" s="196"/>
      <c r="K125" s="196"/>
      <c r="L125" s="196"/>
      <c r="M125" s="197"/>
      <c r="N125" s="196"/>
      <c r="O125" s="196"/>
      <c r="P125" s="196"/>
      <c r="Q125" s="197"/>
      <c r="R125" s="196"/>
      <c r="S125" s="196"/>
      <c r="T125" s="196"/>
      <c r="U125" s="197"/>
      <c r="V125" s="196"/>
      <c r="W125" s="196"/>
      <c r="X125" s="196"/>
      <c r="Y125" s="197"/>
      <c r="Z125" s="196"/>
      <c r="AA125" s="196"/>
      <c r="AB125" s="196"/>
      <c r="AC125" s="197"/>
      <c r="AD125" s="196"/>
      <c r="AE125" s="196"/>
      <c r="AF125" s="196"/>
      <c r="AG125" s="197"/>
      <c r="AH125" s="196"/>
      <c r="AI125" s="196"/>
      <c r="AJ125" s="196"/>
      <c r="AK125" s="197"/>
      <c r="AL125" s="196"/>
      <c r="AM125" s="196"/>
      <c r="AN125" s="196"/>
      <c r="AO125" s="197"/>
      <c r="AP125" s="196"/>
      <c r="AQ125" s="196"/>
      <c r="AR125" s="196"/>
      <c r="AS125" s="196"/>
      <c r="AT125" s="208"/>
      <c r="AU125" s="196"/>
      <c r="AV125" s="196"/>
      <c r="AW125" s="196"/>
      <c r="AX125" s="208"/>
      <c r="AY125" s="196"/>
      <c r="AZ125" s="196"/>
      <c r="BA125" s="196"/>
      <c r="BB125" s="208"/>
      <c r="BC125" s="196"/>
      <c r="BD125" s="196"/>
      <c r="BE125" s="197"/>
      <c r="BF125" s="208"/>
      <c r="BG125" s="196"/>
      <c r="BH125" s="196"/>
      <c r="BI125" s="197"/>
      <c r="BJ125" s="208"/>
      <c r="BK125" s="196"/>
      <c r="BL125" s="196"/>
      <c r="BM125" s="197"/>
      <c r="BN125" s="208"/>
      <c r="BO125" s="196"/>
      <c r="BP125" s="196"/>
      <c r="BQ125" s="197"/>
      <c r="BR125" s="208"/>
      <c r="BS125" s="196"/>
      <c r="BT125" s="196"/>
      <c r="BU125" s="197"/>
      <c r="BV125" s="208"/>
      <c r="BW125" s="196"/>
      <c r="BX125" s="196"/>
      <c r="BY125" s="197"/>
      <c r="BZ125" s="208"/>
      <c r="CA125" s="196"/>
      <c r="CB125" s="196"/>
      <c r="CC125" s="197"/>
      <c r="CD125" s="115"/>
      <c r="CE125" s="913"/>
      <c r="CF125" s="196"/>
      <c r="CG125" s="196"/>
      <c r="CH125" s="196"/>
      <c r="CI125" s="196"/>
      <c r="CJ125" s="196"/>
      <c r="CK125" s="196"/>
      <c r="CL125" s="196"/>
      <c r="CM125" s="196"/>
      <c r="CN125" s="196"/>
      <c r="CO125" s="196"/>
      <c r="CP125" s="196"/>
      <c r="CQ125" s="196"/>
      <c r="CR125" s="196"/>
      <c r="CS125" s="196"/>
      <c r="CT125" s="196"/>
      <c r="CU125" s="196"/>
      <c r="CV125" s="196"/>
      <c r="CW125" s="196"/>
      <c r="CX125" s="196"/>
      <c r="CY125" s="196"/>
      <c r="CZ125" s="196"/>
      <c r="DA125" s="196"/>
      <c r="DB125" s="196"/>
      <c r="DC125" s="196"/>
      <c r="DD125" s="197"/>
      <c r="DE125" s="35"/>
      <c r="DF125" s="29"/>
      <c r="DG125" s="29"/>
      <c r="DH125" s="91"/>
      <c r="DI125" s="29"/>
      <c r="DJ125" s="29"/>
      <c r="DK125" s="29"/>
      <c r="DL125" s="29"/>
      <c r="DM125" s="91"/>
      <c r="DN125" s="29"/>
      <c r="DO125" s="29"/>
      <c r="DP125" s="29"/>
      <c r="DQ125" s="29"/>
      <c r="DR125" s="29"/>
      <c r="DS125" s="29"/>
      <c r="DT125" s="29"/>
      <c r="DU125" s="29"/>
      <c r="DV125" s="29"/>
      <c r="DW125" s="29"/>
    </row>
    <row r="126" spans="1:133">
      <c r="A126" s="320"/>
      <c r="B126" s="224" t="s">
        <v>615</v>
      </c>
      <c r="C126" s="196"/>
      <c r="D126" s="196"/>
      <c r="E126" s="197"/>
      <c r="F126" s="845"/>
      <c r="G126" s="780"/>
      <c r="H126" s="780"/>
      <c r="I126" s="846"/>
      <c r="J126" s="578">
        <f>J29/IS!J85</f>
        <v>-14.328545780969762</v>
      </c>
      <c r="K126" s="578">
        <f>K29/IS!K85</f>
        <v>0.40427322758174389</v>
      </c>
      <c r="L126" s="578">
        <f>L29/IS!L85</f>
        <v>2.7756146287062369</v>
      </c>
      <c r="M126" s="352">
        <f>M29/IS!M85</f>
        <v>1.2208168805528148</v>
      </c>
      <c r="N126" s="578">
        <f>N29/IS!N85</f>
        <v>2.0268032885369083</v>
      </c>
      <c r="O126" s="578">
        <f>O29/IS!O85</f>
        <v>1.2657177266418758</v>
      </c>
      <c r="P126" s="578">
        <f>P29/IS!P85</f>
        <v>1.8176368868682415</v>
      </c>
      <c r="Q126" s="352">
        <f>Q29/IS!Q85</f>
        <v>0.98208695020686565</v>
      </c>
      <c r="R126" s="578">
        <f>R29/IS!R85</f>
        <v>-3.582172637029025</v>
      </c>
      <c r="S126" s="578">
        <f>S29/IS!S85</f>
        <v>1.0654069767441849</v>
      </c>
      <c r="T126" s="578">
        <f>T29/IS!T85</f>
        <v>1.2883429020903758</v>
      </c>
      <c r="U126" s="352">
        <f>U29/IS!U85</f>
        <v>2.4662008238772257</v>
      </c>
      <c r="V126" s="578">
        <f>V29/IS!V85</f>
        <v>3.0624999999999987</v>
      </c>
      <c r="W126" s="578">
        <f>W29/IS!W85</f>
        <v>2.5524282557567481</v>
      </c>
      <c r="X126" s="578">
        <f>X29/IS!X85</f>
        <v>1.5749580348427645</v>
      </c>
      <c r="Y126" s="352">
        <f>Y29/IS!Y85</f>
        <v>1.8828956408638948</v>
      </c>
      <c r="Z126" s="578">
        <f>Z29/IS!Z85</f>
        <v>0.57553996599603541</v>
      </c>
      <c r="AA126" s="578">
        <f>AA29/IS!AA85</f>
        <v>1.1182782982010109</v>
      </c>
      <c r="AB126" s="578">
        <f>AB29/IS!AB85</f>
        <v>1.156800050717252</v>
      </c>
      <c r="AC126" s="352">
        <f>AC29/IS!AC85</f>
        <v>1.4872710444716573</v>
      </c>
      <c r="AD126" s="578">
        <f>AD29/IS!AD85</f>
        <v>1.2427325216201011</v>
      </c>
      <c r="AE126" s="578">
        <f>AE29/IS!AE85</f>
        <v>1.3033264000742437</v>
      </c>
      <c r="AF126" s="578">
        <f>AF29/IS!AF85</f>
        <v>1.3330106642880852</v>
      </c>
      <c r="AG126" s="352">
        <f>AG29/IS!AG85</f>
        <v>1.7532273335776161</v>
      </c>
      <c r="AH126" s="578">
        <f>AH29/IS!AH85</f>
        <v>1.232773115612521</v>
      </c>
      <c r="AI126" s="578">
        <f>AI29/IS!AI85</f>
        <v>1.6999471528386778</v>
      </c>
      <c r="AJ126" s="578">
        <f>AJ29/IS!AJ85</f>
        <v>1.5414501202846611</v>
      </c>
      <c r="AK126" s="352">
        <f>AK29/IS!AK85</f>
        <v>1.0084847782690696</v>
      </c>
      <c r="AL126" s="578">
        <f>AL29/IS!AL85</f>
        <v>1.4266095163624992</v>
      </c>
      <c r="AM126" s="578">
        <f>AM29/IS!AM85</f>
        <v>3.2684108813258343</v>
      </c>
      <c r="AN126" s="578">
        <f>AN29/IS!AN85</f>
        <v>5.2288924134972072</v>
      </c>
      <c r="AO126" s="352">
        <f>AO29/IS!AO85</f>
        <v>2.015167781675169</v>
      </c>
      <c r="AP126" s="578">
        <f>AP29/IS!AP85</f>
        <v>1.5019959354663812</v>
      </c>
      <c r="AQ126" s="578">
        <f>AQ29/IS!AQ85</f>
        <v>1.2955293820333393</v>
      </c>
      <c r="AR126" s="578">
        <f>AR29/IS!AR85</f>
        <v>1.4669222083406668</v>
      </c>
      <c r="AS126" s="578">
        <f>AS29/IS!AS85</f>
        <v>1.2356801533243218</v>
      </c>
      <c r="AT126" s="353">
        <f>AT29/IS!AT85</f>
        <v>1.8843189642747011</v>
      </c>
      <c r="AU126" s="578">
        <f>AU29/IS!AU85</f>
        <v>2.2386521288137904</v>
      </c>
      <c r="AV126" s="578">
        <f>AV29/IS!AV85</f>
        <v>2.0057272576440037</v>
      </c>
      <c r="AW126" s="578">
        <f>AW29/IS!AW85</f>
        <v>2.3004011672244258</v>
      </c>
      <c r="AX126" s="353">
        <f>AX29/IS!AX85</f>
        <v>1.3515868513254223</v>
      </c>
      <c r="AY126" s="578">
        <f>AY29/IS!AY85</f>
        <v>1.0547502690110597</v>
      </c>
      <c r="AZ126" s="578">
        <f>AZ29/IS!AZ85</f>
        <v>1.9509927377500589</v>
      </c>
      <c r="BA126" s="578">
        <f>BA29/IS!BA85</f>
        <v>1.2945758780557899</v>
      </c>
      <c r="BB126" s="353">
        <f>BB29/IS!BB85</f>
        <v>1.5760228994780263</v>
      </c>
      <c r="BC126" s="578">
        <f>BC29/IS!BC85</f>
        <v>1.5047105040292914</v>
      </c>
      <c r="BD126" s="578">
        <f>BD29/IS!BD85</f>
        <v>1.4151677956863653</v>
      </c>
      <c r="BE126" s="352">
        <f>BE29/IS!BE85</f>
        <v>1.4332471429349722</v>
      </c>
      <c r="BF126" s="353">
        <f>BF29/IS!BF85</f>
        <v>1.3227765390796817</v>
      </c>
      <c r="BG126" s="578">
        <f>BG29/IS!BG85</f>
        <v>1.3651132705556723</v>
      </c>
      <c r="BH126" s="578">
        <f>BH29/IS!BH85</f>
        <v>1.4850811050024686</v>
      </c>
      <c r="BI126" s="352">
        <f>BI29/IS!BI85</f>
        <v>1.5988861691855114</v>
      </c>
      <c r="BJ126" s="353">
        <f>BJ29/IS!BJ85</f>
        <v>1.5058431082641108</v>
      </c>
      <c r="BK126" s="578">
        <f>BK29/IS!BK85</f>
        <v>0.41123431217253564</v>
      </c>
      <c r="BL126" s="578">
        <f>BL29/IS!BL85</f>
        <v>1.4525500322788898</v>
      </c>
      <c r="BM126" s="352">
        <f>BM29/IS!BM85</f>
        <v>1.2449535374665965</v>
      </c>
      <c r="BN126" s="353">
        <f>BN29/IS!BN85</f>
        <v>1.3220935168900483</v>
      </c>
      <c r="BO126" s="578">
        <f>BO29/IS!BO85</f>
        <v>1.4830889419350839</v>
      </c>
      <c r="BP126" s="578">
        <f>BP29/IS!BP85</f>
        <v>1.528714618924542</v>
      </c>
      <c r="BQ126" s="352">
        <f>BQ29/IS!BQ85</f>
        <v>1.321028541658914</v>
      </c>
      <c r="BR126" s="353">
        <f>BR29/IS!BR85</f>
        <v>0.9831171965072526</v>
      </c>
      <c r="BS126" s="578">
        <f>BS29/IS!BS85</f>
        <v>1.5707124366343488</v>
      </c>
      <c r="BT126" s="578">
        <f>BT29/IS!BT85</f>
        <v>1.393706813243287</v>
      </c>
      <c r="BU126" s="352">
        <f>BU29/IS!BU85</f>
        <v>1.065741132727333</v>
      </c>
      <c r="BV126" s="353">
        <f>BV29/IS!BV85</f>
        <v>1.040533032102235</v>
      </c>
      <c r="BW126" s="578">
        <f>BW29/IS!BW85</f>
        <v>0.97818530901386991</v>
      </c>
      <c r="BX126" s="578">
        <f>BX29/IS!BX85</f>
        <v>8.4189524404104404E-2</v>
      </c>
      <c r="BY126" s="352">
        <f>BY29/IS!BY85</f>
        <v>1.2220562752003041</v>
      </c>
      <c r="BZ126" s="353">
        <f>BZ29/IS!BZ85</f>
        <v>1.2194872575477145</v>
      </c>
      <c r="CA126" s="578">
        <f>CA29/IS!CA85</f>
        <v>1.5012131911741293</v>
      </c>
      <c r="CB126" s="578">
        <f>CB29/IS!CB85</f>
        <v>0.94618965001170341</v>
      </c>
      <c r="CC126" s="352">
        <f>CC29/IS!CC85</f>
        <v>0.8788353567807845</v>
      </c>
      <c r="CD126" s="115"/>
      <c r="CE126" s="913" t="s">
        <v>687</v>
      </c>
      <c r="CF126" s="578">
        <f>CF29/IS!CF85</f>
        <v>1.700745762779782</v>
      </c>
      <c r="CG126" s="578">
        <f>CG29/IS!CG85</f>
        <v>1.4412817723731235</v>
      </c>
      <c r="CH126" s="578">
        <f>CH29/IS!CH85</f>
        <v>1.2556500537799606</v>
      </c>
      <c r="CI126" s="578">
        <f>CI29/IS!CI85</f>
        <v>2.1202307003431864</v>
      </c>
      <c r="CJ126" s="578">
        <f>CJ29/IS!CJ85</f>
        <v>1.1126106202863564</v>
      </c>
      <c r="CK126" s="578">
        <f>CK29/IS!CK85</f>
        <v>1.3861579797186463</v>
      </c>
      <c r="CL126" s="578">
        <f>CL29/IS!CL85</f>
        <v>1.4122416994288531</v>
      </c>
      <c r="CM126" s="578">
        <f>CM29/IS!CM85</f>
        <v>2.3995319445140511</v>
      </c>
      <c r="CN126" s="578">
        <f>CN29/IS!CN85</f>
        <v>1.3739008886901016</v>
      </c>
      <c r="CO126" s="578">
        <f>CO29/IS!CO85</f>
        <v>2.1138798765281095</v>
      </c>
      <c r="CP126" s="578">
        <f>CP29/IS!CP85</f>
        <v>1.4534955787851558</v>
      </c>
      <c r="CQ126" s="578">
        <f>CQ29/IS!CQ85</f>
        <v>1.4867152530359327</v>
      </c>
      <c r="CR126" s="578">
        <f>CR29/IS!CR85</f>
        <v>1.4358466666687062</v>
      </c>
      <c r="CS126" s="578">
        <f>CS29/IS!CS85</f>
        <v>1.1193341509498491</v>
      </c>
      <c r="CT126" s="578">
        <f>CT29/IS!CT85</f>
        <v>1.4149857912735408</v>
      </c>
      <c r="CU126" s="578">
        <f>CU29/IS!CU85</f>
        <v>1.2638064511858895</v>
      </c>
      <c r="CV126" s="578">
        <f>CV29/IS!CV85</f>
        <v>0.83324417000711726</v>
      </c>
      <c r="CW126" s="578">
        <f>CW29/IS!CW85</f>
        <v>1.1653542912254384</v>
      </c>
      <c r="CX126" s="578">
        <f>CX29/IS!CX85</f>
        <v>1.2203951895519651</v>
      </c>
      <c r="CY126" s="578">
        <f>CY29/IS!CY85</f>
        <v>1.1565903723261137</v>
      </c>
      <c r="CZ126" s="578">
        <f>CZ29/IS!CZ85</f>
        <v>1.1842794320354617</v>
      </c>
      <c r="DA126" s="578">
        <f>DA29/IS!DA85</f>
        <v>1.1594007876259742</v>
      </c>
      <c r="DB126" s="578">
        <f>DB29/IS!DB85</f>
        <v>1.1917174924924379</v>
      </c>
      <c r="DC126" s="578">
        <f>DC29/IS!DC85</f>
        <v>1.2210486559529408</v>
      </c>
      <c r="DD126" s="352"/>
      <c r="DE126" s="173"/>
      <c r="DF126" s="29"/>
      <c r="DG126" s="29"/>
      <c r="DH126" s="91"/>
      <c r="DI126" s="24"/>
      <c r="DJ126" s="24"/>
      <c r="DK126" s="24"/>
      <c r="DL126" s="24"/>
      <c r="DM126" s="91"/>
      <c r="DN126" s="29"/>
      <c r="DO126" s="29"/>
      <c r="DP126" s="29"/>
      <c r="DQ126" s="29"/>
      <c r="DR126" s="29"/>
      <c r="DS126" s="29"/>
      <c r="DT126" s="29"/>
      <c r="DU126" s="29"/>
      <c r="DV126" s="29"/>
      <c r="DW126" s="29"/>
    </row>
    <row r="127" spans="1:133">
      <c r="A127" s="320"/>
      <c r="B127" s="224"/>
      <c r="C127" s="196" t="s">
        <v>616</v>
      </c>
      <c r="D127" s="187"/>
      <c r="E127" s="195"/>
      <c r="F127" s="187"/>
      <c r="G127" s="187"/>
      <c r="H127" s="187"/>
      <c r="I127" s="195"/>
      <c r="J127" s="187"/>
      <c r="K127" s="187"/>
      <c r="L127" s="187"/>
      <c r="M127" s="195"/>
      <c r="N127" s="187"/>
      <c r="O127" s="187"/>
      <c r="P127" s="187"/>
      <c r="Q127" s="195"/>
      <c r="R127" s="187"/>
      <c r="S127" s="187"/>
      <c r="T127" s="187"/>
      <c r="U127" s="195"/>
      <c r="V127" s="354"/>
      <c r="W127" s="35"/>
      <c r="X127" s="35"/>
      <c r="Y127" s="195"/>
      <c r="Z127" s="34"/>
      <c r="AA127" s="35"/>
      <c r="AB127" s="35"/>
      <c r="AC127" s="195"/>
      <c r="AD127" s="34"/>
      <c r="AE127" s="35"/>
      <c r="AF127" s="35"/>
      <c r="AG127" s="195"/>
      <c r="AH127" s="34"/>
      <c r="AI127" s="35"/>
      <c r="AJ127" s="35"/>
      <c r="AK127" s="195"/>
      <c r="AL127" s="34"/>
      <c r="AM127" s="35"/>
      <c r="AN127" s="35"/>
      <c r="AO127" s="195"/>
      <c r="AP127" s="34"/>
      <c r="AQ127" s="35"/>
      <c r="AR127" s="35"/>
      <c r="AS127" s="35"/>
      <c r="AT127" s="34"/>
      <c r="AU127" s="35"/>
      <c r="AV127" s="35"/>
      <c r="AW127" s="35"/>
      <c r="AX127" s="34"/>
      <c r="AY127" s="35"/>
      <c r="AZ127" s="35"/>
      <c r="BA127" s="66"/>
      <c r="BB127" s="34"/>
      <c r="BC127" s="35"/>
      <c r="BD127" s="35"/>
      <c r="BE127" s="66"/>
      <c r="BF127" s="34"/>
      <c r="BG127" s="35"/>
      <c r="BH127" s="35"/>
      <c r="BI127" s="66"/>
      <c r="BJ127" s="34"/>
      <c r="BK127" s="35"/>
      <c r="BL127" s="35"/>
      <c r="BM127" s="66"/>
      <c r="BN127" s="34"/>
      <c r="BO127" s="35"/>
      <c r="BP127" s="35"/>
      <c r="BQ127" s="66"/>
      <c r="BR127" s="34"/>
      <c r="BS127" s="35">
        <f>+BS32+BS33</f>
        <v>-189</v>
      </c>
      <c r="BT127" s="35">
        <f>+BT32+BT33</f>
        <v>-257</v>
      </c>
      <c r="BU127" s="66"/>
      <c r="BV127" s="34"/>
      <c r="BW127" s="35"/>
      <c r="BX127" s="35"/>
      <c r="BY127" s="66"/>
      <c r="BZ127" s="34"/>
      <c r="CA127" s="35"/>
      <c r="CB127" s="35"/>
      <c r="CC127" s="66"/>
      <c r="CD127" s="115"/>
      <c r="CE127" s="35"/>
      <c r="CF127" s="35"/>
      <c r="CG127" s="35"/>
      <c r="CH127" s="35"/>
      <c r="CI127" s="35"/>
      <c r="CJ127" s="35"/>
      <c r="CK127" s="35"/>
      <c r="CL127" s="35"/>
      <c r="CM127" s="35"/>
      <c r="CN127" s="35"/>
      <c r="CO127" s="35"/>
      <c r="CP127" s="35"/>
      <c r="CQ127" s="35"/>
      <c r="CR127" s="35"/>
      <c r="CS127" s="35"/>
      <c r="CT127" s="35"/>
      <c r="CU127" s="35"/>
      <c r="CV127" s="35"/>
      <c r="CW127" s="35"/>
      <c r="CX127" s="35"/>
      <c r="CY127" s="35"/>
      <c r="CZ127" s="35"/>
      <c r="DA127" s="35"/>
      <c r="DB127" s="35"/>
      <c r="DC127" s="35"/>
      <c r="DD127" s="66"/>
      <c r="DE127" s="2150"/>
      <c r="DF127" s="29"/>
      <c r="DG127" s="29"/>
      <c r="DH127" s="91"/>
      <c r="DI127" s="29"/>
      <c r="DJ127" s="29"/>
      <c r="DK127" s="29"/>
      <c r="DL127" s="29"/>
      <c r="DM127" s="91"/>
      <c r="DN127" s="29"/>
      <c r="DO127" s="29"/>
      <c r="DP127" s="29"/>
      <c r="DQ127" s="29"/>
      <c r="DR127" s="29"/>
      <c r="DS127" s="29"/>
      <c r="DT127" s="29"/>
      <c r="DU127" s="29"/>
      <c r="DV127" s="29"/>
      <c r="DW127" s="29"/>
    </row>
    <row r="128" spans="1:133">
      <c r="A128" s="320"/>
      <c r="B128" s="224"/>
      <c r="C128" s="196"/>
      <c r="D128" s="187"/>
      <c r="E128" s="195"/>
      <c r="F128" s="187"/>
      <c r="G128" s="187"/>
      <c r="H128" s="187"/>
      <c r="I128" s="195"/>
      <c r="J128" s="187"/>
      <c r="K128" s="187"/>
      <c r="L128" s="187"/>
      <c r="M128" s="195"/>
      <c r="N128" s="187"/>
      <c r="O128" s="187"/>
      <c r="P128" s="187"/>
      <c r="Q128" s="195"/>
      <c r="R128" s="187"/>
      <c r="S128" s="187"/>
      <c r="T128" s="187"/>
      <c r="U128" s="195"/>
      <c r="V128" s="354"/>
      <c r="W128" s="35"/>
      <c r="X128" s="35"/>
      <c r="Y128" s="195"/>
      <c r="Z128" s="34"/>
      <c r="AA128" s="35"/>
      <c r="AB128" s="35"/>
      <c r="AC128" s="195"/>
      <c r="AD128" s="34"/>
      <c r="AE128" s="35"/>
      <c r="AF128" s="35"/>
      <c r="AG128" s="195"/>
      <c r="AH128" s="34"/>
      <c r="AI128" s="35"/>
      <c r="AJ128" s="35"/>
      <c r="AK128" s="195"/>
      <c r="AL128" s="34"/>
      <c r="AM128" s="35"/>
      <c r="AN128" s="35"/>
      <c r="AO128" s="195"/>
      <c r="AP128" s="34"/>
      <c r="AQ128" s="35"/>
      <c r="AR128" s="35"/>
      <c r="AS128" s="35"/>
      <c r="AT128" s="34"/>
      <c r="AU128" s="35"/>
      <c r="AV128" s="35"/>
      <c r="AW128" s="35"/>
      <c r="AX128" s="34"/>
      <c r="AY128" s="35"/>
      <c r="AZ128" s="35"/>
      <c r="BA128" s="66"/>
      <c r="BB128" s="34"/>
      <c r="BC128" s="35"/>
      <c r="BD128" s="35"/>
      <c r="BE128" s="66"/>
      <c r="BF128" s="34"/>
      <c r="BG128" s="35"/>
      <c r="BH128" s="35"/>
      <c r="BI128" s="66"/>
      <c r="BJ128" s="34"/>
      <c r="BK128" s="35"/>
      <c r="BL128" s="35"/>
      <c r="BM128" s="66"/>
      <c r="BN128" s="34"/>
      <c r="BO128" s="35"/>
      <c r="BP128" s="35"/>
      <c r="BQ128" s="66"/>
      <c r="BR128" s="34"/>
      <c r="BS128" s="35"/>
      <c r="BT128" s="35"/>
      <c r="BU128" s="66"/>
      <c r="BV128" s="34"/>
      <c r="BW128" s="35"/>
      <c r="BX128" s="35"/>
      <c r="BY128" s="66"/>
      <c r="BZ128" s="34"/>
      <c r="CA128" s="35"/>
      <c r="CB128" s="35"/>
      <c r="CC128" s="66"/>
      <c r="CD128" s="11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66"/>
      <c r="DE128" s="35"/>
      <c r="DF128" s="29"/>
      <c r="DG128" s="29"/>
      <c r="DH128" s="91"/>
      <c r="DI128" s="29"/>
      <c r="DJ128" s="29"/>
      <c r="DK128" s="29"/>
      <c r="DL128" s="29"/>
      <c r="DM128" s="91"/>
      <c r="DN128" s="29"/>
      <c r="DO128" s="29"/>
      <c r="DP128" s="29"/>
      <c r="DQ128" s="29"/>
      <c r="DR128" s="29"/>
      <c r="DS128" s="29"/>
      <c r="DT128" s="29"/>
      <c r="DU128" s="29"/>
      <c r="DV128" s="29"/>
      <c r="DW128" s="29"/>
    </row>
    <row r="129" spans="1:133" s="152" customFormat="1">
      <c r="A129" s="178"/>
      <c r="B129" s="224"/>
      <c r="C129" s="187" t="s">
        <v>623</v>
      </c>
      <c r="D129" s="187"/>
      <c r="E129" s="195"/>
      <c r="F129" s="489"/>
      <c r="G129" s="489"/>
      <c r="H129" s="489"/>
      <c r="I129" s="490"/>
      <c r="J129" s="489">
        <f t="shared" ref="J129:AS129" si="456">J29+J32</f>
        <v>-4.0320000000000027</v>
      </c>
      <c r="K129" s="489">
        <f t="shared" si="456"/>
        <v>-7.7809999999999935</v>
      </c>
      <c r="L129" s="489">
        <f t="shared" si="456"/>
        <v>35.292999999999992</v>
      </c>
      <c r="M129" s="490">
        <f t="shared" si="456"/>
        <v>11.527999999999984</v>
      </c>
      <c r="N129" s="489">
        <f t="shared" si="456"/>
        <v>32.663999999999994</v>
      </c>
      <c r="O129" s="489">
        <f t="shared" si="456"/>
        <v>77.021000000000015</v>
      </c>
      <c r="P129" s="489">
        <f t="shared" si="456"/>
        <v>83.278999999999996</v>
      </c>
      <c r="Q129" s="490">
        <f t="shared" si="456"/>
        <v>25.935999999999986</v>
      </c>
      <c r="R129" s="489">
        <f t="shared" si="456"/>
        <v>-37.9</v>
      </c>
      <c r="S129" s="489">
        <f t="shared" si="456"/>
        <v>29.1</v>
      </c>
      <c r="T129" s="489">
        <f t="shared" si="456"/>
        <v>35.299999999999983</v>
      </c>
      <c r="U129" s="490">
        <f t="shared" si="456"/>
        <v>31.800000000000011</v>
      </c>
      <c r="V129" s="966">
        <f t="shared" si="456"/>
        <v>42.400000000000006</v>
      </c>
      <c r="W129" s="431">
        <f t="shared" si="456"/>
        <v>88.2</v>
      </c>
      <c r="X129" s="431">
        <f t="shared" si="456"/>
        <v>63.999999999999986</v>
      </c>
      <c r="Y129" s="490">
        <f t="shared" si="456"/>
        <v>32.700000000000017</v>
      </c>
      <c r="Z129" s="966">
        <f t="shared" si="456"/>
        <v>-10.599999999999994</v>
      </c>
      <c r="AA129" s="431">
        <f t="shared" si="456"/>
        <v>64.599999999999994</v>
      </c>
      <c r="AB129" s="431">
        <f t="shared" si="456"/>
        <v>15.100000000000009</v>
      </c>
      <c r="AC129" s="490">
        <f t="shared" si="456"/>
        <v>30.500000000000014</v>
      </c>
      <c r="AD129" s="966">
        <f t="shared" si="456"/>
        <v>56</v>
      </c>
      <c r="AE129" s="431">
        <f t="shared" si="456"/>
        <v>75</v>
      </c>
      <c r="AF129" s="431">
        <f t="shared" si="456"/>
        <v>95</v>
      </c>
      <c r="AG129" s="490">
        <f t="shared" si="456"/>
        <v>68</v>
      </c>
      <c r="AH129" s="966">
        <f t="shared" si="456"/>
        <v>56</v>
      </c>
      <c r="AI129" s="431">
        <f t="shared" si="456"/>
        <v>350</v>
      </c>
      <c r="AJ129" s="431">
        <f t="shared" si="456"/>
        <v>294</v>
      </c>
      <c r="AK129" s="490">
        <f t="shared" si="456"/>
        <v>84</v>
      </c>
      <c r="AL129" s="966">
        <f t="shared" si="456"/>
        <v>139</v>
      </c>
      <c r="AM129" s="431">
        <f t="shared" si="456"/>
        <v>160</v>
      </c>
      <c r="AN129" s="431">
        <f t="shared" si="456"/>
        <v>249</v>
      </c>
      <c r="AO129" s="490">
        <f t="shared" si="456"/>
        <v>238</v>
      </c>
      <c r="AP129" s="966">
        <f t="shared" si="456"/>
        <v>258</v>
      </c>
      <c r="AQ129" s="431">
        <f t="shared" si="456"/>
        <v>358</v>
      </c>
      <c r="AR129" s="431">
        <f t="shared" si="456"/>
        <v>411</v>
      </c>
      <c r="AS129" s="431">
        <f t="shared" si="456"/>
        <v>178</v>
      </c>
      <c r="AT129" s="966">
        <f t="shared" ref="AT129:BD129" si="457">AT29+AT32</f>
        <v>190</v>
      </c>
      <c r="AU129" s="431">
        <f t="shared" si="457"/>
        <v>255</v>
      </c>
      <c r="AV129" s="431">
        <f t="shared" si="457"/>
        <v>138</v>
      </c>
      <c r="AW129" s="431">
        <f t="shared" si="457"/>
        <v>294</v>
      </c>
      <c r="AX129" s="966">
        <f t="shared" si="457"/>
        <v>218</v>
      </c>
      <c r="AY129" s="431">
        <f t="shared" si="457"/>
        <v>259</v>
      </c>
      <c r="AZ129" s="431">
        <f t="shared" si="457"/>
        <v>1068</v>
      </c>
      <c r="BA129" s="588">
        <f t="shared" si="457"/>
        <v>805</v>
      </c>
      <c r="BB129" s="966">
        <f t="shared" si="457"/>
        <v>554</v>
      </c>
      <c r="BC129" s="431">
        <f t="shared" si="457"/>
        <v>526</v>
      </c>
      <c r="BD129" s="431">
        <f t="shared" si="457"/>
        <v>539</v>
      </c>
      <c r="BE129" s="588">
        <f t="shared" ref="BE129:BM129" si="458">BE29+BE32</f>
        <v>548</v>
      </c>
      <c r="BF129" s="966">
        <f t="shared" si="458"/>
        <v>544</v>
      </c>
      <c r="BG129" s="431">
        <f t="shared" si="458"/>
        <v>556</v>
      </c>
      <c r="BH129" s="431">
        <f t="shared" si="458"/>
        <v>537</v>
      </c>
      <c r="BI129" s="588">
        <f>BI29+BI32</f>
        <v>551</v>
      </c>
      <c r="BJ129" s="966">
        <f>BJ29+BJ32</f>
        <v>667</v>
      </c>
      <c r="BK129" s="431">
        <f>BK29+BK32</f>
        <v>97</v>
      </c>
      <c r="BL129" s="431">
        <f>BL29+BL32</f>
        <v>534</v>
      </c>
      <c r="BM129" s="588">
        <f t="shared" si="458"/>
        <v>332</v>
      </c>
      <c r="BN129" s="966">
        <f t="shared" ref="BN129:BS129" si="459">BN29+BN32</f>
        <v>394</v>
      </c>
      <c r="BO129" s="431">
        <f t="shared" si="459"/>
        <v>449</v>
      </c>
      <c r="BP129" s="431">
        <f t="shared" si="459"/>
        <v>352</v>
      </c>
      <c r="BQ129" s="588">
        <f t="shared" si="459"/>
        <v>114</v>
      </c>
      <c r="BR129" s="966">
        <f t="shared" si="459"/>
        <v>229</v>
      </c>
      <c r="BS129" s="431">
        <f t="shared" si="459"/>
        <v>871</v>
      </c>
      <c r="BT129" s="620">
        <f t="shared" ref="BT129:BY129" si="460">BT29+BT32+BT33</f>
        <v>741</v>
      </c>
      <c r="BU129" s="588">
        <f t="shared" si="460"/>
        <v>761</v>
      </c>
      <c r="BV129" s="966">
        <f t="shared" si="460"/>
        <v>847</v>
      </c>
      <c r="BW129" s="431">
        <f t="shared" si="460"/>
        <v>553</v>
      </c>
      <c r="BX129" s="431">
        <f t="shared" si="460"/>
        <v>-259.20812571786945</v>
      </c>
      <c r="BY129" s="588">
        <f t="shared" si="460"/>
        <v>757.13204413090489</v>
      </c>
      <c r="BZ129" s="966">
        <f>BZ29+BZ32+BZ33</f>
        <v>837.69960459535491</v>
      </c>
      <c r="CA129" s="431">
        <f>CA29+CA32+CA33</f>
        <v>991.94058583103219</v>
      </c>
      <c r="CB129" s="431">
        <f>CB29+CB32+CB33</f>
        <v>395.83695864425766</v>
      </c>
      <c r="CC129" s="588">
        <f>CC29+CC32+CC33</f>
        <v>320.28025862445025</v>
      </c>
      <c r="CD129" s="1172"/>
      <c r="CE129" s="431">
        <f t="shared" ref="CE129:CT129" si="461">CE29+CE32</f>
        <v>-109.53099999999998</v>
      </c>
      <c r="CF129" s="431">
        <f t="shared" si="461"/>
        <v>35.008000000000003</v>
      </c>
      <c r="CG129" s="431">
        <f t="shared" si="461"/>
        <v>218.9</v>
      </c>
      <c r="CH129" s="431">
        <f t="shared" si="461"/>
        <v>58.300000000000011</v>
      </c>
      <c r="CI129" s="431">
        <f t="shared" si="461"/>
        <v>227.30000000000004</v>
      </c>
      <c r="CJ129" s="431">
        <f t="shared" si="461"/>
        <v>99.600000000000193</v>
      </c>
      <c r="CK129" s="431">
        <f t="shared" si="461"/>
        <v>294</v>
      </c>
      <c r="CL129" s="431">
        <f t="shared" si="461"/>
        <v>784</v>
      </c>
      <c r="CM129" s="431">
        <f t="shared" si="461"/>
        <v>786</v>
      </c>
      <c r="CN129" s="431">
        <f t="shared" si="461"/>
        <v>1205</v>
      </c>
      <c r="CO129" s="431">
        <f t="shared" si="461"/>
        <v>877</v>
      </c>
      <c r="CP129" s="431">
        <f t="shared" si="461"/>
        <v>2350</v>
      </c>
      <c r="CQ129" s="431">
        <f t="shared" si="461"/>
        <v>2167</v>
      </c>
      <c r="CR129" s="431">
        <f t="shared" si="461"/>
        <v>2188</v>
      </c>
      <c r="CS129" s="431">
        <f t="shared" si="461"/>
        <v>1630</v>
      </c>
      <c r="CT129" s="431">
        <f t="shared" si="461"/>
        <v>1309</v>
      </c>
      <c r="CU129" s="431">
        <f t="shared" ref="CU129:DA129" si="462">CU29+CU32</f>
        <v>2582</v>
      </c>
      <c r="CV129" s="431">
        <f t="shared" si="462"/>
        <v>1897.9239184130352</v>
      </c>
      <c r="CW129" s="431">
        <f t="shared" si="462"/>
        <v>2545.7574076950955</v>
      </c>
      <c r="CX129" s="431">
        <f t="shared" si="462"/>
        <v>2989.4548940260584</v>
      </c>
      <c r="CY129" s="431">
        <f t="shared" si="462"/>
        <v>2884.3197542167563</v>
      </c>
      <c r="CZ129" s="431">
        <f t="shared" si="462"/>
        <v>3092.990616004894</v>
      </c>
      <c r="DA129" s="431">
        <f t="shared" si="462"/>
        <v>2949.3722505651376</v>
      </c>
      <c r="DB129" s="431">
        <f>DB29+DB32</f>
        <v>3246.9961476786666</v>
      </c>
      <c r="DC129" s="431">
        <f>DC29+DC32</f>
        <v>3565.5842676704538</v>
      </c>
      <c r="DD129" s="588"/>
      <c r="DE129" s="33"/>
      <c r="DF129" s="620"/>
      <c r="DG129" s="30"/>
      <c r="DH129" s="723"/>
      <c r="DI129" s="30"/>
      <c r="DJ129" s="30"/>
      <c r="DK129" s="30"/>
      <c r="DL129" s="30"/>
      <c r="DM129" s="723"/>
      <c r="DN129" s="30"/>
      <c r="DO129" s="30"/>
      <c r="DP129" s="30"/>
      <c r="DQ129" s="30"/>
      <c r="DR129" s="30"/>
      <c r="DS129" s="30"/>
      <c r="DT129" s="30"/>
      <c r="DU129" s="30"/>
      <c r="DV129" s="30"/>
      <c r="DW129" s="30"/>
      <c r="DX129"/>
      <c r="DY129"/>
      <c r="DZ129"/>
      <c r="EA129"/>
      <c r="EB129"/>
      <c r="EC129"/>
    </row>
    <row r="130" spans="1:133">
      <c r="A130" s="320"/>
      <c r="B130" s="224"/>
      <c r="C130" s="196" t="s">
        <v>624</v>
      </c>
      <c r="D130" s="187"/>
      <c r="E130" s="195"/>
      <c r="F130" s="187"/>
      <c r="G130" s="646"/>
      <c r="H130" s="646"/>
      <c r="I130" s="647"/>
      <c r="J130" s="1114">
        <f>J129/IS!J124</f>
        <v>-2.160366490743967E-2</v>
      </c>
      <c r="K130" s="1114">
        <f>K129/IS!K124</f>
        <v>-4.0605560890076366E-2</v>
      </c>
      <c r="L130" s="1114">
        <f>L129/IS!L124</f>
        <v>0.17792846159663228</v>
      </c>
      <c r="M130" s="1168">
        <f>M129/IS!M124</f>
        <v>5.8306442639367899E-2</v>
      </c>
      <c r="N130" s="1114">
        <f>N129/IS!N124</f>
        <v>0.16595621446680517</v>
      </c>
      <c r="O130" s="1114">
        <f>O129/IS!O124</f>
        <v>0.37732641593548999</v>
      </c>
      <c r="P130" s="1114">
        <f>P129/IS!P124</f>
        <v>0.40091178679401512</v>
      </c>
      <c r="Q130" s="1168">
        <f>Q129/IS!Q124</f>
        <v>0.12157689963905678</v>
      </c>
      <c r="R130" s="1114">
        <f>R129/IS!R124</f>
        <v>-0.17554423344140804</v>
      </c>
      <c r="S130" s="1114">
        <f>S129/IS!S124</f>
        <v>0.13354749885268472</v>
      </c>
      <c r="T130" s="1114">
        <f>T129/IS!T124</f>
        <v>0.16229885057471258</v>
      </c>
      <c r="U130" s="1168">
        <f>U129/IS!U124</f>
        <v>0.14756380510440842</v>
      </c>
      <c r="V130" s="1167">
        <f>V129/IS!V124</f>
        <v>0.19943555973659458</v>
      </c>
      <c r="W130" s="1169">
        <f>W129/IS!W124</f>
        <v>0.41292134831460675</v>
      </c>
      <c r="X130" s="1169">
        <f>X129/IS!X124</f>
        <v>0.29263831732967532</v>
      </c>
      <c r="Y130" s="1168">
        <f>Y129/IS!Y124</f>
        <v>0.14690026954177907</v>
      </c>
      <c r="Z130" s="1167">
        <f>Z129/IS!Z124</f>
        <v>-4.7942107643600157E-2</v>
      </c>
      <c r="AA130" s="1169">
        <f>AA129/IS!AA124</f>
        <v>0.29164785553047401</v>
      </c>
      <c r="AB130" s="1169">
        <f>AB129/IS!AB124</f>
        <v>6.657848324514995E-2</v>
      </c>
      <c r="AC130" s="1168">
        <f>AC129/IS!AC124</f>
        <v>0.13549533540648606</v>
      </c>
      <c r="AD130" s="1167">
        <f>AD129/IS!AD124</f>
        <v>0.24888888888888888</v>
      </c>
      <c r="AE130" s="1169">
        <f>AE129/IS!AE124</f>
        <v>0.33185840707964603</v>
      </c>
      <c r="AF130" s="1169">
        <f>AF129/IS!AF124</f>
        <v>0.42035398230088494</v>
      </c>
      <c r="AG130" s="1168">
        <f>AG129/IS!AG124</f>
        <v>0.30222222222222223</v>
      </c>
      <c r="AH130" s="1167">
        <f>AH129/IS!AH124</f>
        <v>0.25</v>
      </c>
      <c r="AI130" s="1169">
        <f>AI129/IS!AI124</f>
        <v>1.5486725663716814</v>
      </c>
      <c r="AJ130" s="1169">
        <f>AJ129/IS!AJ124</f>
        <v>1.2951541850220265</v>
      </c>
      <c r="AK130" s="1168">
        <f>AK129/IS!AK124</f>
        <v>0.37004405286343611</v>
      </c>
      <c r="AL130" s="1167">
        <f>AL129/IS!AL124</f>
        <v>0.61504424778761058</v>
      </c>
      <c r="AM130" s="1169">
        <f>AM129/IS!AM124</f>
        <v>0.7142857142857143</v>
      </c>
      <c r="AN130" s="1169">
        <f>AN129/IS!AN124</f>
        <v>1.1017699115044248</v>
      </c>
      <c r="AO130" s="1168">
        <f>AO129/IS!AO124</f>
        <v>1.0484581497797356</v>
      </c>
      <c r="AP130" s="1167">
        <f>AP129/IS!AP124</f>
        <v>1.1217391304347826</v>
      </c>
      <c r="AQ130" s="1169">
        <f>AQ129/IS!AQ124</f>
        <v>1.5431034482758621</v>
      </c>
      <c r="AR130" s="1169">
        <f>AR129/IS!AR124</f>
        <v>1.7564102564102564</v>
      </c>
      <c r="AS130" s="1169">
        <f>AS129/IS!AS124</f>
        <v>0.75744680851063828</v>
      </c>
      <c r="AT130" s="1167">
        <f>AT129/IS!AT124</f>
        <v>0.81196581196581197</v>
      </c>
      <c r="AU130" s="1169">
        <f>AU129/IS!AU124</f>
        <v>1.0851063829787233</v>
      </c>
      <c r="AV130" s="1169">
        <f>AV129/IS!AV124</f>
        <v>0.5847457627118644</v>
      </c>
      <c r="AW130" s="1169">
        <f>AW129/IS!AW124</f>
        <v>1.240506329113924</v>
      </c>
      <c r="AX130" s="1167">
        <f>AX129/IS!AX124</f>
        <v>0.91983122362869196</v>
      </c>
      <c r="AY130" s="1169">
        <f>AY129/IS!AY124</f>
        <v>1.0928270042194093</v>
      </c>
      <c r="AZ130" s="1169">
        <f>AZ129/IS!AZ124</f>
        <v>4.3414634146341466</v>
      </c>
      <c r="BA130" s="1170">
        <f>BA129/IS!BA124</f>
        <v>3.0961538461538463</v>
      </c>
      <c r="BB130" s="1167">
        <f>BB129/IS!BB124</f>
        <v>2.1984126984126986</v>
      </c>
      <c r="BC130" s="1169">
        <f>BC129/IS!BC124</f>
        <v>2.1382113821138211</v>
      </c>
      <c r="BD130" s="1169">
        <f>BD129/IS!BD124</f>
        <v>2.2000000000000002</v>
      </c>
      <c r="BE130" s="1170">
        <f>BE129/IS!BE124</f>
        <v>2.2551440329218106</v>
      </c>
      <c r="BF130" s="1167">
        <f>BF129/IS!BF124</f>
        <v>2.2479338842975207</v>
      </c>
      <c r="BG130" s="1169">
        <f>BG129/IS!BG124</f>
        <v>2.288065843621399</v>
      </c>
      <c r="BH130" s="1169">
        <f>BH129/IS!BH124</f>
        <v>2.21900826446281</v>
      </c>
      <c r="BI130" s="1170">
        <f>BI129/IS!BI124</f>
        <v>2.2863070539419086</v>
      </c>
      <c r="BJ130" s="1167">
        <f>BJ129/IS!BJ124</f>
        <v>2.7791666666666668</v>
      </c>
      <c r="BK130" s="1169">
        <f>BK129/IS!BK124</f>
        <v>0.40756302521008403</v>
      </c>
      <c r="BL130" s="1169">
        <f>BL129/IS!BL124</f>
        <v>2.2627118644067798</v>
      </c>
      <c r="BM130" s="1170">
        <f>BM129/IS!BM124</f>
        <v>1.4127659574468086</v>
      </c>
      <c r="BN130" s="1167">
        <f>BN129/IS!BN124</f>
        <v>1.6837606837606838</v>
      </c>
      <c r="BO130" s="1169">
        <f>BO129/IS!BO124</f>
        <v>1.9188034188034189</v>
      </c>
      <c r="BP130" s="1169">
        <f>BP129/IS!BP124</f>
        <v>1.5042735042735043</v>
      </c>
      <c r="BQ130" s="1170">
        <f>BQ129/IS!BQ124</f>
        <v>0.43346007604562736</v>
      </c>
      <c r="BR130" s="1167">
        <f>BR129/IS!BR124</f>
        <v>0.78965517241379313</v>
      </c>
      <c r="BS130" s="1169">
        <f>BS129/IS!BS124</f>
        <v>2.9625850340136055</v>
      </c>
      <c r="BT130" s="1169">
        <f>BT129/IS!BT124</f>
        <v>2.4782608695652173</v>
      </c>
      <c r="BU130" s="1170">
        <f>BU129/IS!BU124</f>
        <v>2.5282392026578071</v>
      </c>
      <c r="BV130" s="1167">
        <f>BV129/IS!BV124</f>
        <v>2.7679738562091503</v>
      </c>
      <c r="BW130" s="1169">
        <f>BW129/IS!BW124</f>
        <v>1.8071895424836601</v>
      </c>
      <c r="BX130" s="1169">
        <f>BX129/IS!BX124</f>
        <v>-0.84083186084693518</v>
      </c>
      <c r="BY130" s="1170">
        <f>BY129/IS!BY124</f>
        <v>2.4620757382526604</v>
      </c>
      <c r="BZ130" s="1167">
        <f>BZ129/IS!BZ124</f>
        <v>2.7104358985728254</v>
      </c>
      <c r="CA130" s="1169">
        <f>CA129/IS!CA124</f>
        <v>3.1958736158213781</v>
      </c>
      <c r="CB130" s="1169">
        <f>CB129/IS!CB124</f>
        <v>1.2677804457811352</v>
      </c>
      <c r="CC130" s="1170">
        <f>CC129/IS!CC124</f>
        <v>1.0179892708633209</v>
      </c>
      <c r="CD130" s="1171"/>
      <c r="CE130" s="1169">
        <f>CE129/IS!CE124</f>
        <v>-0.64920724298372978</v>
      </c>
      <c r="CF130" s="1169">
        <f>CF129/IS!CF124</f>
        <v>0.18072562826522395</v>
      </c>
      <c r="CG130" s="1169">
        <f>CG129/IS!CG124</f>
        <v>1.0652068126520682</v>
      </c>
      <c r="CH130" s="1169">
        <f>CH129/IS!CH124</f>
        <v>0.26903553299492394</v>
      </c>
      <c r="CI130" s="1169">
        <f>CI129/IS!CI124</f>
        <v>1.0474654377880186</v>
      </c>
      <c r="CJ130" s="1169">
        <f>CJ129/IS!CJ124</f>
        <v>0.44464285714285801</v>
      </c>
      <c r="CK130" s="1169">
        <f>CK129/IS!CK124</f>
        <v>1.3008849557522124</v>
      </c>
      <c r="CL130" s="1169">
        <f>CL129/IS!CL124</f>
        <v>3.4690265486725664</v>
      </c>
      <c r="CM130" s="1169">
        <f>CM129/IS!CM124</f>
        <v>3.4778761061946901</v>
      </c>
      <c r="CN130" s="1169">
        <f>CN129/IS!CN124</f>
        <v>5.1716738197424892</v>
      </c>
      <c r="CO130" s="1169">
        <f>CO129/IS!CO124</f>
        <v>3.7319148936170214</v>
      </c>
      <c r="CP130" s="1169">
        <f>CP129/IS!CP124</f>
        <v>9.591836734693878</v>
      </c>
      <c r="CQ130" s="1169">
        <f>CQ129/IS!CQ124</f>
        <v>8.808943089430894</v>
      </c>
      <c r="CR130" s="1169">
        <f>CR129/IS!CR124</f>
        <v>9.0413223140495873</v>
      </c>
      <c r="CS130" s="1169">
        <f>CS129/IS!CS124</f>
        <v>6.8776371308016877</v>
      </c>
      <c r="CT130" s="1169">
        <f>CT129/IS!CT124</f>
        <v>5.4852497485752592</v>
      </c>
      <c r="CU130" s="1169">
        <f>CU129/IS!CU124</f>
        <v>8.7229729729729737</v>
      </c>
      <c r="CV130" s="1169">
        <f>CV129/IS!CV124</f>
        <v>6.1884702411584058</v>
      </c>
      <c r="CW130" s="1169">
        <f>CW129/IS!CW124</f>
        <v>8.1329575427194172</v>
      </c>
      <c r="CX130" s="1169">
        <f>CX129/IS!CX124</f>
        <v>9.3148271055569136</v>
      </c>
      <c r="CY130" s="1169">
        <f>CY129/IS!CY124</f>
        <v>8.7518243314090682</v>
      </c>
      <c r="CZ130" s="1169">
        <f>CZ129/IS!CZ124</f>
        <v>9.1315851800881802</v>
      </c>
      <c r="DA130" s="1169">
        <f>DA129/IS!DA124</f>
        <v>8.4969073033029119</v>
      </c>
      <c r="DB130" s="1169">
        <f>DB129/IS!DB124</f>
        <v>9.1258162158189933</v>
      </c>
      <c r="DC130" s="1169">
        <f>DC129/IS!DC124</f>
        <v>9.7806782649217876</v>
      </c>
      <c r="DD130" s="1170"/>
      <c r="DE130" s="35"/>
      <c r="DF130" s="1044"/>
      <c r="DG130" s="29"/>
      <c r="DH130" s="91"/>
      <c r="DI130" s="29"/>
      <c r="DJ130" s="29"/>
      <c r="DK130" s="29"/>
      <c r="DL130" s="29"/>
      <c r="DM130" s="91"/>
      <c r="DN130" s="29"/>
      <c r="DO130" s="29"/>
      <c r="DP130" s="29"/>
      <c r="DQ130" s="29"/>
      <c r="DR130" s="29"/>
      <c r="DS130" s="29"/>
      <c r="DT130" s="29"/>
      <c r="DU130" s="29"/>
      <c r="DV130" s="29"/>
      <c r="DW130" s="29"/>
    </row>
    <row r="131" spans="1:133">
      <c r="A131" s="320"/>
      <c r="B131" s="224"/>
      <c r="C131" s="196" t="s">
        <v>625</v>
      </c>
      <c r="D131" s="187"/>
      <c r="E131" s="195"/>
      <c r="F131" s="187"/>
      <c r="G131" s="187"/>
      <c r="H131" s="187"/>
      <c r="I131" s="1173"/>
      <c r="J131" s="578">
        <f>J129/IS!J11</f>
        <v>-9.1440390254522753E-3</v>
      </c>
      <c r="K131" s="578">
        <f>K129/IS!K11</f>
        <v>-1.3539944663894051E-2</v>
      </c>
      <c r="L131" s="578">
        <f>L129/IS!L11</f>
        <v>5.932925670436056E-2</v>
      </c>
      <c r="M131" s="352">
        <f>M129/IS!M11</f>
        <v>2.1321614583333304E-2</v>
      </c>
      <c r="N131" s="578">
        <f>N129/IS!N11</f>
        <v>5.6036164102193288E-2</v>
      </c>
      <c r="O131" s="578">
        <f>O129/IS!O11</f>
        <v>0.10276476567961995</v>
      </c>
      <c r="P131" s="578">
        <f>P129/IS!P11</f>
        <v>0.11798590739511722</v>
      </c>
      <c r="Q131" s="352">
        <f>Q129/IS!Q11</f>
        <v>3.8126466067976199E-2</v>
      </c>
      <c r="R131" s="578">
        <f>R129/IS!R11</f>
        <v>-5.3064519142640862E-2</v>
      </c>
      <c r="S131" s="578">
        <f>S129/IS!S11</f>
        <v>3.4857947205926471E-2</v>
      </c>
      <c r="T131" s="578">
        <f>T129/IS!T11</f>
        <v>4.7136367101252782E-2</v>
      </c>
      <c r="U131" s="352">
        <f>U129/IS!U11</f>
        <v>4.2468321017444223E-2</v>
      </c>
      <c r="V131" s="339">
        <f>V129/IS!V11</f>
        <v>5.1482770842092566E-2</v>
      </c>
      <c r="W131" s="335">
        <f>W129/IS!W11</f>
        <v>9.2363266759640919E-2</v>
      </c>
      <c r="X131" s="335">
        <f>X129/IS!X11</f>
        <v>6.9573117183688568E-2</v>
      </c>
      <c r="Y131" s="352">
        <f>Y129/IS!Y11</f>
        <v>3.477365540680153E-2</v>
      </c>
      <c r="Z131" s="339">
        <f>Z129/IS!Z11</f>
        <v>-1.0496037250005478E-2</v>
      </c>
      <c r="AA131" s="335">
        <f>AA129/IS!AA11</f>
        <v>5.782999170969351E-2</v>
      </c>
      <c r="AB131" s="335">
        <f>AB129/IS!AB11</f>
        <v>1.3377393308964241E-2</v>
      </c>
      <c r="AC131" s="352">
        <f>AC129/IS!AC11</f>
        <v>2.8097116761484138E-2</v>
      </c>
      <c r="AD131" s="339">
        <f>AD129/IS!AD11</f>
        <v>4.4303838357007519E-2</v>
      </c>
      <c r="AE131" s="335">
        <f>AE129/IS!AE11</f>
        <v>5.2522111386261325E-2</v>
      </c>
      <c r="AF131" s="335">
        <f>AF129/IS!AF11</f>
        <v>6.7374463852111655E-2</v>
      </c>
      <c r="AG131" s="352">
        <f>AG129/IS!AG11</f>
        <v>4.9754601004012036E-2</v>
      </c>
      <c r="AH131" s="339">
        <f>AH129/IS!AH11</f>
        <v>3.171028446707936E-2</v>
      </c>
      <c r="AI131" s="335">
        <f>AI129/IS!AI11</f>
        <v>0.15879471303082207</v>
      </c>
      <c r="AJ131" s="335">
        <f>AJ129/IS!AJ11</f>
        <v>0.13926871708677199</v>
      </c>
      <c r="AK131" s="352">
        <f>AK129/IS!AK11</f>
        <v>4.2146143444029241E-2</v>
      </c>
      <c r="AL131" s="339">
        <f>AL129/IS!AL11</f>
        <v>6.5908333274962136E-2</v>
      </c>
      <c r="AM131" s="335">
        <f>AM129/IS!AM11</f>
        <v>8.7777637397409083E-2</v>
      </c>
      <c r="AN131" s="335">
        <f>AN129/IS!AN11</f>
        <v>0.15641764574181496</v>
      </c>
      <c r="AO131" s="352">
        <f>AO129/IS!AO11</f>
        <v>0.12343203892352987</v>
      </c>
      <c r="AP131" s="339">
        <f>AP129/IS!AP11</f>
        <v>0.11684782608695653</v>
      </c>
      <c r="AQ131" s="335">
        <f>AQ129/IS!AQ11</f>
        <v>0.13669339442535319</v>
      </c>
      <c r="AR131" s="335">
        <f>AR129/IS!AR11</f>
        <v>0.15562287012495266</v>
      </c>
      <c r="AS131" s="335">
        <f>AS129/IS!AS11</f>
        <v>7.4727120067170444E-2</v>
      </c>
      <c r="AT131" s="339">
        <f>AT129/IS!AT11</f>
        <v>7.7646097261953415E-2</v>
      </c>
      <c r="AU131" s="335">
        <f>AU129/IS!AU11</f>
        <v>0.10303030303030303</v>
      </c>
      <c r="AV131" s="335">
        <f>AV129/IS!AV11</f>
        <v>6.1278863232682057E-2</v>
      </c>
      <c r="AW131" s="335">
        <f>AW129/IS!AW11</f>
        <v>0.12234706616729088</v>
      </c>
      <c r="AX131" s="339">
        <f>AX129/IS!AX11</f>
        <v>8.0920564216778026E-2</v>
      </c>
      <c r="AY131" s="335">
        <f>AY129/IS!AY11</f>
        <v>0.12982456140350876</v>
      </c>
      <c r="AZ131" s="335">
        <f>AZ129/IS!AZ11</f>
        <v>0.35189456342668862</v>
      </c>
      <c r="BA131" s="336">
        <f>BA129/IS!BA11</f>
        <v>0.16933108960875051</v>
      </c>
      <c r="BB131" s="339">
        <f>BB129/IS!BB11</f>
        <v>0.13729863692688971</v>
      </c>
      <c r="BC131" s="335">
        <f>BC129/IS!BC11</f>
        <v>0.13755230125523013</v>
      </c>
      <c r="BD131" s="335">
        <f>BD129/IS!BD11</f>
        <v>0.14319872476089265</v>
      </c>
      <c r="BE131" s="336">
        <f>BE129/IS!BE11</f>
        <v>0.14699570815450644</v>
      </c>
      <c r="BF131" s="339">
        <f>BF129/IS!BF11</f>
        <v>0.14300736067297581</v>
      </c>
      <c r="BG131" s="335">
        <f>BG129/IS!BG11</f>
        <v>0.13997985901309165</v>
      </c>
      <c r="BH131" s="335">
        <f>BH129/IS!BH11</f>
        <v>0.14501755333513366</v>
      </c>
      <c r="BI131" s="336">
        <f>BI129/IS!BI11</f>
        <v>0.15091755683374419</v>
      </c>
      <c r="BJ131" s="339">
        <f>BJ129/IS!BJ11</f>
        <v>0.16916053766167893</v>
      </c>
      <c r="BK131" s="335">
        <f>BK129/IS!BK11</f>
        <v>2.4948559670781894E-2</v>
      </c>
      <c r="BL131" s="335">
        <f>BL129/IS!BL11</f>
        <v>0.15042253521126761</v>
      </c>
      <c r="BM131" s="336">
        <f>BM129/IS!BM11</f>
        <v>0.10404261986837982</v>
      </c>
      <c r="BN131" s="339">
        <f>BN129/IS!BN11</f>
        <v>0.11726190476190476</v>
      </c>
      <c r="BO131" s="335">
        <f>BO129/IS!BO11</f>
        <v>0.13536328007235454</v>
      </c>
      <c r="BP131" s="335">
        <f>BP129/IS!BP11</f>
        <v>0.12473423104181432</v>
      </c>
      <c r="BQ131" s="336">
        <f>BQ129/IS!BQ11</f>
        <v>3.2618025751072963E-2</v>
      </c>
      <c r="BR131" s="339">
        <f>BR129/IS!BR11</f>
        <v>4.8578701739499366E-2</v>
      </c>
      <c r="BS131" s="335">
        <f>BS129/IS!BS11</f>
        <v>0.17819148936170212</v>
      </c>
      <c r="BT131" s="335">
        <f>BT129/IS!BT11</f>
        <v>0.15938911593891159</v>
      </c>
      <c r="BU131" s="336">
        <f>BU129/IS!BU11</f>
        <v>0.15716646014043784</v>
      </c>
      <c r="BV131" s="339">
        <f>BV129/IS!BV11</f>
        <v>0.16348195329087048</v>
      </c>
      <c r="BW131" s="335">
        <f>BW129/IS!BW11</f>
        <v>0.10363568215892054</v>
      </c>
      <c r="BX131" s="335">
        <f>BX129/IS!BX11</f>
        <v>-5.2801571978568711E-2</v>
      </c>
      <c r="BY131" s="336">
        <f>BY129/IS!BY11</f>
        <v>0.15407585785727837</v>
      </c>
      <c r="BZ131" s="339">
        <f>BZ129/IS!BZ11</f>
        <v>0.1652100840096879</v>
      </c>
      <c r="CA131" s="335">
        <f>CA129/IS!CA11</f>
        <v>0.19878140662646465</v>
      </c>
      <c r="CB131" s="335">
        <f>CB129/IS!CB11</f>
        <v>8.5422090502356648E-2</v>
      </c>
      <c r="CC131" s="336">
        <f>CC129/IS!CC11</f>
        <v>7.302106635706139E-2</v>
      </c>
      <c r="CD131" s="1174"/>
      <c r="CE131" s="335">
        <f>CE129/IS!CE11</f>
        <v>-5.6072206705054577E-2</v>
      </c>
      <c r="CF131" s="335">
        <f>CF129/IS!CF11</f>
        <v>1.6274072984540377E-2</v>
      </c>
      <c r="CG131" s="335">
        <f>CG129/IS!CG11</f>
        <v>8.0522388912835099E-2</v>
      </c>
      <c r="CH131" s="335">
        <f>CH129/IS!CH11</f>
        <v>1.9135294126704283E-2</v>
      </c>
      <c r="CI131" s="335">
        <f>CI129/IS!CI11</f>
        <v>6.2466263081764742E-2</v>
      </c>
      <c r="CJ131" s="335">
        <f>CJ129/IS!CJ11</f>
        <v>2.2942632162404785E-2</v>
      </c>
      <c r="CK131" s="335">
        <f>CK129/IS!CK11</f>
        <v>5.3760428680928576E-2</v>
      </c>
      <c r="CL131" s="335">
        <f>CL129/IS!CL11</f>
        <v>9.7099596141974109E-2</v>
      </c>
      <c r="CM131" s="335">
        <f>CM129/IS!CM11</f>
        <v>0.10547707754901446</v>
      </c>
      <c r="CN131" s="335">
        <f>CN129/IS!CN11</f>
        <v>0.12233502538071066</v>
      </c>
      <c r="CO131" s="335">
        <f>CO129/IS!CO11</f>
        <v>9.1573561658139291E-2</v>
      </c>
      <c r="CP131" s="335">
        <f>CP129/IS!CP11</f>
        <v>0.18833146337554096</v>
      </c>
      <c r="CQ131" s="335">
        <f>CQ129/IS!CQ11</f>
        <v>0.14116344212103446</v>
      </c>
      <c r="CR131" s="335">
        <f>CR129/IS!CR11</f>
        <v>0.14461335095836086</v>
      </c>
      <c r="CS131" s="335">
        <f>CS129/IS!CS11</f>
        <v>0.11185835849574527</v>
      </c>
      <c r="CT131" s="335">
        <f>CT129/IS!CT11</f>
        <v>0.10073880252424196</v>
      </c>
      <c r="CU131" s="335">
        <f>CU129/IS!CU11</f>
        <v>0.13523280783533231</v>
      </c>
      <c r="CV131" s="335">
        <f>CV129/IS!CV11</f>
        <v>9.3309376985668741E-2</v>
      </c>
      <c r="CW131" s="335">
        <f>CW129/IS!CW11</f>
        <v>0.13342090644688206</v>
      </c>
      <c r="CX131" s="335">
        <f>CX129/IS!CX11</f>
        <v>0.14602590291831105</v>
      </c>
      <c r="CY131" s="335">
        <f>CY129/IS!CY11</f>
        <v>0.13596145589433387</v>
      </c>
      <c r="CZ131" s="335">
        <f>CZ129/IS!CZ11</f>
        <v>0.14045170511269001</v>
      </c>
      <c r="DA131" s="335">
        <f>DA129/IS!DA11</f>
        <v>0.12799767222592501</v>
      </c>
      <c r="DB131" s="335">
        <f>DB129/IS!DB11</f>
        <v>0.13417815688215959</v>
      </c>
      <c r="DC131" s="335">
        <f>DC129/IS!DC11</f>
        <v>0.13977632307382082</v>
      </c>
      <c r="DD131" s="336"/>
      <c r="DE131" s="35"/>
      <c r="DF131" s="333"/>
      <c r="DG131" s="29"/>
      <c r="DH131" s="91"/>
      <c r="DI131" s="29"/>
      <c r="DJ131" s="29"/>
      <c r="DK131" s="29"/>
      <c r="DL131" s="29"/>
      <c r="DM131" s="91"/>
      <c r="DN131" s="29"/>
      <c r="DO131" s="29"/>
      <c r="DP131" s="29"/>
      <c r="DQ131" s="29"/>
      <c r="DR131" s="29"/>
      <c r="DS131" s="29"/>
      <c r="DT131" s="29"/>
      <c r="DU131" s="29"/>
      <c r="DV131" s="29"/>
      <c r="DW131" s="29"/>
    </row>
    <row r="132" spans="1:133">
      <c r="A132" s="320"/>
      <c r="B132" s="224"/>
      <c r="C132" s="187"/>
      <c r="D132" s="187"/>
      <c r="E132" s="195"/>
      <c r="F132" s="187"/>
      <c r="G132" s="187"/>
      <c r="H132" s="187"/>
      <c r="I132" s="195"/>
      <c r="J132" s="187"/>
      <c r="K132" s="187"/>
      <c r="L132" s="187"/>
      <c r="M132" s="195"/>
      <c r="N132" s="187"/>
      <c r="O132" s="187"/>
      <c r="P132" s="187"/>
      <c r="Q132" s="195"/>
      <c r="R132" s="187"/>
      <c r="S132" s="187"/>
      <c r="T132" s="187"/>
      <c r="U132" s="195"/>
      <c r="V132" s="34"/>
      <c r="W132" s="35"/>
      <c r="X132" s="35"/>
      <c r="Y132" s="195"/>
      <c r="Z132" s="34"/>
      <c r="AA132" s="35"/>
      <c r="AB132" s="35"/>
      <c r="AC132" s="195"/>
      <c r="AD132" s="34"/>
      <c r="AE132" s="35"/>
      <c r="AF132" s="35"/>
      <c r="AG132" s="195"/>
      <c r="AH132" s="34"/>
      <c r="AI132" s="35"/>
      <c r="AJ132" s="35"/>
      <c r="AK132" s="195"/>
      <c r="AL132" s="34"/>
      <c r="AM132" s="35"/>
      <c r="AN132" s="35"/>
      <c r="AO132" s="195"/>
      <c r="AP132" s="34"/>
      <c r="AQ132" s="35"/>
      <c r="AR132" s="35"/>
      <c r="AS132" s="35"/>
      <c r="AT132" s="98"/>
      <c r="AU132" s="35"/>
      <c r="AV132" s="35"/>
      <c r="AW132" s="35"/>
      <c r="AX132" s="34"/>
      <c r="AY132" s="35"/>
      <c r="AZ132" s="35"/>
      <c r="BA132" s="66"/>
      <c r="BB132" s="34"/>
      <c r="BC132" s="35"/>
      <c r="BD132" s="35"/>
      <c r="BE132" s="66"/>
      <c r="BF132" s="34"/>
      <c r="BG132" s="35"/>
      <c r="BH132" s="35"/>
      <c r="BI132" s="66"/>
      <c r="BJ132" s="34"/>
      <c r="BK132" s="35"/>
      <c r="BL132" s="35"/>
      <c r="BM132" s="66"/>
      <c r="BN132" s="34"/>
      <c r="BO132" s="35"/>
      <c r="BP132" s="35"/>
      <c r="BQ132" s="66"/>
      <c r="BR132" s="34"/>
      <c r="BS132" s="35"/>
      <c r="BT132" s="35"/>
      <c r="BU132" s="66"/>
      <c r="BV132" s="34"/>
      <c r="BW132" s="94"/>
      <c r="BX132" s="35"/>
      <c r="BY132" s="66"/>
      <c r="BZ132" s="34"/>
      <c r="CA132" s="94"/>
      <c r="CB132" s="35"/>
      <c r="CC132" s="66"/>
      <c r="CD132" s="11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66"/>
      <c r="DE132" s="35"/>
      <c r="DF132" s="29"/>
      <c r="DG132" s="29"/>
      <c r="DH132" s="91"/>
      <c r="DI132" s="29"/>
      <c r="DJ132" s="29"/>
      <c r="DK132" s="29"/>
      <c r="DL132" s="29"/>
      <c r="DM132" s="91"/>
      <c r="DN132" s="29"/>
      <c r="DO132" s="29"/>
      <c r="DP132" s="29"/>
      <c r="DQ132" s="29"/>
      <c r="DR132" s="29"/>
      <c r="DS132" s="29"/>
      <c r="DT132" s="29"/>
      <c r="DU132" s="29"/>
      <c r="DV132" s="29"/>
      <c r="DW132" s="29"/>
    </row>
    <row r="133" spans="1:133">
      <c r="A133" s="320"/>
      <c r="B133" s="287" t="s">
        <v>37</v>
      </c>
      <c r="C133" s="272"/>
      <c r="D133" s="272"/>
      <c r="E133" s="273"/>
      <c r="F133" s="272"/>
      <c r="G133" s="272"/>
      <c r="H133" s="272"/>
      <c r="I133" s="273"/>
      <c r="J133" s="272"/>
      <c r="K133" s="272"/>
      <c r="L133" s="272"/>
      <c r="M133" s="273"/>
      <c r="N133" s="272"/>
      <c r="O133" s="272"/>
      <c r="P133" s="272"/>
      <c r="Q133" s="273"/>
      <c r="R133" s="272"/>
      <c r="S133" s="272"/>
      <c r="T133" s="272"/>
      <c r="U133" s="273"/>
      <c r="V133" s="101"/>
      <c r="W133" s="102"/>
      <c r="X133" s="102"/>
      <c r="Y133" s="273"/>
      <c r="Z133" s="101"/>
      <c r="AA133" s="102"/>
      <c r="AB133" s="102"/>
      <c r="AC133" s="273"/>
      <c r="AD133" s="101"/>
      <c r="AE133" s="102"/>
      <c r="AF133" s="102"/>
      <c r="AG133" s="273"/>
      <c r="AH133" s="101"/>
      <c r="AI133" s="102"/>
      <c r="AJ133" s="102"/>
      <c r="AK133" s="273"/>
      <c r="AL133" s="101"/>
      <c r="AM133" s="102"/>
      <c r="AN133" s="102"/>
      <c r="AO133" s="273"/>
      <c r="AP133" s="101"/>
      <c r="AQ133" s="102"/>
      <c r="AR133" s="102"/>
      <c r="AS133" s="102"/>
      <c r="AT133" s="101"/>
      <c r="AU133" s="102"/>
      <c r="AV133" s="102"/>
      <c r="AW133" s="102"/>
      <c r="AX133" s="101"/>
      <c r="AY133" s="102"/>
      <c r="AZ133" s="102"/>
      <c r="BA133" s="103"/>
      <c r="BB133" s="101"/>
      <c r="BC133" s="102"/>
      <c r="BD133" s="102"/>
      <c r="BE133" s="103"/>
      <c r="BF133" s="101"/>
      <c r="BG133" s="102"/>
      <c r="BH133" s="102"/>
      <c r="BI133" s="103"/>
      <c r="BJ133" s="101"/>
      <c r="BK133" s="102"/>
      <c r="BL133" s="102"/>
      <c r="BM133" s="103"/>
      <c r="BN133" s="101"/>
      <c r="BO133" s="102"/>
      <c r="BP133" s="102"/>
      <c r="BQ133" s="103"/>
      <c r="BR133" s="101"/>
      <c r="BS133" s="102"/>
      <c r="BT133" s="102"/>
      <c r="BU133" s="103"/>
      <c r="BV133" s="101"/>
      <c r="BW133" s="102"/>
      <c r="BX133" s="102"/>
      <c r="BY133" s="103"/>
      <c r="BZ133" s="101"/>
      <c r="CA133" s="102"/>
      <c r="CB133" s="102"/>
      <c r="CC133" s="103"/>
      <c r="CD133" s="115"/>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3"/>
      <c r="DE133" s="35"/>
      <c r="DF133" s="29"/>
      <c r="DG133" s="29"/>
      <c r="DH133" s="91"/>
      <c r="DI133" s="29"/>
      <c r="DJ133" s="29"/>
      <c r="DK133" s="29"/>
      <c r="DL133" s="29"/>
      <c r="DM133" s="91"/>
      <c r="DN133" s="29"/>
      <c r="DO133" s="29"/>
      <c r="DP133" s="29"/>
      <c r="DQ133" s="29"/>
      <c r="DR133" s="29"/>
      <c r="DS133" s="29"/>
      <c r="DT133" s="29"/>
      <c r="DU133" s="29"/>
      <c r="DV133" s="29"/>
      <c r="DW133" s="29"/>
    </row>
    <row r="134" spans="1:133">
      <c r="A134" s="320"/>
      <c r="B134" s="286" t="s">
        <v>19</v>
      </c>
      <c r="C134" s="257"/>
      <c r="D134" s="257"/>
      <c r="E134" s="140"/>
      <c r="F134" s="900"/>
      <c r="G134" s="901"/>
      <c r="H134" s="901"/>
      <c r="I134" s="902"/>
      <c r="J134" s="487">
        <f>IS!J71</f>
        <v>-0.20599999999998886</v>
      </c>
      <c r="K134" s="487">
        <f>IS!K71</f>
        <v>12.851999999999933</v>
      </c>
      <c r="L134" s="487">
        <f>IS!L71</f>
        <v>18.051714340718149</v>
      </c>
      <c r="M134" s="488">
        <f>IS!M71</f>
        <v>17.228999999999971</v>
      </c>
      <c r="N134" s="487">
        <f>IS!N71</f>
        <v>25.285278737041608</v>
      </c>
      <c r="O134" s="487">
        <f>IS!O71</f>
        <v>76.041401891764636</v>
      </c>
      <c r="P134" s="487">
        <f>IS!P71</f>
        <v>57.088534776115623</v>
      </c>
      <c r="Q134" s="488">
        <f>IS!Q71</f>
        <v>46.904365616533511</v>
      </c>
      <c r="R134" s="487">
        <f>IS!R71</f>
        <v>4.9248834503210333</v>
      </c>
      <c r="S134" s="487">
        <f>IS!S71</f>
        <v>71.300000000000068</v>
      </c>
      <c r="T134" s="487">
        <f>IS!T71</f>
        <v>48.89097677325644</v>
      </c>
      <c r="U134" s="488">
        <f>IS!U71</f>
        <v>29.800184742957555</v>
      </c>
      <c r="V134" s="487">
        <f>IS!V71</f>
        <v>31.200000000000017</v>
      </c>
      <c r="W134" s="487">
        <f>IS!W71</f>
        <v>56.625081087970926</v>
      </c>
      <c r="X134" s="487">
        <f>IS!X71</f>
        <v>70.695537108473843</v>
      </c>
      <c r="Y134" s="488">
        <f>IS!Y71</f>
        <v>57.367057114279788</v>
      </c>
      <c r="Z134" s="487">
        <f>IS!Z71</f>
        <v>67.904952461412194</v>
      </c>
      <c r="AA134" s="487">
        <f>IS!AA71</f>
        <v>104.26742626372697</v>
      </c>
      <c r="AB134" s="487">
        <f>IS!AB71</f>
        <v>100.66998165864213</v>
      </c>
      <c r="AC134" s="488">
        <f>IS!AC71</f>
        <v>81.020633982265949</v>
      </c>
      <c r="AD134" s="487">
        <f>IS!AD71</f>
        <v>98.998833436121458</v>
      </c>
      <c r="AE134" s="487">
        <f>IS!AE71</f>
        <v>121.97001149535686</v>
      </c>
      <c r="AF134" s="487">
        <f>IS!AF71</f>
        <v>115.02977342464601</v>
      </c>
      <c r="AG134" s="488">
        <f>IS!AG71</f>
        <v>78.707774312504625</v>
      </c>
      <c r="AH134" s="487">
        <f>IS!AH71</f>
        <v>183.98857251304298</v>
      </c>
      <c r="AI134" s="487">
        <f>IS!AI71</f>
        <v>332.30360848767646</v>
      </c>
      <c r="AJ134" s="487">
        <f>IS!AJ71</f>
        <v>297.60684184863976</v>
      </c>
      <c r="AK134" s="488">
        <f>IS!AK71</f>
        <v>241.0649197251787</v>
      </c>
      <c r="AL134" s="487">
        <f>IS!AL71</f>
        <v>233.98976037078137</v>
      </c>
      <c r="AM134" s="487">
        <f>IS!AM71</f>
        <v>106.78772525634986</v>
      </c>
      <c r="AN134" s="487">
        <f>IS!AN71</f>
        <v>78.892006935091558</v>
      </c>
      <c r="AO134" s="488">
        <f>IS!AO71</f>
        <v>186.18657194384241</v>
      </c>
      <c r="AP134" s="487">
        <f>IS!AP71</f>
        <v>319.94885115999978</v>
      </c>
      <c r="AQ134" s="487">
        <f>IS!AQ71</f>
        <v>473.94007525000006</v>
      </c>
      <c r="AR134" s="487">
        <f>IS!AR71</f>
        <v>441.83925150000005</v>
      </c>
      <c r="AS134" s="487">
        <f>IS!AS71</f>
        <v>321.56533969848874</v>
      </c>
      <c r="AT134" s="491">
        <f>IS!AT71</f>
        <v>220.97132884299981</v>
      </c>
      <c r="AU134" s="487">
        <f>IS!AU71</f>
        <v>240.58216772499964</v>
      </c>
      <c r="AV134" s="487">
        <f>IS!AV71</f>
        <v>168.05312178269969</v>
      </c>
      <c r="AW134" s="487">
        <f>IS!AW71</f>
        <v>207.31393374718755</v>
      </c>
      <c r="AX134" s="491">
        <f>IS!AX71</f>
        <v>280.43461406480401</v>
      </c>
      <c r="AY134" s="487">
        <f>IS!AY71</f>
        <v>375.37867133650047</v>
      </c>
      <c r="AZ134" s="487">
        <f>IS!AZ71</f>
        <v>694.17196134369033</v>
      </c>
      <c r="BA134" s="487">
        <f>IS!BA71</f>
        <v>939.10029102005683</v>
      </c>
      <c r="BB134" s="491">
        <f>IS!BB71</f>
        <v>666.90000000000009</v>
      </c>
      <c r="BC134" s="487">
        <f>IS!BC71</f>
        <v>568.05549999999994</v>
      </c>
      <c r="BD134" s="487">
        <f>IS!BD71</f>
        <v>539.72000000000025</v>
      </c>
      <c r="BE134" s="796">
        <f>IS!BE71</f>
        <v>521.23799999999983</v>
      </c>
      <c r="BF134" s="491">
        <f>IS!BF71</f>
        <v>561.07020000000011</v>
      </c>
      <c r="BG134" s="487">
        <f>IS!BG71</f>
        <v>579.82400000000007</v>
      </c>
      <c r="BH134" s="487">
        <f>IS!BH71</f>
        <v>514.00799999999981</v>
      </c>
      <c r="BI134" s="796">
        <f>IS!BI71</f>
        <v>480.30999999999995</v>
      </c>
      <c r="BJ134" s="491">
        <f>IS!BJ71</f>
        <v>593.19399999999996</v>
      </c>
      <c r="BK134" s="487">
        <f>IS!BK71</f>
        <v>615.904</v>
      </c>
      <c r="BL134" s="487">
        <f>IS!BL71</f>
        <v>505.89599999999996</v>
      </c>
      <c r="BM134" s="796">
        <f>IS!BM71</f>
        <v>425.98249999999985</v>
      </c>
      <c r="BN134" s="491">
        <f>IS!BN71</f>
        <v>446.22499999999991</v>
      </c>
      <c r="BO134" s="487">
        <f>IS!BO71</f>
        <v>427.21249999999998</v>
      </c>
      <c r="BP134" s="487">
        <f>IS!BP71</f>
        <v>347.25999999999988</v>
      </c>
      <c r="BQ134" s="796">
        <f>IS!BQ71</f>
        <v>450.73</v>
      </c>
      <c r="BR134" s="491">
        <f>IS!BR71</f>
        <v>735.55600000000004</v>
      </c>
      <c r="BS134" s="487">
        <f>IS!BS71</f>
        <v>994.85299999999984</v>
      </c>
      <c r="BT134" s="487">
        <f>IS!BT71</f>
        <v>1015.076</v>
      </c>
      <c r="BU134" s="796">
        <f>IS!BU71</f>
        <v>1186.0769999999998</v>
      </c>
      <c r="BV134" s="491">
        <f>IS!BV71</f>
        <v>1372.8649999999998</v>
      </c>
      <c r="BW134" s="487">
        <f>IS!BW71</f>
        <v>1441.3600000000001</v>
      </c>
      <c r="BX134" s="487">
        <f>IS!BX71</f>
        <v>1241.8385741999996</v>
      </c>
      <c r="BY134" s="796">
        <f>IS!BY71</f>
        <v>1127.6717944291802</v>
      </c>
      <c r="BZ134" s="491">
        <f>IS!BZ71</f>
        <v>1154.2926429942599</v>
      </c>
      <c r="CA134" s="487">
        <f>IS!CA71</f>
        <v>1065.9026384629315</v>
      </c>
      <c r="CB134" s="487">
        <f>IS!CB71</f>
        <v>888.27209659314985</v>
      </c>
      <c r="CC134" s="796">
        <f>IS!CC71</f>
        <v>834.03242263642107</v>
      </c>
      <c r="CD134" s="115"/>
      <c r="CE134" s="913" t="s">
        <v>687</v>
      </c>
      <c r="CF134" s="487">
        <f>IS!CF71</f>
        <v>47.926714340718235</v>
      </c>
      <c r="CG134" s="487">
        <f>IS!CG71</f>
        <v>205.31958102145597</v>
      </c>
      <c r="CH134" s="487">
        <f>IS!CH71</f>
        <v>154.91604496653451</v>
      </c>
      <c r="CI134" s="487">
        <f>IS!CI71</f>
        <v>215.88767531072438</v>
      </c>
      <c r="CJ134" s="487">
        <f>IS!CJ71</f>
        <v>353.86299436604759</v>
      </c>
      <c r="CK134" s="487">
        <f>IS!CK71</f>
        <v>414.70639266862872</v>
      </c>
      <c r="CL134" s="487">
        <f>IS!CL71</f>
        <v>1054.9639425745381</v>
      </c>
      <c r="CM134" s="487">
        <f>IS!CM71</f>
        <v>605.8560645060661</v>
      </c>
      <c r="CN134" s="795">
        <f>IS!CN71</f>
        <v>1557.2935176084884</v>
      </c>
      <c r="CO134" s="795">
        <f>IS!CO71</f>
        <v>836.92055209788668</v>
      </c>
      <c r="CP134" s="795">
        <f>IS!CP71</f>
        <v>2289.0855377650514</v>
      </c>
      <c r="CQ134" s="795">
        <f>IS!CQ71</f>
        <v>2295.9135000000006</v>
      </c>
      <c r="CR134" s="795">
        <f>IS!CR71</f>
        <v>2135.2121999999999</v>
      </c>
      <c r="CS134" s="795">
        <f>IS!CS71</f>
        <v>2140.9764999999998</v>
      </c>
      <c r="CT134" s="795">
        <f>IS!CT71</f>
        <v>1671.4274999999998</v>
      </c>
      <c r="CU134" s="795">
        <f>IS!CU71</f>
        <v>3931.5619999999999</v>
      </c>
      <c r="CV134" s="795">
        <f>IS!CV71</f>
        <v>5183.7353686291799</v>
      </c>
      <c r="CW134" s="795">
        <f>IS!CW71</f>
        <v>3942.4998006867604</v>
      </c>
      <c r="CX134" s="795">
        <f>IS!CX71</f>
        <v>4225.3042234016048</v>
      </c>
      <c r="CY134" s="795">
        <f>IS!CY71</f>
        <v>4307.3882741246325</v>
      </c>
      <c r="CZ134" s="795">
        <f>IS!CZ71</f>
        <v>4494.8184559702095</v>
      </c>
      <c r="DA134" s="795">
        <f>IS!DA71</f>
        <v>4672.4136184105491</v>
      </c>
      <c r="DB134" s="795">
        <f>IS!DB71</f>
        <v>4853.6351466556334</v>
      </c>
      <c r="DC134" s="795">
        <f>IS!DC71</f>
        <v>5062.4233545065854</v>
      </c>
      <c r="DD134" s="796"/>
      <c r="DE134" s="35"/>
      <c r="DF134" s="29"/>
      <c r="DG134" s="29"/>
      <c r="DH134" s="91"/>
      <c r="DI134" s="29"/>
      <c r="DJ134" s="29"/>
      <c r="DK134" s="29"/>
      <c r="DL134" s="29"/>
      <c r="DM134" s="91"/>
      <c r="DN134" s="29"/>
      <c r="DO134" s="29"/>
      <c r="DP134" s="29"/>
      <c r="DQ134" s="29"/>
      <c r="DR134" s="29"/>
      <c r="DS134" s="29"/>
      <c r="DT134" s="29"/>
      <c r="DU134" s="29"/>
      <c r="DV134" s="29"/>
      <c r="DW134" s="29"/>
    </row>
    <row r="135" spans="1:133">
      <c r="A135" s="320"/>
      <c r="B135" s="286" t="s">
        <v>617</v>
      </c>
      <c r="C135" s="257"/>
      <c r="D135" s="257"/>
      <c r="E135" s="140"/>
      <c r="F135" s="869"/>
      <c r="G135" s="865"/>
      <c r="H135" s="865"/>
      <c r="I135" s="867"/>
      <c r="J135" s="487">
        <f>J15</f>
        <v>11.26</v>
      </c>
      <c r="K135" s="487">
        <f>K15</f>
        <v>11.349000000000002</v>
      </c>
      <c r="L135" s="487">
        <f>L15</f>
        <v>11.714999999999996</v>
      </c>
      <c r="M135" s="488">
        <f>M15</f>
        <v>11.469999999999999</v>
      </c>
      <c r="N135" s="487">
        <f t="shared" ref="N135:AH135" si="463">N15</f>
        <v>11.634</v>
      </c>
      <c r="O135" s="487">
        <f t="shared" si="463"/>
        <v>11.802</v>
      </c>
      <c r="P135" s="487">
        <f t="shared" si="463"/>
        <v>12.862000000000002</v>
      </c>
      <c r="Q135" s="488">
        <f t="shared" si="463"/>
        <v>14.101999999999997</v>
      </c>
      <c r="R135" s="487">
        <f t="shared" si="463"/>
        <v>21.4</v>
      </c>
      <c r="S135" s="487">
        <f t="shared" si="463"/>
        <v>25.800000000000004</v>
      </c>
      <c r="T135" s="487">
        <f t="shared" si="463"/>
        <v>26.799999999999997</v>
      </c>
      <c r="U135" s="488">
        <f t="shared" si="463"/>
        <v>27.700000000000003</v>
      </c>
      <c r="V135" s="487">
        <f t="shared" si="463"/>
        <v>29</v>
      </c>
      <c r="W135" s="487">
        <f t="shared" si="463"/>
        <v>32.5</v>
      </c>
      <c r="X135" s="487">
        <f t="shared" si="463"/>
        <v>35.700000000000003</v>
      </c>
      <c r="Y135" s="488">
        <f t="shared" si="463"/>
        <v>37.600000000000009</v>
      </c>
      <c r="Z135" s="487">
        <f t="shared" si="463"/>
        <v>35.6</v>
      </c>
      <c r="AA135" s="487">
        <f t="shared" si="463"/>
        <v>38.6</v>
      </c>
      <c r="AB135" s="487">
        <f t="shared" si="463"/>
        <v>41.899999999999991</v>
      </c>
      <c r="AC135" s="488">
        <f t="shared" si="463"/>
        <v>43.700000000000017</v>
      </c>
      <c r="AD135" s="487">
        <f t="shared" si="463"/>
        <v>45</v>
      </c>
      <c r="AE135" s="487">
        <f t="shared" si="463"/>
        <v>49</v>
      </c>
      <c r="AF135" s="487">
        <f t="shared" si="463"/>
        <v>55</v>
      </c>
      <c r="AG135" s="488">
        <f t="shared" si="463"/>
        <v>61</v>
      </c>
      <c r="AH135" s="487">
        <f t="shared" si="463"/>
        <v>78</v>
      </c>
      <c r="AI135" s="487">
        <f>AI15</f>
        <v>111</v>
      </c>
      <c r="AJ135" s="487">
        <f t="shared" ref="AJ135:CT135" si="464">AJ15</f>
        <v>111</v>
      </c>
      <c r="AK135" s="488">
        <f t="shared" si="464"/>
        <v>113</v>
      </c>
      <c r="AL135" s="487">
        <f t="shared" si="464"/>
        <v>117</v>
      </c>
      <c r="AM135" s="487">
        <f t="shared" si="464"/>
        <v>122</v>
      </c>
      <c r="AN135" s="487">
        <f t="shared" si="464"/>
        <v>119</v>
      </c>
      <c r="AO135" s="488">
        <f t="shared" si="464"/>
        <v>121</v>
      </c>
      <c r="AP135" s="487">
        <f t="shared" si="464"/>
        <v>121</v>
      </c>
      <c r="AQ135" s="487">
        <f t="shared" si="464"/>
        <v>126</v>
      </c>
      <c r="AR135" s="487">
        <f t="shared" si="464"/>
        <v>129</v>
      </c>
      <c r="AS135" s="487">
        <f t="shared" si="464"/>
        <v>134</v>
      </c>
      <c r="AT135" s="491">
        <f t="shared" si="464"/>
        <v>150</v>
      </c>
      <c r="AU135" s="487">
        <f t="shared" si="464"/>
        <v>151</v>
      </c>
      <c r="AV135" s="487">
        <f t="shared" si="464"/>
        <v>151</v>
      </c>
      <c r="AW135" s="487">
        <f t="shared" si="464"/>
        <v>150</v>
      </c>
      <c r="AX135" s="491">
        <f t="shared" si="464"/>
        <v>158</v>
      </c>
      <c r="AY135" s="487">
        <f t="shared" si="464"/>
        <v>140</v>
      </c>
      <c r="AZ135" s="487">
        <f t="shared" si="464"/>
        <v>188</v>
      </c>
      <c r="BA135" s="487">
        <f t="shared" si="464"/>
        <v>339</v>
      </c>
      <c r="BB135" s="491">
        <f t="shared" ref="BB135:BH135" si="465">BB15</f>
        <v>313</v>
      </c>
      <c r="BC135" s="487">
        <f t="shared" si="465"/>
        <v>309</v>
      </c>
      <c r="BD135" s="487">
        <f t="shared" si="465"/>
        <v>309</v>
      </c>
      <c r="BE135" s="488">
        <f>BE15</f>
        <v>302</v>
      </c>
      <c r="BF135" s="491">
        <f>BF15</f>
        <v>312</v>
      </c>
      <c r="BG135" s="487">
        <f t="shared" si="465"/>
        <v>317</v>
      </c>
      <c r="BH135" s="487">
        <f t="shared" si="465"/>
        <v>307</v>
      </c>
      <c r="BI135" s="488">
        <f>BI15</f>
        <v>308</v>
      </c>
      <c r="BJ135" s="491">
        <f>BJ15</f>
        <v>289</v>
      </c>
      <c r="BK135" s="487">
        <f t="shared" ref="BK135:BQ135" si="466">BK15</f>
        <v>290</v>
      </c>
      <c r="BL135" s="487">
        <f t="shared" si="466"/>
        <v>285</v>
      </c>
      <c r="BM135" s="488">
        <f t="shared" si="466"/>
        <v>250</v>
      </c>
      <c r="BN135" s="491">
        <f>BN15</f>
        <v>236</v>
      </c>
      <c r="BO135" s="487">
        <f t="shared" si="466"/>
        <v>252</v>
      </c>
      <c r="BP135" s="487">
        <f t="shared" si="466"/>
        <v>246</v>
      </c>
      <c r="BQ135" s="488">
        <f t="shared" si="466"/>
        <v>420</v>
      </c>
      <c r="BR135" s="491">
        <f t="shared" ref="BR135:BY135" si="467">BR15</f>
        <v>508</v>
      </c>
      <c r="BS135" s="487">
        <f t="shared" si="467"/>
        <v>514</v>
      </c>
      <c r="BT135" s="487">
        <f t="shared" si="467"/>
        <v>560</v>
      </c>
      <c r="BU135" s="488">
        <f t="shared" si="467"/>
        <v>546</v>
      </c>
      <c r="BV135" s="491">
        <f t="shared" si="467"/>
        <v>533</v>
      </c>
      <c r="BW135" s="487">
        <f t="shared" si="467"/>
        <v>535</v>
      </c>
      <c r="BX135" s="487">
        <f t="shared" si="467"/>
        <v>375.71537575892859</v>
      </c>
      <c r="BY135" s="488">
        <f t="shared" si="467"/>
        <v>384.68042097407499</v>
      </c>
      <c r="BZ135" s="491">
        <f>BZ15</f>
        <v>396.70836252236114</v>
      </c>
      <c r="CA135" s="487">
        <f>CA15</f>
        <v>408.38586652101446</v>
      </c>
      <c r="CB135" s="487">
        <f>CB15</f>
        <v>419.14284257596904</v>
      </c>
      <c r="CC135" s="488">
        <f>CC15</f>
        <v>433.76446820149471</v>
      </c>
      <c r="CD135" s="115"/>
      <c r="CE135" s="913">
        <f t="shared" si="464"/>
        <v>51.905000000000001</v>
      </c>
      <c r="CF135" s="487">
        <f t="shared" si="464"/>
        <v>45.793999999999997</v>
      </c>
      <c r="CG135" s="487">
        <f t="shared" si="464"/>
        <v>50.4</v>
      </c>
      <c r="CH135" s="487">
        <f t="shared" si="464"/>
        <v>101.7</v>
      </c>
      <c r="CI135" s="487">
        <f t="shared" si="464"/>
        <v>134.80000000000001</v>
      </c>
      <c r="CJ135" s="487">
        <f t="shared" si="464"/>
        <v>159.80000000000001</v>
      </c>
      <c r="CK135" s="487">
        <f t="shared" si="464"/>
        <v>210</v>
      </c>
      <c r="CL135" s="487">
        <f t="shared" si="464"/>
        <v>413</v>
      </c>
      <c r="CM135" s="487">
        <f t="shared" si="464"/>
        <v>479</v>
      </c>
      <c r="CN135" s="487">
        <f t="shared" si="464"/>
        <v>510</v>
      </c>
      <c r="CO135" s="487">
        <f t="shared" si="464"/>
        <v>602</v>
      </c>
      <c r="CP135" s="487">
        <f t="shared" si="464"/>
        <v>825</v>
      </c>
      <c r="CQ135" s="487">
        <f>CQ15</f>
        <v>1233</v>
      </c>
      <c r="CR135" s="487">
        <f>CR15</f>
        <v>1244</v>
      </c>
      <c r="CS135" s="487">
        <f t="shared" si="464"/>
        <v>1114</v>
      </c>
      <c r="CT135" s="487">
        <f t="shared" si="464"/>
        <v>1154</v>
      </c>
      <c r="CU135" s="487">
        <f t="shared" ref="CU135:DA135" si="468">CU15</f>
        <v>2128</v>
      </c>
      <c r="CV135" s="487">
        <f t="shared" si="468"/>
        <v>1828.3957967330034</v>
      </c>
      <c r="CW135" s="487">
        <f t="shared" si="468"/>
        <v>1658.0015398208395</v>
      </c>
      <c r="CX135" s="487">
        <f t="shared" si="468"/>
        <v>1829.0753339658129</v>
      </c>
      <c r="CY135" s="487">
        <f t="shared" si="468"/>
        <v>1415.8333134950572</v>
      </c>
      <c r="CZ135" s="487">
        <f t="shared" si="468"/>
        <v>1561.8556946851677</v>
      </c>
      <c r="DA135" s="487">
        <f t="shared" si="468"/>
        <v>1432.9834507693315</v>
      </c>
      <c r="DB135" s="487">
        <f>DB15</f>
        <v>1570.7712490121428</v>
      </c>
      <c r="DC135" s="487">
        <f>DC15</f>
        <v>1715.7539540343084</v>
      </c>
      <c r="DD135" s="488"/>
      <c r="DE135" s="35"/>
      <c r="DF135" s="29"/>
      <c r="DG135" s="29"/>
      <c r="DH135" s="91"/>
      <c r="DI135" s="29"/>
      <c r="DJ135" s="29"/>
      <c r="DK135" s="29"/>
      <c r="DL135" s="29"/>
      <c r="DM135" s="91"/>
      <c r="DN135" s="29"/>
      <c r="DO135" s="29"/>
      <c r="DP135" s="29"/>
      <c r="DQ135" s="29"/>
      <c r="DR135" s="29"/>
      <c r="DS135" s="29"/>
      <c r="DT135" s="29"/>
      <c r="DU135" s="29"/>
      <c r="DV135" s="29"/>
      <c r="DW135" s="29"/>
    </row>
    <row r="136" spans="1:133">
      <c r="A136" s="320"/>
      <c r="B136" s="224" t="s">
        <v>37</v>
      </c>
      <c r="C136" s="187"/>
      <c r="D136" s="187"/>
      <c r="E136" s="195"/>
      <c r="F136" s="869"/>
      <c r="G136" s="865"/>
      <c r="H136" s="865"/>
      <c r="I136" s="867"/>
      <c r="J136" s="489">
        <f>SUM(J134:J135)</f>
        <v>11.054000000000011</v>
      </c>
      <c r="K136" s="489">
        <f>SUM(K134:K135)</f>
        <v>24.200999999999937</v>
      </c>
      <c r="L136" s="489">
        <f>SUM(L134:L135)</f>
        <v>29.766714340718146</v>
      </c>
      <c r="M136" s="490">
        <f>SUM(M134:M135)</f>
        <v>28.69899999999997</v>
      </c>
      <c r="N136" s="489">
        <f t="shared" ref="N136:AS136" si="469">SUM(N134:N135)</f>
        <v>36.919278737041608</v>
      </c>
      <c r="O136" s="489">
        <f t="shared" si="469"/>
        <v>87.843401891764643</v>
      </c>
      <c r="P136" s="489">
        <f t="shared" si="469"/>
        <v>69.950534776115632</v>
      </c>
      <c r="Q136" s="490">
        <f t="shared" si="469"/>
        <v>61.006365616533508</v>
      </c>
      <c r="R136" s="489">
        <f t="shared" si="469"/>
        <v>26.324883450321032</v>
      </c>
      <c r="S136" s="489">
        <f t="shared" si="469"/>
        <v>97.10000000000008</v>
      </c>
      <c r="T136" s="489">
        <f t="shared" si="469"/>
        <v>75.690976773256438</v>
      </c>
      <c r="U136" s="490">
        <f t="shared" si="469"/>
        <v>57.500184742957558</v>
      </c>
      <c r="V136" s="489">
        <f t="shared" si="469"/>
        <v>60.200000000000017</v>
      </c>
      <c r="W136" s="489">
        <f t="shared" si="469"/>
        <v>89.125081087970926</v>
      </c>
      <c r="X136" s="489">
        <f t="shared" si="469"/>
        <v>106.39553710847385</v>
      </c>
      <c r="Y136" s="490">
        <f t="shared" si="469"/>
        <v>94.967057114279797</v>
      </c>
      <c r="Z136" s="489">
        <f t="shared" si="469"/>
        <v>103.50495246141219</v>
      </c>
      <c r="AA136" s="489">
        <f t="shared" si="469"/>
        <v>142.86742626372697</v>
      </c>
      <c r="AB136" s="489">
        <f t="shared" si="469"/>
        <v>142.56998165864212</v>
      </c>
      <c r="AC136" s="490">
        <f t="shared" si="469"/>
        <v>124.72063398226597</v>
      </c>
      <c r="AD136" s="489">
        <f t="shared" si="469"/>
        <v>143.99883343612146</v>
      </c>
      <c r="AE136" s="489">
        <f t="shared" si="469"/>
        <v>170.97001149535686</v>
      </c>
      <c r="AF136" s="489">
        <f t="shared" si="469"/>
        <v>170.02977342464601</v>
      </c>
      <c r="AG136" s="490">
        <f t="shared" si="469"/>
        <v>139.70777431250463</v>
      </c>
      <c r="AH136" s="489">
        <f t="shared" si="469"/>
        <v>261.98857251304298</v>
      </c>
      <c r="AI136" s="489">
        <f t="shared" si="469"/>
        <v>443.30360848767646</v>
      </c>
      <c r="AJ136" s="489">
        <f t="shared" si="469"/>
        <v>408.60684184863976</v>
      </c>
      <c r="AK136" s="490">
        <f t="shared" si="469"/>
        <v>354.0649197251787</v>
      </c>
      <c r="AL136" s="489">
        <f t="shared" si="469"/>
        <v>350.98976037078137</v>
      </c>
      <c r="AM136" s="489">
        <f t="shared" si="469"/>
        <v>228.78772525634986</v>
      </c>
      <c r="AN136" s="489">
        <f t="shared" si="469"/>
        <v>197.89200693509156</v>
      </c>
      <c r="AO136" s="490">
        <f t="shared" si="469"/>
        <v>307.18657194384241</v>
      </c>
      <c r="AP136" s="489">
        <f t="shared" si="469"/>
        <v>440.94885115999978</v>
      </c>
      <c r="AQ136" s="489">
        <f t="shared" si="469"/>
        <v>599.94007525000006</v>
      </c>
      <c r="AR136" s="489">
        <f t="shared" si="469"/>
        <v>570.83925150000005</v>
      </c>
      <c r="AS136" s="489">
        <f t="shared" si="469"/>
        <v>455.56533969848874</v>
      </c>
      <c r="AT136" s="914">
        <f t="shared" ref="AT136:BA136" si="470">SUM(AT134:AT135)</f>
        <v>370.97132884299981</v>
      </c>
      <c r="AU136" s="489">
        <f t="shared" si="470"/>
        <v>391.58216772499964</v>
      </c>
      <c r="AV136" s="489">
        <f t="shared" si="470"/>
        <v>319.05312178269969</v>
      </c>
      <c r="AW136" s="489">
        <f t="shared" si="470"/>
        <v>357.31393374718755</v>
      </c>
      <c r="AX136" s="914">
        <f t="shared" si="470"/>
        <v>438.43461406480401</v>
      </c>
      <c r="AY136" s="489">
        <f t="shared" si="470"/>
        <v>515.37867133650047</v>
      </c>
      <c r="AZ136" s="489">
        <f t="shared" si="470"/>
        <v>882.17196134369033</v>
      </c>
      <c r="BA136" s="489">
        <f t="shared" si="470"/>
        <v>1278.1002910200568</v>
      </c>
      <c r="BB136" s="914">
        <f t="shared" ref="BB136:BH136" si="471">SUM(BB134:BB135)</f>
        <v>979.90000000000009</v>
      </c>
      <c r="BC136" s="489">
        <f t="shared" si="471"/>
        <v>877.05549999999994</v>
      </c>
      <c r="BD136" s="489">
        <f t="shared" si="471"/>
        <v>848.72000000000025</v>
      </c>
      <c r="BE136" s="490">
        <f>SUM(BE134:BE135)</f>
        <v>823.23799999999983</v>
      </c>
      <c r="BF136" s="914">
        <f>SUM(BF134:BF135)</f>
        <v>873.07020000000011</v>
      </c>
      <c r="BG136" s="489">
        <f t="shared" si="471"/>
        <v>896.82400000000007</v>
      </c>
      <c r="BH136" s="489">
        <f t="shared" si="471"/>
        <v>821.00799999999981</v>
      </c>
      <c r="BI136" s="490">
        <f>SUM(BI134:BI135)</f>
        <v>788.31</v>
      </c>
      <c r="BJ136" s="914">
        <f>SUM(BJ134:BJ135)</f>
        <v>882.19399999999996</v>
      </c>
      <c r="BK136" s="489">
        <f t="shared" ref="BK136:BQ136" si="472">SUM(BK134:BK135)</f>
        <v>905.904</v>
      </c>
      <c r="BL136" s="489">
        <f>SUM(BL134:BL135)</f>
        <v>790.89599999999996</v>
      </c>
      <c r="BM136" s="490">
        <f t="shared" si="472"/>
        <v>675.98249999999985</v>
      </c>
      <c r="BN136" s="914">
        <f>SUM(BN134:BN135)</f>
        <v>682.22499999999991</v>
      </c>
      <c r="BO136" s="489">
        <f t="shared" si="472"/>
        <v>679.21249999999998</v>
      </c>
      <c r="BP136" s="489">
        <f t="shared" si="472"/>
        <v>593.25999999999988</v>
      </c>
      <c r="BQ136" s="490">
        <f t="shared" si="472"/>
        <v>870.73</v>
      </c>
      <c r="BR136" s="914">
        <f t="shared" ref="BR136:BY136" si="473">SUM(BR134:BR135)</f>
        <v>1243.556</v>
      </c>
      <c r="BS136" s="489">
        <f t="shared" si="473"/>
        <v>1508.8529999999998</v>
      </c>
      <c r="BT136" s="489">
        <f t="shared" si="473"/>
        <v>1575.076</v>
      </c>
      <c r="BU136" s="490">
        <f t="shared" si="473"/>
        <v>1732.0769999999998</v>
      </c>
      <c r="BV136" s="914">
        <f t="shared" si="473"/>
        <v>1905.8649999999998</v>
      </c>
      <c r="BW136" s="489">
        <f t="shared" si="473"/>
        <v>1976.3600000000001</v>
      </c>
      <c r="BX136" s="489">
        <f t="shared" si="473"/>
        <v>1617.5539499589281</v>
      </c>
      <c r="BY136" s="490">
        <f t="shared" si="473"/>
        <v>1512.3522154032553</v>
      </c>
      <c r="BZ136" s="914">
        <f>SUM(BZ134:BZ135)</f>
        <v>1551.001005516621</v>
      </c>
      <c r="CA136" s="489">
        <f>SUM(CA134:CA135)</f>
        <v>1474.288504983946</v>
      </c>
      <c r="CB136" s="489">
        <f>SUM(CB134:CB135)</f>
        <v>1307.414939169119</v>
      </c>
      <c r="CC136" s="490">
        <f>SUM(CC134:CC135)</f>
        <v>1267.7968908379157</v>
      </c>
      <c r="CD136" s="115"/>
      <c r="CE136" s="913" t="s">
        <v>687</v>
      </c>
      <c r="CF136" s="489">
        <f t="shared" ref="CF136:CN136" si="474">SUM(CF134:CF135)</f>
        <v>93.720714340718231</v>
      </c>
      <c r="CG136" s="489">
        <f t="shared" si="474"/>
        <v>255.71958102145598</v>
      </c>
      <c r="CH136" s="489">
        <f t="shared" si="474"/>
        <v>256.6160449665345</v>
      </c>
      <c r="CI136" s="489">
        <f t="shared" si="474"/>
        <v>350.68767531072439</v>
      </c>
      <c r="CJ136" s="489">
        <f t="shared" si="474"/>
        <v>513.66299436604754</v>
      </c>
      <c r="CK136" s="489">
        <f t="shared" si="474"/>
        <v>624.70639266862872</v>
      </c>
      <c r="CL136" s="489">
        <f t="shared" si="474"/>
        <v>1467.9639425745381</v>
      </c>
      <c r="CM136" s="489">
        <f t="shared" si="474"/>
        <v>1084.8560645060661</v>
      </c>
      <c r="CN136" s="489">
        <f t="shared" si="474"/>
        <v>2067.2935176084884</v>
      </c>
      <c r="CO136" s="489">
        <f t="shared" ref="CO136:CT136" si="475">SUM(CO134:CO135)</f>
        <v>1438.9205520978867</v>
      </c>
      <c r="CP136" s="489">
        <f t="shared" si="475"/>
        <v>3114.0855377650514</v>
      </c>
      <c r="CQ136" s="489">
        <f>SUM(CQ134:CQ135)</f>
        <v>3528.9135000000006</v>
      </c>
      <c r="CR136" s="489">
        <f>SUM(CR134:CR135)</f>
        <v>3379.2121999999999</v>
      </c>
      <c r="CS136" s="489">
        <f t="shared" si="475"/>
        <v>3254.9764999999998</v>
      </c>
      <c r="CT136" s="489">
        <f t="shared" si="475"/>
        <v>2825.4274999999998</v>
      </c>
      <c r="CU136" s="489">
        <f t="shared" ref="CU136:DA136" si="476">SUM(CU134:CU135)</f>
        <v>6059.5619999999999</v>
      </c>
      <c r="CV136" s="489">
        <f t="shared" si="476"/>
        <v>7012.1311653621833</v>
      </c>
      <c r="CW136" s="489">
        <f t="shared" si="476"/>
        <v>5600.5013405075997</v>
      </c>
      <c r="CX136" s="489">
        <f t="shared" si="476"/>
        <v>6054.3795573674179</v>
      </c>
      <c r="CY136" s="489">
        <f t="shared" si="476"/>
        <v>5723.2215876196897</v>
      </c>
      <c r="CZ136" s="489">
        <f t="shared" si="476"/>
        <v>6056.6741506553772</v>
      </c>
      <c r="DA136" s="489">
        <f t="shared" si="476"/>
        <v>6105.3970691798804</v>
      </c>
      <c r="DB136" s="489">
        <f>SUM(DB134:DB135)</f>
        <v>6424.4063956677765</v>
      </c>
      <c r="DC136" s="489">
        <f>SUM(DC134:DC135)</f>
        <v>6778.177308540894</v>
      </c>
      <c r="DD136" s="490"/>
      <c r="DE136" s="35"/>
      <c r="DF136" s="29"/>
      <c r="DG136" s="29"/>
      <c r="DH136" s="91"/>
      <c r="DI136" s="29"/>
      <c r="DJ136" s="29"/>
      <c r="DK136" s="29"/>
      <c r="DL136" s="29"/>
      <c r="DM136" s="91"/>
      <c r="DN136" s="29"/>
      <c r="DO136" s="29"/>
      <c r="DP136" s="29"/>
      <c r="DQ136" s="29"/>
      <c r="DR136" s="29"/>
      <c r="DS136" s="29"/>
      <c r="DT136" s="29"/>
      <c r="DU136" s="29"/>
      <c r="DV136" s="29"/>
      <c r="DW136" s="29"/>
    </row>
    <row r="137" spans="1:133">
      <c r="A137" s="320"/>
      <c r="B137" s="1264" t="s">
        <v>618</v>
      </c>
      <c r="C137" s="1265"/>
      <c r="D137" s="1265"/>
      <c r="E137" s="1266"/>
      <c r="F137" s="1256"/>
      <c r="G137" s="1254"/>
      <c r="H137" s="1254"/>
      <c r="I137" s="1255"/>
      <c r="J137" s="1267">
        <f>J136/IS!J124</f>
        <v>5.9227904733838835E-2</v>
      </c>
      <c r="K137" s="1267">
        <f>K136/IS!K124</f>
        <v>0.12629420114390649</v>
      </c>
      <c r="L137" s="1267">
        <f>L136/IS!L124</f>
        <v>0.15006788001672833</v>
      </c>
      <c r="M137" s="1268">
        <f>M136/IS!M124</f>
        <v>0.14515411149438062</v>
      </c>
      <c r="N137" s="1267">
        <f>N136/IS!N124</f>
        <v>0.18757603906576775</v>
      </c>
      <c r="O137" s="1267">
        <f>O136/IS!O124</f>
        <v>0.43034543824931365</v>
      </c>
      <c r="P137" s="1267">
        <f>P136/IS!P124</f>
        <v>0.3367474859723269</v>
      </c>
      <c r="Q137" s="1268">
        <f>Q136/IS!Q124</f>
        <v>0.28597180713698733</v>
      </c>
      <c r="R137" s="1267">
        <f>R136/IS!R124</f>
        <v>0.12193090991348324</v>
      </c>
      <c r="S137" s="1267">
        <f>S136/IS!S124</f>
        <v>0.44561725562184523</v>
      </c>
      <c r="T137" s="1267">
        <f>T136/IS!T124</f>
        <v>0.34800449091152386</v>
      </c>
      <c r="U137" s="1268">
        <f>U136/IS!U124</f>
        <v>0.26682220298356174</v>
      </c>
      <c r="V137" s="1267">
        <f>V136/IS!V124</f>
        <v>0.28316086547507063</v>
      </c>
      <c r="W137" s="1267">
        <f>W136/IS!W124</f>
        <v>0.41725225228450807</v>
      </c>
      <c r="X137" s="1267">
        <f>X136/IS!X124</f>
        <v>0.4864907961064191</v>
      </c>
      <c r="Y137" s="1268">
        <f>Y136/IS!Y124</f>
        <v>0.42662649197789665</v>
      </c>
      <c r="Z137" s="1267">
        <f>Z136/IS!Z124</f>
        <v>0.46813637476893799</v>
      </c>
      <c r="AA137" s="1267">
        <f>AA136/IS!AA124</f>
        <v>0.64499966710486212</v>
      </c>
      <c r="AB137" s="1267">
        <f>AB136/IS!AB124</f>
        <v>0.62861543941200226</v>
      </c>
      <c r="AC137" s="1268">
        <f>AC136/IS!AC124</f>
        <v>0.55406767650940014</v>
      </c>
      <c r="AD137" s="1267">
        <f>AD136/IS!AD124</f>
        <v>0.63999481527165092</v>
      </c>
      <c r="AE137" s="1267">
        <f>AE136/IS!AE124</f>
        <v>0.75650447564317191</v>
      </c>
      <c r="AF137" s="1267">
        <f>AF136/IS!AF124</f>
        <v>0.75234413019754875</v>
      </c>
      <c r="AG137" s="1268">
        <f>AG136/IS!AG124</f>
        <v>0.62092344138890943</v>
      </c>
      <c r="AH137" s="1267">
        <f>AH136/IS!AH124</f>
        <v>1.1695918415760846</v>
      </c>
      <c r="AI137" s="1267">
        <f>AI136/IS!AI124</f>
        <v>1.9615203915383914</v>
      </c>
      <c r="AJ137" s="1267">
        <f>AJ136/IS!AJ124</f>
        <v>1.8000301403023777</v>
      </c>
      <c r="AK137" s="1268">
        <f>AK136/IS!AK124</f>
        <v>1.5597573556175273</v>
      </c>
      <c r="AL137" s="1267">
        <f>AL136/IS!AL124</f>
        <v>1.5530520370388556</v>
      </c>
      <c r="AM137" s="1267">
        <f>AM136/IS!AM124</f>
        <v>1.0213737734658477</v>
      </c>
      <c r="AN137" s="1267">
        <f>AN136/IS!AN124</f>
        <v>0.87562834927031663</v>
      </c>
      <c r="AO137" s="1268">
        <f>AO136/IS!AO124</f>
        <v>1.353244810325297</v>
      </c>
      <c r="AP137" s="1267">
        <f>AP136/IS!AP124</f>
        <v>1.9171689180869556</v>
      </c>
      <c r="AQ137" s="1267">
        <f>AQ136/IS!AQ124</f>
        <v>2.5859486002155174</v>
      </c>
      <c r="AR137" s="1267">
        <f>AR136/IS!AR124</f>
        <v>2.4394839807692308</v>
      </c>
      <c r="AS137" s="1267">
        <f>AS136/IS!AS124</f>
        <v>1.9385759136105905</v>
      </c>
      <c r="AT137" s="1269">
        <f>AT136/IS!AT124</f>
        <v>1.5853475591581188</v>
      </c>
      <c r="AU137" s="1267">
        <f>AU136/IS!AU124</f>
        <v>1.6663070967021261</v>
      </c>
      <c r="AV137" s="1267">
        <f>AV136/IS!AV124</f>
        <v>1.3519200075538123</v>
      </c>
      <c r="AW137" s="1267">
        <f>AW136/IS!AW124</f>
        <v>1.5076537288910867</v>
      </c>
      <c r="AX137" s="1269">
        <f>AX136/IS!AX124</f>
        <v>1.849935080442211</v>
      </c>
      <c r="AY137" s="1267">
        <f>AY136/IS!AY124</f>
        <v>2.1745935499430398</v>
      </c>
      <c r="AZ137" s="1267">
        <f>AZ136/IS!AZ124</f>
        <v>3.5860648835109363</v>
      </c>
      <c r="BA137" s="1267">
        <f>BA136/IS!BA124</f>
        <v>4.9157703500771417</v>
      </c>
      <c r="BB137" s="1269">
        <f>BB136/IS!BB124</f>
        <v>3.8884920634920639</v>
      </c>
      <c r="BC137" s="1267">
        <f>BC136/IS!BC124</f>
        <v>3.5652662601626015</v>
      </c>
      <c r="BD137" s="1267">
        <f>BD136/IS!BD124</f>
        <v>3.4641632653061234</v>
      </c>
      <c r="BE137" s="1268">
        <f>BE136/IS!BE124</f>
        <v>3.3878106995884765</v>
      </c>
      <c r="BF137" s="1269">
        <f>BF136/IS!BF124</f>
        <v>3.6077280991735541</v>
      </c>
      <c r="BG137" s="1267">
        <f>BG136/IS!BG124</f>
        <v>3.6906337448559672</v>
      </c>
      <c r="BH137" s="1267">
        <f>BH136/IS!BH124</f>
        <v>3.3925950413223132</v>
      </c>
      <c r="BI137" s="1268">
        <f>BI136/IS!BI124</f>
        <v>3.2709958506224064</v>
      </c>
      <c r="BJ137" s="1269">
        <f>BJ136/IS!BJ124</f>
        <v>3.6758083333333333</v>
      </c>
      <c r="BK137" s="1267">
        <f>BK136/IS!BK124</f>
        <v>3.8063193277310923</v>
      </c>
      <c r="BL137" s="1267">
        <f>BL136/IS!BL124</f>
        <v>3.3512542372881353</v>
      </c>
      <c r="BM137" s="1268">
        <f>BM136/IS!BM124</f>
        <v>2.876521276595744</v>
      </c>
      <c r="BN137" s="1269">
        <f>BN136/IS!BN124</f>
        <v>2.9154914529914526</v>
      </c>
      <c r="BO137" s="1267">
        <f>BO136/IS!BO124</f>
        <v>2.9026175213675214</v>
      </c>
      <c r="BP137" s="1267">
        <f>BP136/IS!BP124</f>
        <v>2.5352991452991449</v>
      </c>
      <c r="BQ137" s="1268">
        <f>BQ136/IS!BQ124</f>
        <v>3.3107604562737643</v>
      </c>
      <c r="BR137" s="1269">
        <f>BR136/IS!BR124</f>
        <v>4.2881241379310344</v>
      </c>
      <c r="BS137" s="1267">
        <f>BS136/IS!BS124</f>
        <v>5.1321530612244892</v>
      </c>
      <c r="BT137" s="1267">
        <f>BT136/IS!BT124</f>
        <v>5.2678127090301006</v>
      </c>
      <c r="BU137" s="1268">
        <f>BU136/IS!BU124</f>
        <v>5.7544086378737536</v>
      </c>
      <c r="BV137" s="1269">
        <f>BV136/IS!BV124</f>
        <v>6.2283169934640519</v>
      </c>
      <c r="BW137" s="1267">
        <f>BW136/IS!BW124</f>
        <v>6.4586928104575172</v>
      </c>
      <c r="BX137" s="1267">
        <f>BX136/IS!BX124</f>
        <v>5.2470997735797953</v>
      </c>
      <c r="BY137" s="1268">
        <f>BY136/IS!BY124</f>
        <v>4.9179343631019723</v>
      </c>
      <c r="BZ137" s="1269">
        <f>BZ136/IS!BZ124</f>
        <v>5.0183726732274856</v>
      </c>
      <c r="CA137" s="1267">
        <f>CA136/IS!CA124</f>
        <v>4.7499213183616238</v>
      </c>
      <c r="CB137" s="1267">
        <f>CB136/IS!CB124</f>
        <v>4.1873682035091768</v>
      </c>
      <c r="CC137" s="1268">
        <f>CC136/IS!CC124</f>
        <v>4.0296071885597957</v>
      </c>
      <c r="CD137" s="115"/>
      <c r="CE137" s="1295" t="s">
        <v>687</v>
      </c>
      <c r="CF137" s="1267">
        <f>CF136/IS!CF124</f>
        <v>0.48382469666053146</v>
      </c>
      <c r="CG137" s="1267">
        <f>CG136/IS!CG124</f>
        <v>1.2443775232187639</v>
      </c>
      <c r="CH137" s="1267">
        <f>CH136/IS!CH124</f>
        <v>1.1841995614514744</v>
      </c>
      <c r="CI137" s="1267">
        <f>CI136/IS!CI124</f>
        <v>1.6160722364549511</v>
      </c>
      <c r="CJ137" s="1267">
        <f>CJ136/IS!CJ124</f>
        <v>2.2931383677055694</v>
      </c>
      <c r="CK137" s="1267">
        <f>CK136/IS!CK124</f>
        <v>2.7641875781797731</v>
      </c>
      <c r="CL137" s="1267">
        <f>CL136/IS!CL124</f>
        <v>6.4954156751085756</v>
      </c>
      <c r="CM137" s="1267">
        <f>CM136/IS!CM124</f>
        <v>4.8002480730356911</v>
      </c>
      <c r="CN137" s="1267">
        <f>CN136/IS!CN124</f>
        <v>8.8725043674184043</v>
      </c>
      <c r="CO137" s="1267">
        <f>CO136/IS!CO124</f>
        <v>6.1230661791399434</v>
      </c>
      <c r="CP137" s="1267">
        <f>CP136/IS!CP124</f>
        <v>12.710553215367558</v>
      </c>
      <c r="CQ137" s="1267">
        <f>CQ136/IS!CQ124</f>
        <v>14.345176829268295</v>
      </c>
      <c r="CR137" s="1267">
        <f>CR136/IS!CR124</f>
        <v>13.963686776859504</v>
      </c>
      <c r="CS137" s="1267">
        <f>CS136/IS!CS124</f>
        <v>13.734078059071729</v>
      </c>
      <c r="CT137" s="1267">
        <f>CT136/IS!CT124</f>
        <v>11.839706252095203</v>
      </c>
      <c r="CU137" s="1267">
        <f>CU136/IS!CU124</f>
        <v>20.471493243243241</v>
      </c>
      <c r="CV137" s="1267">
        <f>CV136/IS!CV124</f>
        <v>22.86412254092242</v>
      </c>
      <c r="CW137" s="1267">
        <f>CW136/IS!CW124</f>
        <v>17.891979605995058</v>
      </c>
      <c r="CX137" s="1267">
        <f>CX136/IS!CX124</f>
        <v>18.864810076577157</v>
      </c>
      <c r="CY137" s="1267">
        <f>CY136/IS!CY124</f>
        <v>17.36583812226371</v>
      </c>
      <c r="CZ137" s="1267">
        <f>CZ136/IS!CZ124</f>
        <v>17.881410835376521</v>
      </c>
      <c r="DA137" s="1267">
        <f>DA136/IS!DA124</f>
        <v>17.589164249015504</v>
      </c>
      <c r="DB137" s="1267">
        <f>DB136/IS!DB124</f>
        <v>18.056058398624952</v>
      </c>
      <c r="DC137" s="1267">
        <f>DC136/IS!DC124</f>
        <v>18.593073813606825</v>
      </c>
      <c r="DD137" s="1268"/>
      <c r="DE137" s="35"/>
      <c r="DF137" s="29"/>
      <c r="DG137" s="29"/>
      <c r="DH137" s="91"/>
      <c r="DI137" s="118"/>
      <c r="DJ137" s="118"/>
      <c r="DK137" s="118"/>
      <c r="DL137" s="118"/>
      <c r="DM137" s="91"/>
      <c r="DN137" s="29"/>
      <c r="DO137" s="29"/>
      <c r="DP137" s="29"/>
      <c r="DQ137" s="29"/>
      <c r="DR137" s="29"/>
      <c r="DS137" s="29"/>
      <c r="DT137" s="29"/>
      <c r="DU137" s="29"/>
      <c r="DV137" s="29"/>
      <c r="DW137" s="29"/>
    </row>
    <row r="138" spans="1:133">
      <c r="CD138" s="63"/>
      <c r="CE138" s="63"/>
      <c r="CF138" s="63"/>
      <c r="CG138" s="63"/>
      <c r="CH138" s="63"/>
      <c r="CI138" s="63"/>
      <c r="CJ138" s="63"/>
      <c r="CK138" s="63"/>
      <c r="CL138" s="63"/>
      <c r="DE138" s="35"/>
    </row>
    <row r="139" spans="1:133" ht="10.5" customHeight="1">
      <c r="BW139" s="2191"/>
      <c r="CA139" s="2191"/>
      <c r="DE139" s="35"/>
    </row>
    <row r="141" spans="1:133">
      <c r="CT141" s="1482"/>
    </row>
  </sheetData>
  <mergeCells count="17">
    <mergeCell ref="V7:Y7"/>
    <mergeCell ref="F7:I7"/>
    <mergeCell ref="J7:M7"/>
    <mergeCell ref="N7:Q7"/>
    <mergeCell ref="R7:U7"/>
    <mergeCell ref="Z7:AC7"/>
    <mergeCell ref="AD7:AG7"/>
    <mergeCell ref="AT7:AW7"/>
    <mergeCell ref="AX7:BA7"/>
    <mergeCell ref="BZ7:CC7"/>
    <mergeCell ref="AL7:AO7"/>
    <mergeCell ref="BV7:BY7"/>
    <mergeCell ref="BB7:BE7"/>
    <mergeCell ref="BR7:BU7"/>
    <mergeCell ref="BF7:BI7"/>
    <mergeCell ref="BN7:BQ7"/>
    <mergeCell ref="BJ7:BM7"/>
  </mergeCells>
  <phoneticPr fontId="5" type="noConversion"/>
  <pageMargins left="0" right="0" top="0" bottom="0" header="0" footer="0"/>
  <pageSetup paperSize="5" scale="45" pageOrder="overThenDown" orientation="landscape" r:id="rId1"/>
  <headerFooter alignWithMargins="0"/>
  <rowBreaks count="2" manualBreakCount="2">
    <brk id="56" max="16383" man="1"/>
    <brk id="103" max="16383" man="1"/>
  </rowBreaks>
  <colBreaks count="1" manualBreakCount="1">
    <brk id="109" max="1048575" man="1"/>
  </colBreaks>
  <ignoredErrors>
    <ignoredError sqref="CD71 CD82 CI30:CN31 CI77:CI78 CI52:CN52 CD84:CD88 CD96:CD97 CM16:CN21 CI13:CM13 CM41 CJ39:CN40 CM37:CN37 CD62 Q76:Y76 CI86:CI87 CM34 CD73:CD78 CI54:CN54 AA76:AH76 CM35:CN35 CM43 CM48 CM45:CM46 CS48:CT48 CS50 CS14:CT14 CS16:CT18 CS20:CT21 CG33:CK33 CS34:CT37 CS41:CT43 CT44:CT47 CT50" formulaRange="1"/>
    <ignoredError sqref="AJ77:AK78 AL97:AS97 AJ99:AK99 CD38:CD40 AD48:AD50 DF71:DG71 N30:N32 V23:AC32 AG49:AL49 N53:N54 N39:N41 R100:AA100 AG52:AG54 V13:AD13 N52 AD52 R56:R59 Z48:Z50 AL99:AS101 R52:R54 AH77:AH78 AM77:AO78 Y34:AC35 AP76:AP78 AJ86:AL87 R13:R14 AN86:AN87 AH99 R34:R35 R48:R50 DF62:DG62 CL85:CP85 AH101 AF30:AF31 DF82:DG82 AM86:AM87 AG38:AG41 AL103:AS103 AE49:AF49 Y37:AC41 AD54:AF54 DF84:DG88 AI96:AI97 DF73:DG78 R37:R41 AP86:AP87 AL77:AL78 V52:Y54 AE38:AF40 N48:N50 R43 V38:X41 AE52:AF52 AD29:AE32 AG29:AG32 AK101 AD37:AD43 AI99 V48:Y49 R23:R32 AO86:AO87 AJ97:AK97 R15:R21 Z52:Z54 AI100:AJ101 AA52:AC54 Z20:AD20 AA48:AC49 V15:Y21 Z15:AC18 V34:X34 AA45:AC46 V46:Y46 R45:R46 Z44:Z46 J48:J50 F49:I49 K49:M49 O49:Q49 S49:U49 AN49:AO49 AS49 AW49 AZ49:BA49 BD49:BE49 BH49:BI49 CF49:CL49 CN49:CS49 V50 J53 CS76 CS85 CF96:CT96 J100 N100 AT100 AX100 BB100 BF100 BJ100 J13:J21 N13:N21 V14 Z14 AD14:AD19 Z19 Z21 AD21 J23:J28 N23:N28 AD23:AD28 J32 J34:J35 N34:N35 AD34:AD36 V35 Z36 J37 N37 V37 J41 Z42:Z43 J43 N43 V43" formula="1"/>
    <ignoredError sqref="CJ77:CK78 CJ86:CK87 CI39:CI40 AI77:AI78 CL77:CN78 AI86:AI87 AH86:AH87 AH96:AH97 CM49 CT49" formula="1"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4883" r:id="rId4" name="Drop Down 787">
              <controlPr defaultSize="0" autoLine="0" autoPict="0">
                <anchor moveWithCells="1">
                  <from>
                    <xdr:col>5</xdr:col>
                    <xdr:colOff>0</xdr:colOff>
                    <xdr:row>0</xdr:row>
                    <xdr:rowOff>66675</xdr:rowOff>
                  </from>
                  <to>
                    <xdr:col>66</xdr:col>
                    <xdr:colOff>447675</xdr:colOff>
                    <xdr:row>2</xdr:row>
                    <xdr:rowOff>123825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D43"/>
  <sheetViews>
    <sheetView workbookViewId="0">
      <selection activeCell="B42" sqref="B42"/>
    </sheetView>
  </sheetViews>
  <sheetFormatPr defaultRowHeight="12.75"/>
  <cols>
    <col min="1" max="1" width="34.5" style="2230" bestFit="1" customWidth="1"/>
    <col min="2" max="2" width="23.1640625" style="2315" customWidth="1"/>
    <col min="3" max="3" width="14" style="2230" bestFit="1" customWidth="1"/>
    <col min="4" max="256" width="9.33203125" style="2230"/>
    <col min="257" max="257" width="34.5" style="2230" bestFit="1" customWidth="1"/>
    <col min="258" max="258" width="23.1640625" style="2230" customWidth="1"/>
    <col min="259" max="259" width="14" style="2230" bestFit="1" customWidth="1"/>
    <col min="260" max="512" width="9.33203125" style="2230"/>
    <col min="513" max="513" width="34.5" style="2230" bestFit="1" customWidth="1"/>
    <col min="514" max="514" width="23.1640625" style="2230" customWidth="1"/>
    <col min="515" max="515" width="14" style="2230" bestFit="1" customWidth="1"/>
    <col min="516" max="768" width="9.33203125" style="2230"/>
    <col min="769" max="769" width="34.5" style="2230" bestFit="1" customWidth="1"/>
    <col min="770" max="770" width="23.1640625" style="2230" customWidth="1"/>
    <col min="771" max="771" width="14" style="2230" bestFit="1" customWidth="1"/>
    <col min="772" max="1024" width="9.33203125" style="2230"/>
    <col min="1025" max="1025" width="34.5" style="2230" bestFit="1" customWidth="1"/>
    <col min="1026" max="1026" width="23.1640625" style="2230" customWidth="1"/>
    <col min="1027" max="1027" width="14" style="2230" bestFit="1" customWidth="1"/>
    <col min="1028" max="1280" width="9.33203125" style="2230"/>
    <col min="1281" max="1281" width="34.5" style="2230" bestFit="1" customWidth="1"/>
    <col min="1282" max="1282" width="23.1640625" style="2230" customWidth="1"/>
    <col min="1283" max="1283" width="14" style="2230" bestFit="1" customWidth="1"/>
    <col min="1284" max="1536" width="9.33203125" style="2230"/>
    <col min="1537" max="1537" width="34.5" style="2230" bestFit="1" customWidth="1"/>
    <col min="1538" max="1538" width="23.1640625" style="2230" customWidth="1"/>
    <col min="1539" max="1539" width="14" style="2230" bestFit="1" customWidth="1"/>
    <col min="1540" max="1792" width="9.33203125" style="2230"/>
    <col min="1793" max="1793" width="34.5" style="2230" bestFit="1" customWidth="1"/>
    <col min="1794" max="1794" width="23.1640625" style="2230" customWidth="1"/>
    <col min="1795" max="1795" width="14" style="2230" bestFit="1" customWidth="1"/>
    <col min="1796" max="2048" width="9.33203125" style="2230"/>
    <col min="2049" max="2049" width="34.5" style="2230" bestFit="1" customWidth="1"/>
    <col min="2050" max="2050" width="23.1640625" style="2230" customWidth="1"/>
    <col min="2051" max="2051" width="14" style="2230" bestFit="1" customWidth="1"/>
    <col min="2052" max="2304" width="9.33203125" style="2230"/>
    <col min="2305" max="2305" width="34.5" style="2230" bestFit="1" customWidth="1"/>
    <col min="2306" max="2306" width="23.1640625" style="2230" customWidth="1"/>
    <col min="2307" max="2307" width="14" style="2230" bestFit="1" customWidth="1"/>
    <col min="2308" max="2560" width="9.33203125" style="2230"/>
    <col min="2561" max="2561" width="34.5" style="2230" bestFit="1" customWidth="1"/>
    <col min="2562" max="2562" width="23.1640625" style="2230" customWidth="1"/>
    <col min="2563" max="2563" width="14" style="2230" bestFit="1" customWidth="1"/>
    <col min="2564" max="2816" width="9.33203125" style="2230"/>
    <col min="2817" max="2817" width="34.5" style="2230" bestFit="1" customWidth="1"/>
    <col min="2818" max="2818" width="23.1640625" style="2230" customWidth="1"/>
    <col min="2819" max="2819" width="14" style="2230" bestFit="1" customWidth="1"/>
    <col min="2820" max="3072" width="9.33203125" style="2230"/>
    <col min="3073" max="3073" width="34.5" style="2230" bestFit="1" customWidth="1"/>
    <col min="3074" max="3074" width="23.1640625" style="2230" customWidth="1"/>
    <col min="3075" max="3075" width="14" style="2230" bestFit="1" customWidth="1"/>
    <col min="3076" max="3328" width="9.33203125" style="2230"/>
    <col min="3329" max="3329" width="34.5" style="2230" bestFit="1" customWidth="1"/>
    <col min="3330" max="3330" width="23.1640625" style="2230" customWidth="1"/>
    <col min="3331" max="3331" width="14" style="2230" bestFit="1" customWidth="1"/>
    <col min="3332" max="3584" width="9.33203125" style="2230"/>
    <col min="3585" max="3585" width="34.5" style="2230" bestFit="1" customWidth="1"/>
    <col min="3586" max="3586" width="23.1640625" style="2230" customWidth="1"/>
    <col min="3587" max="3587" width="14" style="2230" bestFit="1" customWidth="1"/>
    <col min="3588" max="3840" width="9.33203125" style="2230"/>
    <col min="3841" max="3841" width="34.5" style="2230" bestFit="1" customWidth="1"/>
    <col min="3842" max="3842" width="23.1640625" style="2230" customWidth="1"/>
    <col min="3843" max="3843" width="14" style="2230" bestFit="1" customWidth="1"/>
    <col min="3844" max="4096" width="9.33203125" style="2230"/>
    <col min="4097" max="4097" width="34.5" style="2230" bestFit="1" customWidth="1"/>
    <col min="4098" max="4098" width="23.1640625" style="2230" customWidth="1"/>
    <col min="4099" max="4099" width="14" style="2230" bestFit="1" customWidth="1"/>
    <col min="4100" max="4352" width="9.33203125" style="2230"/>
    <col min="4353" max="4353" width="34.5" style="2230" bestFit="1" customWidth="1"/>
    <col min="4354" max="4354" width="23.1640625" style="2230" customWidth="1"/>
    <col min="4355" max="4355" width="14" style="2230" bestFit="1" customWidth="1"/>
    <col min="4356" max="4608" width="9.33203125" style="2230"/>
    <col min="4609" max="4609" width="34.5" style="2230" bestFit="1" customWidth="1"/>
    <col min="4610" max="4610" width="23.1640625" style="2230" customWidth="1"/>
    <col min="4611" max="4611" width="14" style="2230" bestFit="1" customWidth="1"/>
    <col min="4612" max="4864" width="9.33203125" style="2230"/>
    <col min="4865" max="4865" width="34.5" style="2230" bestFit="1" customWidth="1"/>
    <col min="4866" max="4866" width="23.1640625" style="2230" customWidth="1"/>
    <col min="4867" max="4867" width="14" style="2230" bestFit="1" customWidth="1"/>
    <col min="4868" max="5120" width="9.33203125" style="2230"/>
    <col min="5121" max="5121" width="34.5" style="2230" bestFit="1" customWidth="1"/>
    <col min="5122" max="5122" width="23.1640625" style="2230" customWidth="1"/>
    <col min="5123" max="5123" width="14" style="2230" bestFit="1" customWidth="1"/>
    <col min="5124" max="5376" width="9.33203125" style="2230"/>
    <col min="5377" max="5377" width="34.5" style="2230" bestFit="1" customWidth="1"/>
    <col min="5378" max="5378" width="23.1640625" style="2230" customWidth="1"/>
    <col min="5379" max="5379" width="14" style="2230" bestFit="1" customWidth="1"/>
    <col min="5380" max="5632" width="9.33203125" style="2230"/>
    <col min="5633" max="5633" width="34.5" style="2230" bestFit="1" customWidth="1"/>
    <col min="5634" max="5634" width="23.1640625" style="2230" customWidth="1"/>
    <col min="5635" max="5635" width="14" style="2230" bestFit="1" customWidth="1"/>
    <col min="5636" max="5888" width="9.33203125" style="2230"/>
    <col min="5889" max="5889" width="34.5" style="2230" bestFit="1" customWidth="1"/>
    <col min="5890" max="5890" width="23.1640625" style="2230" customWidth="1"/>
    <col min="5891" max="5891" width="14" style="2230" bestFit="1" customWidth="1"/>
    <col min="5892" max="6144" width="9.33203125" style="2230"/>
    <col min="6145" max="6145" width="34.5" style="2230" bestFit="1" customWidth="1"/>
    <col min="6146" max="6146" width="23.1640625" style="2230" customWidth="1"/>
    <col min="6147" max="6147" width="14" style="2230" bestFit="1" customWidth="1"/>
    <col min="6148" max="6400" width="9.33203125" style="2230"/>
    <col min="6401" max="6401" width="34.5" style="2230" bestFit="1" customWidth="1"/>
    <col min="6402" max="6402" width="23.1640625" style="2230" customWidth="1"/>
    <col min="6403" max="6403" width="14" style="2230" bestFit="1" customWidth="1"/>
    <col min="6404" max="6656" width="9.33203125" style="2230"/>
    <col min="6657" max="6657" width="34.5" style="2230" bestFit="1" customWidth="1"/>
    <col min="6658" max="6658" width="23.1640625" style="2230" customWidth="1"/>
    <col min="6659" max="6659" width="14" style="2230" bestFit="1" customWidth="1"/>
    <col min="6660" max="6912" width="9.33203125" style="2230"/>
    <col min="6913" max="6913" width="34.5" style="2230" bestFit="1" customWidth="1"/>
    <col min="6914" max="6914" width="23.1640625" style="2230" customWidth="1"/>
    <col min="6915" max="6915" width="14" style="2230" bestFit="1" customWidth="1"/>
    <col min="6916" max="7168" width="9.33203125" style="2230"/>
    <col min="7169" max="7169" width="34.5" style="2230" bestFit="1" customWidth="1"/>
    <col min="7170" max="7170" width="23.1640625" style="2230" customWidth="1"/>
    <col min="7171" max="7171" width="14" style="2230" bestFit="1" customWidth="1"/>
    <col min="7172" max="7424" width="9.33203125" style="2230"/>
    <col min="7425" max="7425" width="34.5" style="2230" bestFit="1" customWidth="1"/>
    <col min="7426" max="7426" width="23.1640625" style="2230" customWidth="1"/>
    <col min="7427" max="7427" width="14" style="2230" bestFit="1" customWidth="1"/>
    <col min="7428" max="7680" width="9.33203125" style="2230"/>
    <col min="7681" max="7681" width="34.5" style="2230" bestFit="1" customWidth="1"/>
    <col min="7682" max="7682" width="23.1640625" style="2230" customWidth="1"/>
    <col min="7683" max="7683" width="14" style="2230" bestFit="1" customWidth="1"/>
    <col min="7684" max="7936" width="9.33203125" style="2230"/>
    <col min="7937" max="7937" width="34.5" style="2230" bestFit="1" customWidth="1"/>
    <col min="7938" max="7938" width="23.1640625" style="2230" customWidth="1"/>
    <col min="7939" max="7939" width="14" style="2230" bestFit="1" customWidth="1"/>
    <col min="7940" max="8192" width="9.33203125" style="2230"/>
    <col min="8193" max="8193" width="34.5" style="2230" bestFit="1" customWidth="1"/>
    <col min="8194" max="8194" width="23.1640625" style="2230" customWidth="1"/>
    <col min="8195" max="8195" width="14" style="2230" bestFit="1" customWidth="1"/>
    <col min="8196" max="8448" width="9.33203125" style="2230"/>
    <col min="8449" max="8449" width="34.5" style="2230" bestFit="1" customWidth="1"/>
    <col min="8450" max="8450" width="23.1640625" style="2230" customWidth="1"/>
    <col min="8451" max="8451" width="14" style="2230" bestFit="1" customWidth="1"/>
    <col min="8452" max="8704" width="9.33203125" style="2230"/>
    <col min="8705" max="8705" width="34.5" style="2230" bestFit="1" customWidth="1"/>
    <col min="8706" max="8706" width="23.1640625" style="2230" customWidth="1"/>
    <col min="8707" max="8707" width="14" style="2230" bestFit="1" customWidth="1"/>
    <col min="8708" max="8960" width="9.33203125" style="2230"/>
    <col min="8961" max="8961" width="34.5" style="2230" bestFit="1" customWidth="1"/>
    <col min="8962" max="8962" width="23.1640625" style="2230" customWidth="1"/>
    <col min="8963" max="8963" width="14" style="2230" bestFit="1" customWidth="1"/>
    <col min="8964" max="9216" width="9.33203125" style="2230"/>
    <col min="9217" max="9217" width="34.5" style="2230" bestFit="1" customWidth="1"/>
    <col min="9218" max="9218" width="23.1640625" style="2230" customWidth="1"/>
    <col min="9219" max="9219" width="14" style="2230" bestFit="1" customWidth="1"/>
    <col min="9220" max="9472" width="9.33203125" style="2230"/>
    <col min="9473" max="9473" width="34.5" style="2230" bestFit="1" customWidth="1"/>
    <col min="9474" max="9474" width="23.1640625" style="2230" customWidth="1"/>
    <col min="9475" max="9475" width="14" style="2230" bestFit="1" customWidth="1"/>
    <col min="9476" max="9728" width="9.33203125" style="2230"/>
    <col min="9729" max="9729" width="34.5" style="2230" bestFit="1" customWidth="1"/>
    <col min="9730" max="9730" width="23.1640625" style="2230" customWidth="1"/>
    <col min="9731" max="9731" width="14" style="2230" bestFit="1" customWidth="1"/>
    <col min="9732" max="9984" width="9.33203125" style="2230"/>
    <col min="9985" max="9985" width="34.5" style="2230" bestFit="1" customWidth="1"/>
    <col min="9986" max="9986" width="23.1640625" style="2230" customWidth="1"/>
    <col min="9987" max="9987" width="14" style="2230" bestFit="1" customWidth="1"/>
    <col min="9988" max="10240" width="9.33203125" style="2230"/>
    <col min="10241" max="10241" width="34.5" style="2230" bestFit="1" customWidth="1"/>
    <col min="10242" max="10242" width="23.1640625" style="2230" customWidth="1"/>
    <col min="10243" max="10243" width="14" style="2230" bestFit="1" customWidth="1"/>
    <col min="10244" max="10496" width="9.33203125" style="2230"/>
    <col min="10497" max="10497" width="34.5" style="2230" bestFit="1" customWidth="1"/>
    <col min="10498" max="10498" width="23.1640625" style="2230" customWidth="1"/>
    <col min="10499" max="10499" width="14" style="2230" bestFit="1" customWidth="1"/>
    <col min="10500" max="10752" width="9.33203125" style="2230"/>
    <col min="10753" max="10753" width="34.5" style="2230" bestFit="1" customWidth="1"/>
    <col min="10754" max="10754" width="23.1640625" style="2230" customWidth="1"/>
    <col min="10755" max="10755" width="14" style="2230" bestFit="1" customWidth="1"/>
    <col min="10756" max="11008" width="9.33203125" style="2230"/>
    <col min="11009" max="11009" width="34.5" style="2230" bestFit="1" customWidth="1"/>
    <col min="11010" max="11010" width="23.1640625" style="2230" customWidth="1"/>
    <col min="11011" max="11011" width="14" style="2230" bestFit="1" customWidth="1"/>
    <col min="11012" max="11264" width="9.33203125" style="2230"/>
    <col min="11265" max="11265" width="34.5" style="2230" bestFit="1" customWidth="1"/>
    <col min="11266" max="11266" width="23.1640625" style="2230" customWidth="1"/>
    <col min="11267" max="11267" width="14" style="2230" bestFit="1" customWidth="1"/>
    <col min="11268" max="11520" width="9.33203125" style="2230"/>
    <col min="11521" max="11521" width="34.5" style="2230" bestFit="1" customWidth="1"/>
    <col min="11522" max="11522" width="23.1640625" style="2230" customWidth="1"/>
    <col min="11523" max="11523" width="14" style="2230" bestFit="1" customWidth="1"/>
    <col min="11524" max="11776" width="9.33203125" style="2230"/>
    <col min="11777" max="11777" width="34.5" style="2230" bestFit="1" customWidth="1"/>
    <col min="11778" max="11778" width="23.1640625" style="2230" customWidth="1"/>
    <col min="11779" max="11779" width="14" style="2230" bestFit="1" customWidth="1"/>
    <col min="11780" max="12032" width="9.33203125" style="2230"/>
    <col min="12033" max="12033" width="34.5" style="2230" bestFit="1" customWidth="1"/>
    <col min="12034" max="12034" width="23.1640625" style="2230" customWidth="1"/>
    <col min="12035" max="12035" width="14" style="2230" bestFit="1" customWidth="1"/>
    <col min="12036" max="12288" width="9.33203125" style="2230"/>
    <col min="12289" max="12289" width="34.5" style="2230" bestFit="1" customWidth="1"/>
    <col min="12290" max="12290" width="23.1640625" style="2230" customWidth="1"/>
    <col min="12291" max="12291" width="14" style="2230" bestFit="1" customWidth="1"/>
    <col min="12292" max="12544" width="9.33203125" style="2230"/>
    <col min="12545" max="12545" width="34.5" style="2230" bestFit="1" customWidth="1"/>
    <col min="12546" max="12546" width="23.1640625" style="2230" customWidth="1"/>
    <col min="12547" max="12547" width="14" style="2230" bestFit="1" customWidth="1"/>
    <col min="12548" max="12800" width="9.33203125" style="2230"/>
    <col min="12801" max="12801" width="34.5" style="2230" bestFit="1" customWidth="1"/>
    <col min="12802" max="12802" width="23.1640625" style="2230" customWidth="1"/>
    <col min="12803" max="12803" width="14" style="2230" bestFit="1" customWidth="1"/>
    <col min="12804" max="13056" width="9.33203125" style="2230"/>
    <col min="13057" max="13057" width="34.5" style="2230" bestFit="1" customWidth="1"/>
    <col min="13058" max="13058" width="23.1640625" style="2230" customWidth="1"/>
    <col min="13059" max="13059" width="14" style="2230" bestFit="1" customWidth="1"/>
    <col min="13060" max="13312" width="9.33203125" style="2230"/>
    <col min="13313" max="13313" width="34.5" style="2230" bestFit="1" customWidth="1"/>
    <col min="13314" max="13314" width="23.1640625" style="2230" customWidth="1"/>
    <col min="13315" max="13315" width="14" style="2230" bestFit="1" customWidth="1"/>
    <col min="13316" max="13568" width="9.33203125" style="2230"/>
    <col min="13569" max="13569" width="34.5" style="2230" bestFit="1" customWidth="1"/>
    <col min="13570" max="13570" width="23.1640625" style="2230" customWidth="1"/>
    <col min="13571" max="13571" width="14" style="2230" bestFit="1" customWidth="1"/>
    <col min="13572" max="13824" width="9.33203125" style="2230"/>
    <col min="13825" max="13825" width="34.5" style="2230" bestFit="1" customWidth="1"/>
    <col min="13826" max="13826" width="23.1640625" style="2230" customWidth="1"/>
    <col min="13827" max="13827" width="14" style="2230" bestFit="1" customWidth="1"/>
    <col min="13828" max="14080" width="9.33203125" style="2230"/>
    <col min="14081" max="14081" width="34.5" style="2230" bestFit="1" customWidth="1"/>
    <col min="14082" max="14082" width="23.1640625" style="2230" customWidth="1"/>
    <col min="14083" max="14083" width="14" style="2230" bestFit="1" customWidth="1"/>
    <col min="14084" max="14336" width="9.33203125" style="2230"/>
    <col min="14337" max="14337" width="34.5" style="2230" bestFit="1" customWidth="1"/>
    <col min="14338" max="14338" width="23.1640625" style="2230" customWidth="1"/>
    <col min="14339" max="14339" width="14" style="2230" bestFit="1" customWidth="1"/>
    <col min="14340" max="14592" width="9.33203125" style="2230"/>
    <col min="14593" max="14593" width="34.5" style="2230" bestFit="1" customWidth="1"/>
    <col min="14594" max="14594" width="23.1640625" style="2230" customWidth="1"/>
    <col min="14595" max="14595" width="14" style="2230" bestFit="1" customWidth="1"/>
    <col min="14596" max="14848" width="9.33203125" style="2230"/>
    <col min="14849" max="14849" width="34.5" style="2230" bestFit="1" customWidth="1"/>
    <col min="14850" max="14850" width="23.1640625" style="2230" customWidth="1"/>
    <col min="14851" max="14851" width="14" style="2230" bestFit="1" customWidth="1"/>
    <col min="14852" max="15104" width="9.33203125" style="2230"/>
    <col min="15105" max="15105" width="34.5" style="2230" bestFit="1" customWidth="1"/>
    <col min="15106" max="15106" width="23.1640625" style="2230" customWidth="1"/>
    <col min="15107" max="15107" width="14" style="2230" bestFit="1" customWidth="1"/>
    <col min="15108" max="15360" width="9.33203125" style="2230"/>
    <col min="15361" max="15361" width="34.5" style="2230" bestFit="1" customWidth="1"/>
    <col min="15362" max="15362" width="23.1640625" style="2230" customWidth="1"/>
    <col min="15363" max="15363" width="14" style="2230" bestFit="1" customWidth="1"/>
    <col min="15364" max="15616" width="9.33203125" style="2230"/>
    <col min="15617" max="15617" width="34.5" style="2230" bestFit="1" customWidth="1"/>
    <col min="15618" max="15618" width="23.1640625" style="2230" customWidth="1"/>
    <col min="15619" max="15619" width="14" style="2230" bestFit="1" customWidth="1"/>
    <col min="15620" max="15872" width="9.33203125" style="2230"/>
    <col min="15873" max="15873" width="34.5" style="2230" bestFit="1" customWidth="1"/>
    <col min="15874" max="15874" width="23.1640625" style="2230" customWidth="1"/>
    <col min="15875" max="15875" width="14" style="2230" bestFit="1" customWidth="1"/>
    <col min="15876" max="16128" width="9.33203125" style="2230"/>
    <col min="16129" max="16129" width="34.5" style="2230" bestFit="1" customWidth="1"/>
    <col min="16130" max="16130" width="23.1640625" style="2230" customWidth="1"/>
    <col min="16131" max="16131" width="14" style="2230" bestFit="1" customWidth="1"/>
    <col min="16132" max="16384" width="9.33203125" style="2230"/>
  </cols>
  <sheetData>
    <row r="1" spans="1:2">
      <c r="A1" s="2230" t="s">
        <v>1279</v>
      </c>
      <c r="B1" s="2314">
        <v>6.1</v>
      </c>
    </row>
    <row r="2" spans="1:2">
      <c r="A2" s="2230" t="s">
        <v>1280</v>
      </c>
      <c r="B2" s="2318">
        <v>43125.944791666669</v>
      </c>
    </row>
    <row r="3" spans="1:2">
      <c r="A3" s="2230" t="s">
        <v>1281</v>
      </c>
      <c r="B3" s="2315" t="s">
        <v>990</v>
      </c>
    </row>
    <row r="4" spans="1:2">
      <c r="A4" s="2230" t="s">
        <v>1282</v>
      </c>
      <c r="B4" s="2315" t="s">
        <v>988</v>
      </c>
    </row>
    <row r="5" spans="1:2">
      <c r="A5" s="2230" t="s">
        <v>1283</v>
      </c>
      <c r="B5" s="2315" t="s">
        <v>1284</v>
      </c>
    </row>
    <row r="6" spans="1:2">
      <c r="A6" s="2230" t="s">
        <v>1285</v>
      </c>
    </row>
    <row r="7" spans="1:2">
      <c r="A7" s="2230" t="s">
        <v>1286</v>
      </c>
      <c r="B7" s="2315" t="s">
        <v>690</v>
      </c>
    </row>
    <row r="8" spans="1:2">
      <c r="A8" s="2230" t="s">
        <v>1287</v>
      </c>
      <c r="B8" s="2315" t="s">
        <v>1288</v>
      </c>
    </row>
    <row r="9" spans="1:2">
      <c r="A9" s="2230" t="s">
        <v>1289</v>
      </c>
      <c r="B9" s="2315" t="s">
        <v>1326</v>
      </c>
    </row>
    <row r="10" spans="1:2">
      <c r="A10" s="2230" t="s">
        <v>1290</v>
      </c>
    </row>
    <row r="11" spans="1:2">
      <c r="A11" s="2230" t="s">
        <v>1291</v>
      </c>
    </row>
    <row r="12" spans="1:2">
      <c r="A12" s="2230" t="s">
        <v>1292</v>
      </c>
    </row>
    <row r="13" spans="1:2">
      <c r="A13" s="2230" t="s">
        <v>1293</v>
      </c>
    </row>
    <row r="14" spans="1:2">
      <c r="A14" s="2230" t="s">
        <v>1294</v>
      </c>
    </row>
    <row r="15" spans="1:2">
      <c r="A15" s="2230" t="s">
        <v>1295</v>
      </c>
    </row>
    <row r="16" spans="1:2">
      <c r="A16" s="2230" t="s">
        <v>1296</v>
      </c>
    </row>
    <row r="17" spans="1:4">
      <c r="A17" s="2230" t="s">
        <v>1297</v>
      </c>
      <c r="B17" s="2315" t="s">
        <v>1327</v>
      </c>
    </row>
    <row r="18" spans="1:4">
      <c r="A18" s="2230" t="s">
        <v>1298</v>
      </c>
      <c r="B18" s="2315" t="s">
        <v>1330</v>
      </c>
    </row>
    <row r="19" spans="1:4">
      <c r="A19" s="2230" t="s">
        <v>1299</v>
      </c>
      <c r="B19" s="2315" t="s">
        <v>254</v>
      </c>
    </row>
    <row r="20" spans="1:4">
      <c r="A20" s="2230" t="s">
        <v>1300</v>
      </c>
      <c r="B20" s="2316">
        <v>958102105</v>
      </c>
    </row>
    <row r="21" spans="1:4">
      <c r="A21" s="2230" t="s">
        <v>1301</v>
      </c>
      <c r="B21" s="2315" t="s">
        <v>254</v>
      </c>
    </row>
    <row r="22" spans="1:4">
      <c r="A22" s="2230" t="s">
        <v>1302</v>
      </c>
      <c r="B22" s="2316">
        <v>2954699</v>
      </c>
    </row>
    <row r="23" spans="1:4">
      <c r="A23" s="2230" t="s">
        <v>723</v>
      </c>
      <c r="B23" s="2314">
        <v>87.99</v>
      </c>
    </row>
    <row r="24" spans="1:4">
      <c r="A24" s="2230" t="s">
        <v>722</v>
      </c>
      <c r="B24" s="2315" t="s">
        <v>607</v>
      </c>
      <c r="D24" s="2230" t="s">
        <v>15</v>
      </c>
    </row>
    <row r="25" spans="1:4">
      <c r="A25" s="2230" t="s">
        <v>1303</v>
      </c>
      <c r="B25" s="2315" t="s">
        <v>1331</v>
      </c>
    </row>
    <row r="26" spans="1:4">
      <c r="A26" s="2230" t="s">
        <v>1304</v>
      </c>
      <c r="B26" s="2315">
        <v>0</v>
      </c>
    </row>
    <row r="27" spans="1:4">
      <c r="A27" s="2230" t="s">
        <v>1305</v>
      </c>
      <c r="B27" s="2315" t="s">
        <v>1306</v>
      </c>
    </row>
    <row r="28" spans="1:4">
      <c r="A28" s="2230" t="s">
        <v>1307</v>
      </c>
      <c r="B28" s="2315" t="s">
        <v>1308</v>
      </c>
    </row>
    <row r="29" spans="1:4">
      <c r="A29" s="2230" t="s">
        <v>1309</v>
      </c>
    </row>
    <row r="30" spans="1:4">
      <c r="A30" s="2230" t="s">
        <v>1310</v>
      </c>
    </row>
    <row r="31" spans="1:4">
      <c r="A31" s="2230" t="s">
        <v>1311</v>
      </c>
    </row>
    <row r="32" spans="1:4">
      <c r="A32" s="2230" t="s">
        <v>1312</v>
      </c>
      <c r="B32" s="2314"/>
    </row>
    <row r="33" spans="1:2">
      <c r="A33" s="2230" t="s">
        <v>1313</v>
      </c>
      <c r="B33" s="2314"/>
    </row>
    <row r="34" spans="1:2">
      <c r="A34" s="2230" t="s">
        <v>1314</v>
      </c>
      <c r="B34" s="2314"/>
    </row>
    <row r="35" spans="1:2">
      <c r="A35" s="2230" t="s">
        <v>1315</v>
      </c>
      <c r="B35" s="2315">
        <v>1000000</v>
      </c>
    </row>
    <row r="36" spans="1:2">
      <c r="A36" s="2230" t="s">
        <v>1316</v>
      </c>
      <c r="B36" s="2315" t="s">
        <v>1328</v>
      </c>
    </row>
    <row r="37" spans="1:2">
      <c r="A37" s="2230" t="s">
        <v>1317</v>
      </c>
      <c r="B37" s="2315" t="s">
        <v>1318</v>
      </c>
    </row>
    <row r="38" spans="1:2">
      <c r="A38" s="2230" t="s">
        <v>1319</v>
      </c>
      <c r="B38" s="2315" t="s">
        <v>1320</v>
      </c>
    </row>
    <row r="39" spans="1:2">
      <c r="A39" s="2230" t="s">
        <v>1321</v>
      </c>
      <c r="B39" s="2315" t="s">
        <v>1329</v>
      </c>
    </row>
    <row r="40" spans="1:2">
      <c r="A40" s="2230" t="s">
        <v>1322</v>
      </c>
      <c r="B40" s="2315">
        <v>1500000092</v>
      </c>
    </row>
    <row r="41" spans="1:2">
      <c r="A41" s="2230" t="s">
        <v>1323</v>
      </c>
      <c r="B41" s="2315">
        <v>1</v>
      </c>
    </row>
    <row r="42" spans="1:2">
      <c r="A42" s="2317" t="s">
        <v>1324</v>
      </c>
      <c r="B42" s="2315" t="s">
        <v>1332</v>
      </c>
    </row>
    <row r="43" spans="1:2">
      <c r="A43" s="2230" t="s">
        <v>1325</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13"/>
  <sheetViews>
    <sheetView workbookViewId="0">
      <selection activeCell="E11" sqref="E11"/>
    </sheetView>
  </sheetViews>
  <sheetFormatPr defaultRowHeight="12.75"/>
  <cols>
    <col min="1" max="1" width="33.33203125" style="2230" bestFit="1" customWidth="1"/>
    <col min="2" max="256" width="9.33203125" style="2230"/>
    <col min="257" max="257" width="33.33203125" style="2230" bestFit="1" customWidth="1"/>
    <col min="258" max="512" width="9.33203125" style="2230"/>
    <col min="513" max="513" width="33.33203125" style="2230" bestFit="1" customWidth="1"/>
    <col min="514" max="768" width="9.33203125" style="2230"/>
    <col min="769" max="769" width="33.33203125" style="2230" bestFit="1" customWidth="1"/>
    <col min="770" max="1024" width="9.33203125" style="2230"/>
    <col min="1025" max="1025" width="33.33203125" style="2230" bestFit="1" customWidth="1"/>
    <col min="1026" max="1280" width="9.33203125" style="2230"/>
    <col min="1281" max="1281" width="33.33203125" style="2230" bestFit="1" customWidth="1"/>
    <col min="1282" max="1536" width="9.33203125" style="2230"/>
    <col min="1537" max="1537" width="33.33203125" style="2230" bestFit="1" customWidth="1"/>
    <col min="1538" max="1792" width="9.33203125" style="2230"/>
    <col min="1793" max="1793" width="33.33203125" style="2230" bestFit="1" customWidth="1"/>
    <col min="1794" max="2048" width="9.33203125" style="2230"/>
    <col min="2049" max="2049" width="33.33203125" style="2230" bestFit="1" customWidth="1"/>
    <col min="2050" max="2304" width="9.33203125" style="2230"/>
    <col min="2305" max="2305" width="33.33203125" style="2230" bestFit="1" customWidth="1"/>
    <col min="2306" max="2560" width="9.33203125" style="2230"/>
    <col min="2561" max="2561" width="33.33203125" style="2230" bestFit="1" customWidth="1"/>
    <col min="2562" max="2816" width="9.33203125" style="2230"/>
    <col min="2817" max="2817" width="33.33203125" style="2230" bestFit="1" customWidth="1"/>
    <col min="2818" max="3072" width="9.33203125" style="2230"/>
    <col min="3073" max="3073" width="33.33203125" style="2230" bestFit="1" customWidth="1"/>
    <col min="3074" max="3328" width="9.33203125" style="2230"/>
    <col min="3329" max="3329" width="33.33203125" style="2230" bestFit="1" customWidth="1"/>
    <col min="3330" max="3584" width="9.33203125" style="2230"/>
    <col min="3585" max="3585" width="33.33203125" style="2230" bestFit="1" customWidth="1"/>
    <col min="3586" max="3840" width="9.33203125" style="2230"/>
    <col min="3841" max="3841" width="33.33203125" style="2230" bestFit="1" customWidth="1"/>
    <col min="3842" max="4096" width="9.33203125" style="2230"/>
    <col min="4097" max="4097" width="33.33203125" style="2230" bestFit="1" customWidth="1"/>
    <col min="4098" max="4352" width="9.33203125" style="2230"/>
    <col min="4353" max="4353" width="33.33203125" style="2230" bestFit="1" customWidth="1"/>
    <col min="4354" max="4608" width="9.33203125" style="2230"/>
    <col min="4609" max="4609" width="33.33203125" style="2230" bestFit="1" customWidth="1"/>
    <col min="4610" max="4864" width="9.33203125" style="2230"/>
    <col min="4865" max="4865" width="33.33203125" style="2230" bestFit="1" customWidth="1"/>
    <col min="4866" max="5120" width="9.33203125" style="2230"/>
    <col min="5121" max="5121" width="33.33203125" style="2230" bestFit="1" customWidth="1"/>
    <col min="5122" max="5376" width="9.33203125" style="2230"/>
    <col min="5377" max="5377" width="33.33203125" style="2230" bestFit="1" customWidth="1"/>
    <col min="5378" max="5632" width="9.33203125" style="2230"/>
    <col min="5633" max="5633" width="33.33203125" style="2230" bestFit="1" customWidth="1"/>
    <col min="5634" max="5888" width="9.33203125" style="2230"/>
    <col min="5889" max="5889" width="33.33203125" style="2230" bestFit="1" customWidth="1"/>
    <col min="5890" max="6144" width="9.33203125" style="2230"/>
    <col min="6145" max="6145" width="33.33203125" style="2230" bestFit="1" customWidth="1"/>
    <col min="6146" max="6400" width="9.33203125" style="2230"/>
    <col min="6401" max="6401" width="33.33203125" style="2230" bestFit="1" customWidth="1"/>
    <col min="6402" max="6656" width="9.33203125" style="2230"/>
    <col min="6657" max="6657" width="33.33203125" style="2230" bestFit="1" customWidth="1"/>
    <col min="6658" max="6912" width="9.33203125" style="2230"/>
    <col min="6913" max="6913" width="33.33203125" style="2230" bestFit="1" customWidth="1"/>
    <col min="6914" max="7168" width="9.33203125" style="2230"/>
    <col min="7169" max="7169" width="33.33203125" style="2230" bestFit="1" customWidth="1"/>
    <col min="7170" max="7424" width="9.33203125" style="2230"/>
    <col min="7425" max="7425" width="33.33203125" style="2230" bestFit="1" customWidth="1"/>
    <col min="7426" max="7680" width="9.33203125" style="2230"/>
    <col min="7681" max="7681" width="33.33203125" style="2230" bestFit="1" customWidth="1"/>
    <col min="7682" max="7936" width="9.33203125" style="2230"/>
    <col min="7937" max="7937" width="33.33203125" style="2230" bestFit="1" customWidth="1"/>
    <col min="7938" max="8192" width="9.33203125" style="2230"/>
    <col min="8193" max="8193" width="33.33203125" style="2230" bestFit="1" customWidth="1"/>
    <col min="8194" max="8448" width="9.33203125" style="2230"/>
    <col min="8449" max="8449" width="33.33203125" style="2230" bestFit="1" customWidth="1"/>
    <col min="8450" max="8704" width="9.33203125" style="2230"/>
    <col min="8705" max="8705" width="33.33203125" style="2230" bestFit="1" customWidth="1"/>
    <col min="8706" max="8960" width="9.33203125" style="2230"/>
    <col min="8961" max="8961" width="33.33203125" style="2230" bestFit="1" customWidth="1"/>
    <col min="8962" max="9216" width="9.33203125" style="2230"/>
    <col min="9217" max="9217" width="33.33203125" style="2230" bestFit="1" customWidth="1"/>
    <col min="9218" max="9472" width="9.33203125" style="2230"/>
    <col min="9473" max="9473" width="33.33203125" style="2230" bestFit="1" customWidth="1"/>
    <col min="9474" max="9728" width="9.33203125" style="2230"/>
    <col min="9729" max="9729" width="33.33203125" style="2230" bestFit="1" customWidth="1"/>
    <col min="9730" max="9984" width="9.33203125" style="2230"/>
    <col min="9985" max="9985" width="33.33203125" style="2230" bestFit="1" customWidth="1"/>
    <col min="9986" max="10240" width="9.33203125" style="2230"/>
    <col min="10241" max="10241" width="33.33203125" style="2230" bestFit="1" customWidth="1"/>
    <col min="10242" max="10496" width="9.33203125" style="2230"/>
    <col min="10497" max="10497" width="33.33203125" style="2230" bestFit="1" customWidth="1"/>
    <col min="10498" max="10752" width="9.33203125" style="2230"/>
    <col min="10753" max="10753" width="33.33203125" style="2230" bestFit="1" customWidth="1"/>
    <col min="10754" max="11008" width="9.33203125" style="2230"/>
    <col min="11009" max="11009" width="33.33203125" style="2230" bestFit="1" customWidth="1"/>
    <col min="11010" max="11264" width="9.33203125" style="2230"/>
    <col min="11265" max="11265" width="33.33203125" style="2230" bestFit="1" customWidth="1"/>
    <col min="11266" max="11520" width="9.33203125" style="2230"/>
    <col min="11521" max="11521" width="33.33203125" style="2230" bestFit="1" customWidth="1"/>
    <col min="11522" max="11776" width="9.33203125" style="2230"/>
    <col min="11777" max="11777" width="33.33203125" style="2230" bestFit="1" customWidth="1"/>
    <col min="11778" max="12032" width="9.33203125" style="2230"/>
    <col min="12033" max="12033" width="33.33203125" style="2230" bestFit="1" customWidth="1"/>
    <col min="12034" max="12288" width="9.33203125" style="2230"/>
    <col min="12289" max="12289" width="33.33203125" style="2230" bestFit="1" customWidth="1"/>
    <col min="12290" max="12544" width="9.33203125" style="2230"/>
    <col min="12545" max="12545" width="33.33203125" style="2230" bestFit="1" customWidth="1"/>
    <col min="12546" max="12800" width="9.33203125" style="2230"/>
    <col min="12801" max="12801" width="33.33203125" style="2230" bestFit="1" customWidth="1"/>
    <col min="12802" max="13056" width="9.33203125" style="2230"/>
    <col min="13057" max="13057" width="33.33203125" style="2230" bestFit="1" customWidth="1"/>
    <col min="13058" max="13312" width="9.33203125" style="2230"/>
    <col min="13313" max="13313" width="33.33203125" style="2230" bestFit="1" customWidth="1"/>
    <col min="13314" max="13568" width="9.33203125" style="2230"/>
    <col min="13569" max="13569" width="33.33203125" style="2230" bestFit="1" customWidth="1"/>
    <col min="13570" max="13824" width="9.33203125" style="2230"/>
    <col min="13825" max="13825" width="33.33203125" style="2230" bestFit="1" customWidth="1"/>
    <col min="13826" max="14080" width="9.33203125" style="2230"/>
    <col min="14081" max="14081" width="33.33203125" style="2230" bestFit="1" customWidth="1"/>
    <col min="14082" max="14336" width="9.33203125" style="2230"/>
    <col min="14337" max="14337" width="33.33203125" style="2230" bestFit="1" customWidth="1"/>
    <col min="14338" max="14592" width="9.33203125" style="2230"/>
    <col min="14593" max="14593" width="33.33203125" style="2230" bestFit="1" customWidth="1"/>
    <col min="14594" max="14848" width="9.33203125" style="2230"/>
    <col min="14849" max="14849" width="33.33203125" style="2230" bestFit="1" customWidth="1"/>
    <col min="14850" max="15104" width="9.33203125" style="2230"/>
    <col min="15105" max="15105" width="33.33203125" style="2230" bestFit="1" customWidth="1"/>
    <col min="15106" max="15360" width="9.33203125" style="2230"/>
    <col min="15361" max="15361" width="33.33203125" style="2230" bestFit="1" customWidth="1"/>
    <col min="15362" max="15616" width="9.33203125" style="2230"/>
    <col min="15617" max="15617" width="33.33203125" style="2230" bestFit="1" customWidth="1"/>
    <col min="15618" max="15872" width="9.33203125" style="2230"/>
    <col min="15873" max="15873" width="33.33203125" style="2230" bestFit="1" customWidth="1"/>
    <col min="15874" max="16128" width="9.33203125" style="2230"/>
    <col min="16129" max="16129" width="33.33203125" style="2230" bestFit="1" customWidth="1"/>
    <col min="16130" max="16384" width="9.33203125" style="2230"/>
  </cols>
  <sheetData>
    <row r="1" spans="1:1">
      <c r="A1" s="2319" t="s">
        <v>1333</v>
      </c>
    </row>
    <row r="2" spans="1:1">
      <c r="A2" s="2319" t="s">
        <v>1338</v>
      </c>
    </row>
    <row r="3" spans="1:1">
      <c r="A3" s="2319" t="s">
        <v>1339</v>
      </c>
    </row>
    <row r="4" spans="1:1">
      <c r="A4" s="2319" t="s">
        <v>1340</v>
      </c>
    </row>
    <row r="5" spans="1:1">
      <c r="A5" s="2319" t="s">
        <v>1341</v>
      </c>
    </row>
    <row r="6" spans="1:1">
      <c r="A6" s="2319" t="s">
        <v>1334</v>
      </c>
    </row>
    <row r="7" spans="1:1">
      <c r="A7" s="2319" t="s">
        <v>1342</v>
      </c>
    </row>
    <row r="8" spans="1:1">
      <c r="A8" s="2319" t="s">
        <v>1343</v>
      </c>
    </row>
    <row r="9" spans="1:1">
      <c r="A9" s="2319" t="s">
        <v>1344</v>
      </c>
    </row>
    <row r="10" spans="1:1">
      <c r="A10" s="2319" t="s">
        <v>1335</v>
      </c>
    </row>
    <row r="11" spans="1:1">
      <c r="A11" s="2319" t="s">
        <v>1345</v>
      </c>
    </row>
    <row r="12" spans="1:1">
      <c r="A12" s="2319" t="s">
        <v>1336</v>
      </c>
    </row>
    <row r="13" spans="1:1">
      <c r="A13" s="2319" t="s">
        <v>1337</v>
      </c>
    </row>
  </sheetData>
  <pageMargins left="0.75" right="0.75" top="1" bottom="1" header="0.5" footer="0.5"/>
  <headerFooter alignWithMargins="0"/>
</worksheet>
</file>

<file path=customXml/_rels/item1.xml.rels><?xml version="1.0" encoding="UTF-8" standalone="yes"?>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yes"?>
<Relationships xmlns="http://schemas.openxmlformats.org/package/2006/relationships">
<Relationship Id="rId1" Target="itemProps2.xml" Type="http://schemas.openxmlformats.org/officeDocument/2006/relationships/customXmlProps"/>
</Relationships>

</file>

<file path=customXml/item1.xml><?xml version="1.0" encoding="utf-8"?>
<lk:Links xmlns:lk="thomsonreuters.linking.metadata">
  <Link>
    <GUID>c609b566-0b93-4ebb-86f7-ee338a074295</GUID>
    <SOURCETYPE>Chart</SOURCETYPE>
    <SOURCE_OBJECTNAME>MWA_Risk_Reward</SOURCE_OBJECTNAME>
    <SOURCE_SHEETCODE>MWRSSData</SOURCE_SHEETCODE>
    <SOURCE_SHEETNAME>MWA RR</SOURCE_SHEETNAME>
    <OBJECTTYPE>Native</OBJECTTYPE>
    <SOURCEAPPLICATION>EXCEL_SOURCE</SOURCEAPPLICATION>
    <UPDATEDAT>4/28/2015 9:37:14 PM</UPDATEDAT>
    <SOURCE_ISOUTOFDATE>False</SOURCE_ISOUTOFDATE>
    <SOURCE_WORKBOOKNAME>WDC_MS_Model.xls</SOURCE_WORKBOOKNAME>
    <SOURCE_WORKBOOKPATH>\\MSAD\ROOT\NA\NY\LIB\ER\ER43\TechHW\Company Folders\Western Digital\MS Models</SOURCE_WORKBOOKPATH>
    <TRANSPARENTBACKGROUND>False</TRANSPARENTBACKGROUND>
    <TRANSPARENTPLOTAREA>False</TRANSPARENTPLOTAREA>
    <TARGETTYPE>Picture</TARGETTYPE>
    <TARGETAPPLICATION>METHODE_TARGET</TARGETAPPLICATION>
    <TABLEBACKGROUND>Existing</TABLEBACKGROUND>
    <EXTRACTSOURCEMODE>CopyToClipboard</EXTRACTSOURCEMODE>
    <TARGET_BINARYFULLNAME>/MSResearch/Content/ExternalAssets/2015-04/Images/d65daPBVAECF9LHJEK79vw--.png</TARGET_BINARYFULLNAME>
    <TARGET_STORYFULLNAME>/MSResearch/Content/ExternalAssets/2015-04/Sections/20150428_093711_MWA_Risk_Reward.xml</TARGET_STORYFULLNAME>
    <TARGET_UUID>41be4b34-ee10-11e4-aeba-9bba02fefb2a</TARGET_UUID>
  </Link>
  <Link>
    <GUID>64274ea0-2105-4fd3-8de2-2992770c36b3</GUID>
    <SOURCE_ALTADDRESS>$B$9:$BJ$82</SOURCE_ALTADDRESS>
    <SOURCETYPE>Table</SOURCETYPE>
    <SOURCE_OBJECTNAME>Linking_Range_21</SOURCE_OBJECTNAME>
    <OBJECTTYPE>Native</OBJECTTYPE>
    <SOURCE_SHEETCODE>Sheet22</SOURCE_SHEETCODE>
    <SOURCE_SHEETNAME>EarningsVariance</SOURCE_SHEETNAME>
    <SOURCEAPPLICATION>EXCEL_SOURCE</SOURCEAPPLICATION>
    <UPDATEDAT>4/28/2015 9:45:37 PM</UPDATEDAT>
    <SOURCE_ISOUTOFDATE>False</SOURCE_ISOUTOFDATE>
    <SOURCE_WORKBOOKNAME>WDC_MS_Model.xls</SOURCE_WORKBOOKNAME>
    <SOURCE_WORKBOOKPATH>\\MSAD\ROOT\NA\NY\LIB\ER\ER43\TechHW\Company Folders\Western Digital\MS 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/MSResearch/Content/ExternalAssets/2015-04/Images/kel8cM4AAU6QlC_qgotKfg--.png</TARGET_BINARYFULLNAME>
    <TARGET_STORYFULLNAME>/MSResearch/Content/ExternalAssets/2015-04/Sections/20150423_083134_Linking_Range_21.xml</TARGET_STORYFULLNAME>
    <TARGET_UUID>ad75126e-e9b4-11e4-b44c-544b7b2f2e67</TARGET_UUID>
    <TRANSPARENTBACKGROUND>False</TRANSPARENTBACKGROUND>
    <TRANSPARENTPLOTAREA>False</TRANSPARENTPLOTAREA>
    <LINKSTATUS>Unknown</LINKSTATUS>
  </Link>
  <Link>
    <GUID>3e1dec63-a218-4c06-a609-04931f910530</GUID>
    <SOURCE_ALTADDRESS>$B$7:$CI$116</SOURCE_ALTADDRESS>
    <SOURCETYPE>Table</SOURCETYPE>
    <SOURCE_OBJECTNAME>Linking_Range_22</SOURCE_OBJECTNAME>
    <OBJECTTYPE>Native</OBJECTTYPE>
    <SOURCE_SHEETCODE>Sheet1</SOURCE_SHEETCODE>
    <SOURCE_SHEETNAME>IS</SOURCE_SHEETNAME>
    <SOURCEAPPLICATION>EXCEL_SOURCE</SOURCEAPPLICATION>
    <UPDATEDAT>4/28/2015 9:47:11 PM</UPDATEDAT>
    <SOURCE_ISOUTOFDATE>False</SOURCE_ISOUTOFDATE>
    <SOURCE_WORKBOOKNAME>WDC_MS_Model.xls</SOURCE_WORKBOOKNAME>
    <SOURCE_WORKBOOKPATH>\\MSAD\ROOT\NA\NY\LIB\ER\ER43\TechHW\Company Folders\Western Digital\MS 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/MSResearch/Content/ExternalAssets/2015-04/Images/Y2M08KvqSkC0A_NGLT6ivQ--.png</TARGET_BINARYFULLNAME>
    <TARGET_STORYFULLNAME>/MSResearch/Content/ExternalAssets/2015-04/Sections/20150428_094707_Linking_Range_22.xml</TARGET_STORYFULLNAME>
    <TARGET_UUID>a4d567c4-ee11-11e4-aeba-9bba02fefb2a</TARGET_UUID>
  </Link>
  <Link>
    <GUID>932e40d9-ce3f-47b2-be1d-656514cf545b</GUID>
    <SOURCE_ALTADDRESS>$B$7:$CI$244</SOURCE_ALTADDRESS>
    <SOURCETYPE>Table</SOURCETYPE>
    <SOURCE_OBJECTNAME>Linking_Range_23</SOURCE_OBJECTNAME>
    <OBJECTTYPE>Native</OBJECTTYPE>
    <SOURCE_SHEETCODE>Sheet1</SOURCE_SHEETCODE>
    <SOURCE_SHEETNAME>IS</SOURCE_SHEETNAME>
    <SOURCEAPPLICATION>EXCEL_SOURCE</SOURCEAPPLICATION>
    <UPDATEDAT>4/28/2015 9:47:56 PM</UPDATEDAT>
    <SOURCE_ISOUTOFDATE>False</SOURCE_ISOUTOFDATE>
    <SOURCE_WORKBOOKNAME>WDC_MS_Model.xls</SOURCE_WORKBOOKNAME>
    <SOURCE_WORKBOOKPATH>\\MSAD\ROOT\NA\NY\LIB\ER\ER43\TechHW\Company Folders\Western Digital\MS 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/MSResearch/Content/ExternalAssets/2015-04/Images/qiM8qZg11UGfBPg4Bq4pxQ--.png</TARGET_BINARYFULLNAME>
    <TARGET_STORYFULLNAME>/MSResearch/Content/ExternalAssets/2015-04/Sections/20150428_094753_Linking_Range_23.xml</TARGET_STORYFULLNAME>
    <TARGET_UUID>c0730838-ee11-11e4-aeba-9bba02fefb2a</TARGET_UUID>
  </Link>
  <Link>
    <GUID>0491fbaf-8f51-41cc-9830-42ed3a88a9f0</GUID>
    <SOURCE_ALTADDRESS>$B$7:$CI$62</SOURCE_ALTADDRESS>
    <SOURCETYPE>Table</SOURCETYPE>
    <SOURCE_OBJECTNAME>Linking_Range_5</SOURCE_OBJECTNAME>
    <OBJECTTYPE>Native</OBJECTTYPE>
    <SOURCE_SHEETCODE>Sheet4</SOURCE_SHEETCODE>
    <SOURCE_SHEETNAME>BS</SOURCE_SHEETNAME>
    <SOURCEAPPLICATION>EXCEL_SOURCE</SOURCEAPPLICATION>
    <UPDATEDAT>4/28/2015 9:49:04 PM</UPDATEDAT>
    <SOURCE_ISOUTOFDATE>False</SOURCE_ISOUTOFDATE>
    <SOURCE_WORKBOOKNAME>WDC_MS_Model.xls</SOURCE_WORKBOOKNAME>
    <SOURCE_WORKBOOKPATH>\\MSAD\ROOT\NA\NY\LIB\ER\ER43\TechHW\Company Folders\Western Digital\MS 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/MSResearch/Content/ExternalAssets/2015-04/Images/KiFT2d8GZEy4vLNqkb67KA--.png</TARGET_BINARYFULLNAME>
    <TARGET_STORYFULLNAME>/MSResearch/Content/ExternalAssets/2015-04/Sections/20150428_094901_Linking_Range_5.xml</TARGET_STORYFULLNAME>
    <TARGET_UUID>e8e5551e-ee11-11e4-aeba-9bba02fefb2a</TARGET_UUID>
  </Link>
  <Link>
    <GUID>f7e23ed2-bb58-44f2-a570-246e7e448290</GUID>
    <SOURCE_ALTADDRESS>$B$7:$CI$55</SOURCE_ALTADDRESS>
    <SOURCETYPE>Table</SOURCETYPE>
    <SOURCE_OBJECTNAME>Linking_Range_24</SOURCE_OBJECTNAME>
    <OBJECTTYPE>Native</OBJECTTYPE>
    <SOURCE_SHEETCODE>Sheet5</SOURCE_SHEETCODE>
    <SOURCE_SHEETNAME>CF</SOURCE_SHEETNAME>
    <SOURCEAPPLICATION>EXCEL_SOURCE</SOURCEAPPLICATION>
    <UPDATEDAT>4/28/2015 9:50:21 PM</UPDATEDAT>
    <SOURCE_ISOUTOFDATE>False</SOURCE_ISOUTOFDATE>
    <SOURCE_WORKBOOKNAME>WDC_MS_Model.xls</SOURCE_WORKBOOKNAME>
    <SOURCE_WORKBOOKPATH>\\MSAD\ROOT\NA\NY\LIB\ER\ER43\TechHW\Company Folders\Western Digital\MS Models</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/MSResearch/Content/ExternalAssets/2015-04/Images/jWqaCFgiuUmj3Jwswf1KSw--.png</TARGET_BINARYFULLNAME>
    <TARGET_STORYFULLNAME>/MSResearch/Content/ExternalAssets/2015-04/Sections/20150428_095019_Linking_Range_24.xml</TARGET_STORYFULLNAME>
    <TARGET_UUID>1756f1aa-ee12-11e4-aeba-9bba02fefb2a</TARGET_UUID>
  </Link>
</lk:Links>
</file>

<file path=customXml/item2.xml><?xml version="1.0" encoding="utf-8"?>
<lkmtd:Metadata xmlns:lkmtd="thomsonreuters.linking.metadatachange">
  <MetadataChanged>1</MetadataChanged>
</lkmtd:Metadata>
</file>

<file path=customXml/itemProps1.xml><?xml version="1.0" encoding="utf-8"?>
<ds:datastoreItem xmlns:ds="http://schemas.openxmlformats.org/officeDocument/2006/customXml" ds:itemID="{8BCE941F-C17E-4292-BEA0-CF682F6CEEBD}">
  <ds:schemaRefs>
    <ds:schemaRef ds:uri="thomsonreuters.linking.metadata"/>
  </ds:schemaRefs>
</ds:datastoreItem>
</file>

<file path=customXml/itemProps2.xml><?xml version="1.0" encoding="utf-8"?>
<ds:datastoreItem xmlns:ds="http://schemas.openxmlformats.org/officeDocument/2006/customXml" ds:itemID="{3A4E847D-9FDB-4DAD-8E9E-9F4F5FCEB8A0}">
  <ds:schemaRefs>
    <ds:schemaRef ds:uri="thomsonreuters.linking.metadatachang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74</vt:i4>
      </vt:variant>
    </vt:vector>
  </HeadingPairs>
  <TitlesOfParts>
    <vt:vector size="80" baseType="lpstr">
      <vt:lpstr>ImportantDisclosures</vt:lpstr>
      <vt:lpstr>IS</vt:lpstr>
      <vt:lpstr>BS</vt:lpstr>
      <vt:lpstr>CF</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Linking_2</vt:lpstr>
      <vt:lpstr>Linking_3</vt:lpstr>
      <vt:lpstr>Linking_4</vt:lpstr>
      <vt:lpstr>Linking_5</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1999-09-09T17:30:14Z</dcterms:created>
  <dc:creator>Schmitz, Scott (Research)</dc:creator>
  <cp:lastModifiedBy>Linden, Sarah (Research)</cp:lastModifiedBy>
  <cp:lastPrinted>2018-01-26T03:15:32Z</cp:lastPrinted>
  <dcterms:modified xsi:type="dcterms:W3CDTF">2018-01-26T03:40:31Z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ProjectName" pid="2">
    <vt:lpwstr>Client Name or Project Name</vt:lpwstr>
  </property>
  <property fmtid="{D5CDD505-2E9C-101B-9397-08002B2CF9AE}" name="OutputDevice" pid="3">
    <vt:lpwstr>Canon Colorpass 1000</vt:lpwstr>
  </property>
  <property fmtid="{D5CDD505-2E9C-101B-9397-08002B2CF9AE}" name="PresentationScheme" pid="4">
    <vt:lpwstr>Printed</vt:lpwstr>
  </property>
  <property fmtid="{D5CDD505-2E9C-101B-9397-08002B2CF9AE}" name="IsBluebook" pid="5">
    <vt:bool>true</vt:bool>
  </property>
  <property fmtid="{D5CDD505-2E9C-101B-9397-08002B2CF9AE}" name="Language" pid="6">
    <vt:lpwstr>English (United States)</vt:lpwstr>
  </property>
  <property fmtid="{D5CDD505-2E9C-101B-9397-08002B2CF9AE}" name="ProjectDate" pid="7">
    <vt:filetime>2001-01-01T04:00:00Z</vt:filetime>
  </property>
  <property fmtid="{D5CDD505-2E9C-101B-9397-08002B2CF9AE}" name="Style" pid="8">
    <vt:lpwstr>IBD</vt:lpwstr>
  </property>
  <property fmtid="{D5CDD505-2E9C-101B-9397-08002B2CF9AE}" name="AuthorVersion" pid="9">
    <vt:lpwstr>2.4</vt:lpwstr>
  </property>
  <property fmtid="{D5CDD505-2E9C-101B-9397-08002B2CF9AE}" name="_NewReviewCycle" pid="10">
    <vt:lpwstr/>
  </property>
  <property fmtid="{D5CDD505-2E9C-101B-9397-08002B2CF9AE}" name="LinkingAutoNameNumberLinking_Range_" pid="11">
    <vt:lpwstr>26</vt:lpwstr>
  </property>
  <property fmtid="{D5CDD505-2E9C-101B-9397-08002B2CF9AE}" name="ERModPubTicket" pid="12">
    <vt:lpwstr>NA</vt:lpwstr>
  </property>
  <property fmtid="{D5CDD505-2E9C-101B-9397-08002B2CF9AE}" name="ERCompanyUploadState" pid="13">
    <vt:lpwstr>P</vt:lpwstr>
  </property>
  <property fmtid="{D5CDD505-2E9C-101B-9397-08002B2CF9AE}" name="ModelId" pid="14">
    <vt:lpwstr>746420</vt:lpwstr>
  </property>
  <property fmtid="{D5CDD505-2E9C-101B-9397-08002B2CF9AE}" name="ERModPubCompanyName" pid="15">
    <vt:lpwstr>Western Digital</vt:lpwstr>
  </property>
  <property fmtid="{D5CDD505-2E9C-101B-9397-08002B2CF9AE}" name="MSDH34TAG" pid="16">
    <vt:lpwstr>.TEZUF76X5TAHATHESADREYAK-00-INB160+*94600-06=ad126306/-024a/-11e8/-9c08/-f9b573143f23,MD=20180125224805/-0500,ZZ=000Z-3c95.</vt:lpwstr>
  </property>
</Properties>
</file>